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daniel.vicente\Desktop\TABELAS JULHO\"/>
    </mc:Choice>
  </mc:AlternateContent>
  <xr:revisionPtr revIDLastSave="0" documentId="13_ncr:1_{EE4C2D54-CC2F-405F-946C-240978EEC329}" xr6:coauthVersionLast="47" xr6:coauthVersionMax="47" xr10:uidLastSave="{00000000-0000-0000-0000-000000000000}"/>
  <bookViews>
    <workbookView xWindow="28680" yWindow="-120" windowWidth="29040" windowHeight="15720" tabRatio="626" xr2:uid="{00000000-000D-0000-FFFF-FFFF00000000}"/>
  </bookViews>
  <sheets>
    <sheet name="Pedido" sheetId="20" r:id="rId1"/>
    <sheet name="Planilha2" sheetId="26" state="hidden" r:id="rId2"/>
    <sheet name="Planilha1" sheetId="25" state="hidden" r:id="rId3"/>
    <sheet name="Cálculo" sheetId="23" state="hidden" r:id="rId4"/>
    <sheet name="BU" sheetId="22" state="hidden" r:id="rId5"/>
    <sheet name="Cálculo Substituição Tributária" sheetId="24" state="hidden" r:id="rId6"/>
    <sheet name="Sup" sheetId="3" state="hidden" r:id="rId7"/>
  </sheets>
  <externalReferences>
    <externalReference r:id="rId8"/>
  </externalReferences>
  <definedNames>
    <definedName name="_xlnm._FilterDatabase" localSheetId="3" hidden="1">Cálculo!$A$27:$CA$350</definedName>
    <definedName name="_xlnm._FilterDatabase" localSheetId="0" hidden="1">Pedido!$A$16:$P$307</definedName>
    <definedName name="_xlnm._FilterDatabase" localSheetId="6" hidden="1">Sup!$J$2:$J$32</definedName>
    <definedName name="avista">Sup!$D$2</definedName>
    <definedName name="b_1000" localSheetId="4">#REF!</definedName>
    <definedName name="b_10000">#REF!</definedName>
    <definedName name="b_100000" localSheetId="4">#REF!</definedName>
    <definedName name="b_10001" localSheetId="4">#REF!</definedName>
    <definedName name="b_100k" localSheetId="5">#REF!</definedName>
    <definedName name="b_100k">Sup!$L$2:$L$25</definedName>
    <definedName name="b_10k" localSheetId="5">#REF!</definedName>
    <definedName name="b_10k">Sup!$H$2:$H$15</definedName>
    <definedName name="b_1k" localSheetId="5">#REF!</definedName>
    <definedName name="b_1k">Sup!$E$2:$E$4</definedName>
    <definedName name="b_20000">#REF!</definedName>
    <definedName name="b_25001" localSheetId="4">#REF!</definedName>
    <definedName name="b_25k" localSheetId="5">#REF!</definedName>
    <definedName name="b_25k">Sup!$I$2:$I$18</definedName>
    <definedName name="b_3000">#REF!</definedName>
    <definedName name="b_3001" localSheetId="4">#REF!</definedName>
    <definedName name="b_3k" localSheetId="5">#REF!</definedName>
    <definedName name="b_3k">Sup!$F$2:$F$7</definedName>
    <definedName name="b_40000">#REF!</definedName>
    <definedName name="b_5000">#REF!</definedName>
    <definedName name="b_50001" localSheetId="4">#REF!</definedName>
    <definedName name="b_5001" localSheetId="4">#REF!</definedName>
    <definedName name="b_5001" localSheetId="5">#REF!</definedName>
    <definedName name="b_5001">Sup!$G$2:$G$12</definedName>
    <definedName name="b_50k" localSheetId="5">#REF!</definedName>
    <definedName name="b_50k">Sup!$J$2:$J$21</definedName>
    <definedName name="b_7500">#REF!</definedName>
    <definedName name="b_75000">#REF!</definedName>
    <definedName name="b_75001" localSheetId="4">#REF!</definedName>
    <definedName name="b_75k" localSheetId="5">#REF!</definedName>
    <definedName name="b_75k">Sup!$K$2:$K$22</definedName>
    <definedName name="cc_10k">Sup!$M$2:$M$7</definedName>
    <definedName name="ccr" localSheetId="5">#REF!</definedName>
    <definedName name="ccr">Sup!$M$2:$M$5</definedName>
    <definedName name="ccredito" localSheetId="4">#REF!</definedName>
    <definedName name="condpgto" localSheetId="4">#REF!</definedName>
    <definedName name="condpgto" localSheetId="5">#REF!</definedName>
    <definedName name="condpgto">Sup!$B$2:$B$4</definedName>
    <definedName name="formadepgto" localSheetId="4">#REF!</definedName>
    <definedName name="formadepgto" localSheetId="5">#REF!</definedName>
    <definedName name="formadepgto">Sup!$C$2:$C$3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3" i="20" l="1"/>
  <c r="I294" i="20"/>
  <c r="I295" i="20"/>
  <c r="I296" i="20"/>
  <c r="I297" i="20"/>
  <c r="I298" i="20"/>
  <c r="I299" i="20"/>
  <c r="I300" i="20"/>
  <c r="I301" i="20"/>
  <c r="I302" i="20"/>
  <c r="I303" i="20"/>
  <c r="I304" i="20"/>
  <c r="I305" i="20"/>
  <c r="I306" i="20"/>
  <c r="I307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I96" i="20"/>
  <c r="I97" i="20"/>
  <c r="I98" i="20"/>
  <c r="I99" i="20"/>
  <c r="I100" i="20"/>
  <c r="I101" i="20"/>
  <c r="I102" i="20"/>
  <c r="I103" i="20"/>
  <c r="I104" i="20"/>
  <c r="I105" i="20"/>
  <c r="I106" i="20"/>
  <c r="I107" i="20"/>
  <c r="I108" i="20"/>
  <c r="I109" i="20"/>
  <c r="I110" i="20"/>
  <c r="I111" i="20"/>
  <c r="I112" i="20"/>
  <c r="I113" i="20"/>
  <c r="I114" i="20"/>
  <c r="I115" i="20"/>
  <c r="I116" i="20"/>
  <c r="I117" i="20"/>
  <c r="I118" i="20"/>
  <c r="I119" i="20"/>
  <c r="I120" i="20"/>
  <c r="I121" i="20"/>
  <c r="I122" i="20"/>
  <c r="I123" i="20"/>
  <c r="I124" i="20"/>
  <c r="I125" i="20"/>
  <c r="I126" i="20"/>
  <c r="I127" i="20"/>
  <c r="I128" i="20"/>
  <c r="I129" i="20"/>
  <c r="I130" i="20"/>
  <c r="I131" i="20"/>
  <c r="I132" i="20"/>
  <c r="I133" i="20"/>
  <c r="I134" i="20"/>
  <c r="I135" i="20"/>
  <c r="I136" i="20"/>
  <c r="I137" i="20"/>
  <c r="I138" i="20"/>
  <c r="I139" i="20"/>
  <c r="I140" i="20"/>
  <c r="I141" i="20"/>
  <c r="I142" i="20"/>
  <c r="I143" i="20"/>
  <c r="I144" i="20"/>
  <c r="I145" i="20"/>
  <c r="I146" i="20"/>
  <c r="I147" i="20"/>
  <c r="I148" i="20"/>
  <c r="I149" i="20"/>
  <c r="I150" i="20"/>
  <c r="I151" i="20"/>
  <c r="I152" i="20"/>
  <c r="I153" i="20"/>
  <c r="I154" i="20"/>
  <c r="I155" i="20"/>
  <c r="I156" i="20"/>
  <c r="I157" i="20"/>
  <c r="I158" i="20"/>
  <c r="I159" i="20"/>
  <c r="I160" i="20"/>
  <c r="I161" i="20"/>
  <c r="I162" i="20"/>
  <c r="I163" i="20"/>
  <c r="I164" i="20"/>
  <c r="I165" i="20"/>
  <c r="I166" i="20"/>
  <c r="I167" i="20"/>
  <c r="I168" i="20"/>
  <c r="I169" i="20"/>
  <c r="I170" i="20"/>
  <c r="I171" i="20"/>
  <c r="I172" i="20"/>
  <c r="I173" i="20"/>
  <c r="I174" i="20"/>
  <c r="I175" i="20"/>
  <c r="I176" i="20"/>
  <c r="I177" i="20"/>
  <c r="I178" i="20"/>
  <c r="I179" i="20"/>
  <c r="I180" i="20"/>
  <c r="I181" i="20"/>
  <c r="I182" i="20"/>
  <c r="I183" i="20"/>
  <c r="I184" i="20"/>
  <c r="I185" i="20"/>
  <c r="I186" i="20"/>
  <c r="I187" i="20"/>
  <c r="I188" i="20"/>
  <c r="I189" i="20"/>
  <c r="I190" i="20"/>
  <c r="I191" i="20"/>
  <c r="I192" i="20"/>
  <c r="I193" i="20"/>
  <c r="I194" i="20"/>
  <c r="I195" i="20"/>
  <c r="I196" i="20"/>
  <c r="I197" i="20"/>
  <c r="I198" i="20"/>
  <c r="I199" i="20"/>
  <c r="I200" i="20"/>
  <c r="I201" i="20"/>
  <c r="I202" i="20"/>
  <c r="I203" i="20"/>
  <c r="I204" i="20"/>
  <c r="I205" i="20"/>
  <c r="I206" i="20"/>
  <c r="I207" i="20"/>
  <c r="I208" i="20"/>
  <c r="I209" i="20"/>
  <c r="I210" i="20"/>
  <c r="I211" i="20"/>
  <c r="I212" i="20"/>
  <c r="I213" i="20"/>
  <c r="I214" i="20"/>
  <c r="I215" i="20"/>
  <c r="I216" i="20"/>
  <c r="I217" i="20"/>
  <c r="I218" i="20"/>
  <c r="I219" i="20"/>
  <c r="I220" i="20"/>
  <c r="I221" i="20"/>
  <c r="I222" i="20"/>
  <c r="I223" i="20"/>
  <c r="I224" i="20"/>
  <c r="I225" i="20"/>
  <c r="I226" i="20"/>
  <c r="I227" i="20"/>
  <c r="I228" i="20"/>
  <c r="I229" i="20"/>
  <c r="I230" i="20"/>
  <c r="I231" i="20"/>
  <c r="I232" i="20"/>
  <c r="I233" i="20"/>
  <c r="I234" i="20"/>
  <c r="I235" i="20"/>
  <c r="I236" i="20"/>
  <c r="I237" i="20"/>
  <c r="I238" i="20"/>
  <c r="I239" i="20"/>
  <c r="I240" i="20"/>
  <c r="I241" i="20"/>
  <c r="I242" i="20"/>
  <c r="I243" i="20"/>
  <c r="I244" i="20"/>
  <c r="I245" i="20"/>
  <c r="I246" i="20"/>
  <c r="I247" i="20"/>
  <c r="I248" i="20"/>
  <c r="I249" i="20"/>
  <c r="I250" i="20"/>
  <c r="I251" i="20"/>
  <c r="I252" i="20"/>
  <c r="I253" i="20"/>
  <c r="I254" i="20"/>
  <c r="I255" i="20"/>
  <c r="I256" i="20"/>
  <c r="I257" i="20"/>
  <c r="I258" i="20"/>
  <c r="I259" i="20"/>
  <c r="I260" i="20"/>
  <c r="I261" i="20"/>
  <c r="I262" i="20"/>
  <c r="I263" i="20"/>
  <c r="I264" i="20"/>
  <c r="I265" i="20"/>
  <c r="I266" i="20"/>
  <c r="I267" i="20"/>
  <c r="I268" i="20"/>
  <c r="I269" i="20"/>
  <c r="I270" i="20"/>
  <c r="I271" i="20"/>
  <c r="I272" i="20"/>
  <c r="I273" i="20"/>
  <c r="I274" i="20"/>
  <c r="I275" i="20"/>
  <c r="I276" i="20"/>
  <c r="I277" i="20"/>
  <c r="I278" i="20"/>
  <c r="I279" i="20"/>
  <c r="I280" i="20"/>
  <c r="I281" i="20"/>
  <c r="I282" i="20"/>
  <c r="I283" i="20"/>
  <c r="I284" i="20"/>
  <c r="I285" i="20"/>
  <c r="I286" i="20"/>
  <c r="I287" i="20"/>
  <c r="I288" i="20"/>
  <c r="I289" i="20"/>
  <c r="I290" i="20"/>
  <c r="I291" i="20"/>
  <c r="K302" i="20"/>
  <c r="K303" i="20"/>
  <c r="K304" i="20"/>
  <c r="K305" i="20"/>
  <c r="K306" i="20"/>
  <c r="K307" i="20"/>
  <c r="K301" i="20" l="1"/>
  <c r="K300" i="20"/>
  <c r="K299" i="20"/>
  <c r="K298" i="20"/>
  <c r="K297" i="20"/>
  <c r="K296" i="20"/>
  <c r="K295" i="20"/>
  <c r="K294" i="20"/>
  <c r="K293" i="20"/>
  <c r="K123" i="20"/>
  <c r="K55" i="20"/>
  <c r="F55" i="20"/>
  <c r="F123" i="20"/>
  <c r="K122" i="20"/>
  <c r="F122" i="20"/>
  <c r="K19" i="20"/>
  <c r="K21" i="20"/>
  <c r="K27" i="20"/>
  <c r="K28" i="20"/>
  <c r="K29" i="20"/>
  <c r="K30" i="20"/>
  <c r="K35" i="20"/>
  <c r="K45" i="20"/>
  <c r="K46" i="20"/>
  <c r="K52" i="20"/>
  <c r="K53" i="20"/>
  <c r="K54" i="20"/>
  <c r="K61" i="20"/>
  <c r="K64" i="20"/>
  <c r="K65" i="20"/>
  <c r="K66" i="20"/>
  <c r="K72" i="20"/>
  <c r="K73" i="20"/>
  <c r="K82" i="20"/>
  <c r="K85" i="20"/>
  <c r="K90" i="20"/>
  <c r="K97" i="20"/>
  <c r="K100" i="20"/>
  <c r="K101" i="20"/>
  <c r="K102" i="20"/>
  <c r="K110" i="20"/>
  <c r="K112" i="20"/>
  <c r="K113" i="20"/>
  <c r="K114" i="20"/>
  <c r="K116" i="20"/>
  <c r="K121" i="20"/>
  <c r="K125" i="20"/>
  <c r="K130" i="20"/>
  <c r="K134" i="20"/>
  <c r="K137" i="20"/>
  <c r="K138" i="20"/>
  <c r="K141" i="20"/>
  <c r="K142" i="20"/>
  <c r="K143" i="20"/>
  <c r="K144" i="20"/>
  <c r="K145" i="20"/>
  <c r="K146" i="20"/>
  <c r="K147" i="20"/>
  <c r="K155" i="20"/>
  <c r="K156" i="20"/>
  <c r="K157" i="20"/>
  <c r="K158" i="20"/>
  <c r="K164" i="20"/>
  <c r="K166" i="20"/>
  <c r="K168" i="20"/>
  <c r="K169" i="20"/>
  <c r="K173" i="20"/>
  <c r="K176" i="20"/>
  <c r="K178" i="20"/>
  <c r="K180" i="20"/>
  <c r="K182" i="20"/>
  <c r="K183" i="20"/>
  <c r="K184" i="20"/>
  <c r="K189" i="20"/>
  <c r="K190" i="20"/>
  <c r="K198" i="20"/>
  <c r="K199" i="20"/>
  <c r="K200" i="20"/>
  <c r="K201" i="20"/>
  <c r="K202" i="20"/>
  <c r="K204" i="20"/>
  <c r="K205" i="20"/>
  <c r="K211" i="20"/>
  <c r="K212" i="20"/>
  <c r="K213" i="20"/>
  <c r="K215" i="20"/>
  <c r="K216" i="20"/>
  <c r="K219" i="20"/>
  <c r="K220" i="20"/>
  <c r="K221" i="20"/>
  <c r="K224" i="20"/>
  <c r="K226" i="20"/>
  <c r="K227" i="20"/>
  <c r="K233" i="20"/>
  <c r="K236" i="20"/>
  <c r="K239" i="20"/>
  <c r="K242" i="20"/>
  <c r="K243" i="20"/>
  <c r="K245" i="20"/>
  <c r="K249" i="20"/>
  <c r="K250" i="20"/>
  <c r="K251" i="20"/>
  <c r="K252" i="20"/>
  <c r="K260" i="20"/>
  <c r="K263" i="20"/>
  <c r="K264" i="20"/>
  <c r="K265" i="20"/>
  <c r="K266" i="20"/>
  <c r="K270" i="20"/>
  <c r="K271" i="20"/>
  <c r="K272" i="20"/>
  <c r="K273" i="20"/>
  <c r="K274" i="20"/>
  <c r="K277" i="20"/>
  <c r="K278" i="20"/>
  <c r="K280" i="20"/>
  <c r="K281" i="20"/>
  <c r="K286" i="20"/>
  <c r="K287" i="20"/>
  <c r="K289" i="20"/>
  <c r="K290" i="20"/>
  <c r="K291" i="20"/>
  <c r="I292" i="20"/>
  <c r="I17" i="20"/>
  <c r="K86" i="20"/>
  <c r="K32" i="20"/>
  <c r="K135" i="20"/>
  <c r="K124" i="20"/>
  <c r="K117" i="20"/>
  <c r="K111" i="20"/>
  <c r="K109" i="20"/>
  <c r="K99" i="20"/>
  <c r="K83" i="20"/>
  <c r="K74" i="20"/>
  <c r="K71" i="20"/>
  <c r="K70" i="20"/>
  <c r="K67" i="20"/>
  <c r="K63" i="20"/>
  <c r="K62" i="20"/>
  <c r="K38" i="20"/>
  <c r="K37" i="20"/>
  <c r="K33" i="20"/>
  <c r="K26" i="20"/>
  <c r="K25" i="20"/>
  <c r="K20" i="20"/>
  <c r="K18" i="20"/>
  <c r="K161" i="20"/>
  <c r="K136" i="20"/>
  <c r="K128" i="20"/>
  <c r="K115" i="20"/>
  <c r="K103" i="20"/>
  <c r="K81" i="20"/>
  <c r="K288" i="20" l="1"/>
  <c r="K188" i="20"/>
  <c r="K238" i="20"/>
  <c r="K247" i="20"/>
  <c r="K78" i="20"/>
  <c r="K234" i="20"/>
  <c r="K244" i="20"/>
  <c r="K292" i="20"/>
  <c r="K255" i="20"/>
  <c r="K232" i="20"/>
  <c r="K77" i="20"/>
  <c r="K126" i="20"/>
  <c r="K282" i="20"/>
  <c r="K283" i="20"/>
  <c r="K237" i="20"/>
  <c r="K203" i="20"/>
  <c r="K207" i="20"/>
  <c r="K269" i="20"/>
  <c r="K259" i="20"/>
  <c r="K159" i="20"/>
  <c r="K223" i="20"/>
  <c r="K253" i="20"/>
  <c r="K241" i="20"/>
  <c r="K285" i="20"/>
  <c r="K185" i="20"/>
  <c r="K187" i="20"/>
  <c r="K165" i="20"/>
  <c r="K284" i="20"/>
  <c r="K262" i="20"/>
  <c r="K276" i="20"/>
  <c r="K230" i="20"/>
  <c r="K195" i="20"/>
  <c r="K192" i="20"/>
  <c r="K261" i="20"/>
  <c r="K171" i="20"/>
  <c r="K154" i="20"/>
  <c r="K257" i="20"/>
  <c r="K275" i="20"/>
  <c r="K240" i="20"/>
  <c r="K170" i="20"/>
  <c r="K127" i="20"/>
  <c r="K217" i="20"/>
  <c r="K84" i="20"/>
  <c r="K194" i="20"/>
  <c r="K36" i="20"/>
  <c r="K228" i="20"/>
  <c r="K172" i="20"/>
  <c r="K193" i="20"/>
  <c r="K181" i="20"/>
  <c r="K43" i="20"/>
  <c r="K267" i="20"/>
  <c r="K279" i="20"/>
  <c r="K222" i="20"/>
  <c r="K162" i="20"/>
  <c r="K268" i="20"/>
  <c r="I19" i="20"/>
  <c r="K208" i="20"/>
  <c r="K56" i="20"/>
  <c r="K163" i="20"/>
  <c r="K209" i="20"/>
  <c r="K98" i="20"/>
  <c r="K175" i="20"/>
  <c r="K254" i="20"/>
  <c r="K210" i="20"/>
  <c r="K256" i="20"/>
  <c r="K196" i="20"/>
  <c r="K79" i="20"/>
  <c r="K197" i="20"/>
  <c r="K231" i="20"/>
  <c r="K22" i="20"/>
  <c r="K167" i="20"/>
  <c r="K248" i="20"/>
  <c r="K179" i="20"/>
  <c r="K191" i="20"/>
  <c r="K225" i="20"/>
  <c r="K23" i="20"/>
  <c r="K214" i="20"/>
  <c r="K44" i="20"/>
  <c r="K34" i="20"/>
  <c r="K80" i="20"/>
  <c r="K87" i="20"/>
  <c r="I18" i="20"/>
  <c r="K177" i="20"/>
  <c r="K235" i="20"/>
  <c r="K88" i="20"/>
  <c r="K246" i="20"/>
  <c r="K258" i="20"/>
  <c r="K69" i="20"/>
  <c r="K129" i="20"/>
  <c r="K132" i="20"/>
  <c r="K149" i="20"/>
  <c r="K152" i="20"/>
  <c r="K153" i="20"/>
  <c r="K206" i="20"/>
  <c r="K218" i="20"/>
  <c r="K229" i="20"/>
  <c r="K24" i="20"/>
  <c r="K140" i="20"/>
  <c r="K31" i="20"/>
  <c r="K68" i="20"/>
  <c r="K57" i="20"/>
  <c r="K58" i="20"/>
  <c r="K59" i="20"/>
  <c r="K105" i="20"/>
  <c r="K60" i="20"/>
  <c r="K39" i="20"/>
  <c r="K160" i="20"/>
  <c r="K94" i="20"/>
  <c r="K41" i="20"/>
  <c r="K50" i="20"/>
  <c r="K42" i="20"/>
  <c r="K51" i="20"/>
  <c r="K75" i="20"/>
  <c r="K91" i="20"/>
  <c r="K96" i="20"/>
  <c r="K150" i="20"/>
  <c r="K131" i="20"/>
  <c r="K104" i="20"/>
  <c r="K133" i="20"/>
  <c r="K106" i="20"/>
  <c r="K174" i="20"/>
  <c r="K48" i="20"/>
  <c r="K93" i="20"/>
  <c r="K107" i="20"/>
  <c r="K40" i="20"/>
  <c r="K49" i="20"/>
  <c r="K89" i="20"/>
  <c r="K108" i="20"/>
  <c r="K148" i="20"/>
  <c r="K95" i="20"/>
  <c r="K76" i="20"/>
  <c r="K92" i="20"/>
  <c r="K139" i="20"/>
  <c r="K151" i="20"/>
  <c r="K118" i="20"/>
  <c r="K119" i="20"/>
  <c r="K47" i="20"/>
  <c r="K186" i="20"/>
  <c r="K120" i="20"/>
  <c r="K17" i="20"/>
  <c r="F121" i="20"/>
  <c r="F169" i="20"/>
  <c r="F168" i="20"/>
  <c r="D4" i="20" l="1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8" i="20"/>
  <c r="F159" i="20"/>
  <c r="F160" i="20"/>
  <c r="F161" i="20"/>
  <c r="F162" i="20"/>
  <c r="F163" i="20"/>
  <c r="F164" i="20"/>
  <c r="F165" i="20"/>
  <c r="F166" i="20"/>
  <c r="F167" i="20"/>
  <c r="F170" i="20"/>
  <c r="F171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4" i="20"/>
  <c r="F185" i="20"/>
  <c r="F188" i="20"/>
  <c r="F189" i="20"/>
  <c r="F190" i="20"/>
  <c r="F191" i="20"/>
  <c r="F192" i="20"/>
  <c r="F193" i="20"/>
  <c r="F194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09" i="20"/>
  <c r="F210" i="20"/>
  <c r="F211" i="20"/>
  <c r="F212" i="20"/>
  <c r="F213" i="20"/>
  <c r="F214" i="20"/>
  <c r="F215" i="20"/>
  <c r="F216" i="20"/>
  <c r="F217" i="20"/>
  <c r="F218" i="20"/>
  <c r="F219" i="20"/>
  <c r="F220" i="20"/>
  <c r="F221" i="20"/>
  <c r="F222" i="20"/>
  <c r="F223" i="20"/>
  <c r="F224" i="20"/>
  <c r="F225" i="20"/>
  <c r="F226" i="20"/>
  <c r="F227" i="20"/>
  <c r="F228" i="20"/>
  <c r="F229" i="20"/>
  <c r="F230" i="20"/>
  <c r="F231" i="20"/>
  <c r="F232" i="20"/>
  <c r="F233" i="20"/>
  <c r="F234" i="20"/>
  <c r="F235" i="20"/>
  <c r="F236" i="20"/>
  <c r="F237" i="20"/>
  <c r="F238" i="20"/>
  <c r="F239" i="20"/>
  <c r="F240" i="20"/>
  <c r="F241" i="20"/>
  <c r="F242" i="20"/>
  <c r="F243" i="20"/>
  <c r="F244" i="20"/>
  <c r="F245" i="20"/>
  <c r="F246" i="20"/>
  <c r="F247" i="20"/>
  <c r="F248" i="20"/>
  <c r="F249" i="20"/>
  <c r="F250" i="20"/>
  <c r="F251" i="20"/>
  <c r="F253" i="20"/>
  <c r="F254" i="20"/>
  <c r="F255" i="20"/>
  <c r="F256" i="20"/>
  <c r="F257" i="20"/>
  <c r="F258" i="20"/>
  <c r="F259" i="20"/>
  <c r="F260" i="20"/>
  <c r="F261" i="20"/>
  <c r="F262" i="20"/>
  <c r="F263" i="20"/>
  <c r="F264" i="20"/>
  <c r="F265" i="20"/>
  <c r="F266" i="20"/>
  <c r="F267" i="20"/>
  <c r="F268" i="20"/>
  <c r="F269" i="20"/>
  <c r="F270" i="20"/>
  <c r="F271" i="20"/>
  <c r="F272" i="20"/>
  <c r="F273" i="20"/>
  <c r="F274" i="20"/>
  <c r="F275" i="20"/>
  <c r="F276" i="20"/>
  <c r="F277" i="20"/>
  <c r="F278" i="20"/>
  <c r="F279" i="20"/>
  <c r="F280" i="20"/>
  <c r="F281" i="20"/>
  <c r="F282" i="20"/>
  <c r="F283" i="20"/>
  <c r="F284" i="20"/>
  <c r="F285" i="20"/>
  <c r="F286" i="20"/>
  <c r="F287" i="20"/>
  <c r="F288" i="20"/>
  <c r="F289" i="20"/>
  <c r="F290" i="20"/>
  <c r="F291" i="20"/>
  <c r="F292" i="20"/>
  <c r="F17" i="20"/>
  <c r="O140" i="20" l="1"/>
  <c r="O141" i="20" s="1"/>
  <c r="O142" i="20" s="1"/>
  <c r="O143" i="20" s="1"/>
  <c r="O144" i="20" s="1"/>
  <c r="O145" i="20" s="1"/>
  <c r="O146" i="20" s="1"/>
  <c r="O147" i="20" s="1"/>
  <c r="O148" i="20" s="1"/>
  <c r="O149" i="20" s="1"/>
  <c r="O150" i="20" s="1"/>
  <c r="O151" i="20" s="1"/>
  <c r="O152" i="20" s="1"/>
  <c r="O153" i="20" s="1"/>
  <c r="O154" i="20" s="1"/>
  <c r="O155" i="20" s="1"/>
  <c r="O156" i="20" s="1"/>
  <c r="O157" i="20" s="1"/>
  <c r="O158" i="20" s="1"/>
  <c r="O159" i="20" s="1"/>
  <c r="O160" i="20" s="1"/>
  <c r="O161" i="20" s="1"/>
  <c r="O162" i="20" s="1"/>
  <c r="O163" i="20" s="1"/>
  <c r="O164" i="20" s="1"/>
  <c r="O165" i="20" s="1"/>
  <c r="O168" i="20" s="1"/>
  <c r="O169" i="20" s="1"/>
  <c r="O170" i="20" s="1"/>
  <c r="O171" i="20" s="1"/>
  <c r="O172" i="20" s="1"/>
  <c r="O173" i="20" s="1"/>
  <c r="O174" i="20" s="1"/>
  <c r="O175" i="20" s="1"/>
  <c r="O176" i="20" s="1"/>
  <c r="O177" i="20" s="1"/>
  <c r="O178" i="20" s="1"/>
  <c r="O179" i="20" s="1"/>
  <c r="O180" i="20" s="1"/>
  <c r="O181" i="20" s="1"/>
  <c r="O182" i="20" s="1"/>
  <c r="O183" i="20" s="1"/>
  <c r="O184" i="20" s="1"/>
  <c r="O185" i="20" s="1"/>
  <c r="O186" i="20" s="1"/>
  <c r="O187" i="20" s="1"/>
  <c r="O188" i="20" s="1"/>
  <c r="O189" i="20" s="1"/>
  <c r="O190" i="20" s="1"/>
  <c r="O191" i="20" s="1"/>
  <c r="O192" i="20" s="1"/>
  <c r="O195" i="20" s="1"/>
  <c r="O196" i="20" s="1"/>
  <c r="O197" i="20" s="1"/>
  <c r="O198" i="20" s="1"/>
  <c r="O199" i="20" s="1"/>
  <c r="O200" i="20" s="1"/>
  <c r="O201" i="20" s="1"/>
  <c r="O202" i="20" s="1"/>
  <c r="O203" i="20" s="1"/>
  <c r="O204" i="20" s="1"/>
  <c r="O205" i="20" s="1"/>
  <c r="O206" i="20" s="1"/>
  <c r="O207" i="20" s="1"/>
  <c r="O208" i="20" s="1"/>
  <c r="O209" i="20" s="1"/>
  <c r="O210" i="20" s="1"/>
  <c r="O211" i="20" s="1"/>
  <c r="O212" i="20" s="1"/>
  <c r="O213" i="20" s="1"/>
  <c r="O214" i="20" s="1"/>
  <c r="O215" i="20" s="1"/>
  <c r="O216" i="20" s="1"/>
  <c r="O217" i="20" s="1"/>
  <c r="O218" i="20" s="1"/>
  <c r="O219" i="20" s="1"/>
  <c r="O220" i="20" s="1"/>
  <c r="O221" i="20" s="1"/>
  <c r="O222" i="20" s="1"/>
  <c r="O223" i="20" s="1"/>
  <c r="O224" i="20" s="1"/>
  <c r="O225" i="20" s="1"/>
  <c r="O226" i="20" s="1"/>
  <c r="O227" i="20" s="1"/>
  <c r="O228" i="20" s="1"/>
  <c r="O229" i="20" s="1"/>
  <c r="O230" i="20" s="1"/>
  <c r="O231" i="20" s="1"/>
  <c r="O232" i="20" s="1"/>
  <c r="O233" i="20" s="1"/>
  <c r="O234" i="20" s="1"/>
  <c r="O235" i="20" s="1"/>
  <c r="O236" i="20" s="1"/>
  <c r="O237" i="20" s="1"/>
  <c r="O238" i="20" s="1"/>
  <c r="O239" i="20" s="1"/>
  <c r="O240" i="20" s="1"/>
  <c r="O241" i="20" s="1"/>
  <c r="O242" i="20" s="1"/>
  <c r="O243" i="20" s="1"/>
  <c r="O244" i="20" s="1"/>
  <c r="O245" i="20" s="1"/>
  <c r="O246" i="20" s="1"/>
  <c r="O247" i="20" s="1"/>
  <c r="O248" i="20" s="1"/>
  <c r="O249" i="20" s="1"/>
  <c r="O250" i="20" s="1"/>
  <c r="O251" i="20" s="1"/>
  <c r="O252" i="20" s="1"/>
  <c r="O253" i="20" s="1"/>
  <c r="O254" i="20" s="1"/>
  <c r="O255" i="20" s="1"/>
  <c r="O256" i="20" s="1"/>
  <c r="O257" i="20" s="1"/>
  <c r="O258" i="20" s="1"/>
  <c r="O259" i="20" s="1"/>
  <c r="O260" i="20" s="1"/>
  <c r="O261" i="20" s="1"/>
  <c r="O262" i="20" s="1"/>
  <c r="O263" i="20" s="1"/>
  <c r="O264" i="20" s="1"/>
  <c r="O265" i="20" s="1"/>
  <c r="O266" i="20" s="1"/>
  <c r="O267" i="20" s="1"/>
  <c r="O268" i="20" s="1"/>
  <c r="O269" i="20" s="1"/>
  <c r="O270" i="20" s="1"/>
  <c r="O271" i="20" s="1"/>
  <c r="O272" i="20" s="1"/>
  <c r="O273" i="20" s="1"/>
  <c r="O274" i="20" s="1"/>
  <c r="O275" i="20" s="1"/>
  <c r="O276" i="20" s="1"/>
  <c r="O277" i="20" s="1"/>
  <c r="O278" i="20" s="1"/>
  <c r="O279" i="20" s="1"/>
  <c r="O280" i="20" s="1"/>
  <c r="O281" i="20" s="1"/>
  <c r="O282" i="20" s="1"/>
  <c r="O283" i="20" s="1"/>
  <c r="O284" i="20" s="1"/>
  <c r="O285" i="20" s="1"/>
  <c r="O286" i="20" s="1"/>
  <c r="O287" i="20" s="1"/>
  <c r="O288" i="20" s="1"/>
  <c r="O289" i="20" s="1"/>
  <c r="O290" i="20" s="1"/>
  <c r="O291" i="20" s="1"/>
  <c r="O292" i="20" s="1"/>
  <c r="O293" i="20" s="1"/>
  <c r="O294" i="20" s="1"/>
  <c r="O295" i="20" s="1"/>
  <c r="O296" i="20" s="1"/>
  <c r="O297" i="20" s="1"/>
  <c r="O298" i="20" s="1"/>
  <c r="O299" i="20" s="1"/>
  <c r="O300" i="20" s="1"/>
  <c r="O301" i="20" s="1"/>
  <c r="O302" i="20" s="1"/>
  <c r="O303" i="20" s="1"/>
  <c r="O304" i="20" s="1"/>
  <c r="O305" i="20" s="1"/>
  <c r="O306" i="20" s="1"/>
  <c r="O307" i="20" s="1"/>
  <c r="O308" i="20" s="1"/>
  <c r="O309" i="20" s="1"/>
  <c r="O310" i="20" s="1"/>
  <c r="O311" i="20" s="1"/>
  <c r="O312" i="20" s="1"/>
  <c r="O313" i="20" s="1"/>
  <c r="O314" i="20" s="1"/>
  <c r="O315" i="20" s="1"/>
  <c r="O316" i="20" s="1"/>
  <c r="O317" i="20" s="1"/>
  <c r="O318" i="20" s="1"/>
  <c r="O319" i="20" s="1"/>
  <c r="O320" i="20" s="1"/>
  <c r="O321" i="20" s="1"/>
  <c r="O322" i="20" s="1"/>
  <c r="O323" i="20" s="1"/>
  <c r="O324" i="20" s="1"/>
  <c r="O325" i="20" s="1"/>
  <c r="O326" i="20" s="1"/>
  <c r="O327" i="20" s="1"/>
  <c r="O328" i="20" s="1"/>
  <c r="O329" i="20" s="1"/>
  <c r="O330" i="20" s="1"/>
  <c r="O331" i="20" s="1"/>
  <c r="O332" i="20" s="1"/>
  <c r="O333" i="20" s="1"/>
  <c r="O334" i="20" s="1"/>
  <c r="O335" i="20" s="1"/>
  <c r="O336" i="20" s="1"/>
  <c r="O337" i="20" s="1"/>
  <c r="O338" i="20" s="1"/>
  <c r="O339" i="20" s="1"/>
  <c r="O340" i="20" s="1"/>
  <c r="O341" i="20" s="1"/>
  <c r="O342" i="20" s="1"/>
  <c r="O343" i="20" s="1"/>
  <c r="O344" i="20" s="1"/>
  <c r="O345" i="20" s="1"/>
  <c r="O346" i="20" s="1"/>
  <c r="O347" i="20" s="1"/>
  <c r="O348" i="20" s="1"/>
  <c r="O349" i="20" s="1"/>
  <c r="O350" i="20" s="1"/>
  <c r="O351" i="20" s="1"/>
  <c r="O352" i="20" s="1"/>
  <c r="O353" i="20" s="1"/>
  <c r="O354" i="20" s="1"/>
  <c r="O355" i="20" s="1"/>
  <c r="O356" i="20" s="1"/>
  <c r="O357" i="20" s="1"/>
  <c r="O358" i="20" s="1"/>
  <c r="O359" i="20" s="1"/>
  <c r="O360" i="20" s="1"/>
  <c r="O361" i="20" s="1"/>
  <c r="O362" i="20" s="1"/>
  <c r="O363" i="20" s="1"/>
  <c r="O364" i="20" s="1"/>
  <c r="O365" i="20" s="1"/>
  <c r="O366" i="20" s="1"/>
  <c r="O367" i="20" s="1"/>
  <c r="O368" i="20" s="1"/>
  <c r="O369" i="20" s="1"/>
  <c r="O370" i="20" s="1"/>
  <c r="O371" i="20" s="1"/>
  <c r="O372" i="20" s="1"/>
  <c r="O373" i="20" s="1"/>
  <c r="O374" i="20" s="1"/>
  <c r="O375" i="20" s="1"/>
  <c r="O376" i="20" s="1"/>
  <c r="O377" i="20" s="1"/>
  <c r="O378" i="20" s="1"/>
  <c r="O379" i="20" s="1"/>
  <c r="O380" i="20" s="1"/>
  <c r="O381" i="20" s="1"/>
  <c r="O382" i="20" s="1"/>
  <c r="O383" i="20" s="1"/>
  <c r="O384" i="20" s="1"/>
  <c r="O385" i="20" s="1"/>
  <c r="O386" i="20" s="1"/>
  <c r="O387" i="20" s="1"/>
  <c r="O388" i="20" s="1"/>
  <c r="O389" i="20" s="1"/>
  <c r="O390" i="20" s="1"/>
  <c r="O391" i="20" s="1"/>
  <c r="O392" i="20" s="1"/>
  <c r="O393" i="20" s="1"/>
  <c r="O394" i="20" s="1"/>
  <c r="O395" i="20" s="1"/>
  <c r="O396" i="20" s="1"/>
  <c r="O397" i="20" s="1"/>
  <c r="O398" i="20" s="1"/>
  <c r="O399" i="20" s="1"/>
  <c r="O400" i="20" s="1"/>
  <c r="O401" i="20" s="1"/>
  <c r="O402" i="20" s="1"/>
  <c r="O403" i="20" s="1"/>
  <c r="O404" i="20" s="1"/>
  <c r="O405" i="20" s="1"/>
  <c r="O406" i="20" s="1"/>
  <c r="O407" i="20" s="1"/>
  <c r="O408" i="20" s="1"/>
  <c r="O409" i="20" s="1"/>
  <c r="O410" i="20" s="1"/>
  <c r="O411" i="20" s="1"/>
  <c r="O412" i="20" s="1"/>
  <c r="O413" i="20" s="1"/>
  <c r="O414" i="20" s="1"/>
  <c r="O415" i="20" s="1"/>
  <c r="O416" i="20" s="1"/>
  <c r="O417" i="20" s="1"/>
  <c r="O418" i="20" s="1"/>
  <c r="O419" i="20" s="1"/>
  <c r="O420" i="20" s="1"/>
  <c r="O421" i="20" s="1"/>
  <c r="O422" i="20" s="1"/>
  <c r="O423" i="20" s="1"/>
  <c r="O424" i="20" s="1"/>
  <c r="O425" i="20" s="1"/>
  <c r="O426" i="20" s="1"/>
  <c r="O427" i="20" s="1"/>
  <c r="O428" i="20" s="1"/>
  <c r="O429" i="20" s="1"/>
  <c r="O430" i="20" s="1"/>
  <c r="O431" i="20" s="1"/>
  <c r="O432" i="20" s="1"/>
  <c r="O433" i="20" s="1"/>
  <c r="O434" i="20" s="1"/>
  <c r="O435" i="20" s="1"/>
  <c r="O436" i="20" s="1"/>
  <c r="O437" i="20" s="1"/>
  <c r="O438" i="20" s="1"/>
  <c r="O439" i="20" s="1"/>
  <c r="O440" i="20" s="1"/>
  <c r="O441" i="20" s="1"/>
  <c r="O442" i="20" s="1"/>
  <c r="O443" i="20" s="1"/>
  <c r="O444" i="20" s="1"/>
  <c r="O445" i="20" s="1"/>
  <c r="O446" i="20" s="1"/>
  <c r="O447" i="20" s="1"/>
  <c r="O448" i="20" s="1"/>
  <c r="O449" i="20" s="1"/>
  <c r="O450" i="20" s="1"/>
  <c r="O451" i="20" s="1"/>
  <c r="O452" i="20" s="1"/>
  <c r="O453" i="20" s="1"/>
  <c r="O454" i="20" s="1"/>
  <c r="O455" i="20" s="1"/>
  <c r="O456" i="20" s="1"/>
  <c r="O457" i="20" s="1"/>
  <c r="O458" i="20" s="1"/>
  <c r="O459" i="20" s="1"/>
  <c r="O460" i="20" s="1"/>
  <c r="O461" i="20" s="1"/>
  <c r="O462" i="20" s="1"/>
  <c r="O463" i="20" s="1"/>
  <c r="O464" i="20" s="1"/>
  <c r="O465" i="20" s="1"/>
  <c r="O466" i="20" s="1"/>
  <c r="O467" i="20" s="1"/>
  <c r="O468" i="20" s="1"/>
  <c r="O469" i="20" s="1"/>
  <c r="O470" i="20" s="1"/>
  <c r="O471" i="20" s="1"/>
  <c r="O472" i="20" s="1"/>
  <c r="O473" i="20" s="1"/>
  <c r="O474" i="20" s="1"/>
  <c r="O475" i="20" s="1"/>
  <c r="O476" i="20" s="1"/>
  <c r="O477" i="20" s="1"/>
  <c r="O478" i="20" s="1"/>
  <c r="O479" i="20" s="1"/>
  <c r="O480" i="20" s="1"/>
  <c r="O481" i="20" s="1"/>
  <c r="O482" i="20" s="1"/>
  <c r="O483" i="20" s="1"/>
  <c r="O484" i="20" s="1"/>
  <c r="O485" i="20" s="1"/>
  <c r="O486" i="20" s="1"/>
  <c r="O487" i="20" s="1"/>
  <c r="O488" i="20" s="1"/>
  <c r="O489" i="20" s="1"/>
  <c r="O490" i="20" s="1"/>
  <c r="O491" i="20" s="1"/>
  <c r="O492" i="20" s="1"/>
  <c r="O493" i="20" s="1"/>
  <c r="O494" i="20" s="1"/>
  <c r="O495" i="20" s="1"/>
  <c r="O496" i="20" s="1"/>
  <c r="O497" i="20" s="1"/>
  <c r="O498" i="20" s="1"/>
  <c r="O499" i="20" s="1"/>
  <c r="O500" i="20" s="1"/>
  <c r="O501" i="20" s="1"/>
  <c r="O502" i="20" s="1"/>
  <c r="O503" i="20" s="1"/>
  <c r="O504" i="20" s="1"/>
  <c r="O505" i="20" s="1"/>
  <c r="O506" i="20" s="1"/>
  <c r="O507" i="20" s="1"/>
  <c r="O508" i="20" s="1"/>
  <c r="O509" i="20" s="1"/>
  <c r="O510" i="20" s="1"/>
  <c r="O511" i="20" s="1"/>
  <c r="O512" i="20" s="1"/>
  <c r="O513" i="20" s="1"/>
  <c r="O514" i="20" s="1"/>
  <c r="O515" i="20" s="1"/>
  <c r="O516" i="20" s="1"/>
  <c r="O517" i="20" s="1"/>
  <c r="O518" i="20" s="1"/>
  <c r="O519" i="20" s="1"/>
  <c r="O520" i="20" s="1"/>
  <c r="O521" i="20" s="1"/>
  <c r="O522" i="20" s="1"/>
  <c r="O523" i="20" s="1"/>
  <c r="O524" i="20" s="1"/>
  <c r="O525" i="20" s="1"/>
  <c r="O526" i="20" s="1"/>
  <c r="O527" i="20" s="1"/>
  <c r="O528" i="20" s="1"/>
  <c r="O529" i="20" s="1"/>
  <c r="O530" i="20" s="1"/>
  <c r="O531" i="20" s="1"/>
  <c r="O532" i="20" s="1"/>
  <c r="O533" i="20" s="1"/>
  <c r="O534" i="20" s="1"/>
  <c r="O535" i="20" s="1"/>
  <c r="O536" i="20" s="1"/>
  <c r="O537" i="20" s="1"/>
  <c r="O538" i="20" s="1"/>
  <c r="O539" i="20" s="1"/>
  <c r="O540" i="20" s="1"/>
  <c r="O541" i="20" s="1"/>
  <c r="O542" i="20" s="1"/>
  <c r="O543" i="20" s="1"/>
  <c r="O544" i="20" s="1"/>
  <c r="O545" i="20" s="1"/>
  <c r="O546" i="20" s="1"/>
  <c r="O547" i="20" s="1"/>
  <c r="O548" i="20" s="1"/>
  <c r="O549" i="20" s="1"/>
  <c r="O550" i="20" s="1"/>
  <c r="O551" i="20" s="1"/>
  <c r="O552" i="20" s="1"/>
  <c r="O553" i="20" s="1"/>
  <c r="O554" i="20" s="1"/>
  <c r="O555" i="20" s="1"/>
  <c r="O556" i="20" s="1"/>
  <c r="O557" i="20" s="1"/>
  <c r="O558" i="20" s="1"/>
  <c r="O559" i="20" s="1"/>
  <c r="O560" i="20" s="1"/>
  <c r="O561" i="20" s="1"/>
  <c r="O562" i="20" s="1"/>
  <c r="O563" i="20" s="1"/>
  <c r="O564" i="20" s="1"/>
  <c r="O565" i="20" s="1"/>
  <c r="O566" i="20" s="1"/>
  <c r="O567" i="20" s="1"/>
  <c r="O568" i="20" s="1"/>
  <c r="O569" i="20" s="1"/>
  <c r="O570" i="20" s="1"/>
  <c r="O571" i="20" s="1"/>
  <c r="O572" i="20" s="1"/>
  <c r="O573" i="20" s="1"/>
  <c r="O574" i="20" s="1"/>
  <c r="O575" i="20" s="1"/>
  <c r="O576" i="20" s="1"/>
  <c r="O577" i="20" s="1"/>
  <c r="O578" i="20" s="1"/>
  <c r="O579" i="20" s="1"/>
  <c r="O580" i="20" s="1"/>
  <c r="O581" i="20" s="1"/>
  <c r="O582" i="20" s="1"/>
  <c r="O583" i="20" s="1"/>
  <c r="O584" i="20" s="1"/>
  <c r="O585" i="20" s="1"/>
  <c r="O586" i="20" s="1"/>
  <c r="O587" i="20" s="1"/>
  <c r="O588" i="20" s="1"/>
  <c r="O589" i="20" s="1"/>
  <c r="O590" i="20" s="1"/>
  <c r="O591" i="20" s="1"/>
  <c r="O592" i="20" s="1"/>
  <c r="O593" i="20" s="1"/>
  <c r="O594" i="20" s="1"/>
  <c r="O595" i="20" s="1"/>
  <c r="O596" i="20" s="1"/>
  <c r="O597" i="20" s="1"/>
  <c r="O598" i="20" s="1"/>
  <c r="O599" i="20" s="1"/>
  <c r="O600" i="20" s="1"/>
  <c r="O601" i="20" s="1"/>
  <c r="O602" i="20" s="1"/>
  <c r="O603" i="20" s="1"/>
  <c r="O604" i="20" s="1"/>
  <c r="O605" i="20" s="1"/>
  <c r="O606" i="20" s="1"/>
  <c r="O607" i="20" s="1"/>
  <c r="O608" i="20" s="1"/>
  <c r="O609" i="20" s="1"/>
  <c r="O610" i="20" s="1"/>
  <c r="O611" i="20" s="1"/>
  <c r="O612" i="20" s="1"/>
  <c r="O613" i="20" s="1"/>
  <c r="O614" i="20" s="1"/>
  <c r="O615" i="20" s="1"/>
  <c r="O616" i="20" s="1"/>
  <c r="O617" i="20" s="1"/>
  <c r="O618" i="20" s="1"/>
  <c r="O619" i="20" s="1"/>
  <c r="O620" i="20" s="1"/>
  <c r="O621" i="20" s="1"/>
  <c r="O622" i="20" s="1"/>
  <c r="O623" i="20" s="1"/>
  <c r="O624" i="20" s="1"/>
  <c r="O625" i="20" s="1"/>
  <c r="O626" i="20" s="1"/>
  <c r="O627" i="20" s="1"/>
  <c r="O628" i="20" s="1"/>
  <c r="O629" i="20" s="1"/>
  <c r="O630" i="20" s="1"/>
  <c r="O631" i="20" s="1"/>
  <c r="O632" i="20" s="1"/>
  <c r="O633" i="20" s="1"/>
  <c r="O634" i="20" s="1"/>
  <c r="O635" i="20" s="1"/>
  <c r="O636" i="20" s="1"/>
  <c r="O637" i="20" s="1"/>
  <c r="O638" i="20" s="1"/>
  <c r="O639" i="20" s="1"/>
  <c r="O640" i="20" s="1"/>
  <c r="O641" i="20" s="1"/>
  <c r="O642" i="20" s="1"/>
  <c r="O643" i="20" s="1"/>
  <c r="O644" i="20" s="1"/>
  <c r="O645" i="20" s="1"/>
  <c r="O646" i="20" s="1"/>
  <c r="O647" i="20" s="1"/>
  <c r="O648" i="20" s="1"/>
  <c r="O649" i="20" s="1"/>
  <c r="O650" i="20" s="1"/>
  <c r="O651" i="20" s="1"/>
  <c r="O652" i="20" s="1"/>
  <c r="O653" i="20" s="1"/>
  <c r="O654" i="20" s="1"/>
  <c r="O655" i="20" s="1"/>
  <c r="O656" i="20" s="1"/>
  <c r="O657" i="20" s="1"/>
  <c r="O658" i="20" s="1"/>
  <c r="O659" i="20" s="1"/>
  <c r="O660" i="20" s="1"/>
  <c r="O661" i="20" s="1"/>
  <c r="O662" i="20" s="1"/>
  <c r="O663" i="20" s="1"/>
  <c r="O664" i="20" s="1"/>
  <c r="O665" i="20" s="1"/>
  <c r="O666" i="20" s="1"/>
  <c r="O667" i="20" s="1"/>
  <c r="O668" i="20" s="1"/>
  <c r="O669" i="20" s="1"/>
  <c r="O670" i="20" s="1"/>
  <c r="O671" i="20" s="1"/>
  <c r="O672" i="20" s="1"/>
  <c r="O673" i="20" s="1"/>
  <c r="O674" i="20" s="1"/>
  <c r="O675" i="20" s="1"/>
  <c r="O676" i="20" s="1"/>
  <c r="O677" i="20" s="1"/>
  <c r="O678" i="20" s="1"/>
  <c r="O679" i="20" s="1"/>
  <c r="O680" i="20" s="1"/>
  <c r="O681" i="20" s="1"/>
  <c r="O682" i="20" s="1"/>
  <c r="O683" i="20" s="1"/>
  <c r="O684" i="20" s="1"/>
  <c r="O685" i="20" s="1"/>
  <c r="O686" i="20" s="1"/>
  <c r="O687" i="20" s="1"/>
  <c r="O688" i="20" s="1"/>
  <c r="O689" i="20" s="1"/>
  <c r="O690" i="20" s="1"/>
  <c r="O691" i="20" s="1"/>
  <c r="O692" i="20" s="1"/>
  <c r="O693" i="20" s="1"/>
  <c r="O694" i="20" s="1"/>
  <c r="O695" i="20" s="1"/>
  <c r="O696" i="20" s="1"/>
  <c r="O697" i="20" s="1"/>
  <c r="O698" i="20" s="1"/>
  <c r="O699" i="20" s="1"/>
  <c r="O700" i="20" s="1"/>
  <c r="O701" i="20" s="1"/>
  <c r="O702" i="20" s="1"/>
  <c r="O703" i="20" s="1"/>
  <c r="O704" i="20" s="1"/>
  <c r="O705" i="20" s="1"/>
  <c r="O706" i="20" s="1"/>
  <c r="O707" i="20" s="1"/>
  <c r="O708" i="20" s="1"/>
  <c r="O709" i="20" s="1"/>
  <c r="O710" i="20" s="1"/>
  <c r="O711" i="20" s="1"/>
  <c r="O712" i="20" s="1"/>
  <c r="O713" i="20" s="1"/>
  <c r="O714" i="20" s="1"/>
  <c r="O715" i="20" s="1"/>
  <c r="O716" i="20" s="1"/>
  <c r="O717" i="20" s="1"/>
  <c r="O718" i="20" s="1"/>
  <c r="O719" i="20" s="1"/>
  <c r="O720" i="20" s="1"/>
  <c r="O721" i="20" s="1"/>
  <c r="O722" i="20" s="1"/>
  <c r="O723" i="20" s="1"/>
  <c r="O724" i="20" s="1"/>
  <c r="O725" i="20" s="1"/>
  <c r="O726" i="20" s="1"/>
  <c r="O727" i="20" s="1"/>
  <c r="O728" i="20" s="1"/>
  <c r="O729" i="20" s="1"/>
  <c r="O730" i="20" s="1"/>
  <c r="O731" i="20" s="1"/>
  <c r="O732" i="20" s="1"/>
  <c r="O733" i="20" s="1"/>
  <c r="O734" i="20" s="1"/>
  <c r="O735" i="20" s="1"/>
  <c r="O736" i="20" s="1"/>
  <c r="O737" i="20" s="1"/>
  <c r="O738" i="20" s="1"/>
  <c r="O739" i="20" s="1"/>
  <c r="O740" i="20" s="1"/>
  <c r="O741" i="20" s="1"/>
  <c r="O742" i="20" s="1"/>
  <c r="O743" i="20" s="1"/>
  <c r="O744" i="20" s="1"/>
  <c r="O745" i="20" s="1"/>
  <c r="O746" i="20" s="1"/>
  <c r="O747" i="20" s="1"/>
  <c r="O748" i="20" s="1"/>
  <c r="O749" i="20" s="1"/>
  <c r="O750" i="20" s="1"/>
  <c r="O751" i="20" s="1"/>
  <c r="O752" i="20" s="1"/>
  <c r="O753" i="20" s="1"/>
  <c r="O754" i="20" s="1"/>
  <c r="O755" i="20" s="1"/>
  <c r="O756" i="20" s="1"/>
  <c r="O757" i="20" s="1"/>
  <c r="O758" i="20" s="1"/>
  <c r="O759" i="20" s="1"/>
  <c r="O760" i="20" s="1"/>
  <c r="O761" i="20" s="1"/>
  <c r="O762" i="20" s="1"/>
  <c r="O763" i="20" s="1"/>
  <c r="O764" i="20" s="1"/>
  <c r="O765" i="20" s="1"/>
  <c r="O766" i="20" s="1"/>
  <c r="O767" i="20" s="1"/>
  <c r="O768" i="20" s="1"/>
  <c r="O769" i="20" s="1"/>
  <c r="O770" i="20" s="1"/>
  <c r="O771" i="20" s="1"/>
  <c r="O772" i="20" s="1"/>
  <c r="O773" i="20" s="1"/>
  <c r="O774" i="20" s="1"/>
  <c r="O775" i="20" s="1"/>
  <c r="O776" i="20" s="1"/>
  <c r="O777" i="20" s="1"/>
  <c r="O778" i="20" s="1"/>
  <c r="O779" i="20" s="1"/>
  <c r="O780" i="20" s="1"/>
  <c r="O781" i="20" s="1"/>
  <c r="O782" i="20" s="1"/>
  <c r="O783" i="20" s="1"/>
  <c r="O784" i="20" s="1"/>
  <c r="O785" i="20" s="1"/>
  <c r="O786" i="20" s="1"/>
  <c r="O787" i="20" s="1"/>
  <c r="O788" i="20" s="1"/>
  <c r="O789" i="20" s="1"/>
  <c r="O790" i="20" s="1"/>
  <c r="O791" i="20" s="1"/>
  <c r="O792" i="20" s="1"/>
  <c r="O793" i="20" s="1"/>
  <c r="O794" i="20" s="1"/>
  <c r="O795" i="20" s="1"/>
  <c r="O796" i="20" s="1"/>
  <c r="O797" i="20" s="1"/>
  <c r="O798" i="20" s="1"/>
  <c r="O799" i="20" s="1"/>
  <c r="O800" i="20" s="1"/>
  <c r="O801" i="20" s="1"/>
  <c r="O802" i="20" s="1"/>
  <c r="O803" i="20" s="1"/>
  <c r="O804" i="20" s="1"/>
  <c r="O805" i="20" s="1"/>
  <c r="O806" i="20" s="1"/>
  <c r="O807" i="20" s="1"/>
  <c r="O808" i="20" s="1"/>
  <c r="O809" i="20" s="1"/>
  <c r="O810" i="20" s="1"/>
  <c r="O811" i="20" s="1"/>
  <c r="O812" i="20" s="1"/>
  <c r="O813" i="20" s="1"/>
  <c r="O814" i="20" s="1"/>
  <c r="O815" i="20" s="1"/>
  <c r="O816" i="20" s="1"/>
  <c r="O817" i="20" s="1"/>
  <c r="O818" i="20" s="1"/>
  <c r="O819" i="20" s="1"/>
  <c r="O820" i="20" s="1"/>
  <c r="O821" i="20" s="1"/>
  <c r="O822" i="20" s="1"/>
  <c r="O823" i="20" s="1"/>
  <c r="O824" i="20" s="1"/>
  <c r="O825" i="20" s="1"/>
  <c r="O826" i="20" s="1"/>
  <c r="O827" i="20" s="1"/>
  <c r="O828" i="20" s="1"/>
  <c r="O829" i="20" s="1"/>
  <c r="O830" i="20" s="1"/>
  <c r="O831" i="20" s="1"/>
  <c r="O832" i="20" s="1"/>
  <c r="O833" i="20" s="1"/>
  <c r="O834" i="20" s="1"/>
  <c r="O835" i="20" s="1"/>
  <c r="O836" i="20" s="1"/>
  <c r="O837" i="20" s="1"/>
  <c r="O838" i="20" s="1"/>
  <c r="O839" i="20" s="1"/>
  <c r="O840" i="20" s="1"/>
  <c r="O841" i="20" s="1"/>
  <c r="O842" i="20" s="1"/>
  <c r="O843" i="20" s="1"/>
  <c r="O844" i="20" s="1"/>
  <c r="O845" i="20" s="1"/>
  <c r="O846" i="20" s="1"/>
  <c r="O847" i="20" s="1"/>
  <c r="O848" i="20" s="1"/>
  <c r="O849" i="20" s="1"/>
  <c r="O850" i="20" s="1"/>
  <c r="O851" i="20" s="1"/>
  <c r="O852" i="20" s="1"/>
  <c r="O853" i="20" s="1"/>
  <c r="O854" i="20" s="1"/>
  <c r="O855" i="20" s="1"/>
  <c r="O856" i="20" s="1"/>
  <c r="O857" i="20" s="1"/>
  <c r="O858" i="20" s="1"/>
  <c r="O859" i="20" s="1"/>
  <c r="B8" i="20" l="1"/>
  <c r="B12" i="20"/>
  <c r="B9" i="20"/>
  <c r="B11" i="20"/>
  <c r="B10" i="20"/>
  <c r="U18" i="20" l="1"/>
  <c r="U19" i="20" s="1"/>
  <c r="U20" i="20" s="1"/>
  <c r="U21" i="20" s="1"/>
  <c r="U22" i="20" s="1"/>
  <c r="U23" i="20" s="1"/>
  <c r="U24" i="20" s="1"/>
  <c r="U25" i="20" s="1"/>
  <c r="U26" i="20" s="1"/>
  <c r="U27" i="20" s="1"/>
  <c r="U28" i="20" s="1"/>
  <c r="U29" i="20" s="1"/>
  <c r="U30" i="20" s="1"/>
  <c r="U31" i="20" s="1"/>
  <c r="U32" i="20" s="1"/>
  <c r="U33" i="20" s="1"/>
  <c r="U34" i="20" s="1"/>
  <c r="U35" i="20" s="1"/>
  <c r="U36" i="20" s="1"/>
  <c r="U37" i="20" s="1"/>
  <c r="U38" i="20" s="1"/>
  <c r="U39" i="20" s="1"/>
  <c r="U40" i="20" s="1"/>
  <c r="U41" i="20" s="1"/>
  <c r="U42" i="20" s="1"/>
  <c r="U43" i="20" s="1"/>
  <c r="U44" i="20" s="1"/>
  <c r="U45" i="20" s="1"/>
  <c r="U46" i="20" s="1"/>
  <c r="U47" i="20" s="1"/>
  <c r="U48" i="20" s="1"/>
  <c r="U49" i="20" s="1"/>
  <c r="U50" i="20" s="1"/>
  <c r="U51" i="20" s="1"/>
  <c r="U52" i="20" s="1"/>
  <c r="U53" i="20" s="1"/>
  <c r="U54" i="20" s="1"/>
  <c r="U56" i="20" s="1"/>
  <c r="U57" i="20" s="1"/>
  <c r="U58" i="20" s="1"/>
  <c r="U59" i="20" s="1"/>
  <c r="U60" i="20" s="1"/>
  <c r="U61" i="20" s="1"/>
  <c r="U62" i="20" s="1"/>
  <c r="U63" i="20" s="1"/>
  <c r="U64" i="20" s="1"/>
  <c r="U65" i="20" s="1"/>
  <c r="U66" i="20" s="1"/>
  <c r="U67" i="20" s="1"/>
  <c r="U68" i="20" s="1"/>
  <c r="U69" i="20" s="1"/>
  <c r="U70" i="20" s="1"/>
  <c r="U71" i="20" s="1"/>
  <c r="U72" i="20" s="1"/>
  <c r="U73" i="20" s="1"/>
  <c r="U74" i="20" s="1"/>
  <c r="U75" i="20" s="1"/>
  <c r="U76" i="20" s="1"/>
  <c r="U77" i="20" s="1"/>
  <c r="U78" i="20" s="1"/>
  <c r="U79" i="20" s="1"/>
  <c r="U80" i="20" s="1"/>
  <c r="U81" i="20" s="1"/>
  <c r="U82" i="20" s="1"/>
  <c r="U83" i="20" s="1"/>
  <c r="U84" i="20" s="1"/>
  <c r="U85" i="20" s="1"/>
  <c r="U86" i="20" s="1"/>
  <c r="U87" i="20" s="1"/>
  <c r="U88" i="20" s="1"/>
  <c r="U89" i="20" s="1"/>
  <c r="U90" i="20" s="1"/>
  <c r="U91" i="20" s="1"/>
  <c r="U92" i="20" s="1"/>
  <c r="T18" i="20"/>
  <c r="T19" i="20" s="1"/>
  <c r="T20" i="20" s="1"/>
  <c r="T21" i="20" s="1"/>
  <c r="T22" i="20" s="1"/>
  <c r="T23" i="20" s="1"/>
  <c r="T24" i="20" s="1"/>
  <c r="T25" i="20" s="1"/>
  <c r="T26" i="20" s="1"/>
  <c r="T27" i="20" s="1"/>
  <c r="T28" i="20" s="1"/>
  <c r="T29" i="20" s="1"/>
  <c r="T30" i="20" s="1"/>
  <c r="T31" i="20" s="1"/>
  <c r="T32" i="20" s="1"/>
  <c r="T33" i="20" s="1"/>
  <c r="T34" i="20" s="1"/>
  <c r="T35" i="20" s="1"/>
  <c r="T36" i="20" s="1"/>
  <c r="T37" i="20" s="1"/>
  <c r="T38" i="20" s="1"/>
  <c r="T39" i="20" s="1"/>
  <c r="T40" i="20" s="1"/>
  <c r="T41" i="20" s="1"/>
  <c r="T42" i="20" s="1"/>
  <c r="T43" i="20" s="1"/>
  <c r="T44" i="20" s="1"/>
  <c r="T45" i="20" s="1"/>
  <c r="T46" i="20" s="1"/>
  <c r="T47" i="20" s="1"/>
  <c r="T48" i="20" s="1"/>
  <c r="T49" i="20" s="1"/>
  <c r="T50" i="20" s="1"/>
  <c r="T51" i="20" s="1"/>
  <c r="T52" i="20" s="1"/>
  <c r="T53" i="20" s="1"/>
  <c r="T54" i="20" s="1"/>
  <c r="T56" i="20" s="1"/>
  <c r="T57" i="20" s="1"/>
  <c r="T58" i="20" s="1"/>
  <c r="T59" i="20" s="1"/>
  <c r="T60" i="20" s="1"/>
  <c r="T61" i="20" s="1"/>
  <c r="T62" i="20" s="1"/>
  <c r="T63" i="20" s="1"/>
  <c r="T64" i="20" s="1"/>
  <c r="T65" i="20" s="1"/>
  <c r="T66" i="20" s="1"/>
  <c r="T67" i="20" s="1"/>
  <c r="T68" i="20" s="1"/>
  <c r="T69" i="20" s="1"/>
  <c r="T70" i="20" s="1"/>
  <c r="T71" i="20" s="1"/>
  <c r="T72" i="20" s="1"/>
  <c r="T73" i="20" s="1"/>
  <c r="T74" i="20" s="1"/>
  <c r="T75" i="20" s="1"/>
  <c r="T76" i="20" s="1"/>
  <c r="T77" i="20" s="1"/>
  <c r="T78" i="20" s="1"/>
  <c r="T79" i="20" s="1"/>
  <c r="T80" i="20" s="1"/>
  <c r="T81" i="20" s="1"/>
  <c r="T82" i="20" s="1"/>
  <c r="T83" i="20" s="1"/>
  <c r="T84" i="20" s="1"/>
  <c r="T85" i="20" s="1"/>
  <c r="T86" i="20" s="1"/>
  <c r="T87" i="20" s="1"/>
  <c r="T88" i="20" s="1"/>
  <c r="T89" i="20" s="1"/>
  <c r="T90" i="20" s="1"/>
  <c r="T91" i="20" s="1"/>
  <c r="T92" i="20" s="1"/>
  <c r="S18" i="20"/>
  <c r="S19" i="20" s="1"/>
  <c r="S20" i="20" s="1"/>
  <c r="S21" i="20" s="1"/>
  <c r="S22" i="20" s="1"/>
  <c r="S23" i="20" s="1"/>
  <c r="S24" i="20" s="1"/>
  <c r="S25" i="20" s="1"/>
  <c r="S26" i="20" s="1"/>
  <c r="S27" i="20" s="1"/>
  <c r="S28" i="20" s="1"/>
  <c r="S29" i="20" s="1"/>
  <c r="S30" i="20" s="1"/>
  <c r="S31" i="20" s="1"/>
  <c r="S32" i="20" s="1"/>
  <c r="S33" i="20" s="1"/>
  <c r="S34" i="20" s="1"/>
  <c r="S35" i="20" s="1"/>
  <c r="S36" i="20" s="1"/>
  <c r="S37" i="20" s="1"/>
  <c r="S38" i="20" s="1"/>
  <c r="S39" i="20" s="1"/>
  <c r="S40" i="20" s="1"/>
  <c r="S41" i="20" s="1"/>
  <c r="S42" i="20" s="1"/>
  <c r="S43" i="20" s="1"/>
  <c r="S44" i="20" s="1"/>
  <c r="S45" i="20" s="1"/>
  <c r="S46" i="20" s="1"/>
  <c r="S47" i="20" s="1"/>
  <c r="S48" i="20" s="1"/>
  <c r="S49" i="20" s="1"/>
  <c r="S50" i="20" s="1"/>
  <c r="S51" i="20" s="1"/>
  <c r="S52" i="20" s="1"/>
  <c r="S53" i="20" s="1"/>
  <c r="S54" i="20" s="1"/>
  <c r="S56" i="20" s="1"/>
  <c r="S57" i="20" s="1"/>
  <c r="S58" i="20" s="1"/>
  <c r="S59" i="20" s="1"/>
  <c r="S60" i="20" s="1"/>
  <c r="S61" i="20" s="1"/>
  <c r="S62" i="20" s="1"/>
  <c r="S63" i="20" s="1"/>
  <c r="S64" i="20" s="1"/>
  <c r="S65" i="20" s="1"/>
  <c r="S66" i="20" s="1"/>
  <c r="S67" i="20" s="1"/>
  <c r="S68" i="20" s="1"/>
  <c r="S69" i="20" s="1"/>
  <c r="S70" i="20" s="1"/>
  <c r="S71" i="20" s="1"/>
  <c r="S72" i="20" s="1"/>
  <c r="S73" i="20" s="1"/>
  <c r="S74" i="20" s="1"/>
  <c r="S75" i="20" s="1"/>
  <c r="S76" i="20" s="1"/>
  <c r="S77" i="20" s="1"/>
  <c r="S78" i="20" s="1"/>
  <c r="S79" i="20" s="1"/>
  <c r="S80" i="20" s="1"/>
  <c r="S81" i="20" s="1"/>
  <c r="S82" i="20" s="1"/>
  <c r="S83" i="20" s="1"/>
  <c r="S84" i="20" s="1"/>
  <c r="S85" i="20" s="1"/>
  <c r="S86" i="20" s="1"/>
  <c r="S87" i="20" s="1"/>
  <c r="S88" i="20" s="1"/>
  <c r="S89" i="20" s="1"/>
  <c r="S90" i="20" s="1"/>
  <c r="S91" i="20" s="1"/>
  <c r="S92" i="20" s="1"/>
  <c r="S93" i="20" l="1"/>
  <c r="S94" i="20" s="1"/>
  <c r="S95" i="20" s="1"/>
  <c r="S96" i="20" s="1"/>
  <c r="S97" i="20" s="1"/>
  <c r="S98" i="20" s="1"/>
  <c r="S99" i="20" s="1"/>
  <c r="S100" i="20" s="1"/>
  <c r="S101" i="20" s="1"/>
  <c r="S102" i="20" s="1"/>
  <c r="S103" i="20" s="1"/>
  <c r="S104" i="20" s="1"/>
  <c r="S105" i="20" s="1"/>
  <c r="S106" i="20" s="1"/>
  <c r="S107" i="20" s="1"/>
  <c r="S108" i="20" s="1"/>
  <c r="S109" i="20" s="1"/>
  <c r="T93" i="20"/>
  <c r="T94" i="20" s="1"/>
  <c r="T95" i="20" s="1"/>
  <c r="T96" i="20" s="1"/>
  <c r="T97" i="20" s="1"/>
  <c r="T98" i="20" s="1"/>
  <c r="T99" i="20" s="1"/>
  <c r="T100" i="20" s="1"/>
  <c r="T101" i="20" s="1"/>
  <c r="T102" i="20" s="1"/>
  <c r="T103" i="20" s="1"/>
  <c r="T104" i="20" s="1"/>
  <c r="T105" i="20" s="1"/>
  <c r="T106" i="20" s="1"/>
  <c r="T107" i="20" s="1"/>
  <c r="T108" i="20" s="1"/>
  <c r="T109" i="20" s="1"/>
  <c r="U93" i="20"/>
  <c r="U94" i="20" s="1"/>
  <c r="U95" i="20" s="1"/>
  <c r="U96" i="20" s="1"/>
  <c r="U97" i="20" s="1"/>
  <c r="U98" i="20" s="1"/>
  <c r="U99" i="20" s="1"/>
  <c r="U100" i="20" s="1"/>
  <c r="U101" i="20" s="1"/>
  <c r="U102" i="20" s="1"/>
  <c r="U103" i="20" s="1"/>
  <c r="U104" i="20" s="1"/>
  <c r="U105" i="20" s="1"/>
  <c r="U106" i="20" s="1"/>
  <c r="U107" i="20" s="1"/>
  <c r="U108" i="20" s="1"/>
  <c r="U109" i="20" s="1"/>
  <c r="P140" i="20"/>
  <c r="P141" i="20" s="1"/>
  <c r="P142" i="20" s="1"/>
  <c r="P143" i="20" s="1"/>
  <c r="P144" i="20" s="1"/>
  <c r="P145" i="20" s="1"/>
  <c r="P146" i="20" s="1"/>
  <c r="P147" i="20" s="1"/>
  <c r="P148" i="20" s="1"/>
  <c r="P149" i="20" s="1"/>
  <c r="P150" i="20" s="1"/>
  <c r="P151" i="20" s="1"/>
  <c r="P152" i="20" s="1"/>
  <c r="P153" i="20" s="1"/>
  <c r="P154" i="20" s="1"/>
  <c r="P155" i="20" s="1"/>
  <c r="P156" i="20" s="1"/>
  <c r="P157" i="20" s="1"/>
  <c r="P158" i="20" s="1"/>
  <c r="P159" i="20" s="1"/>
  <c r="P160" i="20" s="1"/>
  <c r="P161" i="20" s="1"/>
  <c r="P162" i="20" s="1"/>
  <c r="P163" i="20" s="1"/>
  <c r="P164" i="20" s="1"/>
  <c r="P165" i="20" s="1"/>
  <c r="P168" i="20" s="1"/>
  <c r="P169" i="20" s="1"/>
  <c r="P170" i="20" s="1"/>
  <c r="P171" i="20" s="1"/>
  <c r="P172" i="20" s="1"/>
  <c r="P173" i="20" s="1"/>
  <c r="P174" i="20" s="1"/>
  <c r="P175" i="20" s="1"/>
  <c r="P176" i="20" s="1"/>
  <c r="P177" i="20" s="1"/>
  <c r="P178" i="20" s="1"/>
  <c r="P179" i="20" s="1"/>
  <c r="P180" i="20" s="1"/>
  <c r="P181" i="20" s="1"/>
  <c r="P182" i="20" s="1"/>
  <c r="P183" i="20" s="1"/>
  <c r="P184" i="20" s="1"/>
  <c r="P185" i="20" s="1"/>
  <c r="P186" i="20" s="1"/>
  <c r="P187" i="20" s="1"/>
  <c r="P188" i="20" s="1"/>
  <c r="P189" i="20" s="1"/>
  <c r="P190" i="20" s="1"/>
  <c r="P191" i="20" s="1"/>
  <c r="P192" i="20" s="1"/>
  <c r="P195" i="20" s="1"/>
  <c r="P196" i="20" s="1"/>
  <c r="P197" i="20" s="1"/>
  <c r="P198" i="20" s="1"/>
  <c r="P199" i="20" s="1"/>
  <c r="P200" i="20" s="1"/>
  <c r="P201" i="20" s="1"/>
  <c r="P202" i="20" s="1"/>
  <c r="P203" i="20" s="1"/>
  <c r="P204" i="20" s="1"/>
  <c r="P205" i="20" s="1"/>
  <c r="P206" i="20" s="1"/>
  <c r="P207" i="20" s="1"/>
  <c r="P208" i="20" s="1"/>
  <c r="P209" i="20" s="1"/>
  <c r="P210" i="20" s="1"/>
  <c r="P211" i="20" s="1"/>
  <c r="P212" i="20" s="1"/>
  <c r="P213" i="20" s="1"/>
  <c r="P214" i="20" s="1"/>
  <c r="P215" i="20" s="1"/>
  <c r="P216" i="20" s="1"/>
  <c r="P217" i="20" s="1"/>
  <c r="P218" i="20" s="1"/>
  <c r="P219" i="20" s="1"/>
  <c r="P220" i="20" s="1"/>
  <c r="P221" i="20" s="1"/>
  <c r="P222" i="20" s="1"/>
  <c r="P223" i="20" s="1"/>
  <c r="P224" i="20" s="1"/>
  <c r="P225" i="20" s="1"/>
  <c r="P226" i="20" s="1"/>
  <c r="P227" i="20" s="1"/>
  <c r="P228" i="20" s="1"/>
  <c r="P229" i="20" s="1"/>
  <c r="P230" i="20" s="1"/>
  <c r="P231" i="20" s="1"/>
  <c r="P232" i="20" s="1"/>
  <c r="P233" i="20" s="1"/>
  <c r="P234" i="20" s="1"/>
  <c r="P235" i="20" s="1"/>
  <c r="P236" i="20" s="1"/>
  <c r="P237" i="20" s="1"/>
  <c r="P238" i="20" s="1"/>
  <c r="P239" i="20" s="1"/>
  <c r="P240" i="20" s="1"/>
  <c r="P241" i="20" s="1"/>
  <c r="P242" i="20" s="1"/>
  <c r="P243" i="20" s="1"/>
  <c r="P244" i="20" s="1"/>
  <c r="P245" i="20" s="1"/>
  <c r="P246" i="20" s="1"/>
  <c r="P247" i="20" s="1"/>
  <c r="P248" i="20" s="1"/>
  <c r="P249" i="20" s="1"/>
  <c r="P250" i="20" s="1"/>
  <c r="P251" i="20" s="1"/>
  <c r="P252" i="20" s="1"/>
  <c r="P253" i="20" s="1"/>
  <c r="P254" i="20" s="1"/>
  <c r="P255" i="20" s="1"/>
  <c r="P256" i="20" s="1"/>
  <c r="P257" i="20" s="1"/>
  <c r="P258" i="20" s="1"/>
  <c r="P259" i="20" s="1"/>
  <c r="P260" i="20" s="1"/>
  <c r="P261" i="20" s="1"/>
  <c r="P262" i="20" s="1"/>
  <c r="P263" i="20" s="1"/>
  <c r="P264" i="20" s="1"/>
  <c r="P265" i="20" s="1"/>
  <c r="P266" i="20" s="1"/>
  <c r="P267" i="20" s="1"/>
  <c r="P268" i="20" s="1"/>
  <c r="P269" i="20" s="1"/>
  <c r="P270" i="20" s="1"/>
  <c r="P271" i="20" s="1"/>
  <c r="P272" i="20" s="1"/>
  <c r="P273" i="20" s="1"/>
  <c r="P274" i="20" s="1"/>
  <c r="P275" i="20" s="1"/>
  <c r="P276" i="20" s="1"/>
  <c r="P277" i="20" s="1"/>
  <c r="P278" i="20" s="1"/>
  <c r="P279" i="20" s="1"/>
  <c r="P280" i="20" s="1"/>
  <c r="P281" i="20" s="1"/>
  <c r="P282" i="20" s="1"/>
  <c r="P283" i="20" s="1"/>
  <c r="P284" i="20" s="1"/>
  <c r="P285" i="20" s="1"/>
  <c r="P286" i="20" s="1"/>
  <c r="P287" i="20" s="1"/>
  <c r="P288" i="20" s="1"/>
  <c r="P289" i="20" s="1"/>
  <c r="P290" i="20" s="1"/>
  <c r="P291" i="20" s="1"/>
  <c r="P292" i="20" s="1"/>
  <c r="P293" i="20" s="1"/>
  <c r="P294" i="20" s="1"/>
  <c r="P295" i="20" s="1"/>
  <c r="P296" i="20" s="1"/>
  <c r="P297" i="20" s="1"/>
  <c r="P298" i="20" s="1"/>
  <c r="P299" i="20" s="1"/>
  <c r="P300" i="20" s="1"/>
  <c r="P301" i="20" s="1"/>
  <c r="P302" i="20" s="1"/>
  <c r="P303" i="20" s="1"/>
  <c r="P304" i="20" s="1"/>
  <c r="P305" i="20" s="1"/>
  <c r="P306" i="20" s="1"/>
  <c r="P307" i="20" s="1"/>
  <c r="P308" i="20" s="1"/>
  <c r="P309" i="20" s="1"/>
  <c r="P310" i="20" s="1"/>
  <c r="P311" i="20" s="1"/>
  <c r="P312" i="20" s="1"/>
  <c r="P313" i="20" s="1"/>
  <c r="P314" i="20" s="1"/>
  <c r="P315" i="20" s="1"/>
  <c r="P316" i="20" s="1"/>
  <c r="P317" i="20" s="1"/>
  <c r="P318" i="20" s="1"/>
  <c r="P319" i="20" s="1"/>
  <c r="P320" i="20" s="1"/>
  <c r="P321" i="20" s="1"/>
  <c r="P322" i="20" s="1"/>
  <c r="P323" i="20" s="1"/>
  <c r="P324" i="20" s="1"/>
  <c r="P325" i="20" s="1"/>
  <c r="P326" i="20" s="1"/>
  <c r="P327" i="20" s="1"/>
  <c r="P328" i="20" s="1"/>
  <c r="P329" i="20" s="1"/>
  <c r="P330" i="20" s="1"/>
  <c r="P331" i="20" s="1"/>
  <c r="P332" i="20" s="1"/>
  <c r="P333" i="20" s="1"/>
  <c r="P334" i="20" s="1"/>
  <c r="P335" i="20" s="1"/>
  <c r="P336" i="20" s="1"/>
  <c r="P337" i="20" s="1"/>
  <c r="P338" i="20" s="1"/>
  <c r="P339" i="20" s="1"/>
  <c r="P340" i="20" s="1"/>
  <c r="P341" i="20" s="1"/>
  <c r="P342" i="20" s="1"/>
  <c r="P343" i="20" s="1"/>
  <c r="P344" i="20" s="1"/>
  <c r="P345" i="20" s="1"/>
  <c r="P346" i="20" s="1"/>
  <c r="P347" i="20" s="1"/>
  <c r="P348" i="20" s="1"/>
  <c r="P349" i="20" s="1"/>
  <c r="P350" i="20" s="1"/>
  <c r="P351" i="20" s="1"/>
  <c r="P352" i="20" s="1"/>
  <c r="P353" i="20" s="1"/>
  <c r="P354" i="20" s="1"/>
  <c r="P355" i="20" s="1"/>
  <c r="P356" i="20" s="1"/>
  <c r="P357" i="20" s="1"/>
  <c r="P358" i="20" s="1"/>
  <c r="P359" i="20" s="1"/>
  <c r="P360" i="20" s="1"/>
  <c r="P361" i="20" s="1"/>
  <c r="P362" i="20" s="1"/>
  <c r="P363" i="20" s="1"/>
  <c r="P364" i="20" s="1"/>
  <c r="P365" i="20" s="1"/>
  <c r="P366" i="20" s="1"/>
  <c r="P367" i="20" s="1"/>
  <c r="P368" i="20" s="1"/>
  <c r="P369" i="20" s="1"/>
  <c r="P370" i="20" s="1"/>
  <c r="P371" i="20" s="1"/>
  <c r="P372" i="20" s="1"/>
  <c r="P373" i="20" s="1"/>
  <c r="P374" i="20" s="1"/>
  <c r="P375" i="20" s="1"/>
  <c r="P376" i="20" s="1"/>
  <c r="P377" i="20" s="1"/>
  <c r="P378" i="20" s="1"/>
  <c r="P379" i="20" s="1"/>
  <c r="P380" i="20" s="1"/>
  <c r="P381" i="20" s="1"/>
  <c r="P382" i="20" s="1"/>
  <c r="P383" i="20" s="1"/>
  <c r="P384" i="20" s="1"/>
  <c r="P385" i="20" s="1"/>
  <c r="P386" i="20" s="1"/>
  <c r="P387" i="20" s="1"/>
  <c r="P388" i="20" s="1"/>
  <c r="P389" i="20" s="1"/>
  <c r="P390" i="20" s="1"/>
  <c r="P391" i="20" s="1"/>
  <c r="P392" i="20" s="1"/>
  <c r="P393" i="20" s="1"/>
  <c r="P394" i="20" s="1"/>
  <c r="P395" i="20" s="1"/>
  <c r="P396" i="20" s="1"/>
  <c r="P397" i="20" s="1"/>
  <c r="P398" i="20" s="1"/>
  <c r="P399" i="20" s="1"/>
  <c r="P400" i="20" s="1"/>
  <c r="P401" i="20" s="1"/>
  <c r="P402" i="20" s="1"/>
  <c r="P403" i="20" s="1"/>
  <c r="P404" i="20" s="1"/>
  <c r="P405" i="20" s="1"/>
  <c r="P406" i="20" s="1"/>
  <c r="P407" i="20" s="1"/>
  <c r="P408" i="20" s="1"/>
  <c r="P409" i="20" s="1"/>
  <c r="P410" i="20" s="1"/>
  <c r="P411" i="20" s="1"/>
  <c r="P412" i="20" s="1"/>
  <c r="P413" i="20" s="1"/>
  <c r="P414" i="20" s="1"/>
  <c r="P415" i="20" s="1"/>
  <c r="P416" i="20" s="1"/>
  <c r="P417" i="20" s="1"/>
  <c r="P418" i="20" s="1"/>
  <c r="P419" i="20" s="1"/>
  <c r="P420" i="20" s="1"/>
  <c r="P421" i="20" s="1"/>
  <c r="P422" i="20" s="1"/>
  <c r="P423" i="20" s="1"/>
  <c r="P424" i="20" s="1"/>
  <c r="P425" i="20" s="1"/>
  <c r="P426" i="20" s="1"/>
  <c r="P427" i="20" s="1"/>
  <c r="P428" i="20" s="1"/>
  <c r="P429" i="20" s="1"/>
  <c r="P430" i="20" s="1"/>
  <c r="P431" i="20" s="1"/>
  <c r="P432" i="20" s="1"/>
  <c r="P433" i="20" s="1"/>
  <c r="P434" i="20" s="1"/>
  <c r="P435" i="20" s="1"/>
  <c r="P436" i="20" s="1"/>
  <c r="P437" i="20" s="1"/>
  <c r="P438" i="20" s="1"/>
  <c r="P439" i="20" s="1"/>
  <c r="P440" i="20" s="1"/>
  <c r="P441" i="20" s="1"/>
  <c r="P442" i="20" s="1"/>
  <c r="P443" i="20" s="1"/>
  <c r="P444" i="20" s="1"/>
  <c r="P445" i="20" s="1"/>
  <c r="P446" i="20" s="1"/>
  <c r="P447" i="20" s="1"/>
  <c r="P448" i="20" s="1"/>
  <c r="P449" i="20" s="1"/>
  <c r="P450" i="20" s="1"/>
  <c r="P451" i="20" s="1"/>
  <c r="P452" i="20" s="1"/>
  <c r="P453" i="20" s="1"/>
  <c r="P454" i="20" s="1"/>
  <c r="P455" i="20" s="1"/>
  <c r="P456" i="20" s="1"/>
  <c r="P457" i="20" s="1"/>
  <c r="P458" i="20" s="1"/>
  <c r="P459" i="20" s="1"/>
  <c r="P460" i="20" s="1"/>
  <c r="P461" i="20" s="1"/>
  <c r="P462" i="20" s="1"/>
  <c r="P463" i="20" s="1"/>
  <c r="P464" i="20" s="1"/>
  <c r="P465" i="20" s="1"/>
  <c r="P466" i="20" s="1"/>
  <c r="P467" i="20" s="1"/>
  <c r="P468" i="20" s="1"/>
  <c r="P469" i="20" s="1"/>
  <c r="P470" i="20" s="1"/>
  <c r="P471" i="20" s="1"/>
  <c r="P472" i="20" s="1"/>
  <c r="P473" i="20" s="1"/>
  <c r="P474" i="20" s="1"/>
  <c r="P475" i="20" s="1"/>
  <c r="P476" i="20" s="1"/>
  <c r="P477" i="20" s="1"/>
  <c r="P478" i="20" s="1"/>
  <c r="P479" i="20" s="1"/>
  <c r="P480" i="20" s="1"/>
  <c r="P481" i="20" s="1"/>
  <c r="P482" i="20" s="1"/>
  <c r="P483" i="20" s="1"/>
  <c r="P484" i="20" s="1"/>
  <c r="P485" i="20" s="1"/>
  <c r="P486" i="20" s="1"/>
  <c r="P487" i="20" s="1"/>
  <c r="P488" i="20" s="1"/>
  <c r="P489" i="20" s="1"/>
  <c r="P490" i="20" s="1"/>
  <c r="P491" i="20" s="1"/>
  <c r="P492" i="20" s="1"/>
  <c r="P493" i="20" s="1"/>
  <c r="P494" i="20" s="1"/>
  <c r="P495" i="20" s="1"/>
  <c r="P496" i="20" s="1"/>
  <c r="P497" i="20" s="1"/>
  <c r="P498" i="20" s="1"/>
  <c r="P499" i="20" s="1"/>
  <c r="P500" i="20" s="1"/>
  <c r="P501" i="20" s="1"/>
  <c r="P502" i="20" s="1"/>
  <c r="P503" i="20" s="1"/>
  <c r="P504" i="20" s="1"/>
  <c r="P505" i="20" s="1"/>
  <c r="P506" i="20" s="1"/>
  <c r="P507" i="20" s="1"/>
  <c r="P508" i="20" s="1"/>
  <c r="P509" i="20" s="1"/>
  <c r="P510" i="20" s="1"/>
  <c r="P511" i="20" s="1"/>
  <c r="P512" i="20" s="1"/>
  <c r="P513" i="20" s="1"/>
  <c r="P514" i="20" s="1"/>
  <c r="P515" i="20" s="1"/>
  <c r="P516" i="20" s="1"/>
  <c r="P517" i="20" s="1"/>
  <c r="P518" i="20" s="1"/>
  <c r="P519" i="20" s="1"/>
  <c r="P520" i="20" s="1"/>
  <c r="P521" i="20" s="1"/>
  <c r="P522" i="20" s="1"/>
  <c r="P523" i="20" s="1"/>
  <c r="P524" i="20" s="1"/>
  <c r="P525" i="20" s="1"/>
  <c r="P526" i="20" s="1"/>
  <c r="P527" i="20" s="1"/>
  <c r="P528" i="20" s="1"/>
  <c r="P529" i="20" s="1"/>
  <c r="P530" i="20" s="1"/>
  <c r="P531" i="20" s="1"/>
  <c r="P532" i="20" s="1"/>
  <c r="P533" i="20" s="1"/>
  <c r="P534" i="20" s="1"/>
  <c r="P535" i="20" s="1"/>
  <c r="P536" i="20" s="1"/>
  <c r="P537" i="20" s="1"/>
  <c r="P538" i="20" s="1"/>
  <c r="P539" i="20" s="1"/>
  <c r="P540" i="20" s="1"/>
  <c r="P541" i="20" s="1"/>
  <c r="P542" i="20" s="1"/>
  <c r="P543" i="20" s="1"/>
  <c r="P544" i="20" s="1"/>
  <c r="P545" i="20" s="1"/>
  <c r="P546" i="20" s="1"/>
  <c r="P547" i="20" s="1"/>
  <c r="P548" i="20" s="1"/>
  <c r="P549" i="20" s="1"/>
  <c r="P550" i="20" s="1"/>
  <c r="P551" i="20" s="1"/>
  <c r="P552" i="20" s="1"/>
  <c r="P553" i="20" s="1"/>
  <c r="P554" i="20" s="1"/>
  <c r="P555" i="20" s="1"/>
  <c r="P556" i="20" s="1"/>
  <c r="P557" i="20" s="1"/>
  <c r="P558" i="20" s="1"/>
  <c r="P559" i="20" s="1"/>
  <c r="P560" i="20" s="1"/>
  <c r="P561" i="20" s="1"/>
  <c r="P562" i="20" s="1"/>
  <c r="P563" i="20" s="1"/>
  <c r="P564" i="20" s="1"/>
  <c r="P565" i="20" s="1"/>
  <c r="P566" i="20" s="1"/>
  <c r="P567" i="20" s="1"/>
  <c r="P568" i="20" s="1"/>
  <c r="P569" i="20" s="1"/>
  <c r="P570" i="20" s="1"/>
  <c r="P571" i="20" s="1"/>
  <c r="P572" i="20" s="1"/>
  <c r="P573" i="20" s="1"/>
  <c r="P574" i="20" s="1"/>
  <c r="P575" i="20" s="1"/>
  <c r="P576" i="20" s="1"/>
  <c r="P577" i="20" s="1"/>
  <c r="P578" i="20" s="1"/>
  <c r="P579" i="20" s="1"/>
  <c r="P580" i="20" s="1"/>
  <c r="P581" i="20" s="1"/>
  <c r="P582" i="20" s="1"/>
  <c r="P583" i="20" s="1"/>
  <c r="P584" i="20" s="1"/>
  <c r="P585" i="20" s="1"/>
  <c r="P586" i="20" s="1"/>
  <c r="P587" i="20" s="1"/>
  <c r="P588" i="20" s="1"/>
  <c r="P589" i="20" s="1"/>
  <c r="P590" i="20" s="1"/>
  <c r="P591" i="20" s="1"/>
  <c r="P592" i="20" s="1"/>
  <c r="P593" i="20" s="1"/>
  <c r="P594" i="20" s="1"/>
  <c r="P595" i="20" s="1"/>
  <c r="P596" i="20" s="1"/>
  <c r="P597" i="20" s="1"/>
  <c r="P598" i="20" s="1"/>
  <c r="P599" i="20" s="1"/>
  <c r="P600" i="20" s="1"/>
  <c r="P601" i="20" s="1"/>
  <c r="P602" i="20" s="1"/>
  <c r="P603" i="20" s="1"/>
  <c r="P604" i="20" s="1"/>
  <c r="P605" i="20" s="1"/>
  <c r="P606" i="20" s="1"/>
  <c r="P607" i="20" s="1"/>
  <c r="P608" i="20" s="1"/>
  <c r="P609" i="20" s="1"/>
  <c r="P610" i="20" s="1"/>
  <c r="P611" i="20" s="1"/>
  <c r="P612" i="20" s="1"/>
  <c r="P613" i="20" s="1"/>
  <c r="P614" i="20" s="1"/>
  <c r="P615" i="20" s="1"/>
  <c r="P616" i="20" s="1"/>
  <c r="P617" i="20" s="1"/>
  <c r="P618" i="20" s="1"/>
  <c r="P619" i="20" s="1"/>
  <c r="P620" i="20" s="1"/>
  <c r="P621" i="20" s="1"/>
  <c r="P622" i="20" s="1"/>
  <c r="P623" i="20" s="1"/>
  <c r="P624" i="20" s="1"/>
  <c r="P625" i="20" s="1"/>
  <c r="P626" i="20" s="1"/>
  <c r="P627" i="20" s="1"/>
  <c r="P628" i="20" s="1"/>
  <c r="P629" i="20" s="1"/>
  <c r="P630" i="20" s="1"/>
  <c r="P631" i="20" s="1"/>
  <c r="P632" i="20" s="1"/>
  <c r="P633" i="20" s="1"/>
  <c r="P634" i="20" s="1"/>
  <c r="P635" i="20" s="1"/>
  <c r="P636" i="20" s="1"/>
  <c r="P637" i="20" s="1"/>
  <c r="P638" i="20" s="1"/>
  <c r="P639" i="20" s="1"/>
  <c r="P640" i="20" s="1"/>
  <c r="P641" i="20" s="1"/>
  <c r="P642" i="20" s="1"/>
  <c r="P643" i="20" s="1"/>
  <c r="P644" i="20" s="1"/>
  <c r="P645" i="20" s="1"/>
  <c r="P646" i="20" s="1"/>
  <c r="P647" i="20" s="1"/>
  <c r="P648" i="20" s="1"/>
  <c r="P649" i="20" s="1"/>
  <c r="P650" i="20" s="1"/>
  <c r="P651" i="20" s="1"/>
  <c r="P652" i="20" s="1"/>
  <c r="P653" i="20" s="1"/>
  <c r="P654" i="20" s="1"/>
  <c r="P655" i="20" s="1"/>
  <c r="P656" i="20" s="1"/>
  <c r="P657" i="20" s="1"/>
  <c r="P658" i="20" s="1"/>
  <c r="P659" i="20" s="1"/>
  <c r="P660" i="20" s="1"/>
  <c r="P661" i="20" s="1"/>
  <c r="P662" i="20" s="1"/>
  <c r="P663" i="20" s="1"/>
  <c r="P664" i="20" s="1"/>
  <c r="P665" i="20" s="1"/>
  <c r="P666" i="20" s="1"/>
  <c r="P667" i="20" s="1"/>
  <c r="P668" i="20" s="1"/>
  <c r="P669" i="20" s="1"/>
  <c r="P670" i="20" s="1"/>
  <c r="P671" i="20" s="1"/>
  <c r="P672" i="20" s="1"/>
  <c r="P673" i="20" s="1"/>
  <c r="P674" i="20" s="1"/>
  <c r="P675" i="20" s="1"/>
  <c r="P676" i="20" s="1"/>
  <c r="P677" i="20" s="1"/>
  <c r="P678" i="20" s="1"/>
  <c r="P679" i="20" s="1"/>
  <c r="P680" i="20" s="1"/>
  <c r="P681" i="20" s="1"/>
  <c r="P682" i="20" s="1"/>
  <c r="P683" i="20" s="1"/>
  <c r="P684" i="20" s="1"/>
  <c r="P685" i="20" s="1"/>
  <c r="P686" i="20" s="1"/>
  <c r="P687" i="20" s="1"/>
  <c r="P688" i="20" s="1"/>
  <c r="P689" i="20" s="1"/>
  <c r="P690" i="20" s="1"/>
  <c r="P691" i="20" s="1"/>
  <c r="P692" i="20" s="1"/>
  <c r="P693" i="20" s="1"/>
  <c r="P694" i="20" s="1"/>
  <c r="P695" i="20" s="1"/>
  <c r="P696" i="20" s="1"/>
  <c r="P697" i="20" s="1"/>
  <c r="P698" i="20" s="1"/>
  <c r="P699" i="20" s="1"/>
  <c r="P700" i="20" s="1"/>
  <c r="P701" i="20" s="1"/>
  <c r="P702" i="20" s="1"/>
  <c r="P703" i="20" s="1"/>
  <c r="P704" i="20" s="1"/>
  <c r="P705" i="20" s="1"/>
  <c r="P706" i="20" s="1"/>
  <c r="P707" i="20" s="1"/>
  <c r="P708" i="20" s="1"/>
  <c r="P709" i="20" s="1"/>
  <c r="P710" i="20" s="1"/>
  <c r="P711" i="20" s="1"/>
  <c r="P712" i="20" s="1"/>
  <c r="P713" i="20" s="1"/>
  <c r="P714" i="20" s="1"/>
  <c r="P715" i="20" s="1"/>
  <c r="P716" i="20" s="1"/>
  <c r="P717" i="20" s="1"/>
  <c r="P718" i="20" s="1"/>
  <c r="P719" i="20" s="1"/>
  <c r="P720" i="20" s="1"/>
  <c r="P721" i="20" s="1"/>
  <c r="P722" i="20" s="1"/>
  <c r="P723" i="20" s="1"/>
  <c r="P724" i="20" s="1"/>
  <c r="P725" i="20" s="1"/>
  <c r="P726" i="20" s="1"/>
  <c r="P727" i="20" s="1"/>
  <c r="P728" i="20" s="1"/>
  <c r="P729" i="20" s="1"/>
  <c r="P730" i="20" s="1"/>
  <c r="P731" i="20" s="1"/>
  <c r="P732" i="20" s="1"/>
  <c r="P733" i="20" s="1"/>
  <c r="P734" i="20" s="1"/>
  <c r="P735" i="20" s="1"/>
  <c r="P736" i="20" s="1"/>
  <c r="P737" i="20" s="1"/>
  <c r="P738" i="20" s="1"/>
  <c r="P739" i="20" s="1"/>
  <c r="P740" i="20" s="1"/>
  <c r="P741" i="20" s="1"/>
  <c r="P742" i="20" s="1"/>
  <c r="P743" i="20" s="1"/>
  <c r="P744" i="20" s="1"/>
  <c r="P745" i="20" s="1"/>
  <c r="P746" i="20" s="1"/>
  <c r="P747" i="20" s="1"/>
  <c r="P748" i="20" s="1"/>
  <c r="P749" i="20" s="1"/>
  <c r="P750" i="20" s="1"/>
  <c r="P751" i="20" s="1"/>
  <c r="P752" i="20" s="1"/>
  <c r="P753" i="20" s="1"/>
  <c r="P754" i="20" s="1"/>
  <c r="P755" i="20" s="1"/>
  <c r="P756" i="20" s="1"/>
  <c r="P757" i="20" s="1"/>
  <c r="P758" i="20" s="1"/>
  <c r="P759" i="20" s="1"/>
  <c r="P760" i="20" s="1"/>
  <c r="P761" i="20" s="1"/>
  <c r="P762" i="20" s="1"/>
  <c r="P763" i="20" s="1"/>
  <c r="P764" i="20" s="1"/>
  <c r="P765" i="20" s="1"/>
  <c r="P766" i="20" s="1"/>
  <c r="P767" i="20" s="1"/>
  <c r="P768" i="20" s="1"/>
  <c r="P769" i="20" s="1"/>
  <c r="P770" i="20" s="1"/>
  <c r="P771" i="20" s="1"/>
  <c r="P772" i="20" s="1"/>
  <c r="P773" i="20" s="1"/>
  <c r="P774" i="20" s="1"/>
  <c r="P775" i="20" s="1"/>
  <c r="P776" i="20" s="1"/>
  <c r="P777" i="20" s="1"/>
  <c r="P778" i="20" s="1"/>
  <c r="P779" i="20" s="1"/>
  <c r="P780" i="20" s="1"/>
  <c r="P781" i="20" s="1"/>
  <c r="P782" i="20" s="1"/>
  <c r="P783" i="20" s="1"/>
  <c r="P784" i="20" s="1"/>
  <c r="P785" i="20" s="1"/>
  <c r="P786" i="20" s="1"/>
  <c r="P787" i="20" s="1"/>
  <c r="P788" i="20" s="1"/>
  <c r="P789" i="20" s="1"/>
  <c r="P790" i="20" s="1"/>
  <c r="P791" i="20" s="1"/>
  <c r="P792" i="20" s="1"/>
  <c r="P793" i="20" s="1"/>
  <c r="P794" i="20" s="1"/>
  <c r="P795" i="20" s="1"/>
  <c r="P796" i="20" s="1"/>
  <c r="P797" i="20" s="1"/>
  <c r="P798" i="20" s="1"/>
  <c r="P799" i="20" s="1"/>
  <c r="P800" i="20" s="1"/>
  <c r="P801" i="20" s="1"/>
  <c r="P802" i="20" s="1"/>
  <c r="P803" i="20" s="1"/>
  <c r="P804" i="20" s="1"/>
  <c r="P805" i="20" s="1"/>
  <c r="P806" i="20" s="1"/>
  <c r="P807" i="20" s="1"/>
  <c r="P808" i="20" s="1"/>
  <c r="P809" i="20" s="1"/>
  <c r="P810" i="20" s="1"/>
  <c r="P811" i="20" s="1"/>
  <c r="P812" i="20" s="1"/>
  <c r="P813" i="20" s="1"/>
  <c r="P814" i="20" s="1"/>
  <c r="P815" i="20" s="1"/>
  <c r="P816" i="20" s="1"/>
  <c r="P817" i="20" s="1"/>
  <c r="P818" i="20" s="1"/>
  <c r="P819" i="20" s="1"/>
  <c r="P820" i="20" s="1"/>
  <c r="P821" i="20" s="1"/>
  <c r="P822" i="20" s="1"/>
  <c r="P823" i="20" s="1"/>
  <c r="P824" i="20" s="1"/>
  <c r="P825" i="20" s="1"/>
  <c r="P826" i="20" s="1"/>
  <c r="P827" i="20" s="1"/>
  <c r="P828" i="20" s="1"/>
  <c r="P829" i="20" s="1"/>
  <c r="P830" i="20" s="1"/>
  <c r="P831" i="20" s="1"/>
  <c r="P832" i="20" s="1"/>
  <c r="P833" i="20" s="1"/>
  <c r="P834" i="20" s="1"/>
  <c r="P835" i="20" s="1"/>
  <c r="P836" i="20" s="1"/>
  <c r="P837" i="20" s="1"/>
  <c r="P838" i="20" s="1"/>
  <c r="P839" i="20" s="1"/>
  <c r="P840" i="20" s="1"/>
  <c r="P841" i="20" s="1"/>
  <c r="P842" i="20" s="1"/>
  <c r="P843" i="20" s="1"/>
  <c r="P844" i="20" s="1"/>
  <c r="P845" i="20" s="1"/>
  <c r="P846" i="20" s="1"/>
  <c r="P847" i="20" s="1"/>
  <c r="P848" i="20" s="1"/>
  <c r="P849" i="20" s="1"/>
  <c r="P850" i="20" s="1"/>
  <c r="P851" i="20" s="1"/>
  <c r="P852" i="20" s="1"/>
  <c r="P853" i="20" s="1"/>
  <c r="P854" i="20" s="1"/>
  <c r="P855" i="20" s="1"/>
  <c r="P856" i="20" s="1"/>
  <c r="P857" i="20" s="1"/>
  <c r="P858" i="20" s="1"/>
  <c r="P859" i="20" s="1"/>
  <c r="P860" i="20" s="1"/>
  <c r="P861" i="20" s="1"/>
  <c r="P862" i="20" s="1"/>
  <c r="P863" i="20" s="1"/>
  <c r="P864" i="20" s="1"/>
  <c r="P865" i="20" s="1"/>
  <c r="P866" i="20" s="1"/>
  <c r="P867" i="20" s="1"/>
  <c r="P868" i="20" s="1"/>
  <c r="P869" i="20" s="1"/>
  <c r="P870" i="20" s="1"/>
  <c r="P871" i="20" s="1"/>
  <c r="P872" i="20" s="1"/>
  <c r="P873" i="20" s="1"/>
  <c r="P874" i="20" s="1"/>
  <c r="P875" i="20" s="1"/>
  <c r="P876" i="20" s="1"/>
  <c r="P877" i="20" s="1"/>
  <c r="P878" i="20" s="1"/>
  <c r="P879" i="20" s="1"/>
  <c r="P880" i="20" s="1"/>
  <c r="P881" i="20" s="1"/>
  <c r="P882" i="20" s="1"/>
  <c r="P883" i="20" s="1"/>
  <c r="P884" i="20" s="1"/>
  <c r="P885" i="20" s="1"/>
  <c r="P886" i="20" s="1"/>
  <c r="P887" i="20" s="1"/>
  <c r="P888" i="20" s="1"/>
  <c r="P889" i="20" s="1"/>
  <c r="P890" i="20" s="1"/>
  <c r="P891" i="20" s="1"/>
  <c r="P892" i="20" s="1"/>
  <c r="P893" i="20" s="1"/>
  <c r="P894" i="20" s="1"/>
  <c r="P895" i="20" s="1"/>
  <c r="P896" i="20" s="1"/>
  <c r="P897" i="20" s="1"/>
  <c r="P898" i="20" s="1"/>
  <c r="P899" i="20" s="1"/>
  <c r="P900" i="20" s="1"/>
  <c r="P901" i="20" s="1"/>
  <c r="P902" i="20" s="1"/>
  <c r="P903" i="20" s="1"/>
  <c r="P904" i="20" s="1"/>
  <c r="P905" i="20" s="1"/>
  <c r="P906" i="20" s="1"/>
  <c r="P907" i="20" s="1"/>
  <c r="P908" i="20" s="1"/>
  <c r="P909" i="20" s="1"/>
  <c r="P910" i="20" s="1"/>
  <c r="P911" i="20" s="1"/>
  <c r="P912" i="20" s="1"/>
  <c r="P913" i="20" s="1"/>
  <c r="P914" i="20" s="1"/>
  <c r="P915" i="20" s="1"/>
  <c r="P916" i="20" s="1"/>
  <c r="P917" i="20" s="1"/>
  <c r="P918" i="20" s="1"/>
  <c r="P919" i="20" s="1"/>
  <c r="P920" i="20" s="1"/>
  <c r="P921" i="20" s="1"/>
  <c r="P922" i="20" s="1"/>
  <c r="P923" i="20" s="1"/>
  <c r="P924" i="20" s="1"/>
  <c r="P925" i="20" s="1"/>
  <c r="P926" i="20" s="1"/>
  <c r="P927" i="20" s="1"/>
  <c r="P928" i="20" s="1"/>
  <c r="P929" i="20" s="1"/>
  <c r="P930" i="20" s="1"/>
  <c r="P931" i="20" s="1"/>
  <c r="P932" i="20" s="1"/>
  <c r="P933" i="20" s="1"/>
  <c r="C68" i="24" l="1"/>
  <c r="B68" i="24"/>
  <c r="C63" i="24"/>
  <c r="B63" i="24"/>
  <c r="H68" i="24" l="1"/>
  <c r="H63" i="24"/>
  <c r="W159" i="23" l="1"/>
  <c r="W158" i="23"/>
  <c r="AG300" i="23" l="1"/>
  <c r="BY310" i="23"/>
  <c r="BQ310" i="23"/>
  <c r="BP310" i="23"/>
  <c r="BE310" i="23"/>
  <c r="BC310" i="23" s="1"/>
  <c r="BD310" i="23"/>
  <c r="AW310" i="23"/>
  <c r="AQ310" i="23"/>
  <c r="AI310" i="23"/>
  <c r="AG310" i="23"/>
  <c r="AE310" i="23"/>
  <c r="AC310" i="23"/>
  <c r="Y310" i="23"/>
  <c r="T310" i="23" s="1"/>
  <c r="BY309" i="23"/>
  <c r="BQ309" i="23"/>
  <c r="BP309" i="23"/>
  <c r="BE309" i="23"/>
  <c r="BC309" i="23" s="1"/>
  <c r="BD309" i="23"/>
  <c r="AW309" i="23"/>
  <c r="AQ309" i="23"/>
  <c r="AI309" i="23"/>
  <c r="AG309" i="23"/>
  <c r="AE309" i="23"/>
  <c r="AC309" i="23"/>
  <c r="Y309" i="23"/>
  <c r="BY308" i="23"/>
  <c r="BQ308" i="23"/>
  <c r="BP308" i="23"/>
  <c r="BE308" i="23"/>
  <c r="BC308" i="23" s="1"/>
  <c r="BD308" i="23"/>
  <c r="AW308" i="23"/>
  <c r="AQ308" i="23"/>
  <c r="AI308" i="23"/>
  <c r="AG308" i="23"/>
  <c r="AE308" i="23"/>
  <c r="AC308" i="23"/>
  <c r="Y308" i="23"/>
  <c r="T308" i="23" s="1"/>
  <c r="BY307" i="23"/>
  <c r="BQ307" i="23"/>
  <c r="BP307" i="23"/>
  <c r="BE307" i="23"/>
  <c r="BC307" i="23" s="1"/>
  <c r="BD307" i="23"/>
  <c r="AW307" i="23"/>
  <c r="AQ307" i="23"/>
  <c r="AI307" i="23"/>
  <c r="AG307" i="23"/>
  <c r="AE307" i="23"/>
  <c r="AC307" i="23"/>
  <c r="Y307" i="23"/>
  <c r="BY306" i="23"/>
  <c r="BQ306" i="23"/>
  <c r="BP306" i="23"/>
  <c r="BE306" i="23"/>
  <c r="BC306" i="23" s="1"/>
  <c r="BD306" i="23"/>
  <c r="AW306" i="23"/>
  <c r="AQ306" i="23"/>
  <c r="AI306" i="23"/>
  <c r="AG306" i="23"/>
  <c r="AE306" i="23"/>
  <c r="AC306" i="23"/>
  <c r="Y306" i="23"/>
  <c r="T306" i="23" s="1"/>
  <c r="BY305" i="23"/>
  <c r="BQ305" i="23"/>
  <c r="BP305" i="23"/>
  <c r="BE305" i="23"/>
  <c r="BC305" i="23" s="1"/>
  <c r="BD305" i="23"/>
  <c r="AW305" i="23"/>
  <c r="AQ305" i="23"/>
  <c r="AI305" i="23"/>
  <c r="AG305" i="23"/>
  <c r="AE305" i="23"/>
  <c r="AC305" i="23"/>
  <c r="Y305" i="23"/>
  <c r="T305" i="23" s="1"/>
  <c r="J305" i="23" s="1"/>
  <c r="BY304" i="23"/>
  <c r="BQ304" i="23"/>
  <c r="BP304" i="23"/>
  <c r="BE304" i="23"/>
  <c r="BC304" i="23" s="1"/>
  <c r="BD304" i="23"/>
  <c r="AW304" i="23"/>
  <c r="AQ304" i="23"/>
  <c r="AI304" i="23"/>
  <c r="AG304" i="23"/>
  <c r="AE304" i="23"/>
  <c r="AC304" i="23"/>
  <c r="Y304" i="23"/>
  <c r="T304" i="23" s="1"/>
  <c r="BY303" i="23"/>
  <c r="BQ303" i="23"/>
  <c r="BP303" i="23"/>
  <c r="BE303" i="23"/>
  <c r="BC303" i="23" s="1"/>
  <c r="BD303" i="23"/>
  <c r="AW303" i="23"/>
  <c r="AQ303" i="23"/>
  <c r="AI303" i="23"/>
  <c r="AG303" i="23"/>
  <c r="AE303" i="23"/>
  <c r="AC303" i="23"/>
  <c r="Y303" i="23"/>
  <c r="BY302" i="23"/>
  <c r="BQ302" i="23"/>
  <c r="BP302" i="23"/>
  <c r="BE302" i="23"/>
  <c r="BC302" i="23" s="1"/>
  <c r="BD302" i="23"/>
  <c r="AW302" i="23"/>
  <c r="AQ302" i="23"/>
  <c r="AI302" i="23"/>
  <c r="AG302" i="23"/>
  <c r="AE302" i="23"/>
  <c r="AC302" i="23"/>
  <c r="Y302" i="23"/>
  <c r="T302" i="23" s="1"/>
  <c r="BY301" i="23"/>
  <c r="BQ301" i="23"/>
  <c r="BP301" i="23"/>
  <c r="BE301" i="23"/>
  <c r="BC301" i="23" s="1"/>
  <c r="BD301" i="23"/>
  <c r="AW301" i="23"/>
  <c r="AQ301" i="23"/>
  <c r="AI301" i="23"/>
  <c r="AG301" i="23"/>
  <c r="AE301" i="23"/>
  <c r="AC301" i="23"/>
  <c r="Y301" i="23"/>
  <c r="BY300" i="23"/>
  <c r="BQ300" i="23"/>
  <c r="BP300" i="23"/>
  <c r="BE300" i="23"/>
  <c r="BC300" i="23" s="1"/>
  <c r="BD300" i="23"/>
  <c r="AW300" i="23"/>
  <c r="AQ300" i="23"/>
  <c r="AI300" i="23"/>
  <c r="AE300" i="23"/>
  <c r="AC300" i="23"/>
  <c r="Y300" i="23"/>
  <c r="T300" i="23" s="1"/>
  <c r="BR300" i="23" l="1"/>
  <c r="T307" i="23"/>
  <c r="U307" i="23" s="1"/>
  <c r="BX307" i="23" s="1"/>
  <c r="BR307" i="23"/>
  <c r="BR306" i="23"/>
  <c r="BR310" i="23"/>
  <c r="BR305" i="23"/>
  <c r="BR309" i="23"/>
  <c r="K305" i="23"/>
  <c r="BR301" i="23"/>
  <c r="BR304" i="23"/>
  <c r="BR303" i="23"/>
  <c r="BR302" i="23"/>
  <c r="BR308" i="23"/>
  <c r="U305" i="23"/>
  <c r="BX305" i="23" s="1"/>
  <c r="T301" i="23"/>
  <c r="AH304" i="23"/>
  <c r="AK304" i="23" s="1"/>
  <c r="AD305" i="23"/>
  <c r="T303" i="23"/>
  <c r="T309" i="23"/>
  <c r="K300" i="23"/>
  <c r="U300" i="23"/>
  <c r="BX300" i="23" s="1"/>
  <c r="AD300" i="23"/>
  <c r="J300" i="23"/>
  <c r="U310" i="23"/>
  <c r="BX310" i="23" s="1"/>
  <c r="K310" i="23"/>
  <c r="AD310" i="23"/>
  <c r="J310" i="23"/>
  <c r="U306" i="23"/>
  <c r="BX306" i="23" s="1"/>
  <c r="K306" i="23"/>
  <c r="AD306" i="23"/>
  <c r="J306" i="23"/>
  <c r="K304" i="23"/>
  <c r="U304" i="23"/>
  <c r="BX304" i="23" s="1"/>
  <c r="AD304" i="23"/>
  <c r="J304" i="23"/>
  <c r="U302" i="23"/>
  <c r="BX302" i="23" s="1"/>
  <c r="K302" i="23"/>
  <c r="AD302" i="23"/>
  <c r="J302" i="23"/>
  <c r="U308" i="23"/>
  <c r="BX308" i="23" s="1"/>
  <c r="K308" i="23"/>
  <c r="AD308" i="23"/>
  <c r="J308" i="23"/>
  <c r="AH306" i="23"/>
  <c r="AH302" i="23"/>
  <c r="AT302" i="23" s="1"/>
  <c r="AH301" i="23"/>
  <c r="AH303" i="23"/>
  <c r="AH305" i="23"/>
  <c r="AH307" i="23"/>
  <c r="AH309" i="23"/>
  <c r="AH308" i="23"/>
  <c r="AT308" i="23" s="1"/>
  <c r="AH300" i="23"/>
  <c r="AT300" i="23" s="1"/>
  <c r="AH310" i="23"/>
  <c r="AT310" i="23" s="1"/>
  <c r="K307" i="23" l="1"/>
  <c r="AD307" i="23"/>
  <c r="J307" i="23"/>
  <c r="AL304" i="23"/>
  <c r="AJ304" i="23"/>
  <c r="U303" i="23"/>
  <c r="BX303" i="23" s="1"/>
  <c r="K303" i="23"/>
  <c r="J303" i="23"/>
  <c r="AD303" i="23"/>
  <c r="K309" i="23"/>
  <c r="J309" i="23"/>
  <c r="AD309" i="23"/>
  <c r="U309" i="23"/>
  <c r="BX309" i="23" s="1"/>
  <c r="AT304" i="23"/>
  <c r="U301" i="23"/>
  <c r="BX301" i="23" s="1"/>
  <c r="AD301" i="23"/>
  <c r="K301" i="23"/>
  <c r="J301" i="23"/>
  <c r="AK302" i="23"/>
  <c r="AL302" i="23"/>
  <c r="AJ302" i="23"/>
  <c r="AT309" i="23"/>
  <c r="AK309" i="23"/>
  <c r="AJ309" i="23"/>
  <c r="AL309" i="23"/>
  <c r="AL306" i="23"/>
  <c r="AK306" i="23"/>
  <c r="AJ306" i="23"/>
  <c r="AJ301" i="23"/>
  <c r="AT301" i="23"/>
  <c r="AL301" i="23"/>
  <c r="AK301" i="23"/>
  <c r="AT307" i="23"/>
  <c r="AK307" i="23"/>
  <c r="AJ307" i="23"/>
  <c r="AL307" i="23"/>
  <c r="AL310" i="23"/>
  <c r="AK310" i="23"/>
  <c r="AJ310" i="23"/>
  <c r="AT305" i="23"/>
  <c r="AK305" i="23"/>
  <c r="AJ305" i="23"/>
  <c r="AL305" i="23"/>
  <c r="AT306" i="23"/>
  <c r="AL308" i="23"/>
  <c r="AK308" i="23"/>
  <c r="AJ308" i="23"/>
  <c r="AL300" i="23"/>
  <c r="AK300" i="23"/>
  <c r="AJ300" i="23"/>
  <c r="AJ303" i="23"/>
  <c r="AL303" i="23"/>
  <c r="AK303" i="23"/>
  <c r="AT303" i="23"/>
  <c r="AM308" i="23" l="1"/>
  <c r="AN308" i="23" s="1"/>
  <c r="AO308" i="23" s="1"/>
  <c r="AU308" i="23" s="1"/>
  <c r="AM300" i="23"/>
  <c r="AN300" i="23" s="1"/>
  <c r="AO300" i="23" s="1"/>
  <c r="AU300" i="23" s="1"/>
  <c r="AM305" i="23"/>
  <c r="AN305" i="23" s="1"/>
  <c r="AO305" i="23" s="1"/>
  <c r="AU305" i="23" s="1"/>
  <c r="AM301" i="23"/>
  <c r="AN301" i="23" s="1"/>
  <c r="AO301" i="23" s="1"/>
  <c r="AU301" i="23" s="1"/>
  <c r="AM302" i="23"/>
  <c r="AN302" i="23" s="1"/>
  <c r="AO302" i="23" s="1"/>
  <c r="AU302" i="23" s="1"/>
  <c r="AM306" i="23"/>
  <c r="AN306" i="23" s="1"/>
  <c r="AO306" i="23" s="1"/>
  <c r="AU306" i="23" s="1"/>
  <c r="AM304" i="23"/>
  <c r="AN304" i="23" s="1"/>
  <c r="AO304" i="23" s="1"/>
  <c r="AU304" i="23" s="1"/>
  <c r="AM309" i="23"/>
  <c r="AN309" i="23" s="1"/>
  <c r="AO309" i="23" s="1"/>
  <c r="AU309" i="23" s="1"/>
  <c r="AM310" i="23"/>
  <c r="AN310" i="23" s="1"/>
  <c r="AO310" i="23" s="1"/>
  <c r="AU310" i="23" s="1"/>
  <c r="AM303" i="23"/>
  <c r="AN303" i="23" s="1"/>
  <c r="AO303" i="23" s="1"/>
  <c r="AU303" i="23" s="1"/>
  <c r="AM307" i="23"/>
  <c r="AN307" i="23" s="1"/>
  <c r="AO307" i="23" s="1"/>
  <c r="AU307" i="23" s="1"/>
  <c r="BP338" i="23" l="1"/>
  <c r="BQ338" i="23"/>
  <c r="BP339" i="23"/>
  <c r="BR339" i="23" s="1"/>
  <c r="BQ339" i="23"/>
  <c r="BP340" i="23"/>
  <c r="BQ340" i="23"/>
  <c r="BP341" i="23"/>
  <c r="BQ341" i="23"/>
  <c r="BP342" i="23"/>
  <c r="BQ342" i="23"/>
  <c r="BP343" i="23"/>
  <c r="BR343" i="23" s="1"/>
  <c r="BQ343" i="23"/>
  <c r="BP344" i="23"/>
  <c r="BQ344" i="23"/>
  <c r="BP345" i="23"/>
  <c r="BQ345" i="23"/>
  <c r="BP346" i="23"/>
  <c r="BQ346" i="23"/>
  <c r="BQ335" i="23"/>
  <c r="BM346" i="23"/>
  <c r="BE346" i="23"/>
  <c r="BC346" i="23" s="1"/>
  <c r="BD346" i="23"/>
  <c r="AW346" i="23"/>
  <c r="AQ346" i="23"/>
  <c r="AI346" i="23"/>
  <c r="AG346" i="23"/>
  <c r="AE346" i="23"/>
  <c r="AC346" i="23"/>
  <c r="Y346" i="23"/>
  <c r="BM345" i="23"/>
  <c r="BE345" i="23"/>
  <c r="BC345" i="23" s="1"/>
  <c r="BD345" i="23"/>
  <c r="AW345" i="23"/>
  <c r="AQ345" i="23"/>
  <c r="AI345" i="23"/>
  <c r="AG345" i="23"/>
  <c r="AE345" i="23"/>
  <c r="AC345" i="23"/>
  <c r="Y345" i="23"/>
  <c r="T345" i="23" s="1"/>
  <c r="AD345" i="23" s="1"/>
  <c r="BM344" i="23"/>
  <c r="BE344" i="23"/>
  <c r="BC344" i="23" s="1"/>
  <c r="BD344" i="23"/>
  <c r="AW344" i="23"/>
  <c r="AQ344" i="23"/>
  <c r="AI344" i="23"/>
  <c r="AG344" i="23"/>
  <c r="AE344" i="23"/>
  <c r="AC344" i="23"/>
  <c r="Y344" i="23"/>
  <c r="BM343" i="23"/>
  <c r="BE343" i="23"/>
  <c r="BC343" i="23" s="1"/>
  <c r="BD343" i="23"/>
  <c r="AW343" i="23"/>
  <c r="AQ343" i="23"/>
  <c r="AI343" i="23"/>
  <c r="AG343" i="23"/>
  <c r="AE343" i="23"/>
  <c r="AC343" i="23"/>
  <c r="Y343" i="23"/>
  <c r="T343" i="23" s="1"/>
  <c r="AD343" i="23" s="1"/>
  <c r="BM342" i="23"/>
  <c r="BE342" i="23"/>
  <c r="BC342" i="23" s="1"/>
  <c r="BD342" i="23"/>
  <c r="AW342" i="23"/>
  <c r="AQ342" i="23"/>
  <c r="AI342" i="23"/>
  <c r="AG342" i="23"/>
  <c r="AE342" i="23"/>
  <c r="AC342" i="23"/>
  <c r="Y342" i="23"/>
  <c r="BM341" i="23"/>
  <c r="BE341" i="23"/>
  <c r="BC341" i="23" s="1"/>
  <c r="BD341" i="23"/>
  <c r="AW341" i="23"/>
  <c r="AQ341" i="23"/>
  <c r="AI341" i="23"/>
  <c r="AG341" i="23"/>
  <c r="AE341" i="23"/>
  <c r="AC341" i="23"/>
  <c r="Y341" i="23"/>
  <c r="AH341" i="23" s="1"/>
  <c r="BM340" i="23"/>
  <c r="BE340" i="23"/>
  <c r="BC340" i="23" s="1"/>
  <c r="BD340" i="23"/>
  <c r="AW340" i="23"/>
  <c r="AQ340" i="23"/>
  <c r="AI340" i="23"/>
  <c r="AG340" i="23"/>
  <c r="AE340" i="23"/>
  <c r="AC340" i="23"/>
  <c r="Y340" i="23"/>
  <c r="BM339" i="23"/>
  <c r="BE339" i="23"/>
  <c r="BC339" i="23" s="1"/>
  <c r="BD339" i="23"/>
  <c r="AW339" i="23"/>
  <c r="AQ339" i="23"/>
  <c r="AI339" i="23"/>
  <c r="AG339" i="23"/>
  <c r="AE339" i="23"/>
  <c r="AC339" i="23"/>
  <c r="Y339" i="23"/>
  <c r="T339" i="23" s="1"/>
  <c r="AD339" i="23" s="1"/>
  <c r="BM338" i="23"/>
  <c r="BE338" i="23"/>
  <c r="BC338" i="23" s="1"/>
  <c r="BD338" i="23"/>
  <c r="AW338" i="23"/>
  <c r="AQ338" i="23"/>
  <c r="AI338" i="23"/>
  <c r="AG338" i="23"/>
  <c r="AE338" i="23"/>
  <c r="AC338" i="23"/>
  <c r="Y338" i="23"/>
  <c r="BM335" i="23"/>
  <c r="BE335" i="23"/>
  <c r="BC335" i="23" s="1"/>
  <c r="BD335" i="23"/>
  <c r="AW335" i="23"/>
  <c r="AQ335" i="23"/>
  <c r="AI335" i="23"/>
  <c r="AG335" i="23"/>
  <c r="AE335" i="23"/>
  <c r="AC335" i="23"/>
  <c r="Y335" i="23"/>
  <c r="BP335" i="23"/>
  <c r="BR335" i="23" s="1"/>
  <c r="BR340" i="23" l="1"/>
  <c r="BR341" i="23"/>
  <c r="BR345" i="23"/>
  <c r="BR344" i="23"/>
  <c r="BR342" i="23"/>
  <c r="BR346" i="23"/>
  <c r="BR338" i="23"/>
  <c r="T341" i="23"/>
  <c r="AD341" i="23" s="1"/>
  <c r="AL341" i="23"/>
  <c r="AK341" i="23"/>
  <c r="AJ341" i="23"/>
  <c r="AT341" i="23"/>
  <c r="U343" i="23"/>
  <c r="AH345" i="23"/>
  <c r="AT345" i="23" s="1"/>
  <c r="T338" i="23"/>
  <c r="T340" i="23"/>
  <c r="T342" i="23"/>
  <c r="T344" i="23"/>
  <c r="T346" i="23"/>
  <c r="U339" i="23"/>
  <c r="U345" i="23"/>
  <c r="AH339" i="23"/>
  <c r="AH343" i="23"/>
  <c r="AT343" i="23" s="1"/>
  <c r="T335" i="23"/>
  <c r="AH338" i="23"/>
  <c r="AH340" i="23"/>
  <c r="AT340" i="23" s="1"/>
  <c r="AH342" i="23"/>
  <c r="AT342" i="23" s="1"/>
  <c r="AH344" i="23"/>
  <c r="AH346" i="23"/>
  <c r="AH335" i="23"/>
  <c r="U341" i="23" l="1"/>
  <c r="AM341" i="23"/>
  <c r="AN341" i="23" s="1"/>
  <c r="AO341" i="23" s="1"/>
  <c r="AU341" i="23" s="1"/>
  <c r="AL339" i="23"/>
  <c r="AK339" i="23"/>
  <c r="AJ339" i="23"/>
  <c r="AJ340" i="23"/>
  <c r="AL340" i="23"/>
  <c r="AK340" i="23"/>
  <c r="AJ338" i="23"/>
  <c r="AL338" i="23"/>
  <c r="AK338" i="23"/>
  <c r="U342" i="23"/>
  <c r="AD342" i="23"/>
  <c r="AT338" i="23"/>
  <c r="AL342" i="23"/>
  <c r="AK342" i="23"/>
  <c r="AJ342" i="23"/>
  <c r="U346" i="23"/>
  <c r="AD346" i="23"/>
  <c r="U344" i="23"/>
  <c r="AD344" i="23"/>
  <c r="U335" i="23"/>
  <c r="J335" i="23"/>
  <c r="AD335" i="23"/>
  <c r="K335" i="23"/>
  <c r="AL343" i="23"/>
  <c r="AK343" i="23"/>
  <c r="AJ343" i="23"/>
  <c r="U340" i="23"/>
  <c r="AD340" i="23"/>
  <c r="AT339" i="23"/>
  <c r="AL346" i="23"/>
  <c r="AK346" i="23"/>
  <c r="AJ346" i="23"/>
  <c r="AL345" i="23"/>
  <c r="AK345" i="23"/>
  <c r="AJ345" i="23"/>
  <c r="AL344" i="23"/>
  <c r="AK344" i="23"/>
  <c r="AJ344" i="23"/>
  <c r="AD338" i="23"/>
  <c r="U338" i="23"/>
  <c r="AT344" i="23"/>
  <c r="AT346" i="23"/>
  <c r="AL335" i="23"/>
  <c r="AK335" i="23"/>
  <c r="AJ335" i="23"/>
  <c r="AT335" i="23"/>
  <c r="AM335" i="23" l="1"/>
  <c r="AN335" i="23" s="1"/>
  <c r="AO335" i="23" s="1"/>
  <c r="AU335" i="23" s="1"/>
  <c r="AM344" i="23"/>
  <c r="AN344" i="23" s="1"/>
  <c r="AO344" i="23" s="1"/>
  <c r="AU344" i="23" s="1"/>
  <c r="AM338" i="23"/>
  <c r="AN338" i="23" s="1"/>
  <c r="AO338" i="23" s="1"/>
  <c r="AU338" i="23" s="1"/>
  <c r="AM343" i="23"/>
  <c r="AN343" i="23" s="1"/>
  <c r="AO343" i="23" s="1"/>
  <c r="AU343" i="23" s="1"/>
  <c r="AM346" i="23"/>
  <c r="AN346" i="23" s="1"/>
  <c r="AO346" i="23" s="1"/>
  <c r="AU346" i="23" s="1"/>
  <c r="AM339" i="23"/>
  <c r="AN339" i="23" s="1"/>
  <c r="AO339" i="23" s="1"/>
  <c r="AU339" i="23" s="1"/>
  <c r="AM340" i="23"/>
  <c r="AN340" i="23" s="1"/>
  <c r="AO340" i="23" s="1"/>
  <c r="AU340" i="23" s="1"/>
  <c r="AM345" i="23"/>
  <c r="AN345" i="23" s="1"/>
  <c r="AO345" i="23" s="1"/>
  <c r="AU345" i="23" s="1"/>
  <c r="AM342" i="23"/>
  <c r="AN342" i="23" s="1"/>
  <c r="AO342" i="23" s="1"/>
  <c r="AU342" i="23" s="1"/>
  <c r="W79" i="23" l="1"/>
  <c r="W80" i="23"/>
  <c r="W81" i="23"/>
  <c r="W82" i="23"/>
  <c r="W83" i="23"/>
  <c r="W84" i="23"/>
  <c r="W85" i="23"/>
  <c r="W78" i="23"/>
  <c r="S85" i="23" l="1"/>
  <c r="R84" i="23"/>
  <c r="Q83" i="23"/>
  <c r="P82" i="23"/>
  <c r="S84" i="23"/>
  <c r="R83" i="23"/>
  <c r="Q82" i="23"/>
  <c r="P81" i="23"/>
  <c r="S83" i="23"/>
  <c r="R82" i="23"/>
  <c r="Q81" i="23"/>
  <c r="P80" i="23"/>
  <c r="S82" i="23"/>
  <c r="R81" i="23"/>
  <c r="Q80" i="23"/>
  <c r="P79" i="23"/>
  <c r="P78" i="23"/>
  <c r="M78" i="23" s="1"/>
  <c r="S81" i="23"/>
  <c r="R80" i="23"/>
  <c r="Q79" i="23"/>
  <c r="S78" i="23"/>
  <c r="P83" i="23"/>
  <c r="S80" i="23"/>
  <c r="R79" i="23"/>
  <c r="P85" i="23"/>
  <c r="R78" i="23"/>
  <c r="R85" i="23"/>
  <c r="S79" i="23"/>
  <c r="Q85" i="23"/>
  <c r="P84" i="23"/>
  <c r="Q78" i="23"/>
  <c r="Q84" i="23"/>
  <c r="K345" i="23" l="1"/>
  <c r="J345" i="23"/>
  <c r="K344" i="23"/>
  <c r="J344" i="23"/>
  <c r="K343" i="23"/>
  <c r="J343" i="23"/>
  <c r="K342" i="23"/>
  <c r="J342" i="23"/>
  <c r="K341" i="23"/>
  <c r="J341" i="23"/>
  <c r="K340" i="23"/>
  <c r="J340" i="23"/>
  <c r="K339" i="23"/>
  <c r="J339" i="23"/>
  <c r="K338" i="23"/>
  <c r="J338" i="23"/>
  <c r="S346" i="23" l="1"/>
  <c r="S345" i="23"/>
  <c r="S344" i="23"/>
  <c r="S343" i="23"/>
  <c r="S342" i="23"/>
  <c r="S341" i="23"/>
  <c r="S340" i="23"/>
  <c r="S339" i="23"/>
  <c r="S338" i="23"/>
  <c r="L343" i="23"/>
  <c r="R346" i="23"/>
  <c r="R345" i="23"/>
  <c r="R344" i="23"/>
  <c r="R343" i="23"/>
  <c r="R342" i="23"/>
  <c r="R341" i="23"/>
  <c r="R340" i="23"/>
  <c r="R339" i="23"/>
  <c r="R338" i="23"/>
  <c r="L342" i="23"/>
  <c r="Q346" i="23"/>
  <c r="Q345" i="23"/>
  <c r="Q344" i="23"/>
  <c r="Q343" i="23"/>
  <c r="Q342" i="23"/>
  <c r="Q341" i="23"/>
  <c r="Q340" i="23"/>
  <c r="Q339" i="23"/>
  <c r="Q338" i="23"/>
  <c r="P346" i="23"/>
  <c r="P345" i="23"/>
  <c r="P344" i="23"/>
  <c r="P343" i="23"/>
  <c r="P342" i="23"/>
  <c r="P341" i="23"/>
  <c r="P340" i="23"/>
  <c r="P339" i="23"/>
  <c r="P338" i="23"/>
  <c r="M344" i="23"/>
  <c r="L346" i="23"/>
  <c r="O346" i="23"/>
  <c r="O345" i="23"/>
  <c r="O344" i="23"/>
  <c r="O343" i="23"/>
  <c r="O342" i="23"/>
  <c r="O341" i="23"/>
  <c r="O340" i="23"/>
  <c r="O339" i="23"/>
  <c r="O338" i="23"/>
  <c r="M346" i="23"/>
  <c r="M343" i="23"/>
  <c r="M342" i="23"/>
  <c r="M341" i="23"/>
  <c r="M340" i="23"/>
  <c r="M338" i="23"/>
  <c r="L345" i="23"/>
  <c r="L339" i="23"/>
  <c r="N346" i="23"/>
  <c r="N345" i="23"/>
  <c r="N344" i="23"/>
  <c r="N343" i="23"/>
  <c r="N342" i="23"/>
  <c r="N341" i="23"/>
  <c r="N340" i="23"/>
  <c r="N339" i="23"/>
  <c r="N338" i="23"/>
  <c r="M345" i="23"/>
  <c r="M339" i="23"/>
  <c r="L344" i="23"/>
  <c r="L341" i="23"/>
  <c r="L340" i="23"/>
  <c r="L338" i="23"/>
  <c r="S310" i="23"/>
  <c r="S309" i="23"/>
  <c r="S308" i="23"/>
  <c r="S307" i="23"/>
  <c r="S306" i="23"/>
  <c r="S305" i="23"/>
  <c r="S304" i="23"/>
  <c r="S303" i="23"/>
  <c r="S302" i="23"/>
  <c r="S301" i="23"/>
  <c r="S300" i="23"/>
  <c r="R310" i="23"/>
  <c r="R309" i="23"/>
  <c r="R308" i="23"/>
  <c r="R307" i="23"/>
  <c r="R306" i="23"/>
  <c r="R305" i="23"/>
  <c r="R304" i="23"/>
  <c r="R303" i="23"/>
  <c r="R302" i="23"/>
  <c r="R301" i="23"/>
  <c r="R300" i="23"/>
  <c r="Q310" i="23"/>
  <c r="Q309" i="23"/>
  <c r="Q308" i="23"/>
  <c r="Q307" i="23"/>
  <c r="Q306" i="23"/>
  <c r="Q305" i="23"/>
  <c r="Q304" i="23"/>
  <c r="Q303" i="23"/>
  <c r="Q302" i="23"/>
  <c r="Q301" i="23"/>
  <c r="Q300" i="23"/>
  <c r="L304" i="23"/>
  <c r="P310" i="23"/>
  <c r="P309" i="23"/>
  <c r="P308" i="23"/>
  <c r="P307" i="23"/>
  <c r="P306" i="23"/>
  <c r="P305" i="23"/>
  <c r="P304" i="23"/>
  <c r="P303" i="23"/>
  <c r="P302" i="23"/>
  <c r="P301" i="23"/>
  <c r="P300" i="23"/>
  <c r="L305" i="23"/>
  <c r="L300" i="23"/>
  <c r="O310" i="23"/>
  <c r="O309" i="23"/>
  <c r="O308" i="23"/>
  <c r="O307" i="23"/>
  <c r="O306" i="23"/>
  <c r="O305" i="23"/>
  <c r="O304" i="23"/>
  <c r="O303" i="23"/>
  <c r="O302" i="23"/>
  <c r="O301" i="23"/>
  <c r="O300" i="23"/>
  <c r="N310" i="23"/>
  <c r="N309" i="23"/>
  <c r="N308" i="23"/>
  <c r="N307" i="23"/>
  <c r="N306" i="23"/>
  <c r="N305" i="23"/>
  <c r="N304" i="23"/>
  <c r="N303" i="23"/>
  <c r="N302" i="23"/>
  <c r="N301" i="23"/>
  <c r="N300" i="23"/>
  <c r="L302" i="23"/>
  <c r="M310" i="23"/>
  <c r="M309" i="23"/>
  <c r="M308" i="23"/>
  <c r="M307" i="23"/>
  <c r="M306" i="23"/>
  <c r="M305" i="23"/>
  <c r="M304" i="23"/>
  <c r="M303" i="23"/>
  <c r="M302" i="23"/>
  <c r="M301" i="23"/>
  <c r="M300" i="23"/>
  <c r="L310" i="23"/>
  <c r="L309" i="23"/>
  <c r="L308" i="23"/>
  <c r="L307" i="23"/>
  <c r="L306" i="23"/>
  <c r="L303" i="23"/>
  <c r="L301" i="23"/>
  <c r="S335" i="23"/>
  <c r="Q335" i="23"/>
  <c r="M335" i="23"/>
  <c r="R335" i="23"/>
  <c r="O335" i="23"/>
  <c r="N335" i="23"/>
  <c r="P335" i="23"/>
  <c r="L335" i="23"/>
  <c r="M337" i="23"/>
  <c r="M336" i="23"/>
  <c r="M334" i="23"/>
  <c r="M333" i="23"/>
  <c r="M332" i="23"/>
  <c r="M331" i="23"/>
  <c r="M330" i="23"/>
  <c r="R336" i="23"/>
  <c r="P334" i="23"/>
  <c r="N333" i="23"/>
  <c r="R331" i="23"/>
  <c r="P330" i="23"/>
  <c r="N329" i="23"/>
  <c r="P336" i="23"/>
  <c r="R332" i="23"/>
  <c r="N330" i="23"/>
  <c r="O336" i="23"/>
  <c r="Q332" i="23"/>
  <c r="S329" i="23"/>
  <c r="N336" i="23"/>
  <c r="P332" i="23"/>
  <c r="R329" i="23"/>
  <c r="S334" i="23"/>
  <c r="Q333" i="23"/>
  <c r="S330" i="23"/>
  <c r="N337" i="23"/>
  <c r="P333" i="23"/>
  <c r="R330" i="23"/>
  <c r="Q334" i="23"/>
  <c r="O333" i="23"/>
  <c r="Q330" i="23"/>
  <c r="S337" i="23"/>
  <c r="Q336" i="23"/>
  <c r="O334" i="23"/>
  <c r="S332" i="23"/>
  <c r="Q331" i="23"/>
  <c r="O330" i="23"/>
  <c r="M329" i="23"/>
  <c r="R337" i="23"/>
  <c r="N334" i="23"/>
  <c r="P331" i="23"/>
  <c r="Q337" i="23"/>
  <c r="S333" i="23"/>
  <c r="O331" i="23"/>
  <c r="P337" i="23"/>
  <c r="R333" i="23"/>
  <c r="N331" i="23"/>
  <c r="O337" i="23"/>
  <c r="O332" i="23"/>
  <c r="Q329" i="23"/>
  <c r="R334" i="23"/>
  <c r="N332" i="23"/>
  <c r="P329" i="23"/>
  <c r="S336" i="23"/>
  <c r="S331" i="23"/>
  <c r="O329" i="23"/>
  <c r="AA303" i="23" l="1"/>
  <c r="AP303" i="23"/>
  <c r="AA300" i="23"/>
  <c r="AP300" i="23"/>
  <c r="AA306" i="23"/>
  <c r="AP306" i="23"/>
  <c r="AA307" i="23"/>
  <c r="AP307" i="23"/>
  <c r="AA308" i="23"/>
  <c r="AP308" i="23"/>
  <c r="AA302" i="23"/>
  <c r="AP302" i="23"/>
  <c r="AA309" i="23"/>
  <c r="AP309" i="23"/>
  <c r="AA310" i="23"/>
  <c r="AP310" i="23"/>
  <c r="AA304" i="23"/>
  <c r="AP304" i="23"/>
  <c r="AA301" i="23"/>
  <c r="AP301" i="23"/>
  <c r="AA305" i="23"/>
  <c r="AP305" i="23"/>
  <c r="AA335" i="23"/>
  <c r="AP335" i="23"/>
  <c r="AA338" i="23"/>
  <c r="AP338" i="23"/>
  <c r="AA346" i="23"/>
  <c r="AP346" i="23"/>
  <c r="AA340" i="23"/>
  <c r="AP340" i="23"/>
  <c r="AA339" i="23"/>
  <c r="AP339" i="23"/>
  <c r="AA341" i="23"/>
  <c r="AP341" i="23"/>
  <c r="AA342" i="23"/>
  <c r="AP342" i="23"/>
  <c r="AA343" i="23"/>
  <c r="AP343" i="23"/>
  <c r="AA344" i="23"/>
  <c r="AP344" i="23"/>
  <c r="AA345" i="23"/>
  <c r="AP345" i="23"/>
  <c r="BE47" i="23" l="1"/>
  <c r="BC47" i="23" s="1"/>
  <c r="BD47" i="23"/>
  <c r="AW47" i="23"/>
  <c r="AQ47" i="23"/>
  <c r="AI47" i="23"/>
  <c r="AG47" i="23"/>
  <c r="AE47" i="23"/>
  <c r="AC47" i="23"/>
  <c r="AA47" i="23"/>
  <c r="Z47" i="23"/>
  <c r="Y47" i="23"/>
  <c r="K47" i="23" s="1"/>
  <c r="BE46" i="23"/>
  <c r="BC46" i="23" s="1"/>
  <c r="BD46" i="23"/>
  <c r="AW46" i="23"/>
  <c r="AQ46" i="23"/>
  <c r="AI46" i="23"/>
  <c r="AG46" i="23"/>
  <c r="AE46" i="23"/>
  <c r="AC46" i="23"/>
  <c r="AA46" i="23"/>
  <c r="Z46" i="23"/>
  <c r="Y46" i="23"/>
  <c r="K46" i="23" s="1"/>
  <c r="BE45" i="23"/>
  <c r="BC45" i="23" s="1"/>
  <c r="BD45" i="23"/>
  <c r="AW45" i="23"/>
  <c r="AQ45" i="23"/>
  <c r="AI45" i="23"/>
  <c r="AG45" i="23"/>
  <c r="AE45" i="23"/>
  <c r="AC45" i="23"/>
  <c r="AA45" i="23"/>
  <c r="Z45" i="23"/>
  <c r="Y45" i="23"/>
  <c r="K45" i="23" s="1"/>
  <c r="BE44" i="23"/>
  <c r="BC44" i="23" s="1"/>
  <c r="BD44" i="23"/>
  <c r="AW44" i="23"/>
  <c r="AQ44" i="23"/>
  <c r="AI44" i="23"/>
  <c r="AG44" i="23"/>
  <c r="AE44" i="23"/>
  <c r="AC44" i="23"/>
  <c r="AA44" i="23"/>
  <c r="Z44" i="23"/>
  <c r="Y44" i="23"/>
  <c r="T44" i="23" s="1"/>
  <c r="BE43" i="23"/>
  <c r="BC43" i="23" s="1"/>
  <c r="BD43" i="23"/>
  <c r="AW43" i="23"/>
  <c r="AQ43" i="23"/>
  <c r="AI43" i="23"/>
  <c r="AG43" i="23"/>
  <c r="AE43" i="23"/>
  <c r="AC43" i="23"/>
  <c r="AA43" i="23"/>
  <c r="Z43" i="23"/>
  <c r="Y43" i="23"/>
  <c r="K43" i="23" s="1"/>
  <c r="U44" i="23" l="1"/>
  <c r="BX44" i="23" s="1"/>
  <c r="J44" i="23"/>
  <c r="K44" i="23"/>
  <c r="T46" i="23"/>
  <c r="J46" i="23" s="1"/>
  <c r="AP47" i="23"/>
  <c r="AP46" i="23"/>
  <c r="AP45" i="23"/>
  <c r="AP44" i="23"/>
  <c r="AP43" i="23"/>
  <c r="T47" i="23"/>
  <c r="J47" i="23" s="1"/>
  <c r="AH43" i="23"/>
  <c r="AJ43" i="23" s="1"/>
  <c r="AH45" i="23"/>
  <c r="AK45" i="23" s="1"/>
  <c r="AD44" i="23"/>
  <c r="AH47" i="23"/>
  <c r="AJ47" i="23" s="1"/>
  <c r="AH44" i="23"/>
  <c r="AL44" i="23" s="1"/>
  <c r="T43" i="23"/>
  <c r="J43" i="23" s="1"/>
  <c r="T45" i="23"/>
  <c r="J45" i="23" s="1"/>
  <c r="AH46" i="23"/>
  <c r="AJ46" i="23" s="1"/>
  <c r="AK43" i="23" l="1"/>
  <c r="AT46" i="23"/>
  <c r="AT45" i="23"/>
  <c r="AL43" i="23"/>
  <c r="AT43" i="23"/>
  <c r="AK46" i="23"/>
  <c r="AK44" i="23"/>
  <c r="U46" i="23"/>
  <c r="BX46" i="23" s="1"/>
  <c r="AD46" i="23"/>
  <c r="AL46" i="23"/>
  <c r="U45" i="23"/>
  <c r="BX45" i="23" s="1"/>
  <c r="AD45" i="23"/>
  <c r="AL45" i="23"/>
  <c r="AJ45" i="23"/>
  <c r="AL47" i="23"/>
  <c r="AT47" i="23"/>
  <c r="AK47" i="23"/>
  <c r="U43" i="23"/>
  <c r="BX43" i="23" s="1"/>
  <c r="AD43" i="23"/>
  <c r="U47" i="23"/>
  <c r="BX47" i="23" s="1"/>
  <c r="AD47" i="23"/>
  <c r="AT44" i="23"/>
  <c r="AJ44" i="23"/>
  <c r="AM43" i="23" l="1"/>
  <c r="AN43" i="23" s="1"/>
  <c r="AO43" i="23" s="1"/>
  <c r="AU43" i="23" s="1"/>
  <c r="AM46" i="23"/>
  <c r="AN46" i="23" s="1"/>
  <c r="AO46" i="23" s="1"/>
  <c r="AU46" i="23" s="1"/>
  <c r="AM44" i="23"/>
  <c r="AN44" i="23" s="1"/>
  <c r="AO44" i="23" s="1"/>
  <c r="AU44" i="23" s="1"/>
  <c r="AM47" i="23"/>
  <c r="AN47" i="23" s="1"/>
  <c r="AO47" i="23" s="1"/>
  <c r="AU47" i="23" s="1"/>
  <c r="AM45" i="23"/>
  <c r="AN45" i="23" s="1"/>
  <c r="AO45" i="23" s="1"/>
  <c r="AU45" i="23" s="1"/>
  <c r="I33" i="23" l="1"/>
  <c r="BY337" i="23" l="1"/>
  <c r="BQ337" i="23"/>
  <c r="BP337" i="23"/>
  <c r="BM337" i="23"/>
  <c r="BE337" i="23"/>
  <c r="BC337" i="23" s="1"/>
  <c r="BD337" i="23"/>
  <c r="AW337" i="23"/>
  <c r="AQ337" i="23"/>
  <c r="AI337" i="23"/>
  <c r="AG337" i="23"/>
  <c r="AE337" i="23"/>
  <c r="AC337" i="23"/>
  <c r="Y337" i="23"/>
  <c r="T337" i="23" s="1"/>
  <c r="BY336" i="23"/>
  <c r="BQ336" i="23"/>
  <c r="BP336" i="23"/>
  <c r="BM336" i="23"/>
  <c r="BE336" i="23"/>
  <c r="BC336" i="23" s="1"/>
  <c r="BD336" i="23"/>
  <c r="AW336" i="23"/>
  <c r="AQ336" i="23"/>
  <c r="AI336" i="23"/>
  <c r="AG336" i="23"/>
  <c r="AE336" i="23"/>
  <c r="AC336" i="23"/>
  <c r="Y336" i="23"/>
  <c r="BY334" i="23"/>
  <c r="BQ334" i="23"/>
  <c r="BP334" i="23"/>
  <c r="BM334" i="23"/>
  <c r="BE334" i="23"/>
  <c r="BC334" i="23" s="1"/>
  <c r="BD334" i="23"/>
  <c r="AW334" i="23"/>
  <c r="AQ334" i="23"/>
  <c r="AI334" i="23"/>
  <c r="AG334" i="23"/>
  <c r="AE334" i="23"/>
  <c r="AC334" i="23"/>
  <c r="Y334" i="23"/>
  <c r="T334" i="23" s="1"/>
  <c r="BY333" i="23"/>
  <c r="BQ333" i="23"/>
  <c r="BP333" i="23"/>
  <c r="BM333" i="23"/>
  <c r="BE333" i="23"/>
  <c r="BC333" i="23" s="1"/>
  <c r="BD333" i="23"/>
  <c r="AW333" i="23"/>
  <c r="AQ333" i="23"/>
  <c r="AI333" i="23"/>
  <c r="AG333" i="23"/>
  <c r="AE333" i="23"/>
  <c r="AC333" i="23"/>
  <c r="Y333" i="23"/>
  <c r="BY332" i="23"/>
  <c r="BQ332" i="23"/>
  <c r="BP332" i="23"/>
  <c r="BM332" i="23"/>
  <c r="BE332" i="23"/>
  <c r="BC332" i="23" s="1"/>
  <c r="BD332" i="23"/>
  <c r="AW332" i="23"/>
  <c r="AQ332" i="23"/>
  <c r="AI332" i="23"/>
  <c r="AG332" i="23"/>
  <c r="AE332" i="23"/>
  <c r="AC332" i="23"/>
  <c r="Y332" i="23"/>
  <c r="T332" i="23" s="1"/>
  <c r="BY331" i="23"/>
  <c r="BQ331" i="23"/>
  <c r="BP331" i="23"/>
  <c r="BM331" i="23"/>
  <c r="BE331" i="23"/>
  <c r="BC331" i="23" s="1"/>
  <c r="BD331" i="23"/>
  <c r="AW331" i="23"/>
  <c r="AQ331" i="23"/>
  <c r="AI331" i="23"/>
  <c r="AG331" i="23"/>
  <c r="AE331" i="23"/>
  <c r="AC331" i="23"/>
  <c r="Y331" i="23"/>
  <c r="BY330" i="23"/>
  <c r="BQ330" i="23"/>
  <c r="BP330" i="23"/>
  <c r="BM330" i="23"/>
  <c r="BE330" i="23"/>
  <c r="BC330" i="23" s="1"/>
  <c r="BD330" i="23"/>
  <c r="AW330" i="23"/>
  <c r="AQ330" i="23"/>
  <c r="AI330" i="23"/>
  <c r="AG330" i="23"/>
  <c r="AE330" i="23"/>
  <c r="AC330" i="23"/>
  <c r="Y330" i="23"/>
  <c r="T330" i="23" s="1"/>
  <c r="BY329" i="23"/>
  <c r="BQ329" i="23"/>
  <c r="BP329" i="23"/>
  <c r="BM329" i="23"/>
  <c r="BE329" i="23"/>
  <c r="BC329" i="23" s="1"/>
  <c r="BD329" i="23"/>
  <c r="AW329" i="23"/>
  <c r="AQ329" i="23"/>
  <c r="AI329" i="23"/>
  <c r="AG329" i="23"/>
  <c r="AE329" i="23"/>
  <c r="AC329" i="23"/>
  <c r="Y329" i="23"/>
  <c r="BR337" i="23" l="1"/>
  <c r="BR333" i="23"/>
  <c r="BR332" i="23"/>
  <c r="BR336" i="23"/>
  <c r="BR331" i="23"/>
  <c r="T329" i="23"/>
  <c r="K329" i="23" s="1"/>
  <c r="BR334" i="23"/>
  <c r="T331" i="23"/>
  <c r="BR329" i="23"/>
  <c r="T333" i="23"/>
  <c r="BR330" i="23"/>
  <c r="T336" i="23"/>
  <c r="K332" i="23"/>
  <c r="AD332" i="23"/>
  <c r="J332" i="23"/>
  <c r="U332" i="23"/>
  <c r="BX332" i="23" s="1"/>
  <c r="K334" i="23"/>
  <c r="AD334" i="23"/>
  <c r="J334" i="23"/>
  <c r="U334" i="23"/>
  <c r="BX334" i="23" s="1"/>
  <c r="U337" i="23"/>
  <c r="BX337" i="23" s="1"/>
  <c r="K337" i="23"/>
  <c r="AD337" i="23"/>
  <c r="J337" i="23"/>
  <c r="U330" i="23"/>
  <c r="BX330" i="23" s="1"/>
  <c r="K330" i="23"/>
  <c r="AD330" i="23"/>
  <c r="J330" i="23"/>
  <c r="AH330" i="23"/>
  <c r="AH332" i="23"/>
  <c r="AH334" i="23"/>
  <c r="AH337" i="23"/>
  <c r="AH329" i="23"/>
  <c r="AH331" i="23"/>
  <c r="AH333" i="23"/>
  <c r="AH336" i="23"/>
  <c r="U329" i="23" l="1"/>
  <c r="BX329" i="23" s="1"/>
  <c r="AD329" i="23"/>
  <c r="J329" i="23"/>
  <c r="K336" i="23"/>
  <c r="J336" i="23"/>
  <c r="U336" i="23"/>
  <c r="BX336" i="23" s="1"/>
  <c r="AD336" i="23"/>
  <c r="K333" i="23"/>
  <c r="U333" i="23"/>
  <c r="BX333" i="23" s="1"/>
  <c r="J333" i="23"/>
  <c r="AD333" i="23"/>
  <c r="K331" i="23"/>
  <c r="AD331" i="23"/>
  <c r="U331" i="23"/>
  <c r="BX331" i="23" s="1"/>
  <c r="J331" i="23"/>
  <c r="AJ333" i="23"/>
  <c r="AT333" i="23"/>
  <c r="AL333" i="23"/>
  <c r="AK333" i="23"/>
  <c r="AL334" i="23"/>
  <c r="AT334" i="23"/>
  <c r="AK334" i="23"/>
  <c r="AJ334" i="23"/>
  <c r="AK331" i="23"/>
  <c r="AJ331" i="23"/>
  <c r="AT331" i="23"/>
  <c r="AL331" i="23"/>
  <c r="AT332" i="23"/>
  <c r="AK332" i="23"/>
  <c r="AL332" i="23"/>
  <c r="AJ332" i="23"/>
  <c r="AT336" i="23"/>
  <c r="AK336" i="23"/>
  <c r="AJ336" i="23"/>
  <c r="AL336" i="23"/>
  <c r="AT329" i="23"/>
  <c r="AJ329" i="23"/>
  <c r="AK329" i="23"/>
  <c r="AL329" i="23"/>
  <c r="AL337" i="23"/>
  <c r="AT337" i="23"/>
  <c r="AK337" i="23"/>
  <c r="AJ337" i="23"/>
  <c r="AK330" i="23"/>
  <c r="AL330" i="23"/>
  <c r="AT330" i="23"/>
  <c r="AJ330" i="23"/>
  <c r="AM337" i="23" l="1"/>
  <c r="AN337" i="23" s="1"/>
  <c r="AO337" i="23" s="1"/>
  <c r="AU337" i="23" s="1"/>
  <c r="AM333" i="23"/>
  <c r="AN333" i="23" s="1"/>
  <c r="AO333" i="23" s="1"/>
  <c r="AU333" i="23" s="1"/>
  <c r="AM336" i="23"/>
  <c r="AN336" i="23" s="1"/>
  <c r="AO336" i="23" s="1"/>
  <c r="AU336" i="23" s="1"/>
  <c r="AM329" i="23"/>
  <c r="AN329" i="23" s="1"/>
  <c r="AO329" i="23" s="1"/>
  <c r="AU329" i="23" s="1"/>
  <c r="AM332" i="23"/>
  <c r="AN332" i="23" s="1"/>
  <c r="AO332" i="23" s="1"/>
  <c r="AU332" i="23" s="1"/>
  <c r="AM331" i="23"/>
  <c r="AN331" i="23" s="1"/>
  <c r="AO331" i="23" s="1"/>
  <c r="AU331" i="23" s="1"/>
  <c r="AM330" i="23"/>
  <c r="AN330" i="23" s="1"/>
  <c r="AO330" i="23" s="1"/>
  <c r="AU330" i="23" s="1"/>
  <c r="AM334" i="23"/>
  <c r="AN334" i="23" s="1"/>
  <c r="AO334" i="23" s="1"/>
  <c r="AU334" i="23" s="1"/>
  <c r="BY328" i="23" l="1"/>
  <c r="BQ328" i="23"/>
  <c r="BP328" i="23"/>
  <c r="BM328" i="23"/>
  <c r="BE328" i="23"/>
  <c r="BC328" i="23" s="1"/>
  <c r="BD328" i="23"/>
  <c r="AW328" i="23"/>
  <c r="AQ328" i="23"/>
  <c r="AI328" i="23"/>
  <c r="AG328" i="23"/>
  <c r="AE328" i="23"/>
  <c r="AC328" i="23"/>
  <c r="Y328" i="23"/>
  <c r="T328" i="23" s="1"/>
  <c r="BY327" i="23"/>
  <c r="BQ327" i="23"/>
  <c r="BP327" i="23"/>
  <c r="BM327" i="23"/>
  <c r="BE327" i="23"/>
  <c r="BC327" i="23" s="1"/>
  <c r="BD327" i="23"/>
  <c r="AW327" i="23"/>
  <c r="AQ327" i="23"/>
  <c r="AI327" i="23"/>
  <c r="AG327" i="23"/>
  <c r="AE327" i="23"/>
  <c r="AC327" i="23"/>
  <c r="Y327" i="23"/>
  <c r="BY326" i="23"/>
  <c r="BQ326" i="23"/>
  <c r="BP326" i="23"/>
  <c r="BM326" i="23"/>
  <c r="BE326" i="23"/>
  <c r="BC326" i="23" s="1"/>
  <c r="BD326" i="23"/>
  <c r="AW326" i="23"/>
  <c r="AQ326" i="23"/>
  <c r="AI326" i="23"/>
  <c r="AG326" i="23"/>
  <c r="AE326" i="23"/>
  <c r="AC326" i="23"/>
  <c r="Y326" i="23"/>
  <c r="T326" i="23" s="1"/>
  <c r="BY325" i="23"/>
  <c r="BQ325" i="23"/>
  <c r="BP325" i="23"/>
  <c r="BM325" i="23"/>
  <c r="BE325" i="23"/>
  <c r="BC325" i="23" s="1"/>
  <c r="BD325" i="23"/>
  <c r="AW325" i="23"/>
  <c r="AQ325" i="23"/>
  <c r="AI325" i="23"/>
  <c r="AG325" i="23"/>
  <c r="AE325" i="23"/>
  <c r="AC325" i="23"/>
  <c r="Y325" i="23"/>
  <c r="BY324" i="23"/>
  <c r="BQ324" i="23"/>
  <c r="BP324" i="23"/>
  <c r="BM324" i="23"/>
  <c r="BE324" i="23"/>
  <c r="BC324" i="23" s="1"/>
  <c r="BD324" i="23"/>
  <c r="AW324" i="23"/>
  <c r="AQ324" i="23"/>
  <c r="AI324" i="23"/>
  <c r="AG324" i="23"/>
  <c r="AE324" i="23"/>
  <c r="AC324" i="23"/>
  <c r="Y324" i="23"/>
  <c r="T324" i="23" s="1"/>
  <c r="BY323" i="23"/>
  <c r="BQ323" i="23"/>
  <c r="BR323" i="23" s="1"/>
  <c r="BP323" i="23"/>
  <c r="BM323" i="23"/>
  <c r="BE323" i="23"/>
  <c r="BC323" i="23" s="1"/>
  <c r="BD323" i="23"/>
  <c r="AW323" i="23"/>
  <c r="AQ323" i="23"/>
  <c r="AI323" i="23"/>
  <c r="AG323" i="23"/>
  <c r="AE323" i="23"/>
  <c r="AC323" i="23"/>
  <c r="Y323" i="23"/>
  <c r="BY322" i="23"/>
  <c r="BQ322" i="23"/>
  <c r="BP322" i="23"/>
  <c r="BM322" i="23"/>
  <c r="BE322" i="23"/>
  <c r="BC322" i="23" s="1"/>
  <c r="BD322" i="23"/>
  <c r="AW322" i="23"/>
  <c r="AQ322" i="23"/>
  <c r="AI322" i="23"/>
  <c r="AG322" i="23"/>
  <c r="AE322" i="23"/>
  <c r="AC322" i="23"/>
  <c r="Y322" i="23"/>
  <c r="T322" i="23" s="1"/>
  <c r="BY321" i="23"/>
  <c r="BQ321" i="23"/>
  <c r="BP321" i="23"/>
  <c r="BM321" i="23"/>
  <c r="BE321" i="23"/>
  <c r="BC321" i="23" s="1"/>
  <c r="BD321" i="23"/>
  <c r="AW321" i="23"/>
  <c r="AQ321" i="23"/>
  <c r="AI321" i="23"/>
  <c r="AG321" i="23"/>
  <c r="AE321" i="23"/>
  <c r="AC321" i="23"/>
  <c r="Y321" i="23"/>
  <c r="T321" i="23" s="1"/>
  <c r="K321" i="23" s="1"/>
  <c r="BY320" i="23"/>
  <c r="BQ320" i="23"/>
  <c r="BP320" i="23"/>
  <c r="BM320" i="23"/>
  <c r="BE320" i="23"/>
  <c r="BC320" i="23" s="1"/>
  <c r="BD320" i="23"/>
  <c r="AW320" i="23"/>
  <c r="AQ320" i="23"/>
  <c r="AI320" i="23"/>
  <c r="AG320" i="23"/>
  <c r="AE320" i="23"/>
  <c r="AC320" i="23"/>
  <c r="Y320" i="23"/>
  <c r="T320" i="23" s="1"/>
  <c r="BR327" i="23" l="1"/>
  <c r="BR325" i="23"/>
  <c r="BR328" i="23"/>
  <c r="T325" i="23"/>
  <c r="U325" i="23" s="1"/>
  <c r="BX325" i="23" s="1"/>
  <c r="BR321" i="23"/>
  <c r="BR324" i="23"/>
  <c r="BR326" i="23"/>
  <c r="BR320" i="23"/>
  <c r="BR322" i="23"/>
  <c r="U321" i="23"/>
  <c r="BX321" i="23" s="1"/>
  <c r="T323" i="23"/>
  <c r="AD321" i="23"/>
  <c r="J321" i="23"/>
  <c r="T327" i="23"/>
  <c r="K327" i="23" s="1"/>
  <c r="U328" i="23"/>
  <c r="BX328" i="23" s="1"/>
  <c r="K328" i="23"/>
  <c r="AD328" i="23"/>
  <c r="J328" i="23"/>
  <c r="K322" i="23"/>
  <c r="AD322" i="23"/>
  <c r="J322" i="23"/>
  <c r="U322" i="23"/>
  <c r="BX322" i="23" s="1"/>
  <c r="K320" i="23"/>
  <c r="AD320" i="23"/>
  <c r="J320" i="23"/>
  <c r="U320" i="23"/>
  <c r="BX320" i="23" s="1"/>
  <c r="K326" i="23"/>
  <c r="U326" i="23"/>
  <c r="BX326" i="23" s="1"/>
  <c r="AD326" i="23"/>
  <c r="J326" i="23"/>
  <c r="K324" i="23"/>
  <c r="U324" i="23"/>
  <c r="BX324" i="23" s="1"/>
  <c r="AD324" i="23"/>
  <c r="J324" i="23"/>
  <c r="AH320" i="23"/>
  <c r="AH322" i="23"/>
  <c r="AH324" i="23"/>
  <c r="AH326" i="23"/>
  <c r="AH328" i="23"/>
  <c r="AH321" i="23"/>
  <c r="AH323" i="23"/>
  <c r="AH325" i="23"/>
  <c r="AH327" i="23"/>
  <c r="K325" i="23" l="1"/>
  <c r="AD325" i="23"/>
  <c r="J325" i="23"/>
  <c r="U327" i="23"/>
  <c r="BX327" i="23" s="1"/>
  <c r="J327" i="23"/>
  <c r="AD327" i="23"/>
  <c r="K323" i="23"/>
  <c r="AD323" i="23"/>
  <c r="U323" i="23"/>
  <c r="BX323" i="23" s="1"/>
  <c r="J323" i="23"/>
  <c r="AK320" i="23"/>
  <c r="AL320" i="23"/>
  <c r="AT320" i="23"/>
  <c r="AJ320" i="23"/>
  <c r="AJ325" i="23"/>
  <c r="AK325" i="23"/>
  <c r="AT325" i="23"/>
  <c r="AL325" i="23"/>
  <c r="AL328" i="23"/>
  <c r="AT328" i="23"/>
  <c r="AK328" i="23"/>
  <c r="AJ328" i="23"/>
  <c r="AJ323" i="23"/>
  <c r="AT323" i="23"/>
  <c r="AK323" i="23"/>
  <c r="AL323" i="23"/>
  <c r="AL326" i="23"/>
  <c r="AT326" i="23"/>
  <c r="AK326" i="23"/>
  <c r="AJ326" i="23"/>
  <c r="AK321" i="23"/>
  <c r="AJ321" i="23"/>
  <c r="AL321" i="23"/>
  <c r="AT321" i="23"/>
  <c r="AL322" i="23"/>
  <c r="AT322" i="23"/>
  <c r="AK322" i="23"/>
  <c r="AJ322" i="23"/>
  <c r="AT327" i="23"/>
  <c r="AK327" i="23"/>
  <c r="AJ327" i="23"/>
  <c r="AL327" i="23"/>
  <c r="AT324" i="23"/>
  <c r="AK324" i="23"/>
  <c r="AL324" i="23"/>
  <c r="AJ324" i="23"/>
  <c r="AM325" i="23" l="1"/>
  <c r="AN325" i="23" s="1"/>
  <c r="AO325" i="23" s="1"/>
  <c r="AU325" i="23" s="1"/>
  <c r="AM322" i="23"/>
  <c r="AN322" i="23" s="1"/>
  <c r="AO322" i="23" s="1"/>
  <c r="AU322" i="23" s="1"/>
  <c r="AM321" i="23"/>
  <c r="AN321" i="23" s="1"/>
  <c r="AO321" i="23" s="1"/>
  <c r="AU321" i="23" s="1"/>
  <c r="AM320" i="23"/>
  <c r="AN320" i="23" s="1"/>
  <c r="AO320" i="23" s="1"/>
  <c r="AU320" i="23" s="1"/>
  <c r="AM326" i="23"/>
  <c r="AN326" i="23" s="1"/>
  <c r="AO326" i="23" s="1"/>
  <c r="AU326" i="23" s="1"/>
  <c r="AM324" i="23"/>
  <c r="AN324" i="23" s="1"/>
  <c r="AO324" i="23" s="1"/>
  <c r="AU324" i="23" s="1"/>
  <c r="AM327" i="23"/>
  <c r="AN327" i="23" s="1"/>
  <c r="AO327" i="23" s="1"/>
  <c r="AU327" i="23" s="1"/>
  <c r="AM323" i="23"/>
  <c r="AN323" i="23" s="1"/>
  <c r="AO323" i="23" s="1"/>
  <c r="AU323" i="23" s="1"/>
  <c r="AM328" i="23"/>
  <c r="AN328" i="23" s="1"/>
  <c r="AO328" i="23" s="1"/>
  <c r="AU328" i="23" s="1"/>
  <c r="C73" i="24" l="1"/>
  <c r="H73" i="24" s="1"/>
  <c r="C72" i="24"/>
  <c r="H72" i="24" s="1"/>
  <c r="C71" i="24"/>
  <c r="H71" i="24" s="1"/>
  <c r="C70" i="24"/>
  <c r="H70" i="24" s="1"/>
  <c r="C69" i="24"/>
  <c r="H69" i="24" s="1"/>
  <c r="C67" i="24"/>
  <c r="H67" i="24" s="1"/>
  <c r="C66" i="24"/>
  <c r="H66" i="24" s="1"/>
  <c r="C65" i="24"/>
  <c r="H65" i="24" s="1"/>
  <c r="C64" i="24"/>
  <c r="H64" i="24" s="1"/>
  <c r="B73" i="24"/>
  <c r="B72" i="24"/>
  <c r="B71" i="24"/>
  <c r="B70" i="24"/>
  <c r="B69" i="24"/>
  <c r="B67" i="24"/>
  <c r="B66" i="24"/>
  <c r="B65" i="24"/>
  <c r="B64" i="24"/>
  <c r="L336" i="23" l="1"/>
  <c r="L333" i="23"/>
  <c r="L330" i="23"/>
  <c r="L334" i="23"/>
  <c r="L331" i="23"/>
  <c r="L337" i="23"/>
  <c r="L332" i="23"/>
  <c r="L329" i="23"/>
  <c r="S328" i="23"/>
  <c r="S327" i="23"/>
  <c r="S326" i="23"/>
  <c r="S325" i="23"/>
  <c r="S324" i="23"/>
  <c r="S323" i="23"/>
  <c r="S322" i="23"/>
  <c r="S321" i="23"/>
  <c r="S320" i="23"/>
  <c r="R328" i="23"/>
  <c r="R327" i="23"/>
  <c r="R326" i="23"/>
  <c r="R325" i="23"/>
  <c r="R324" i="23"/>
  <c r="R323" i="23"/>
  <c r="R322" i="23"/>
  <c r="R321" i="23"/>
  <c r="R320" i="23"/>
  <c r="Q322" i="23"/>
  <c r="N327" i="23"/>
  <c r="N323" i="23"/>
  <c r="N320" i="23"/>
  <c r="Q328" i="23"/>
  <c r="Q327" i="23"/>
  <c r="Q326" i="23"/>
  <c r="Q325" i="23"/>
  <c r="Q324" i="23"/>
  <c r="Q323" i="23"/>
  <c r="Q321" i="23"/>
  <c r="Q320" i="23"/>
  <c r="N328" i="23"/>
  <c r="N326" i="23"/>
  <c r="N324" i="23"/>
  <c r="N322" i="23"/>
  <c r="N321" i="23"/>
  <c r="L326" i="23"/>
  <c r="L320" i="23"/>
  <c r="P328" i="23"/>
  <c r="P327" i="23"/>
  <c r="P326" i="23"/>
  <c r="P325" i="23"/>
  <c r="P324" i="23"/>
  <c r="P323" i="23"/>
  <c r="P322" i="23"/>
  <c r="P321" i="23"/>
  <c r="P320" i="23"/>
  <c r="L327" i="23"/>
  <c r="O328" i="23"/>
  <c r="O327" i="23"/>
  <c r="O326" i="23"/>
  <c r="O325" i="23"/>
  <c r="O324" i="23"/>
  <c r="O323" i="23"/>
  <c r="O322" i="23"/>
  <c r="O321" i="23"/>
  <c r="O320" i="23"/>
  <c r="N325" i="23"/>
  <c r="L323" i="23"/>
  <c r="M328" i="23"/>
  <c r="M327" i="23"/>
  <c r="M326" i="23"/>
  <c r="M325" i="23"/>
  <c r="M324" i="23"/>
  <c r="M323" i="23"/>
  <c r="M322" i="23"/>
  <c r="M321" i="23"/>
  <c r="M320" i="23"/>
  <c r="L328" i="23"/>
  <c r="L325" i="23"/>
  <c r="L324" i="23"/>
  <c r="L322" i="23"/>
  <c r="L321" i="23"/>
  <c r="R282" i="23"/>
  <c r="P287" i="23"/>
  <c r="P286" i="23"/>
  <c r="P285" i="23"/>
  <c r="P284" i="23"/>
  <c r="P283" i="23"/>
  <c r="P282" i="23"/>
  <c r="P281" i="23"/>
  <c r="P280" i="23"/>
  <c r="P279" i="23"/>
  <c r="P278" i="23"/>
  <c r="P277" i="23"/>
  <c r="P276" i="23"/>
  <c r="N286" i="23"/>
  <c r="N284" i="23"/>
  <c r="N282" i="23"/>
  <c r="N280" i="23"/>
  <c r="N278" i="23"/>
  <c r="N276" i="23"/>
  <c r="L280" i="23"/>
  <c r="L277" i="23"/>
  <c r="S286" i="23"/>
  <c r="S282" i="23"/>
  <c r="S279" i="23"/>
  <c r="S276" i="23"/>
  <c r="R285" i="23"/>
  <c r="R279" i="23"/>
  <c r="R276" i="23"/>
  <c r="Q285" i="23"/>
  <c r="Q282" i="23"/>
  <c r="Q280" i="23"/>
  <c r="Q277" i="23"/>
  <c r="O287" i="23"/>
  <c r="O286" i="23"/>
  <c r="O285" i="23"/>
  <c r="O284" i="23"/>
  <c r="O283" i="23"/>
  <c r="O282" i="23"/>
  <c r="O281" i="23"/>
  <c r="O280" i="23"/>
  <c r="O279" i="23"/>
  <c r="O278" i="23"/>
  <c r="O277" i="23"/>
  <c r="O276" i="23"/>
  <c r="N287" i="23"/>
  <c r="N285" i="23"/>
  <c r="N283" i="23"/>
  <c r="N281" i="23"/>
  <c r="N279" i="23"/>
  <c r="N277" i="23"/>
  <c r="L279" i="23"/>
  <c r="L276" i="23"/>
  <c r="S285" i="23"/>
  <c r="S283" i="23"/>
  <c r="S281" i="23"/>
  <c r="S278" i="23"/>
  <c r="R286" i="23"/>
  <c r="R284" i="23"/>
  <c r="R280" i="23"/>
  <c r="R277" i="23"/>
  <c r="Q287" i="23"/>
  <c r="Q283" i="23"/>
  <c r="Q278" i="23"/>
  <c r="Q281" i="23"/>
  <c r="M287" i="23"/>
  <c r="M286" i="23"/>
  <c r="M285" i="23"/>
  <c r="M284" i="23"/>
  <c r="M283" i="23"/>
  <c r="M282" i="23"/>
  <c r="M281" i="23"/>
  <c r="M280" i="23"/>
  <c r="M279" i="23"/>
  <c r="M278" i="23"/>
  <c r="M277" i="23"/>
  <c r="M276" i="23"/>
  <c r="L287" i="23"/>
  <c r="L286" i="23"/>
  <c r="L285" i="23"/>
  <c r="L284" i="23"/>
  <c r="L283" i="23"/>
  <c r="L282" i="23"/>
  <c r="L281" i="23"/>
  <c r="L278" i="23"/>
  <c r="S287" i="23"/>
  <c r="S284" i="23"/>
  <c r="S280" i="23"/>
  <c r="S277" i="23"/>
  <c r="R287" i="23"/>
  <c r="R283" i="23"/>
  <c r="R281" i="23"/>
  <c r="R278" i="23"/>
  <c r="Q286" i="23"/>
  <c r="Q284" i="23"/>
  <c r="Q279" i="23"/>
  <c r="Q276" i="23"/>
  <c r="S299" i="23"/>
  <c r="S298" i="23"/>
  <c r="S297" i="23"/>
  <c r="S296" i="23"/>
  <c r="S295" i="23"/>
  <c r="S294" i="23"/>
  <c r="S293" i="23"/>
  <c r="S292" i="23"/>
  <c r="S291" i="23"/>
  <c r="S290" i="23"/>
  <c r="S289" i="23"/>
  <c r="S288" i="23"/>
  <c r="R298" i="23"/>
  <c r="R292" i="23"/>
  <c r="R291" i="23"/>
  <c r="R299" i="23"/>
  <c r="R293" i="23"/>
  <c r="Q299" i="23"/>
  <c r="Q298" i="23"/>
  <c r="Q297" i="23"/>
  <c r="Q296" i="23"/>
  <c r="Q295" i="23"/>
  <c r="Q294" i="23"/>
  <c r="Q293" i="23"/>
  <c r="Q292" i="23"/>
  <c r="Q291" i="23"/>
  <c r="Q290" i="23"/>
  <c r="Q289" i="23"/>
  <c r="Q288" i="23"/>
  <c r="P299" i="23"/>
  <c r="P298" i="23"/>
  <c r="P297" i="23"/>
  <c r="P296" i="23"/>
  <c r="P295" i="23"/>
  <c r="P294" i="23"/>
  <c r="P293" i="23"/>
  <c r="P292" i="23"/>
  <c r="P291" i="23"/>
  <c r="P290" i="23"/>
  <c r="P289" i="23"/>
  <c r="P288" i="23"/>
  <c r="L289" i="23"/>
  <c r="R296" i="23"/>
  <c r="O299" i="23"/>
  <c r="O298" i="23"/>
  <c r="O297" i="23"/>
  <c r="O296" i="23"/>
  <c r="O295" i="23"/>
  <c r="O294" i="23"/>
  <c r="O293" i="23"/>
  <c r="O292" i="23"/>
  <c r="O291" i="23"/>
  <c r="O290" i="23"/>
  <c r="O289" i="23"/>
  <c r="O288" i="23"/>
  <c r="R297" i="23"/>
  <c r="R288" i="23"/>
  <c r="N299" i="23"/>
  <c r="N298" i="23"/>
  <c r="N297" i="23"/>
  <c r="N296" i="23"/>
  <c r="N295" i="23"/>
  <c r="N294" i="23"/>
  <c r="N293" i="23"/>
  <c r="N292" i="23"/>
  <c r="N291" i="23"/>
  <c r="N290" i="23"/>
  <c r="N289" i="23"/>
  <c r="N288" i="23"/>
  <c r="L288" i="23"/>
  <c r="R294" i="23"/>
  <c r="R290" i="23"/>
  <c r="M299" i="23"/>
  <c r="M298" i="23"/>
  <c r="M297" i="23"/>
  <c r="M296" i="23"/>
  <c r="M295" i="23"/>
  <c r="M294" i="23"/>
  <c r="M293" i="23"/>
  <c r="M292" i="23"/>
  <c r="M291" i="23"/>
  <c r="M290" i="23"/>
  <c r="M289" i="23"/>
  <c r="M288" i="23"/>
  <c r="L299" i="23"/>
  <c r="L298" i="23"/>
  <c r="L297" i="23"/>
  <c r="L296" i="23"/>
  <c r="L295" i="23"/>
  <c r="L294" i="23"/>
  <c r="L293" i="23"/>
  <c r="L292" i="23"/>
  <c r="L291" i="23"/>
  <c r="L290" i="23"/>
  <c r="R295" i="23"/>
  <c r="R289" i="23"/>
  <c r="BY319" i="23"/>
  <c r="BQ319" i="23"/>
  <c r="BP319" i="23"/>
  <c r="BM319" i="23"/>
  <c r="BE319" i="23"/>
  <c r="BC319" i="23" s="1"/>
  <c r="BD319" i="23"/>
  <c r="AW319" i="23"/>
  <c r="AQ319" i="23"/>
  <c r="AI319" i="23"/>
  <c r="AG319" i="23"/>
  <c r="AE319" i="23"/>
  <c r="AC319" i="23"/>
  <c r="Y319" i="23"/>
  <c r="T319" i="23" s="1"/>
  <c r="BY318" i="23"/>
  <c r="BQ318" i="23"/>
  <c r="BP318" i="23"/>
  <c r="BM318" i="23"/>
  <c r="BE318" i="23"/>
  <c r="BC318" i="23" s="1"/>
  <c r="BD318" i="23"/>
  <c r="AW318" i="23"/>
  <c r="AQ318" i="23"/>
  <c r="AI318" i="23"/>
  <c r="AG318" i="23"/>
  <c r="AE318" i="23"/>
  <c r="AC318" i="23"/>
  <c r="Y318" i="23"/>
  <c r="T318" i="23" s="1"/>
  <c r="BY317" i="23"/>
  <c r="BQ317" i="23"/>
  <c r="BP317" i="23"/>
  <c r="BE317" i="23"/>
  <c r="BC317" i="23" s="1"/>
  <c r="BD317" i="23"/>
  <c r="AW317" i="23"/>
  <c r="AQ317" i="23"/>
  <c r="AI317" i="23"/>
  <c r="AG317" i="23"/>
  <c r="AE317" i="23"/>
  <c r="AC317" i="23"/>
  <c r="Y317" i="23"/>
  <c r="BY316" i="23"/>
  <c r="BQ316" i="23"/>
  <c r="BP316" i="23"/>
  <c r="BE316" i="23"/>
  <c r="BC316" i="23" s="1"/>
  <c r="BD316" i="23"/>
  <c r="AW316" i="23"/>
  <c r="AQ316" i="23"/>
  <c r="AI316" i="23"/>
  <c r="AG316" i="23"/>
  <c r="AE316" i="23"/>
  <c r="AC316" i="23"/>
  <c r="Y316" i="23"/>
  <c r="T316" i="23" s="1"/>
  <c r="BY315" i="23"/>
  <c r="BQ315" i="23"/>
  <c r="BR315" i="23" s="1"/>
  <c r="BM315" i="23"/>
  <c r="BM317" i="23" s="1"/>
  <c r="BE315" i="23"/>
  <c r="BC315" i="23" s="1"/>
  <c r="BD315" i="23"/>
  <c r="AW315" i="23"/>
  <c r="AQ315" i="23"/>
  <c r="AI315" i="23"/>
  <c r="AG315" i="23"/>
  <c r="AE315" i="23"/>
  <c r="AC315" i="23"/>
  <c r="Y315" i="23"/>
  <c r="BY314" i="23"/>
  <c r="BQ314" i="23"/>
  <c r="BP314" i="23"/>
  <c r="BM314" i="23"/>
  <c r="BM316" i="23" s="1"/>
  <c r="BE314" i="23"/>
  <c r="BC314" i="23" s="1"/>
  <c r="BD314" i="23"/>
  <c r="AW314" i="23"/>
  <c r="AQ314" i="23"/>
  <c r="AI314" i="23"/>
  <c r="AG314" i="23"/>
  <c r="AE314" i="23"/>
  <c r="AC314" i="23"/>
  <c r="Y314" i="23"/>
  <c r="T314" i="23" s="1"/>
  <c r="BY313" i="23"/>
  <c r="BQ313" i="23"/>
  <c r="BP313" i="23"/>
  <c r="BE313" i="23"/>
  <c r="BC313" i="23" s="1"/>
  <c r="BD313" i="23"/>
  <c r="AW313" i="23"/>
  <c r="AQ313" i="23"/>
  <c r="AI313" i="23"/>
  <c r="AG313" i="23"/>
  <c r="AE313" i="23"/>
  <c r="AC313" i="23"/>
  <c r="Y313" i="23"/>
  <c r="BY312" i="23"/>
  <c r="BQ312" i="23"/>
  <c r="BP312" i="23"/>
  <c r="BE312" i="23"/>
  <c r="BC312" i="23" s="1"/>
  <c r="BD312" i="23"/>
  <c r="AW312" i="23"/>
  <c r="AQ312" i="23"/>
  <c r="AI312" i="23"/>
  <c r="AG312" i="23"/>
  <c r="AE312" i="23"/>
  <c r="AC312" i="23"/>
  <c r="Y312" i="23"/>
  <c r="T312" i="23" s="1"/>
  <c r="BY311" i="23"/>
  <c r="BQ311" i="23"/>
  <c r="BR311" i="23" s="1"/>
  <c r="BM311" i="23"/>
  <c r="BM313" i="23" s="1"/>
  <c r="BE311" i="23"/>
  <c r="BC311" i="23" s="1"/>
  <c r="BD311" i="23"/>
  <c r="AW311" i="23"/>
  <c r="AQ311" i="23"/>
  <c r="AI311" i="23"/>
  <c r="AG311" i="23"/>
  <c r="AE311" i="23"/>
  <c r="AC311" i="23"/>
  <c r="Y311" i="23"/>
  <c r="BY299" i="23"/>
  <c r="BQ299" i="23"/>
  <c r="BP299" i="23"/>
  <c r="BE299" i="23"/>
  <c r="BC299" i="23" s="1"/>
  <c r="BD299" i="23"/>
  <c r="AW299" i="23"/>
  <c r="AQ299" i="23"/>
  <c r="AI299" i="23"/>
  <c r="AG299" i="23"/>
  <c r="AE299" i="23"/>
  <c r="AC299" i="23"/>
  <c r="Y299" i="23"/>
  <c r="T299" i="23" s="1"/>
  <c r="BY298" i="23"/>
  <c r="BQ298" i="23"/>
  <c r="BP298" i="23"/>
  <c r="BE298" i="23"/>
  <c r="BC298" i="23" s="1"/>
  <c r="BD298" i="23"/>
  <c r="AW298" i="23"/>
  <c r="AQ298" i="23"/>
  <c r="AI298" i="23"/>
  <c r="AG298" i="23"/>
  <c r="AE298" i="23"/>
  <c r="AC298" i="23"/>
  <c r="Y298" i="23"/>
  <c r="T298" i="23" s="1"/>
  <c r="K298" i="23" s="1"/>
  <c r="BY297" i="23"/>
  <c r="BQ297" i="23"/>
  <c r="BR297" i="23" s="1"/>
  <c r="BE297" i="23"/>
  <c r="BC297" i="23" s="1"/>
  <c r="BD297" i="23"/>
  <c r="AW297" i="23"/>
  <c r="AQ297" i="23"/>
  <c r="AI297" i="23"/>
  <c r="AG297" i="23"/>
  <c r="AE297" i="23"/>
  <c r="AC297" i="23"/>
  <c r="Y297" i="23"/>
  <c r="BY296" i="23"/>
  <c r="BQ296" i="23"/>
  <c r="BP296" i="23"/>
  <c r="BE296" i="23"/>
  <c r="BC296" i="23" s="1"/>
  <c r="BD296" i="23"/>
  <c r="AW296" i="23"/>
  <c r="AQ296" i="23"/>
  <c r="AI296" i="23"/>
  <c r="AG296" i="23"/>
  <c r="AE296" i="23"/>
  <c r="AC296" i="23"/>
  <c r="Y296" i="23"/>
  <c r="BY295" i="23"/>
  <c r="BQ295" i="23"/>
  <c r="BP295" i="23"/>
  <c r="BE295" i="23"/>
  <c r="BC295" i="23" s="1"/>
  <c r="BD295" i="23"/>
  <c r="AW295" i="23"/>
  <c r="AQ295" i="23"/>
  <c r="AI295" i="23"/>
  <c r="AG295" i="23"/>
  <c r="AE295" i="23"/>
  <c r="AC295" i="23"/>
  <c r="Y295" i="23"/>
  <c r="T295" i="23" s="1"/>
  <c r="K295" i="23" s="1"/>
  <c r="BY294" i="23"/>
  <c r="BQ294" i="23"/>
  <c r="BP294" i="23"/>
  <c r="BE294" i="23"/>
  <c r="BC294" i="23" s="1"/>
  <c r="BD294" i="23"/>
  <c r="AW294" i="23"/>
  <c r="AQ294" i="23"/>
  <c r="AI294" i="23"/>
  <c r="AG294" i="23"/>
  <c r="AE294" i="23"/>
  <c r="AC294" i="23"/>
  <c r="Y294" i="23"/>
  <c r="T294" i="23" s="1"/>
  <c r="U294" i="23" s="1"/>
  <c r="BX294" i="23" s="1"/>
  <c r="BY293" i="23"/>
  <c r="BQ293" i="23"/>
  <c r="BP293" i="23"/>
  <c r="BE293" i="23"/>
  <c r="BC293" i="23" s="1"/>
  <c r="BD293" i="23"/>
  <c r="AW293" i="23"/>
  <c r="AQ293" i="23"/>
  <c r="AI293" i="23"/>
  <c r="AG293" i="23"/>
  <c r="AE293" i="23"/>
  <c r="AC293" i="23"/>
  <c r="Y293" i="23"/>
  <c r="BQ292" i="23"/>
  <c r="BR292" i="23" s="1"/>
  <c r="BM292" i="23"/>
  <c r="BM293" i="23" s="1"/>
  <c r="BM294" i="23" s="1"/>
  <c r="BM295" i="23" s="1"/>
  <c r="BM296" i="23" s="1"/>
  <c r="BM297" i="23" s="1"/>
  <c r="BM298" i="23" s="1"/>
  <c r="BM299" i="23" s="1"/>
  <c r="BE292" i="23"/>
  <c r="BC292" i="23" s="1"/>
  <c r="BD292" i="23"/>
  <c r="AW292" i="23"/>
  <c r="AQ292" i="23"/>
  <c r="AI292" i="23"/>
  <c r="AG292" i="23"/>
  <c r="AE292" i="23"/>
  <c r="AC292" i="23"/>
  <c r="Y292" i="23"/>
  <c r="T292" i="23" s="1"/>
  <c r="U292" i="23" s="1"/>
  <c r="BX292" i="23" s="1"/>
  <c r="BQ291" i="23"/>
  <c r="BP291" i="23"/>
  <c r="BM291" i="23"/>
  <c r="BE291" i="23"/>
  <c r="BC291" i="23" s="1"/>
  <c r="BD291" i="23"/>
  <c r="AW291" i="23"/>
  <c r="AQ291" i="23"/>
  <c r="AI291" i="23"/>
  <c r="AG291" i="23"/>
  <c r="AE291" i="23"/>
  <c r="AC291" i="23"/>
  <c r="Y291" i="23"/>
  <c r="BQ290" i="23"/>
  <c r="BP290" i="23"/>
  <c r="BE290" i="23"/>
  <c r="BC290" i="23" s="1"/>
  <c r="BD290" i="23"/>
  <c r="AW290" i="23"/>
  <c r="AQ290" i="23"/>
  <c r="AI290" i="23"/>
  <c r="AG290" i="23"/>
  <c r="AE290" i="23"/>
  <c r="AC290" i="23"/>
  <c r="Y290" i="23"/>
  <c r="BQ289" i="23"/>
  <c r="BP289" i="23"/>
  <c r="BE289" i="23"/>
  <c r="BC289" i="23" s="1"/>
  <c r="BD289" i="23"/>
  <c r="AW289" i="23"/>
  <c r="AQ289" i="23"/>
  <c r="AI289" i="23"/>
  <c r="AG289" i="23"/>
  <c r="AE289" i="23"/>
  <c r="AC289" i="23"/>
  <c r="Y289" i="23"/>
  <c r="BQ288" i="23"/>
  <c r="BR288" i="23" s="1"/>
  <c r="BM288" i="23"/>
  <c r="BM290" i="23" s="1"/>
  <c r="BE288" i="23"/>
  <c r="BC288" i="23" s="1"/>
  <c r="BD288" i="23"/>
  <c r="AW288" i="23"/>
  <c r="AQ288" i="23"/>
  <c r="AI288" i="23"/>
  <c r="AG288" i="23"/>
  <c r="AE288" i="23"/>
  <c r="AC288" i="23"/>
  <c r="Y288" i="23"/>
  <c r="BM312" i="23" l="1"/>
  <c r="BM300" i="23"/>
  <c r="BM301" i="23" s="1"/>
  <c r="BM302" i="23" s="1"/>
  <c r="BM303" i="23" s="1"/>
  <c r="BM304" i="23" s="1"/>
  <c r="BM305" i="23" s="1"/>
  <c r="BM306" i="23" s="1"/>
  <c r="BM307" i="23" s="1"/>
  <c r="BM308" i="23" s="1"/>
  <c r="BM309" i="23" s="1"/>
  <c r="BM310" i="23" s="1"/>
  <c r="AA331" i="23"/>
  <c r="AP331" i="23"/>
  <c r="AP334" i="23"/>
  <c r="AA334" i="23"/>
  <c r="AA329" i="23"/>
  <c r="AP329" i="23"/>
  <c r="AA332" i="23"/>
  <c r="AP332" i="23"/>
  <c r="AA330" i="23"/>
  <c r="AP330" i="23"/>
  <c r="AA337" i="23"/>
  <c r="AP337" i="23"/>
  <c r="AP333" i="23"/>
  <c r="AA333" i="23"/>
  <c r="AP336" i="23"/>
  <c r="AA336" i="23"/>
  <c r="AA321" i="23"/>
  <c r="AP321" i="23"/>
  <c r="AA322" i="23"/>
  <c r="AP322" i="23"/>
  <c r="AA327" i="23"/>
  <c r="AP327" i="23"/>
  <c r="AA320" i="23"/>
  <c r="AP320" i="23"/>
  <c r="AA328" i="23"/>
  <c r="AP328" i="23"/>
  <c r="AA326" i="23"/>
  <c r="AP326" i="23"/>
  <c r="AA323" i="23"/>
  <c r="AP323" i="23"/>
  <c r="AA324" i="23"/>
  <c r="AP324" i="23"/>
  <c r="AA325" i="23"/>
  <c r="AP325" i="23"/>
  <c r="BR316" i="23"/>
  <c r="BR294" i="23"/>
  <c r="BR298" i="23"/>
  <c r="BR295" i="23"/>
  <c r="BR289" i="23"/>
  <c r="BR296" i="23"/>
  <c r="BR312" i="23"/>
  <c r="BR291" i="23"/>
  <c r="BR293" i="23"/>
  <c r="BR319" i="23"/>
  <c r="BR318" i="23"/>
  <c r="BR290" i="23"/>
  <c r="BR314" i="23"/>
  <c r="BR299" i="23"/>
  <c r="BR317" i="23"/>
  <c r="AH319" i="23"/>
  <c r="AT319" i="23" s="1"/>
  <c r="K319" i="23"/>
  <c r="AD319" i="23"/>
  <c r="J319" i="23"/>
  <c r="U319" i="23"/>
  <c r="BX319" i="23" s="1"/>
  <c r="T317" i="23"/>
  <c r="T315" i="23"/>
  <c r="U315" i="23" s="1"/>
  <c r="BX315" i="23" s="1"/>
  <c r="K316" i="23"/>
  <c r="AD316" i="23"/>
  <c r="J316" i="23"/>
  <c r="U316" i="23"/>
  <c r="BX316" i="23" s="1"/>
  <c r="U318" i="23"/>
  <c r="BX318" i="23" s="1"/>
  <c r="K318" i="23"/>
  <c r="AD318" i="23"/>
  <c r="J318" i="23"/>
  <c r="AH316" i="23"/>
  <c r="AH318" i="23"/>
  <c r="AH317" i="23"/>
  <c r="AH315" i="23"/>
  <c r="T313" i="23"/>
  <c r="U313" i="23" s="1"/>
  <c r="BX313" i="23" s="1"/>
  <c r="BR313" i="23"/>
  <c r="T311" i="23"/>
  <c r="U311" i="23" s="1"/>
  <c r="BX311" i="23" s="1"/>
  <c r="U312" i="23"/>
  <c r="BX312" i="23" s="1"/>
  <c r="K312" i="23"/>
  <c r="AD312" i="23"/>
  <c r="J312" i="23"/>
  <c r="U314" i="23"/>
  <c r="BX314" i="23" s="1"/>
  <c r="K314" i="23"/>
  <c r="AD314" i="23"/>
  <c r="J314" i="23"/>
  <c r="AH312" i="23"/>
  <c r="AH314" i="23"/>
  <c r="AH313" i="23"/>
  <c r="AH311" i="23"/>
  <c r="U295" i="23"/>
  <c r="BX295" i="23" s="1"/>
  <c r="T293" i="23"/>
  <c r="K293" i="23" s="1"/>
  <c r="T297" i="23"/>
  <c r="K297" i="23" s="1"/>
  <c r="T291" i="23"/>
  <c r="K291" i="23" s="1"/>
  <c r="T296" i="23"/>
  <c r="U296" i="23" s="1"/>
  <c r="BX296" i="23" s="1"/>
  <c r="U298" i="23"/>
  <c r="BX298" i="23" s="1"/>
  <c r="T289" i="23"/>
  <c r="K289" i="23" s="1"/>
  <c r="T290" i="23"/>
  <c r="U290" i="23" s="1"/>
  <c r="BX290" i="23" s="1"/>
  <c r="AD298" i="23"/>
  <c r="J298" i="23"/>
  <c r="U299" i="23"/>
  <c r="BX299" i="23" s="1"/>
  <c r="K299" i="23"/>
  <c r="AD299" i="23"/>
  <c r="J299" i="23"/>
  <c r="AH293" i="23"/>
  <c r="J294" i="23"/>
  <c r="AD294" i="23"/>
  <c r="AH295" i="23"/>
  <c r="AH297" i="23"/>
  <c r="AT297" i="23" s="1"/>
  <c r="AH299" i="23"/>
  <c r="AH289" i="23"/>
  <c r="AH291" i="23"/>
  <c r="J292" i="23"/>
  <c r="AD292" i="23"/>
  <c r="K294" i="23"/>
  <c r="K292" i="23"/>
  <c r="AH298" i="23"/>
  <c r="T288" i="23"/>
  <c r="AH294" i="23"/>
  <c r="J295" i="23"/>
  <c r="AD295" i="23"/>
  <c r="AH296" i="23"/>
  <c r="AH290" i="23"/>
  <c r="AH292" i="23"/>
  <c r="AT292" i="23" s="1"/>
  <c r="AH288" i="23"/>
  <c r="AD315" i="23" l="1"/>
  <c r="J315" i="23"/>
  <c r="K315" i="23"/>
  <c r="AL319" i="23"/>
  <c r="AK319" i="23"/>
  <c r="AJ319" i="23"/>
  <c r="K317" i="23"/>
  <c r="U317" i="23"/>
  <c r="BX317" i="23" s="1"/>
  <c r="J317" i="23"/>
  <c r="AD317" i="23"/>
  <c r="AJ315" i="23"/>
  <c r="AL315" i="23"/>
  <c r="AT315" i="23"/>
  <c r="AK315" i="23"/>
  <c r="AL318" i="23"/>
  <c r="AT318" i="23"/>
  <c r="AK318" i="23"/>
  <c r="AJ318" i="23"/>
  <c r="AT317" i="23"/>
  <c r="AK317" i="23"/>
  <c r="AJ317" i="23"/>
  <c r="AL317" i="23"/>
  <c r="AL316" i="23"/>
  <c r="AK316" i="23"/>
  <c r="AT316" i="23"/>
  <c r="AJ316" i="23"/>
  <c r="J291" i="23"/>
  <c r="AD313" i="23"/>
  <c r="K313" i="23"/>
  <c r="J313" i="23"/>
  <c r="K311" i="23"/>
  <c r="J311" i="23"/>
  <c r="AD311" i="23"/>
  <c r="AT313" i="23"/>
  <c r="AK313" i="23"/>
  <c r="AJ313" i="23"/>
  <c r="AL313" i="23"/>
  <c r="AL312" i="23"/>
  <c r="AT312" i="23"/>
  <c r="AK312" i="23"/>
  <c r="AJ312" i="23"/>
  <c r="AL314" i="23"/>
  <c r="AT314" i="23"/>
  <c r="AK314" i="23"/>
  <c r="AJ314" i="23"/>
  <c r="AJ311" i="23"/>
  <c r="AK311" i="23"/>
  <c r="AL311" i="23"/>
  <c r="AT311" i="23"/>
  <c r="AD296" i="23"/>
  <c r="AD297" i="23"/>
  <c r="J293" i="23"/>
  <c r="AD290" i="23"/>
  <c r="U293" i="23"/>
  <c r="BX293" i="23" s="1"/>
  <c r="J290" i="23"/>
  <c r="K290" i="23"/>
  <c r="U291" i="23"/>
  <c r="BX291" i="23" s="1"/>
  <c r="AD291" i="23"/>
  <c r="AD293" i="23"/>
  <c r="U289" i="23"/>
  <c r="BX289" i="23" s="1"/>
  <c r="U297" i="23"/>
  <c r="BX297" i="23" s="1"/>
  <c r="J289" i="23"/>
  <c r="J297" i="23"/>
  <c r="J296" i="23"/>
  <c r="K296" i="23"/>
  <c r="AD289" i="23"/>
  <c r="AL295" i="23"/>
  <c r="AT295" i="23"/>
  <c r="AK295" i="23"/>
  <c r="AJ295" i="23"/>
  <c r="AL290" i="23"/>
  <c r="AK290" i="23"/>
  <c r="AJ290" i="23"/>
  <c r="AL289" i="23"/>
  <c r="AK289" i="23"/>
  <c r="AJ289" i="23"/>
  <c r="AT290" i="23"/>
  <c r="AJ294" i="23"/>
  <c r="AT294" i="23"/>
  <c r="AK294" i="23"/>
  <c r="AL294" i="23"/>
  <c r="AL288" i="23"/>
  <c r="AK288" i="23"/>
  <c r="AJ288" i="23"/>
  <c r="U288" i="23"/>
  <c r="BX288" i="23" s="1"/>
  <c r="K288" i="23"/>
  <c r="AD288" i="23"/>
  <c r="J288" i="23"/>
  <c r="AL299" i="23"/>
  <c r="AT299" i="23"/>
  <c r="AK299" i="23"/>
  <c r="AJ299" i="23"/>
  <c r="AL293" i="23"/>
  <c r="AT293" i="23"/>
  <c r="AK293" i="23"/>
  <c r="AJ293" i="23"/>
  <c r="AT289" i="23"/>
  <c r="AL297" i="23"/>
  <c r="AK297" i="23"/>
  <c r="AJ297" i="23"/>
  <c r="AT288" i="23"/>
  <c r="AJ292" i="23"/>
  <c r="AL292" i="23"/>
  <c r="AK292" i="23"/>
  <c r="AJ296" i="23"/>
  <c r="AK296" i="23"/>
  <c r="AL296" i="23"/>
  <c r="AT296" i="23"/>
  <c r="AT298" i="23"/>
  <c r="AK298" i="23"/>
  <c r="AJ298" i="23"/>
  <c r="AL298" i="23"/>
  <c r="AL291" i="23"/>
  <c r="AK291" i="23"/>
  <c r="AJ291" i="23"/>
  <c r="AT291" i="23"/>
  <c r="AM319" i="23" l="1"/>
  <c r="AN319" i="23" s="1"/>
  <c r="AO319" i="23" s="1"/>
  <c r="AU319" i="23" s="1"/>
  <c r="AM318" i="23"/>
  <c r="AN318" i="23" s="1"/>
  <c r="AO318" i="23" s="1"/>
  <c r="AU318" i="23" s="1"/>
  <c r="AM315" i="23"/>
  <c r="AN315" i="23" s="1"/>
  <c r="AO315" i="23" s="1"/>
  <c r="AU315" i="23" s="1"/>
  <c r="AM317" i="23"/>
  <c r="AN317" i="23" s="1"/>
  <c r="AO317" i="23" s="1"/>
  <c r="AU317" i="23" s="1"/>
  <c r="AM316" i="23"/>
  <c r="AN316" i="23" s="1"/>
  <c r="AO316" i="23" s="1"/>
  <c r="AU316" i="23" s="1"/>
  <c r="AM312" i="23"/>
  <c r="AN312" i="23" s="1"/>
  <c r="AO312" i="23" s="1"/>
  <c r="AU312" i="23" s="1"/>
  <c r="AM314" i="23"/>
  <c r="AN314" i="23" s="1"/>
  <c r="AO314" i="23" s="1"/>
  <c r="AU314" i="23" s="1"/>
  <c r="AM311" i="23"/>
  <c r="AN311" i="23" s="1"/>
  <c r="AO311" i="23" s="1"/>
  <c r="AU311" i="23" s="1"/>
  <c r="AM313" i="23"/>
  <c r="AN313" i="23" s="1"/>
  <c r="AO313" i="23" s="1"/>
  <c r="AU313" i="23" s="1"/>
  <c r="AM290" i="23"/>
  <c r="AN290" i="23" s="1"/>
  <c r="AO290" i="23" s="1"/>
  <c r="AU290" i="23" s="1"/>
  <c r="AM298" i="23"/>
  <c r="AN298" i="23" s="1"/>
  <c r="AO298" i="23" s="1"/>
  <c r="AU298" i="23" s="1"/>
  <c r="AM288" i="23"/>
  <c r="AN288" i="23" s="1"/>
  <c r="AO288" i="23" s="1"/>
  <c r="AU288" i="23" s="1"/>
  <c r="AM299" i="23"/>
  <c r="AN299" i="23" s="1"/>
  <c r="AO299" i="23" s="1"/>
  <c r="AU299" i="23" s="1"/>
  <c r="AM296" i="23"/>
  <c r="AN296" i="23" s="1"/>
  <c r="AO296" i="23" s="1"/>
  <c r="AU296" i="23" s="1"/>
  <c r="AM292" i="23"/>
  <c r="AN292" i="23" s="1"/>
  <c r="AO292" i="23" s="1"/>
  <c r="AU292" i="23" s="1"/>
  <c r="AM294" i="23"/>
  <c r="AN294" i="23" s="1"/>
  <c r="AO294" i="23" s="1"/>
  <c r="AU294" i="23" s="1"/>
  <c r="AM291" i="23"/>
  <c r="AN291" i="23" s="1"/>
  <c r="AO291" i="23" s="1"/>
  <c r="AU291" i="23" s="1"/>
  <c r="AM293" i="23"/>
  <c r="AN293" i="23" s="1"/>
  <c r="AO293" i="23" s="1"/>
  <c r="AU293" i="23" s="1"/>
  <c r="AM297" i="23"/>
  <c r="AN297" i="23" s="1"/>
  <c r="AO297" i="23" s="1"/>
  <c r="AU297" i="23" s="1"/>
  <c r="AM289" i="23"/>
  <c r="AN289" i="23" s="1"/>
  <c r="AO289" i="23" s="1"/>
  <c r="AU289" i="23" s="1"/>
  <c r="AM295" i="23"/>
  <c r="AN295" i="23" s="1"/>
  <c r="AO295" i="23" s="1"/>
  <c r="AU295" i="23" s="1"/>
  <c r="BM289" i="23" l="1"/>
  <c r="AA291" i="23" l="1"/>
  <c r="AP291" i="23"/>
  <c r="AP299" i="23"/>
  <c r="AA299" i="23"/>
  <c r="AA292" i="23"/>
  <c r="AP292" i="23"/>
  <c r="AA311" i="23"/>
  <c r="AP311" i="23"/>
  <c r="AP293" i="23"/>
  <c r="AA293" i="23"/>
  <c r="AA312" i="23"/>
  <c r="AP312" i="23"/>
  <c r="AA294" i="23"/>
  <c r="AP294" i="23"/>
  <c r="AA313" i="23"/>
  <c r="AP313" i="23"/>
  <c r="AA298" i="23"/>
  <c r="AP298" i="23"/>
  <c r="AA319" i="23"/>
  <c r="AP319" i="23"/>
  <c r="AA295" i="23"/>
  <c r="AP295" i="23"/>
  <c r="AA314" i="23"/>
  <c r="AP314" i="23"/>
  <c r="AA288" i="23"/>
  <c r="AP288" i="23"/>
  <c r="AA296" i="23"/>
  <c r="AP296" i="23"/>
  <c r="AA315" i="23"/>
  <c r="AP315" i="23"/>
  <c r="AA318" i="23"/>
  <c r="AP318" i="23"/>
  <c r="AA316" i="23"/>
  <c r="AP316" i="23"/>
  <c r="AA290" i="23"/>
  <c r="AP290" i="23"/>
  <c r="AA289" i="23"/>
  <c r="AP289" i="23"/>
  <c r="AP297" i="23"/>
  <c r="AA297" i="23"/>
  <c r="AA317" i="23"/>
  <c r="AP317" i="23"/>
  <c r="BQ277" i="23" l="1"/>
  <c r="BP277" i="23"/>
  <c r="BE277" i="23"/>
  <c r="BC277" i="23" s="1"/>
  <c r="BD277" i="23"/>
  <c r="AW277" i="23"/>
  <c r="AQ277" i="23"/>
  <c r="AI277" i="23"/>
  <c r="AG277" i="23"/>
  <c r="AE277" i="23"/>
  <c r="AC277" i="23"/>
  <c r="Y277" i="23"/>
  <c r="AP277" i="23" s="1"/>
  <c r="AA277" i="23"/>
  <c r="BE132" i="23"/>
  <c r="BC132" i="23" s="1"/>
  <c r="BD132" i="23"/>
  <c r="BB132" i="23"/>
  <c r="AW132" i="23"/>
  <c r="AQ132" i="23"/>
  <c r="AI132" i="23"/>
  <c r="AG132" i="23"/>
  <c r="AE132" i="23"/>
  <c r="AC132" i="23"/>
  <c r="AA132" i="23"/>
  <c r="Z132" i="23"/>
  <c r="Y132" i="23"/>
  <c r="AP132" i="23" s="1"/>
  <c r="BE131" i="23"/>
  <c r="BC131" i="23" s="1"/>
  <c r="BD131" i="23"/>
  <c r="BB131" i="23"/>
  <c r="AW131" i="23"/>
  <c r="AQ131" i="23"/>
  <c r="AI131" i="23"/>
  <c r="AG131" i="23"/>
  <c r="AE131" i="23"/>
  <c r="AC131" i="23"/>
  <c r="AA131" i="23"/>
  <c r="Z131" i="23"/>
  <c r="Y131" i="23"/>
  <c r="T131" i="23" s="1"/>
  <c r="BE130" i="23"/>
  <c r="BC130" i="23" s="1"/>
  <c r="BD130" i="23"/>
  <c r="BB130" i="23"/>
  <c r="AW130" i="23"/>
  <c r="AQ130" i="23"/>
  <c r="AI130" i="23"/>
  <c r="AG130" i="23"/>
  <c r="AE130" i="23"/>
  <c r="AC130" i="23"/>
  <c r="AA130" i="23"/>
  <c r="Z130" i="23"/>
  <c r="Y130" i="23"/>
  <c r="T130" i="23" s="1"/>
  <c r="T277" i="23" l="1"/>
  <c r="K277" i="23" s="1"/>
  <c r="BR277" i="23"/>
  <c r="AH277" i="23"/>
  <c r="AH131" i="23"/>
  <c r="AL131" i="23" s="1"/>
  <c r="U130" i="23"/>
  <c r="BX130" i="23" s="1"/>
  <c r="J130" i="23"/>
  <c r="AP131" i="23"/>
  <c r="AP130" i="23"/>
  <c r="AH130" i="23"/>
  <c r="AL130" i="23" s="1"/>
  <c r="AD131" i="23"/>
  <c r="K131" i="23"/>
  <c r="J131" i="23"/>
  <c r="U131" i="23"/>
  <c r="BX131" i="23" s="1"/>
  <c r="T132" i="23"/>
  <c r="K130" i="23"/>
  <c r="AD130" i="23"/>
  <c r="AH132" i="23"/>
  <c r="J277" i="23" l="1"/>
  <c r="U277" i="23"/>
  <c r="BX277" i="23" s="1"/>
  <c r="AD277" i="23"/>
  <c r="AL277" i="23"/>
  <c r="AT277" i="23"/>
  <c r="AK277" i="23"/>
  <c r="AJ277" i="23"/>
  <c r="AJ131" i="23"/>
  <c r="AT131" i="23"/>
  <c r="AK131" i="23"/>
  <c r="AT130" i="23"/>
  <c r="AK130" i="23"/>
  <c r="AJ130" i="23"/>
  <c r="J132" i="23"/>
  <c r="U132" i="23"/>
  <c r="BX132" i="23" s="1"/>
  <c r="AD132" i="23"/>
  <c r="K132" i="23"/>
  <c r="AT132" i="23"/>
  <c r="AK132" i="23"/>
  <c r="AJ132" i="23"/>
  <c r="AL132" i="23"/>
  <c r="BE127" i="23"/>
  <c r="BC127" i="23" s="1"/>
  <c r="BD127" i="23"/>
  <c r="BB127" i="23"/>
  <c r="AW127" i="23"/>
  <c r="AQ127" i="23"/>
  <c r="AI127" i="23"/>
  <c r="AG127" i="23"/>
  <c r="AE127" i="23"/>
  <c r="AC127" i="23"/>
  <c r="AA127" i="23"/>
  <c r="Z127" i="23"/>
  <c r="Y127" i="23"/>
  <c r="AP127" i="23" s="1"/>
  <c r="BE126" i="23"/>
  <c r="BC126" i="23" s="1"/>
  <c r="BD126" i="23"/>
  <c r="BB126" i="23"/>
  <c r="AW126" i="23"/>
  <c r="AQ126" i="23"/>
  <c r="AI126" i="23"/>
  <c r="AG126" i="23"/>
  <c r="AE126" i="23"/>
  <c r="AC126" i="23"/>
  <c r="AA126" i="23"/>
  <c r="Z126" i="23"/>
  <c r="Y126" i="23"/>
  <c r="AP126" i="23" s="1"/>
  <c r="BE125" i="23"/>
  <c r="BC125" i="23" s="1"/>
  <c r="BD125" i="23"/>
  <c r="BB125" i="23"/>
  <c r="AW125" i="23"/>
  <c r="AQ125" i="23"/>
  <c r="AI125" i="23"/>
  <c r="AG125" i="23"/>
  <c r="AE125" i="23"/>
  <c r="AC125" i="23"/>
  <c r="AA125" i="23"/>
  <c r="Z125" i="23"/>
  <c r="Y125" i="23"/>
  <c r="AP125" i="23" s="1"/>
  <c r="AM277" i="23" l="1"/>
  <c r="AN277" i="23" s="1"/>
  <c r="AO277" i="23" s="1"/>
  <c r="AU277" i="23" s="1"/>
  <c r="AM131" i="23"/>
  <c r="AN131" i="23" s="1"/>
  <c r="AO131" i="23" s="1"/>
  <c r="AU131" i="23" s="1"/>
  <c r="AM130" i="23"/>
  <c r="AN130" i="23" s="1"/>
  <c r="AO130" i="23" s="1"/>
  <c r="AU130" i="23" s="1"/>
  <c r="AM132" i="23"/>
  <c r="AN132" i="23" s="1"/>
  <c r="AO132" i="23" s="1"/>
  <c r="AU132" i="23" s="1"/>
  <c r="T127" i="23"/>
  <c r="U127" i="23" s="1"/>
  <c r="BX127" i="23" s="1"/>
  <c r="T126" i="23"/>
  <c r="AD126" i="23" s="1"/>
  <c r="AH127" i="23"/>
  <c r="AL127" i="23" s="1"/>
  <c r="AH125" i="23"/>
  <c r="AT125" i="23" s="1"/>
  <c r="AH126" i="23"/>
  <c r="T125" i="23"/>
  <c r="BE55" i="23"/>
  <c r="BC55" i="23" s="1"/>
  <c r="BD55" i="23"/>
  <c r="AW55" i="23"/>
  <c r="AQ55" i="23"/>
  <c r="AI55" i="23"/>
  <c r="AG55" i="23"/>
  <c r="AE55" i="23"/>
  <c r="AC55" i="23"/>
  <c r="AA55" i="23"/>
  <c r="Z55" i="23"/>
  <c r="Y55" i="23"/>
  <c r="T55" i="23" s="1"/>
  <c r="O55" i="23"/>
  <c r="N55" i="23"/>
  <c r="M55" i="23"/>
  <c r="BE54" i="23"/>
  <c r="BC54" i="23" s="1"/>
  <c r="BD54" i="23"/>
  <c r="AW54" i="23"/>
  <c r="AQ54" i="23"/>
  <c r="AI54" i="23"/>
  <c r="AG54" i="23"/>
  <c r="AE54" i="23"/>
  <c r="AC54" i="23"/>
  <c r="AA54" i="23"/>
  <c r="Z54" i="23"/>
  <c r="Y54" i="23"/>
  <c r="T54" i="23" s="1"/>
  <c r="O54" i="23"/>
  <c r="N54" i="23"/>
  <c r="M54" i="23"/>
  <c r="BE53" i="23"/>
  <c r="BC53" i="23" s="1"/>
  <c r="BD53" i="23"/>
  <c r="AW53" i="23"/>
  <c r="AQ53" i="23"/>
  <c r="AI53" i="23"/>
  <c r="AG53" i="23"/>
  <c r="AE53" i="23"/>
  <c r="AC53" i="23"/>
  <c r="AA53" i="23"/>
  <c r="Z53" i="23"/>
  <c r="Y53" i="23"/>
  <c r="T53" i="23" s="1"/>
  <c r="O53" i="23"/>
  <c r="N53" i="23"/>
  <c r="M53" i="23"/>
  <c r="BE52" i="23"/>
  <c r="BC52" i="23" s="1"/>
  <c r="BD52" i="23"/>
  <c r="AW52" i="23"/>
  <c r="AQ52" i="23"/>
  <c r="AI52" i="23"/>
  <c r="AG52" i="23"/>
  <c r="AE52" i="23"/>
  <c r="AC52" i="23"/>
  <c r="AA52" i="23"/>
  <c r="Z52" i="23"/>
  <c r="Y52" i="23"/>
  <c r="T52" i="23" s="1"/>
  <c r="O52" i="23"/>
  <c r="N52" i="23"/>
  <c r="M52" i="23"/>
  <c r="BE30" i="23"/>
  <c r="BC30" i="23" s="1"/>
  <c r="BD30" i="23"/>
  <c r="AW30" i="23"/>
  <c r="AQ30" i="23"/>
  <c r="AI30" i="23"/>
  <c r="AG30" i="23"/>
  <c r="AE30" i="23"/>
  <c r="AC30" i="23"/>
  <c r="AA30" i="23"/>
  <c r="Z30" i="23"/>
  <c r="Y30" i="23"/>
  <c r="AH30" i="23" s="1"/>
  <c r="O30" i="23"/>
  <c r="N30" i="23"/>
  <c r="M30" i="23"/>
  <c r="BE41" i="23"/>
  <c r="BC41" i="23" s="1"/>
  <c r="BD41" i="23"/>
  <c r="AW41" i="23"/>
  <c r="AQ41" i="23"/>
  <c r="AI41" i="23"/>
  <c r="AG41" i="23"/>
  <c r="AE41" i="23"/>
  <c r="AC41" i="23"/>
  <c r="AA41" i="23"/>
  <c r="Z41" i="23"/>
  <c r="Y41" i="23"/>
  <c r="T41" i="23" s="1"/>
  <c r="O41" i="23"/>
  <c r="N41" i="23"/>
  <c r="M41" i="23"/>
  <c r="BE39" i="23"/>
  <c r="BC39" i="23" s="1"/>
  <c r="BD39" i="23"/>
  <c r="AW39" i="23"/>
  <c r="AQ39" i="23"/>
  <c r="AI39" i="23"/>
  <c r="AG39" i="23"/>
  <c r="AE39" i="23"/>
  <c r="AC39" i="23"/>
  <c r="AA39" i="23"/>
  <c r="Z39" i="23"/>
  <c r="Y39" i="23"/>
  <c r="K39" i="23" s="1"/>
  <c r="O39" i="23"/>
  <c r="N39" i="23"/>
  <c r="M39" i="23"/>
  <c r="BE227" i="23"/>
  <c r="BC227" i="23" s="1"/>
  <c r="BD227" i="23"/>
  <c r="AW227" i="23"/>
  <c r="AQ227" i="23"/>
  <c r="AI227" i="23"/>
  <c r="AG227" i="23"/>
  <c r="AE227" i="23"/>
  <c r="AC227" i="23"/>
  <c r="AA227" i="23"/>
  <c r="Z227" i="23"/>
  <c r="Y227" i="23"/>
  <c r="AP227" i="23" s="1"/>
  <c r="O227" i="23"/>
  <c r="N227" i="23"/>
  <c r="M227" i="23"/>
  <c r="C227" i="23"/>
  <c r="BE217" i="23"/>
  <c r="BC217" i="23" s="1"/>
  <c r="BD217" i="23"/>
  <c r="AW217" i="23"/>
  <c r="AQ217" i="23"/>
  <c r="AI217" i="23"/>
  <c r="AG217" i="23"/>
  <c r="AE217" i="23"/>
  <c r="AC217" i="23"/>
  <c r="AA217" i="23"/>
  <c r="Z217" i="23"/>
  <c r="Y217" i="23"/>
  <c r="AP217" i="23" s="1"/>
  <c r="O217" i="23"/>
  <c r="N217" i="23"/>
  <c r="M217" i="23"/>
  <c r="BE207" i="23"/>
  <c r="BC207" i="23" s="1"/>
  <c r="BD207" i="23"/>
  <c r="AW207" i="23"/>
  <c r="AQ207" i="23"/>
  <c r="AI207" i="23"/>
  <c r="AG207" i="23"/>
  <c r="AE207" i="23"/>
  <c r="AC207" i="23"/>
  <c r="AA207" i="23"/>
  <c r="Z207" i="23"/>
  <c r="Y207" i="23"/>
  <c r="AP207" i="23" s="1"/>
  <c r="O207" i="23"/>
  <c r="N207" i="23"/>
  <c r="M207" i="23"/>
  <c r="BE159" i="23"/>
  <c r="BC159" i="23" s="1"/>
  <c r="AW159" i="23"/>
  <c r="AQ159" i="23"/>
  <c r="AC159" i="23"/>
  <c r="BE158" i="23"/>
  <c r="BC158" i="23" s="1"/>
  <c r="AW158" i="23"/>
  <c r="AQ158" i="23"/>
  <c r="AC158" i="23"/>
  <c r="U126" i="23" l="1"/>
  <c r="BX126" i="23" s="1"/>
  <c r="AD127" i="23"/>
  <c r="K127" i="23"/>
  <c r="K126" i="23"/>
  <c r="J127" i="23"/>
  <c r="AJ127" i="23"/>
  <c r="AK127" i="23"/>
  <c r="AT127" i="23"/>
  <c r="J126" i="23"/>
  <c r="AL126" i="23"/>
  <c r="AT126" i="23"/>
  <c r="AK126" i="23"/>
  <c r="AJ126" i="23"/>
  <c r="AL125" i="23"/>
  <c r="AK125" i="23"/>
  <c r="AJ125" i="23"/>
  <c r="U125" i="23"/>
  <c r="BX125" i="23" s="1"/>
  <c r="AD125" i="23"/>
  <c r="K125" i="23"/>
  <c r="J125" i="23"/>
  <c r="AP52" i="23"/>
  <c r="AH52" i="23"/>
  <c r="AJ52" i="23" s="1"/>
  <c r="AP55" i="23"/>
  <c r="AP53" i="23"/>
  <c r="AH54" i="23"/>
  <c r="AJ54" i="23" s="1"/>
  <c r="AP54" i="23"/>
  <c r="AH53" i="23"/>
  <c r="AJ53" i="23" s="1"/>
  <c r="AH55" i="23"/>
  <c r="AL55" i="23" s="1"/>
  <c r="U52" i="23"/>
  <c r="BX52" i="23" s="1"/>
  <c r="AD52" i="23"/>
  <c r="J52" i="23"/>
  <c r="U55" i="23"/>
  <c r="BX55" i="23" s="1"/>
  <c r="AD55" i="23"/>
  <c r="J55" i="23"/>
  <c r="U53" i="23"/>
  <c r="BX53" i="23" s="1"/>
  <c r="AD53" i="23"/>
  <c r="J53" i="23"/>
  <c r="U54" i="23"/>
  <c r="BX54" i="23" s="1"/>
  <c r="AD54" i="23"/>
  <c r="J54" i="23"/>
  <c r="K52" i="23"/>
  <c r="K53" i="23"/>
  <c r="K54" i="23"/>
  <c r="K55" i="23"/>
  <c r="AL30" i="23"/>
  <c r="AT30" i="23"/>
  <c r="AK30" i="23"/>
  <c r="AJ30" i="23"/>
  <c r="AP30" i="23"/>
  <c r="K30" i="23"/>
  <c r="T30" i="23"/>
  <c r="AH39" i="23"/>
  <c r="AJ39" i="23" s="1"/>
  <c r="T39" i="23"/>
  <c r="U39" i="23" s="1"/>
  <c r="BX39" i="23" s="1"/>
  <c r="AH41" i="23"/>
  <c r="AK41" i="23" s="1"/>
  <c r="AP41" i="23"/>
  <c r="U41" i="23"/>
  <c r="BX41" i="23" s="1"/>
  <c r="AD41" i="23"/>
  <c r="J41" i="23"/>
  <c r="K41" i="23"/>
  <c r="AP39" i="23"/>
  <c r="T227" i="23"/>
  <c r="AH227" i="23"/>
  <c r="T217" i="23"/>
  <c r="K217" i="23" s="1"/>
  <c r="AH217" i="23"/>
  <c r="T207" i="23"/>
  <c r="K207" i="23" s="1"/>
  <c r="AH207" i="23"/>
  <c r="AE158" i="23"/>
  <c r="AG158" i="23"/>
  <c r="AE159" i="23"/>
  <c r="AG159" i="23"/>
  <c r="AA158" i="23"/>
  <c r="AI158" i="23"/>
  <c r="AA159" i="23"/>
  <c r="AI159" i="23"/>
  <c r="AM127" i="23" l="1"/>
  <c r="AN127" i="23" s="1"/>
  <c r="AO127" i="23" s="1"/>
  <c r="AU127" i="23" s="1"/>
  <c r="AM125" i="23"/>
  <c r="AN125" i="23" s="1"/>
  <c r="AO125" i="23" s="1"/>
  <c r="AU125" i="23" s="1"/>
  <c r="AM126" i="23"/>
  <c r="AN126" i="23" s="1"/>
  <c r="AO126" i="23" s="1"/>
  <c r="AU126" i="23" s="1"/>
  <c r="AT53" i="23"/>
  <c r="AT54" i="23"/>
  <c r="AL53" i="23"/>
  <c r="AK52" i="23"/>
  <c r="AL54" i="23"/>
  <c r="AL52" i="23"/>
  <c r="AK55" i="23"/>
  <c r="AK54" i="23"/>
  <c r="AT55" i="23"/>
  <c r="AT52" i="23"/>
  <c r="AJ55" i="23"/>
  <c r="AK53" i="23"/>
  <c r="AL39" i="23"/>
  <c r="AK39" i="23"/>
  <c r="AT39" i="23"/>
  <c r="AL41" i="23"/>
  <c r="AD39" i="23"/>
  <c r="J39" i="23"/>
  <c r="U30" i="23"/>
  <c r="BX30" i="23" s="1"/>
  <c r="AD30" i="23"/>
  <c r="J30" i="23"/>
  <c r="AM30" i="23"/>
  <c r="AN30" i="23" s="1"/>
  <c r="AO30" i="23" s="1"/>
  <c r="AU30" i="23" s="1"/>
  <c r="AT41" i="23"/>
  <c r="AJ41" i="23"/>
  <c r="J217" i="23"/>
  <c r="AD217" i="23"/>
  <c r="U217" i="23"/>
  <c r="BX217" i="23" s="1"/>
  <c r="K227" i="23"/>
  <c r="AD227" i="23"/>
  <c r="J227" i="23"/>
  <c r="U227" i="23"/>
  <c r="BX227" i="23" s="1"/>
  <c r="AJ227" i="23"/>
  <c r="AK227" i="23"/>
  <c r="AL227" i="23"/>
  <c r="AT227" i="23"/>
  <c r="AL217" i="23"/>
  <c r="AT217" i="23"/>
  <c r="AK217" i="23"/>
  <c r="AJ217" i="23"/>
  <c r="AD207" i="23"/>
  <c r="J207" i="23"/>
  <c r="U207" i="23"/>
  <c r="BX207" i="23" s="1"/>
  <c r="AT207" i="23"/>
  <c r="AJ207" i="23"/>
  <c r="AL207" i="23"/>
  <c r="AK207" i="23"/>
  <c r="AM53" i="23" l="1"/>
  <c r="AN53" i="23" s="1"/>
  <c r="AO53" i="23" s="1"/>
  <c r="AU53" i="23" s="1"/>
  <c r="AM54" i="23"/>
  <c r="AN54" i="23" s="1"/>
  <c r="AO54" i="23" s="1"/>
  <c r="AU54" i="23" s="1"/>
  <c r="AM55" i="23"/>
  <c r="AN55" i="23" s="1"/>
  <c r="AO55" i="23" s="1"/>
  <c r="AU55" i="23" s="1"/>
  <c r="AM52" i="23"/>
  <c r="AN52" i="23" s="1"/>
  <c r="AO52" i="23" s="1"/>
  <c r="AU52" i="23" s="1"/>
  <c r="AM39" i="23"/>
  <c r="AN39" i="23" s="1"/>
  <c r="AO39" i="23" s="1"/>
  <c r="AU39" i="23" s="1"/>
  <c r="AM41" i="23"/>
  <c r="AN41" i="23" s="1"/>
  <c r="AO41" i="23" s="1"/>
  <c r="AU41" i="23" s="1"/>
  <c r="AM227" i="23"/>
  <c r="AN227" i="23" s="1"/>
  <c r="AO227" i="23" s="1"/>
  <c r="AU227" i="23" s="1"/>
  <c r="AM217" i="23"/>
  <c r="AN217" i="23" s="1"/>
  <c r="AO217" i="23" s="1"/>
  <c r="AU217" i="23" s="1"/>
  <c r="AM207" i="23"/>
  <c r="AN207" i="23" s="1"/>
  <c r="AO207" i="23" s="1"/>
  <c r="AU207" i="23" s="1"/>
  <c r="W157" i="23" l="1"/>
  <c r="W160" i="23"/>
  <c r="W161" i="23"/>
  <c r="W162" i="23"/>
  <c r="S158" i="23" l="1"/>
  <c r="S159" i="23"/>
  <c r="R158" i="23"/>
  <c r="R159" i="23"/>
  <c r="Q159" i="23"/>
  <c r="P159" i="23"/>
  <c r="P158" i="23"/>
  <c r="Q158" i="23"/>
  <c r="Q157" i="23"/>
  <c r="P162" i="23"/>
  <c r="R160" i="23"/>
  <c r="S161" i="23"/>
  <c r="R157" i="23"/>
  <c r="S157" i="23"/>
  <c r="Q160" i="23"/>
  <c r="P157" i="23"/>
  <c r="S160" i="23"/>
  <c r="P160" i="23"/>
  <c r="Q161" i="23"/>
  <c r="P161" i="23"/>
  <c r="R161" i="23"/>
  <c r="Q162" i="23"/>
  <c r="R162" i="23"/>
  <c r="S162" i="23"/>
  <c r="O158" i="23" l="1"/>
  <c r="N158" i="23"/>
  <c r="M158" i="23"/>
  <c r="N159" i="23"/>
  <c r="M159" i="23"/>
  <c r="O159" i="23"/>
  <c r="BE129" i="23" l="1"/>
  <c r="BC129" i="23" s="1"/>
  <c r="BD129" i="23"/>
  <c r="BB129" i="23"/>
  <c r="AW129" i="23"/>
  <c r="AQ129" i="23"/>
  <c r="AI129" i="23"/>
  <c r="AG129" i="23"/>
  <c r="AE129" i="23"/>
  <c r="AC129" i="23"/>
  <c r="AA129" i="23"/>
  <c r="Z129" i="23"/>
  <c r="Y129" i="23"/>
  <c r="AP129" i="23" s="1"/>
  <c r="BE128" i="23"/>
  <c r="BC128" i="23" s="1"/>
  <c r="BD128" i="23"/>
  <c r="BB128" i="23"/>
  <c r="AW128" i="23"/>
  <c r="AQ128" i="23"/>
  <c r="AI128" i="23"/>
  <c r="AG128" i="23"/>
  <c r="AE128" i="23"/>
  <c r="AC128" i="23"/>
  <c r="AA128" i="23"/>
  <c r="Z128" i="23"/>
  <c r="Y128" i="23"/>
  <c r="AP128" i="23" s="1"/>
  <c r="H4" i="24"/>
  <c r="I68" i="24" l="1"/>
  <c r="J68" i="24" s="1"/>
  <c r="I63" i="24"/>
  <c r="J63" i="24" s="1"/>
  <c r="M63" i="24"/>
  <c r="M68" i="24"/>
  <c r="K63" i="24"/>
  <c r="L63" i="24" s="1"/>
  <c r="K68" i="24"/>
  <c r="L68" i="24" s="1"/>
  <c r="I39" i="24"/>
  <c r="I47" i="24"/>
  <c r="I40" i="24"/>
  <c r="I48" i="24"/>
  <c r="I29" i="24"/>
  <c r="I42" i="24"/>
  <c r="I50" i="24"/>
  <c r="I31" i="24"/>
  <c r="I58" i="24"/>
  <c r="I41" i="24"/>
  <c r="I49" i="24"/>
  <c r="I30" i="24"/>
  <c r="I59" i="24"/>
  <c r="I36" i="24"/>
  <c r="I60" i="24"/>
  <c r="I43" i="24"/>
  <c r="I51" i="24"/>
  <c r="I32" i="24"/>
  <c r="I45" i="24"/>
  <c r="I53" i="24"/>
  <c r="I34" i="24"/>
  <c r="I38" i="24"/>
  <c r="I46" i="24"/>
  <c r="I27" i="24"/>
  <c r="I28" i="24"/>
  <c r="I61" i="24"/>
  <c r="I44" i="24"/>
  <c r="I52" i="24"/>
  <c r="I33" i="24"/>
  <c r="I37" i="24"/>
  <c r="I35" i="24"/>
  <c r="I20" i="24"/>
  <c r="I21" i="24"/>
  <c r="I26" i="24"/>
  <c r="I62" i="24"/>
  <c r="I72" i="24"/>
  <c r="I25" i="24"/>
  <c r="I64" i="24"/>
  <c r="I73" i="24"/>
  <c r="I24" i="24"/>
  <c r="I65" i="24"/>
  <c r="I69" i="24"/>
  <c r="I23" i="24"/>
  <c r="I66" i="24"/>
  <c r="I55" i="24"/>
  <c r="I22" i="24"/>
  <c r="I54" i="24"/>
  <c r="I67" i="24"/>
  <c r="I56" i="24"/>
  <c r="I70" i="24"/>
  <c r="I57" i="24"/>
  <c r="I71" i="24"/>
  <c r="M73" i="24"/>
  <c r="M70" i="24"/>
  <c r="K67" i="24"/>
  <c r="L67" i="24" s="1"/>
  <c r="M65" i="24"/>
  <c r="K70" i="24"/>
  <c r="L70" i="24" s="1"/>
  <c r="M64" i="24"/>
  <c r="M67" i="24"/>
  <c r="M72" i="24"/>
  <c r="M66" i="24"/>
  <c r="K72" i="24"/>
  <c r="L72" i="24" s="1"/>
  <c r="M69" i="24"/>
  <c r="K69" i="24"/>
  <c r="L69" i="24" s="1"/>
  <c r="K65" i="24"/>
  <c r="L65" i="24" s="1"/>
  <c r="K64" i="24"/>
  <c r="L64" i="24" s="1"/>
  <c r="K71" i="24"/>
  <c r="L71" i="24" s="1"/>
  <c r="M71" i="24"/>
  <c r="K73" i="24"/>
  <c r="L73" i="24" s="1"/>
  <c r="K66" i="24"/>
  <c r="L66" i="24" s="1"/>
  <c r="T129" i="23"/>
  <c r="K129" i="23" s="1"/>
  <c r="T128" i="23"/>
  <c r="U128" i="23" s="1"/>
  <c r="BX128" i="23" s="1"/>
  <c r="AH129" i="23"/>
  <c r="AH128" i="23"/>
  <c r="N63" i="24" l="1"/>
  <c r="N68" i="24"/>
  <c r="N64" i="24"/>
  <c r="N73" i="24"/>
  <c r="N65" i="24"/>
  <c r="N69" i="24"/>
  <c r="N72" i="24"/>
  <c r="N70" i="24"/>
  <c r="N66" i="24"/>
  <c r="N67" i="24"/>
  <c r="N71" i="24"/>
  <c r="AD128" i="23"/>
  <c r="J129" i="23"/>
  <c r="U129" i="23"/>
  <c r="BX129" i="23" s="1"/>
  <c r="AD129" i="23"/>
  <c r="J128" i="23"/>
  <c r="K128" i="23"/>
  <c r="AK128" i="23"/>
  <c r="AL128" i="23"/>
  <c r="AJ128" i="23"/>
  <c r="AT128" i="23"/>
  <c r="AT129" i="23"/>
  <c r="AK129" i="23"/>
  <c r="AJ129" i="23"/>
  <c r="AL129" i="23"/>
  <c r="AM129" i="23" l="1"/>
  <c r="AN129" i="23" s="1"/>
  <c r="AO129" i="23" s="1"/>
  <c r="AU129" i="23" s="1"/>
  <c r="AM128" i="23"/>
  <c r="AN128" i="23" s="1"/>
  <c r="AO128" i="23" s="1"/>
  <c r="AU128" i="23" s="1"/>
  <c r="BQ287" i="23" l="1"/>
  <c r="BP287" i="23"/>
  <c r="BE287" i="23"/>
  <c r="BC287" i="23" s="1"/>
  <c r="BD287" i="23"/>
  <c r="AW287" i="23"/>
  <c r="AQ287" i="23"/>
  <c r="AI287" i="23"/>
  <c r="AG287" i="23"/>
  <c r="AE287" i="23"/>
  <c r="AC287" i="23"/>
  <c r="Y287" i="23"/>
  <c r="BQ286" i="23"/>
  <c r="BP286" i="23"/>
  <c r="BE286" i="23"/>
  <c r="BC286" i="23" s="1"/>
  <c r="BD286" i="23"/>
  <c r="AW286" i="23"/>
  <c r="AQ286" i="23"/>
  <c r="AI286" i="23"/>
  <c r="AG286" i="23"/>
  <c r="AE286" i="23"/>
  <c r="AC286" i="23"/>
  <c r="Y286" i="23"/>
  <c r="BQ285" i="23"/>
  <c r="BR285" i="23" s="1"/>
  <c r="BE285" i="23"/>
  <c r="BC285" i="23" s="1"/>
  <c r="BD285" i="23"/>
  <c r="AW285" i="23"/>
  <c r="AQ285" i="23"/>
  <c r="AI285" i="23"/>
  <c r="AG285" i="23"/>
  <c r="AE285" i="23"/>
  <c r="AC285" i="23"/>
  <c r="Y285" i="23"/>
  <c r="T285" i="23" s="1"/>
  <c r="BQ284" i="23"/>
  <c r="BP284" i="23"/>
  <c r="BE284" i="23"/>
  <c r="BC284" i="23" s="1"/>
  <c r="BD284" i="23"/>
  <c r="AW284" i="23"/>
  <c r="AQ284" i="23"/>
  <c r="AI284" i="23"/>
  <c r="AG284" i="23"/>
  <c r="AE284" i="23"/>
  <c r="AC284" i="23"/>
  <c r="Y284" i="23"/>
  <c r="BQ283" i="23"/>
  <c r="BP283" i="23"/>
  <c r="BE283" i="23"/>
  <c r="BC283" i="23" s="1"/>
  <c r="BD283" i="23"/>
  <c r="AW283" i="23"/>
  <c r="AQ283" i="23"/>
  <c r="AI283" i="23"/>
  <c r="AG283" i="23"/>
  <c r="AE283" i="23"/>
  <c r="AC283" i="23"/>
  <c r="Y283" i="23"/>
  <c r="BQ282" i="23"/>
  <c r="BP282" i="23"/>
  <c r="BE282" i="23"/>
  <c r="BC282" i="23" s="1"/>
  <c r="BD282" i="23"/>
  <c r="AW282" i="23"/>
  <c r="AQ282" i="23"/>
  <c r="AI282" i="23"/>
  <c r="AG282" i="23"/>
  <c r="AE282" i="23"/>
  <c r="AC282" i="23"/>
  <c r="Y282" i="23"/>
  <c r="T282" i="23" s="1"/>
  <c r="K282" i="23" s="1"/>
  <c r="BQ281" i="23"/>
  <c r="BP281" i="23"/>
  <c r="BE281" i="23"/>
  <c r="BC281" i="23" s="1"/>
  <c r="BD281" i="23"/>
  <c r="AW281" i="23"/>
  <c r="AQ281" i="23"/>
  <c r="AI281" i="23"/>
  <c r="AG281" i="23"/>
  <c r="AE281" i="23"/>
  <c r="AC281" i="23"/>
  <c r="Y281" i="23"/>
  <c r="BQ280" i="23"/>
  <c r="BR280" i="23" s="1"/>
  <c r="BE280" i="23"/>
  <c r="BC280" i="23" s="1"/>
  <c r="BD280" i="23"/>
  <c r="AW280" i="23"/>
  <c r="AQ280" i="23"/>
  <c r="AI280" i="23"/>
  <c r="AG280" i="23"/>
  <c r="AE280" i="23"/>
  <c r="AC280" i="23"/>
  <c r="Y280" i="23"/>
  <c r="T280" i="23" s="1"/>
  <c r="BR282" i="23" l="1"/>
  <c r="BR286" i="23"/>
  <c r="BR281" i="23"/>
  <c r="BR284" i="23"/>
  <c r="BR287" i="23"/>
  <c r="T286" i="23"/>
  <c r="U286" i="23" s="1"/>
  <c r="BX286" i="23" s="1"/>
  <c r="T284" i="23"/>
  <c r="U284" i="23" s="1"/>
  <c r="BX284" i="23" s="1"/>
  <c r="BR283" i="23"/>
  <c r="T281" i="23"/>
  <c r="K281" i="23" s="1"/>
  <c r="U282" i="23"/>
  <c r="BX282" i="23" s="1"/>
  <c r="T287" i="23"/>
  <c r="J287" i="23" s="1"/>
  <c r="U285" i="23"/>
  <c r="BX285" i="23" s="1"/>
  <c r="K285" i="23"/>
  <c r="AD285" i="23"/>
  <c r="J285" i="23"/>
  <c r="U280" i="23"/>
  <c r="BX280" i="23" s="1"/>
  <c r="K280" i="23"/>
  <c r="AD280" i="23"/>
  <c r="J280" i="23"/>
  <c r="AH285" i="23"/>
  <c r="AH282" i="23"/>
  <c r="AT282" i="23" s="1"/>
  <c r="AH287" i="23"/>
  <c r="AT287" i="23" s="1"/>
  <c r="AH284" i="23"/>
  <c r="AT284" i="23" s="1"/>
  <c r="AH280" i="23"/>
  <c r="AT280" i="23" s="1"/>
  <c r="AH281" i="23"/>
  <c r="T283" i="23"/>
  <c r="AH286" i="23"/>
  <c r="J282" i="23"/>
  <c r="AD282" i="23"/>
  <c r="AH283" i="23"/>
  <c r="AT283" i="23" s="1"/>
  <c r="K284" i="23" l="1"/>
  <c r="AD284" i="23"/>
  <c r="J284" i="23"/>
  <c r="AD286" i="23"/>
  <c r="K286" i="23"/>
  <c r="J286" i="23"/>
  <c r="AD287" i="23"/>
  <c r="K287" i="23"/>
  <c r="U287" i="23"/>
  <c r="BX287" i="23" s="1"/>
  <c r="U281" i="23"/>
  <c r="BX281" i="23" s="1"/>
  <c r="J281" i="23"/>
  <c r="AD281" i="23"/>
  <c r="AL283" i="23"/>
  <c r="AJ283" i="23"/>
  <c r="AK283" i="23"/>
  <c r="J283" i="23"/>
  <c r="U283" i="23"/>
  <c r="BX283" i="23" s="1"/>
  <c r="AD283" i="23"/>
  <c r="K283" i="23"/>
  <c r="AL284" i="23"/>
  <c r="AK284" i="23"/>
  <c r="AJ284" i="23"/>
  <c r="AL285" i="23"/>
  <c r="AJ285" i="23"/>
  <c r="AK285" i="23"/>
  <c r="AL287" i="23"/>
  <c r="AK287" i="23"/>
  <c r="AJ287" i="23"/>
  <c r="AT285" i="23"/>
  <c r="AL282" i="23"/>
  <c r="AK282" i="23"/>
  <c r="AJ282" i="23"/>
  <c r="AT286" i="23"/>
  <c r="AK286" i="23"/>
  <c r="AJ286" i="23"/>
  <c r="AL286" i="23"/>
  <c r="AT281" i="23"/>
  <c r="AK281" i="23"/>
  <c r="AJ281" i="23"/>
  <c r="AL281" i="23"/>
  <c r="AJ280" i="23"/>
  <c r="AL280" i="23"/>
  <c r="AK280" i="23"/>
  <c r="AM282" i="23" l="1"/>
  <c r="AN282" i="23" s="1"/>
  <c r="AO282" i="23" s="1"/>
  <c r="AU282" i="23" s="1"/>
  <c r="AM285" i="23"/>
  <c r="AN285" i="23" s="1"/>
  <c r="AO285" i="23" s="1"/>
  <c r="AU285" i="23" s="1"/>
  <c r="AM286" i="23"/>
  <c r="AN286" i="23" s="1"/>
  <c r="AO286" i="23" s="1"/>
  <c r="AU286" i="23" s="1"/>
  <c r="AM284" i="23"/>
  <c r="AN284" i="23" s="1"/>
  <c r="AO284" i="23" s="1"/>
  <c r="AU284" i="23" s="1"/>
  <c r="AM287" i="23"/>
  <c r="AN287" i="23" s="1"/>
  <c r="AO287" i="23" s="1"/>
  <c r="AU287" i="23" s="1"/>
  <c r="AM283" i="23"/>
  <c r="AN283" i="23" s="1"/>
  <c r="AO283" i="23" s="1"/>
  <c r="AU283" i="23" s="1"/>
  <c r="AM280" i="23"/>
  <c r="AN280" i="23" s="1"/>
  <c r="AO280" i="23" s="1"/>
  <c r="AU280" i="23" s="1"/>
  <c r="AM281" i="23"/>
  <c r="AN281" i="23" s="1"/>
  <c r="AO281" i="23" s="1"/>
  <c r="AU281" i="23" s="1"/>
  <c r="A15" i="23" l="1"/>
  <c r="BE165" i="23" l="1"/>
  <c r="BC165" i="23" s="1"/>
  <c r="BD165" i="23"/>
  <c r="AW165" i="23"/>
  <c r="AQ165" i="23"/>
  <c r="AI165" i="23"/>
  <c r="AG165" i="23"/>
  <c r="AE165" i="23"/>
  <c r="AC165" i="23"/>
  <c r="AA165" i="23"/>
  <c r="Z165" i="23"/>
  <c r="Y165" i="23"/>
  <c r="AP165" i="23" s="1"/>
  <c r="BE164" i="23"/>
  <c r="BC164" i="23" s="1"/>
  <c r="BD164" i="23"/>
  <c r="AW164" i="23"/>
  <c r="AQ164" i="23"/>
  <c r="AI164" i="23"/>
  <c r="AG164" i="23"/>
  <c r="AE164" i="23"/>
  <c r="AC164" i="23"/>
  <c r="AA164" i="23"/>
  <c r="Z164" i="23"/>
  <c r="Y164" i="23"/>
  <c r="AP164" i="23" s="1"/>
  <c r="T165" i="23" l="1"/>
  <c r="U165" i="23" s="1"/>
  <c r="BX165" i="23" s="1"/>
  <c r="T164" i="23"/>
  <c r="J164" i="23" s="1"/>
  <c r="AH164" i="23"/>
  <c r="AH165" i="23"/>
  <c r="AD165" i="23" l="1"/>
  <c r="U164" i="23"/>
  <c r="BX164" i="23" s="1"/>
  <c r="K164" i="23"/>
  <c r="AD164" i="23"/>
  <c r="J165" i="23"/>
  <c r="K165" i="23"/>
  <c r="AK164" i="23"/>
  <c r="AL164" i="23"/>
  <c r="AJ164" i="23"/>
  <c r="AT164" i="23"/>
  <c r="AT165" i="23"/>
  <c r="AK165" i="23"/>
  <c r="AJ165" i="23"/>
  <c r="AL165" i="23"/>
  <c r="CE28" i="23"/>
  <c r="CF28" i="23" s="1"/>
  <c r="CD29" i="23"/>
  <c r="CE29" i="23" l="1"/>
  <c r="CF29" i="23" s="1"/>
  <c r="CD30" i="23"/>
  <c r="CE30" i="23" s="1"/>
  <c r="CF30" i="23" s="1"/>
  <c r="CD31" i="23"/>
  <c r="CE31" i="23" s="1"/>
  <c r="AM165" i="23"/>
  <c r="AN165" i="23" s="1"/>
  <c r="AO165" i="23" s="1"/>
  <c r="AU165" i="23" s="1"/>
  <c r="AM164" i="23"/>
  <c r="AN164" i="23" s="1"/>
  <c r="AO164" i="23" s="1"/>
  <c r="AU164" i="23" s="1"/>
  <c r="CD32" i="23" l="1"/>
  <c r="CE32" i="23" s="1"/>
  <c r="CF32" i="23" s="1"/>
  <c r="CF31" i="23"/>
  <c r="CF7" i="23"/>
  <c r="CD7" i="23"/>
  <c r="CD36" i="23" l="1"/>
  <c r="CE36" i="23" s="1"/>
  <c r="CF36" i="23" s="1"/>
  <c r="Y28" i="23"/>
  <c r="AP28" i="23" s="1"/>
  <c r="BE375" i="23"/>
  <c r="BD375" i="23"/>
  <c r="BC375" i="23"/>
  <c r="BB375" i="23"/>
  <c r="BA375" i="23"/>
  <c r="AZ375" i="23"/>
  <c r="BA372" i="23"/>
  <c r="AZ372" i="23"/>
  <c r="BE350" i="23"/>
  <c r="BC350" i="23" s="1"/>
  <c r="BD350" i="23"/>
  <c r="AW350" i="23"/>
  <c r="AQ350" i="23"/>
  <c r="AI350" i="23"/>
  <c r="AG350" i="23"/>
  <c r="AE350" i="23"/>
  <c r="AC350" i="23"/>
  <c r="AA350" i="23"/>
  <c r="Z350" i="23"/>
  <c r="Y350" i="23"/>
  <c r="O350" i="23"/>
  <c r="N350" i="23"/>
  <c r="M350" i="23"/>
  <c r="C350" i="23"/>
  <c r="BE349" i="23"/>
  <c r="BC349" i="23" s="1"/>
  <c r="BD349" i="23"/>
  <c r="AW349" i="23"/>
  <c r="AQ349" i="23"/>
  <c r="AI349" i="23"/>
  <c r="AG349" i="23"/>
  <c r="AE349" i="23"/>
  <c r="AC349" i="23"/>
  <c r="AA349" i="23"/>
  <c r="Z349" i="23"/>
  <c r="Y349" i="23"/>
  <c r="T349" i="23" s="1"/>
  <c r="O349" i="23"/>
  <c r="N349" i="23"/>
  <c r="M349" i="23"/>
  <c r="C349" i="23"/>
  <c r="BE348" i="23"/>
  <c r="BC348" i="23" s="1"/>
  <c r="BD348" i="23"/>
  <c r="AW348" i="23"/>
  <c r="AQ348" i="23"/>
  <c r="AI348" i="23"/>
  <c r="AG348" i="23"/>
  <c r="AE348" i="23"/>
  <c r="AC348" i="23"/>
  <c r="AA348" i="23"/>
  <c r="Z348" i="23"/>
  <c r="Y348" i="23"/>
  <c r="T348" i="23" s="1"/>
  <c r="K348" i="23" s="1"/>
  <c r="O348" i="23"/>
  <c r="N348" i="23"/>
  <c r="M348" i="23"/>
  <c r="C348" i="23"/>
  <c r="BE347" i="23"/>
  <c r="BC347" i="23" s="1"/>
  <c r="BD347" i="23"/>
  <c r="AW347" i="23"/>
  <c r="AQ347" i="23"/>
  <c r="AI347" i="23"/>
  <c r="AG347" i="23"/>
  <c r="AE347" i="23"/>
  <c r="AC347" i="23"/>
  <c r="AA347" i="23"/>
  <c r="Z347" i="23"/>
  <c r="Y347" i="23"/>
  <c r="T347" i="23" s="1"/>
  <c r="K347" i="23" s="1"/>
  <c r="O347" i="23"/>
  <c r="N347" i="23"/>
  <c r="M347" i="23"/>
  <c r="C347" i="23"/>
  <c r="BQ279" i="23"/>
  <c r="BP279" i="23"/>
  <c r="BE279" i="23"/>
  <c r="BC279" i="23" s="1"/>
  <c r="BD279" i="23"/>
  <c r="AW279" i="23"/>
  <c r="AQ279" i="23"/>
  <c r="AI279" i="23"/>
  <c r="AG279" i="23"/>
  <c r="AE279" i="23"/>
  <c r="AC279" i="23"/>
  <c r="Y279" i="23"/>
  <c r="AH279" i="23" s="1"/>
  <c r="BQ278" i="23"/>
  <c r="BP278" i="23"/>
  <c r="BE278" i="23"/>
  <c r="BC278" i="23" s="1"/>
  <c r="BD278" i="23"/>
  <c r="AW278" i="23"/>
  <c r="AQ278" i="23"/>
  <c r="AI278" i="23"/>
  <c r="AG278" i="23"/>
  <c r="AE278" i="23"/>
  <c r="AC278" i="23"/>
  <c r="Y278" i="23"/>
  <c r="AH278" i="23" s="1"/>
  <c r="AL278" i="23" s="1"/>
  <c r="BQ276" i="23"/>
  <c r="BR276" i="23" s="1"/>
  <c r="BE276" i="23"/>
  <c r="BC276" i="23" s="1"/>
  <c r="BD276" i="23"/>
  <c r="AW276" i="23"/>
  <c r="AQ276" i="23"/>
  <c r="AI276" i="23"/>
  <c r="AG276" i="23"/>
  <c r="AE276" i="23"/>
  <c r="AC276" i="23"/>
  <c r="Y276" i="23"/>
  <c r="AH276" i="23" s="1"/>
  <c r="AL276" i="23" s="1"/>
  <c r="BE275" i="23"/>
  <c r="BC275" i="23" s="1"/>
  <c r="BD275" i="23"/>
  <c r="AW275" i="23"/>
  <c r="AQ275" i="23"/>
  <c r="AI275" i="23"/>
  <c r="AG275" i="23"/>
  <c r="AE275" i="23"/>
  <c r="AC275" i="23"/>
  <c r="AA275" i="23"/>
  <c r="Z275" i="23"/>
  <c r="Y275" i="23"/>
  <c r="AH275" i="23" s="1"/>
  <c r="AJ275" i="23" s="1"/>
  <c r="O275" i="23"/>
  <c r="N275" i="23"/>
  <c r="M275" i="23"/>
  <c r="BE274" i="23"/>
  <c r="BC274" i="23" s="1"/>
  <c r="BD274" i="23"/>
  <c r="AW274" i="23"/>
  <c r="AQ274" i="23"/>
  <c r="AI274" i="23"/>
  <c r="AG274" i="23"/>
  <c r="AE274" i="23"/>
  <c r="AC274" i="23"/>
  <c r="AA274" i="23"/>
  <c r="Z274" i="23"/>
  <c r="Y274" i="23"/>
  <c r="AP274" i="23" s="1"/>
  <c r="O274" i="23"/>
  <c r="N274" i="23"/>
  <c r="M274" i="23"/>
  <c r="C274" i="23"/>
  <c r="BE273" i="23"/>
  <c r="BC273" i="23" s="1"/>
  <c r="BD273" i="23"/>
  <c r="AW273" i="23"/>
  <c r="AQ273" i="23"/>
  <c r="AI273" i="23"/>
  <c r="AG273" i="23"/>
  <c r="AE273" i="23"/>
  <c r="AC273" i="23"/>
  <c r="AA273" i="23"/>
  <c r="Z273" i="23"/>
  <c r="Y273" i="23"/>
  <c r="AP273" i="23" s="1"/>
  <c r="O273" i="23"/>
  <c r="N273" i="23"/>
  <c r="M273" i="23"/>
  <c r="BE272" i="23"/>
  <c r="BC272" i="23" s="1"/>
  <c r="BD272" i="23"/>
  <c r="AW272" i="23"/>
  <c r="AQ272" i="23"/>
  <c r="AI272" i="23"/>
  <c r="AG272" i="23"/>
  <c r="AE272" i="23"/>
  <c r="AC272" i="23"/>
  <c r="AA272" i="23"/>
  <c r="Z272" i="23"/>
  <c r="Y272" i="23"/>
  <c r="O272" i="23"/>
  <c r="N272" i="23"/>
  <c r="M272" i="23"/>
  <c r="C272" i="23"/>
  <c r="BE271" i="23"/>
  <c r="BC271" i="23" s="1"/>
  <c r="BD271" i="23"/>
  <c r="AW271" i="23"/>
  <c r="AQ271" i="23"/>
  <c r="AI271" i="23"/>
  <c r="AG271" i="23"/>
  <c r="AE271" i="23"/>
  <c r="AC271" i="23"/>
  <c r="AA271" i="23"/>
  <c r="Z271" i="23"/>
  <c r="Y271" i="23"/>
  <c r="AP271" i="23" s="1"/>
  <c r="O271" i="23"/>
  <c r="N271" i="23"/>
  <c r="M271" i="23"/>
  <c r="C271" i="23"/>
  <c r="BE270" i="23"/>
  <c r="BC270" i="23" s="1"/>
  <c r="BD270" i="23"/>
  <c r="AW270" i="23"/>
  <c r="AQ270" i="23"/>
  <c r="AI270" i="23"/>
  <c r="AG270" i="23"/>
  <c r="AE270" i="23"/>
  <c r="AC270" i="23"/>
  <c r="AA270" i="23"/>
  <c r="Z270" i="23"/>
  <c r="Y270" i="23"/>
  <c r="O270" i="23"/>
  <c r="N270" i="23"/>
  <c r="M270" i="23"/>
  <c r="C270" i="23"/>
  <c r="BE269" i="23"/>
  <c r="BC269" i="23" s="1"/>
  <c r="BD269" i="23"/>
  <c r="AW269" i="23"/>
  <c r="AQ269" i="23"/>
  <c r="AI269" i="23"/>
  <c r="AG269" i="23"/>
  <c r="AE269" i="23"/>
  <c r="AC269" i="23"/>
  <c r="AA269" i="23"/>
  <c r="Z269" i="23"/>
  <c r="Y269" i="23"/>
  <c r="AP269" i="23" s="1"/>
  <c r="O269" i="23"/>
  <c r="N269" i="23"/>
  <c r="M269" i="23"/>
  <c r="C269" i="23"/>
  <c r="BE268" i="23"/>
  <c r="BC268" i="23" s="1"/>
  <c r="BD268" i="23"/>
  <c r="AW268" i="23"/>
  <c r="AQ268" i="23"/>
  <c r="AI268" i="23"/>
  <c r="AG268" i="23"/>
  <c r="AE268" i="23"/>
  <c r="AC268" i="23"/>
  <c r="AA268" i="23"/>
  <c r="Z268" i="23"/>
  <c r="Y268" i="23"/>
  <c r="O268" i="23"/>
  <c r="N268" i="23"/>
  <c r="M268" i="23"/>
  <c r="C268" i="23"/>
  <c r="BE267" i="23"/>
  <c r="BC267" i="23" s="1"/>
  <c r="BD267" i="23"/>
  <c r="AW267" i="23"/>
  <c r="AQ267" i="23"/>
  <c r="AI267" i="23"/>
  <c r="AG267" i="23"/>
  <c r="AE267" i="23"/>
  <c r="AC267" i="23"/>
  <c r="AA267" i="23"/>
  <c r="Z267" i="23"/>
  <c r="Y267" i="23"/>
  <c r="T267" i="23" s="1"/>
  <c r="U267" i="23" s="1"/>
  <c r="BX267" i="23" s="1"/>
  <c r="O267" i="23"/>
  <c r="N267" i="23"/>
  <c r="M267" i="23"/>
  <c r="BE266" i="23"/>
  <c r="BC266" i="23" s="1"/>
  <c r="BD266" i="23"/>
  <c r="AW266" i="23"/>
  <c r="AQ266" i="23"/>
  <c r="AI266" i="23"/>
  <c r="AG266" i="23"/>
  <c r="AE266" i="23"/>
  <c r="AC266" i="23"/>
  <c r="AA266" i="23"/>
  <c r="Z266" i="23"/>
  <c r="Y266" i="23"/>
  <c r="O266" i="23"/>
  <c r="N266" i="23"/>
  <c r="M266" i="23"/>
  <c r="C266" i="23"/>
  <c r="BE265" i="23"/>
  <c r="BC265" i="23" s="1"/>
  <c r="BD265" i="23"/>
  <c r="AW265" i="23"/>
  <c r="AQ265" i="23"/>
  <c r="AI265" i="23"/>
  <c r="AG265" i="23"/>
  <c r="AE265" i="23"/>
  <c r="AC265" i="23"/>
  <c r="AA265" i="23"/>
  <c r="Z265" i="23"/>
  <c r="Y265" i="23"/>
  <c r="T265" i="23" s="1"/>
  <c r="U265" i="23" s="1"/>
  <c r="BX265" i="23" s="1"/>
  <c r="O265" i="23"/>
  <c r="N265" i="23"/>
  <c r="M265" i="23"/>
  <c r="BE264" i="23"/>
  <c r="BC264" i="23" s="1"/>
  <c r="BD264" i="23"/>
  <c r="AW264" i="23"/>
  <c r="AQ264" i="23"/>
  <c r="AI264" i="23"/>
  <c r="AG264" i="23"/>
  <c r="AE264" i="23"/>
  <c r="AC264" i="23"/>
  <c r="AA264" i="23"/>
  <c r="Z264" i="23"/>
  <c r="Y264" i="23"/>
  <c r="AH264" i="23" s="1"/>
  <c r="O264" i="23"/>
  <c r="N264" i="23"/>
  <c r="M264" i="23"/>
  <c r="BE263" i="23"/>
  <c r="BC263" i="23" s="1"/>
  <c r="BD263" i="23"/>
  <c r="AW263" i="23"/>
  <c r="AQ263" i="23"/>
  <c r="AI263" i="23"/>
  <c r="AG263" i="23"/>
  <c r="AE263" i="23"/>
  <c r="AC263" i="23"/>
  <c r="AA263" i="23"/>
  <c r="Z263" i="23"/>
  <c r="Y263" i="23"/>
  <c r="O263" i="23"/>
  <c r="N263" i="23"/>
  <c r="M263" i="23"/>
  <c r="C263" i="23"/>
  <c r="BE262" i="23"/>
  <c r="BC262" i="23" s="1"/>
  <c r="BD262" i="23"/>
  <c r="AW262" i="23"/>
  <c r="AQ262" i="23"/>
  <c r="AI262" i="23"/>
  <c r="AG262" i="23"/>
  <c r="AE262" i="23"/>
  <c r="AC262" i="23"/>
  <c r="AA262" i="23"/>
  <c r="Z262" i="23"/>
  <c r="Y262" i="23"/>
  <c r="AP262" i="23" s="1"/>
  <c r="O262" i="23"/>
  <c r="N262" i="23"/>
  <c r="M262" i="23"/>
  <c r="C262" i="23"/>
  <c r="BE261" i="23"/>
  <c r="BC261" i="23" s="1"/>
  <c r="BD261" i="23"/>
  <c r="AW261" i="23"/>
  <c r="AQ261" i="23"/>
  <c r="AI261" i="23"/>
  <c r="AG261" i="23"/>
  <c r="AE261" i="23"/>
  <c r="AC261" i="23"/>
  <c r="AA261" i="23"/>
  <c r="Z261" i="23"/>
  <c r="Y261" i="23"/>
  <c r="T261" i="23" s="1"/>
  <c r="O261" i="23"/>
  <c r="N261" i="23"/>
  <c r="M261" i="23"/>
  <c r="C261" i="23"/>
  <c r="BE260" i="23"/>
  <c r="BC260" i="23" s="1"/>
  <c r="BD260" i="23"/>
  <c r="AW260" i="23"/>
  <c r="AQ260" i="23"/>
  <c r="AI260" i="23"/>
  <c r="AG260" i="23"/>
  <c r="AE260" i="23"/>
  <c r="AC260" i="23"/>
  <c r="AA260" i="23"/>
  <c r="Z260" i="23"/>
  <c r="Y260" i="23"/>
  <c r="T260" i="23" s="1"/>
  <c r="K260" i="23" s="1"/>
  <c r="O260" i="23"/>
  <c r="N260" i="23"/>
  <c r="M260" i="23"/>
  <c r="BE259" i="23"/>
  <c r="BC259" i="23" s="1"/>
  <c r="BD259" i="23"/>
  <c r="AW259" i="23"/>
  <c r="AQ259" i="23"/>
  <c r="AI259" i="23"/>
  <c r="AG259" i="23"/>
  <c r="AE259" i="23"/>
  <c r="AC259" i="23"/>
  <c r="AA259" i="23"/>
  <c r="Z259" i="23"/>
  <c r="Y259" i="23"/>
  <c r="T259" i="23" s="1"/>
  <c r="K259" i="23" s="1"/>
  <c r="O259" i="23"/>
  <c r="N259" i="23"/>
  <c r="M259" i="23"/>
  <c r="C259" i="23"/>
  <c r="BE258" i="23"/>
  <c r="BC258" i="23" s="1"/>
  <c r="BD258" i="23"/>
  <c r="AW258" i="23"/>
  <c r="AQ258" i="23"/>
  <c r="AI258" i="23"/>
  <c r="AG258" i="23"/>
  <c r="AE258" i="23"/>
  <c r="AC258" i="23"/>
  <c r="AA258" i="23"/>
  <c r="Z258" i="23"/>
  <c r="Y258" i="23"/>
  <c r="AH258" i="23" s="1"/>
  <c r="O258" i="23"/>
  <c r="N258" i="23"/>
  <c r="M258" i="23"/>
  <c r="BE257" i="23"/>
  <c r="BC257" i="23" s="1"/>
  <c r="BD257" i="23"/>
  <c r="AW257" i="23"/>
  <c r="AQ257" i="23"/>
  <c r="AI257" i="23"/>
  <c r="AG257" i="23"/>
  <c r="AE257" i="23"/>
  <c r="AC257" i="23"/>
  <c r="AA257" i="23"/>
  <c r="Z257" i="23"/>
  <c r="Y257" i="23"/>
  <c r="AH257" i="23" s="1"/>
  <c r="AK257" i="23" s="1"/>
  <c r="O257" i="23"/>
  <c r="N257" i="23"/>
  <c r="M257" i="23"/>
  <c r="BE256" i="23"/>
  <c r="BC256" i="23" s="1"/>
  <c r="BD256" i="23"/>
  <c r="AW256" i="23"/>
  <c r="AQ256" i="23"/>
  <c r="AI256" i="23"/>
  <c r="AG256" i="23"/>
  <c r="AE256" i="23"/>
  <c r="AC256" i="23"/>
  <c r="AA256" i="23"/>
  <c r="Z256" i="23"/>
  <c r="Y256" i="23"/>
  <c r="AH256" i="23" s="1"/>
  <c r="O256" i="23"/>
  <c r="N256" i="23"/>
  <c r="M256" i="23"/>
  <c r="BE255" i="23"/>
  <c r="BC255" i="23" s="1"/>
  <c r="BD255" i="23"/>
  <c r="AW255" i="23"/>
  <c r="AQ255" i="23"/>
  <c r="AI255" i="23"/>
  <c r="AG255" i="23"/>
  <c r="AE255" i="23"/>
  <c r="AC255" i="23"/>
  <c r="AA255" i="23"/>
  <c r="Z255" i="23"/>
  <c r="Y255" i="23"/>
  <c r="AH255" i="23" s="1"/>
  <c r="AK255" i="23" s="1"/>
  <c r="O255" i="23"/>
  <c r="N255" i="23"/>
  <c r="M255" i="23"/>
  <c r="BE254" i="23"/>
  <c r="BC254" i="23" s="1"/>
  <c r="BD254" i="23"/>
  <c r="AW254" i="23"/>
  <c r="AQ254" i="23"/>
  <c r="AI254" i="23"/>
  <c r="AG254" i="23"/>
  <c r="AE254" i="23"/>
  <c r="AC254" i="23"/>
  <c r="AA254" i="23"/>
  <c r="Z254" i="23"/>
  <c r="Y254" i="23"/>
  <c r="AH254" i="23" s="1"/>
  <c r="O254" i="23"/>
  <c r="N254" i="23"/>
  <c r="M254" i="23"/>
  <c r="BE253" i="23"/>
  <c r="BC253" i="23" s="1"/>
  <c r="BD253" i="23"/>
  <c r="AW253" i="23"/>
  <c r="AQ253" i="23"/>
  <c r="AI253" i="23"/>
  <c r="AG253" i="23"/>
  <c r="AE253" i="23"/>
  <c r="AC253" i="23"/>
  <c r="AA253" i="23"/>
  <c r="Z253" i="23"/>
  <c r="Y253" i="23"/>
  <c r="AH253" i="23" s="1"/>
  <c r="AK253" i="23" s="1"/>
  <c r="O253" i="23"/>
  <c r="N253" i="23"/>
  <c r="M253" i="23"/>
  <c r="BE252" i="23"/>
  <c r="BC252" i="23" s="1"/>
  <c r="BD252" i="23"/>
  <c r="AW252" i="23"/>
  <c r="AQ252" i="23"/>
  <c r="AI252" i="23"/>
  <c r="AG252" i="23"/>
  <c r="AE252" i="23"/>
  <c r="AC252" i="23"/>
  <c r="AA252" i="23"/>
  <c r="Z252" i="23"/>
  <c r="Y252" i="23"/>
  <c r="AH252" i="23" s="1"/>
  <c r="AK252" i="23" s="1"/>
  <c r="O252" i="23"/>
  <c r="N252" i="23"/>
  <c r="M252" i="23"/>
  <c r="BE251" i="23"/>
  <c r="BC251" i="23" s="1"/>
  <c r="BD251" i="23"/>
  <c r="AW251" i="23"/>
  <c r="AQ251" i="23"/>
  <c r="AI251" i="23"/>
  <c r="AG251" i="23"/>
  <c r="AE251" i="23"/>
  <c r="AC251" i="23"/>
  <c r="AA251" i="23"/>
  <c r="Z251" i="23"/>
  <c r="Y251" i="23"/>
  <c r="AH251" i="23" s="1"/>
  <c r="AK251" i="23" s="1"/>
  <c r="O251" i="23"/>
  <c r="N251" i="23"/>
  <c r="M251" i="23"/>
  <c r="BE250" i="23"/>
  <c r="BC250" i="23" s="1"/>
  <c r="BD250" i="23"/>
  <c r="AW250" i="23"/>
  <c r="AQ250" i="23"/>
  <c r="AI250" i="23"/>
  <c r="AG250" i="23"/>
  <c r="AE250" i="23"/>
  <c r="AC250" i="23"/>
  <c r="AA250" i="23"/>
  <c r="Z250" i="23"/>
  <c r="Y250" i="23"/>
  <c r="AH250" i="23" s="1"/>
  <c r="O250" i="23"/>
  <c r="N250" i="23"/>
  <c r="M250" i="23"/>
  <c r="BE249" i="23"/>
  <c r="BC249" i="23" s="1"/>
  <c r="BD249" i="23"/>
  <c r="AW249" i="23"/>
  <c r="AQ249" i="23"/>
  <c r="AI249" i="23"/>
  <c r="AG249" i="23"/>
  <c r="AE249" i="23"/>
  <c r="AC249" i="23"/>
  <c r="AA249" i="23"/>
  <c r="Z249" i="23"/>
  <c r="Y249" i="23"/>
  <c r="AH249" i="23" s="1"/>
  <c r="AK249" i="23" s="1"/>
  <c r="O249" i="23"/>
  <c r="N249" i="23"/>
  <c r="M249" i="23"/>
  <c r="BE248" i="23"/>
  <c r="BC248" i="23" s="1"/>
  <c r="BD248" i="23"/>
  <c r="AW248" i="23"/>
  <c r="AQ248" i="23"/>
  <c r="AI248" i="23"/>
  <c r="AG248" i="23"/>
  <c r="AE248" i="23"/>
  <c r="AC248" i="23"/>
  <c r="AA248" i="23"/>
  <c r="Z248" i="23"/>
  <c r="Y248" i="23"/>
  <c r="AH248" i="23" s="1"/>
  <c r="O248" i="23"/>
  <c r="N248" i="23"/>
  <c r="M248" i="23"/>
  <c r="BE247" i="23"/>
  <c r="BC247" i="23" s="1"/>
  <c r="BD247" i="23"/>
  <c r="AW247" i="23"/>
  <c r="AQ247" i="23"/>
  <c r="AI247" i="23"/>
  <c r="AG247" i="23"/>
  <c r="AE247" i="23"/>
  <c r="AC247" i="23"/>
  <c r="AA247" i="23"/>
  <c r="Z247" i="23"/>
  <c r="Y247" i="23"/>
  <c r="AH247" i="23" s="1"/>
  <c r="AK247" i="23" s="1"/>
  <c r="O247" i="23"/>
  <c r="N247" i="23"/>
  <c r="M247" i="23"/>
  <c r="BE246" i="23"/>
  <c r="BC246" i="23" s="1"/>
  <c r="BD246" i="23"/>
  <c r="AW246" i="23"/>
  <c r="AQ246" i="23"/>
  <c r="AI246" i="23"/>
  <c r="AG246" i="23"/>
  <c r="AE246" i="23"/>
  <c r="AC246" i="23"/>
  <c r="AA246" i="23"/>
  <c r="Z246" i="23"/>
  <c r="Y246" i="23"/>
  <c r="T246" i="23" s="1"/>
  <c r="U246" i="23" s="1"/>
  <c r="BX246" i="23" s="1"/>
  <c r="O246" i="23"/>
  <c r="N246" i="23"/>
  <c r="M246" i="23"/>
  <c r="BE245" i="23"/>
  <c r="BC245" i="23" s="1"/>
  <c r="BD245" i="23"/>
  <c r="AW245" i="23"/>
  <c r="AQ245" i="23"/>
  <c r="AI245" i="23"/>
  <c r="AG245" i="23"/>
  <c r="AE245" i="23"/>
  <c r="AC245" i="23"/>
  <c r="AA245" i="23"/>
  <c r="Z245" i="23"/>
  <c r="Y245" i="23"/>
  <c r="AP245" i="23" s="1"/>
  <c r="O245" i="23"/>
  <c r="N245" i="23"/>
  <c r="M245" i="23"/>
  <c r="BE244" i="23"/>
  <c r="BC244" i="23" s="1"/>
  <c r="BD244" i="23"/>
  <c r="AW244" i="23"/>
  <c r="AQ244" i="23"/>
  <c r="AI244" i="23"/>
  <c r="AG244" i="23"/>
  <c r="AE244" i="23"/>
  <c r="AC244" i="23"/>
  <c r="AA244" i="23"/>
  <c r="Z244" i="23"/>
  <c r="Y244" i="23"/>
  <c r="T244" i="23" s="1"/>
  <c r="AD244" i="23" s="1"/>
  <c r="O244" i="23"/>
  <c r="N244" i="23"/>
  <c r="M244" i="23"/>
  <c r="BE243" i="23"/>
  <c r="BC243" i="23" s="1"/>
  <c r="BD243" i="23"/>
  <c r="AW243" i="23"/>
  <c r="AQ243" i="23"/>
  <c r="AI243" i="23"/>
  <c r="AG243" i="23"/>
  <c r="AE243" i="23"/>
  <c r="AC243" i="23"/>
  <c r="AA243" i="23"/>
  <c r="Z243" i="23"/>
  <c r="Y243" i="23"/>
  <c r="AP243" i="23" s="1"/>
  <c r="O243" i="23"/>
  <c r="N243" i="23"/>
  <c r="M243" i="23"/>
  <c r="C243" i="23"/>
  <c r="BE242" i="23"/>
  <c r="BC242" i="23" s="1"/>
  <c r="BD242" i="23"/>
  <c r="AW242" i="23"/>
  <c r="AQ242" i="23"/>
  <c r="AI242" i="23"/>
  <c r="AG242" i="23"/>
  <c r="AE242" i="23"/>
  <c r="AC242" i="23"/>
  <c r="AA242" i="23"/>
  <c r="Z242" i="23"/>
  <c r="Y242" i="23"/>
  <c r="AP242" i="23" s="1"/>
  <c r="O242" i="23"/>
  <c r="N242" i="23"/>
  <c r="M242" i="23"/>
  <c r="BE241" i="23"/>
  <c r="BC241" i="23" s="1"/>
  <c r="BD241" i="23"/>
  <c r="AW241" i="23"/>
  <c r="AQ241" i="23"/>
  <c r="AI241" i="23"/>
  <c r="AG241" i="23"/>
  <c r="AE241" i="23"/>
  <c r="AC241" i="23"/>
  <c r="AA241" i="23"/>
  <c r="Z241" i="23"/>
  <c r="Y241" i="23"/>
  <c r="AP241" i="23" s="1"/>
  <c r="O241" i="23"/>
  <c r="N241" i="23"/>
  <c r="M241" i="23"/>
  <c r="C241" i="23"/>
  <c r="BE240" i="23"/>
  <c r="BC240" i="23" s="1"/>
  <c r="BD240" i="23"/>
  <c r="AW240" i="23"/>
  <c r="AQ240" i="23"/>
  <c r="AI240" i="23"/>
  <c r="AG240" i="23"/>
  <c r="AE240" i="23"/>
  <c r="AC240" i="23"/>
  <c r="AA240" i="23"/>
  <c r="Z240" i="23"/>
  <c r="Y240" i="23"/>
  <c r="AH240" i="23" s="1"/>
  <c r="O240" i="23"/>
  <c r="N240" i="23"/>
  <c r="M240" i="23"/>
  <c r="C240" i="23"/>
  <c r="BE239" i="23"/>
  <c r="BC239" i="23" s="1"/>
  <c r="BD239" i="23"/>
  <c r="AW239" i="23"/>
  <c r="AQ239" i="23"/>
  <c r="AI239" i="23"/>
  <c r="AG239" i="23"/>
  <c r="AE239" i="23"/>
  <c r="AC239" i="23"/>
  <c r="AA239" i="23"/>
  <c r="Z239" i="23"/>
  <c r="Y239" i="23"/>
  <c r="AP239" i="23" s="1"/>
  <c r="O239" i="23"/>
  <c r="N239" i="23"/>
  <c r="M239" i="23"/>
  <c r="BE238" i="23"/>
  <c r="BC238" i="23" s="1"/>
  <c r="BD238" i="23"/>
  <c r="AW238" i="23"/>
  <c r="AQ238" i="23"/>
  <c r="AI238" i="23"/>
  <c r="AG238" i="23"/>
  <c r="AE238" i="23"/>
  <c r="AC238" i="23"/>
  <c r="AA238" i="23"/>
  <c r="Z238" i="23"/>
  <c r="Y238" i="23"/>
  <c r="T238" i="23" s="1"/>
  <c r="O238" i="23"/>
  <c r="N238" i="23"/>
  <c r="M238" i="23"/>
  <c r="C238" i="23"/>
  <c r="BE237" i="23"/>
  <c r="BC237" i="23" s="1"/>
  <c r="BD237" i="23"/>
  <c r="AW237" i="23"/>
  <c r="AQ237" i="23"/>
  <c r="AI237" i="23"/>
  <c r="AG237" i="23"/>
  <c r="AE237" i="23"/>
  <c r="AC237" i="23"/>
  <c r="AA237" i="23"/>
  <c r="Z237" i="23"/>
  <c r="Y237" i="23"/>
  <c r="O237" i="23"/>
  <c r="N237" i="23"/>
  <c r="M237" i="23"/>
  <c r="C237" i="23"/>
  <c r="BE236" i="23"/>
  <c r="BC236" i="23" s="1"/>
  <c r="BD236" i="23"/>
  <c r="AW236" i="23"/>
  <c r="AQ236" i="23"/>
  <c r="AI236" i="23"/>
  <c r="AG236" i="23"/>
  <c r="AE236" i="23"/>
  <c r="AC236" i="23"/>
  <c r="AA236" i="23"/>
  <c r="Z236" i="23"/>
  <c r="Y236" i="23"/>
  <c r="O236" i="23"/>
  <c r="N236" i="23"/>
  <c r="M236" i="23"/>
  <c r="C236" i="23"/>
  <c r="BE235" i="23"/>
  <c r="BC235" i="23" s="1"/>
  <c r="BD235" i="23"/>
  <c r="AW235" i="23"/>
  <c r="AQ235" i="23"/>
  <c r="AI235" i="23"/>
  <c r="AG235" i="23"/>
  <c r="AE235" i="23"/>
  <c r="AC235" i="23"/>
  <c r="AA235" i="23"/>
  <c r="Z235" i="23"/>
  <c r="Y235" i="23"/>
  <c r="T235" i="23" s="1"/>
  <c r="U235" i="23" s="1"/>
  <c r="BX235" i="23" s="1"/>
  <c r="O235" i="23"/>
  <c r="N235" i="23"/>
  <c r="M235" i="23"/>
  <c r="BE234" i="23"/>
  <c r="BC234" i="23" s="1"/>
  <c r="BD234" i="23"/>
  <c r="AW234" i="23"/>
  <c r="AQ234" i="23"/>
  <c r="AI234" i="23"/>
  <c r="AG234" i="23"/>
  <c r="AE234" i="23"/>
  <c r="AC234" i="23"/>
  <c r="AA234" i="23"/>
  <c r="Z234" i="23"/>
  <c r="Y234" i="23"/>
  <c r="T234" i="23" s="1"/>
  <c r="J234" i="23" s="1"/>
  <c r="O234" i="23"/>
  <c r="N234" i="23"/>
  <c r="M234" i="23"/>
  <c r="BE233" i="23"/>
  <c r="BC233" i="23" s="1"/>
  <c r="BD233" i="23"/>
  <c r="AW233" i="23"/>
  <c r="AQ233" i="23"/>
  <c r="AI233" i="23"/>
  <c r="AG233" i="23"/>
  <c r="AE233" i="23"/>
  <c r="AC233" i="23"/>
  <c r="AA233" i="23"/>
  <c r="Z233" i="23"/>
  <c r="Y233" i="23"/>
  <c r="AH233" i="23" s="1"/>
  <c r="O233" i="23"/>
  <c r="N233" i="23"/>
  <c r="M233" i="23"/>
  <c r="C233" i="23"/>
  <c r="BE232" i="23"/>
  <c r="BC232" i="23" s="1"/>
  <c r="BD232" i="23"/>
  <c r="AW232" i="23"/>
  <c r="AQ232" i="23"/>
  <c r="AI232" i="23"/>
  <c r="AG232" i="23"/>
  <c r="AE232" i="23"/>
  <c r="AC232" i="23"/>
  <c r="AA232" i="23"/>
  <c r="Z232" i="23"/>
  <c r="Y232" i="23"/>
  <c r="AH232" i="23" s="1"/>
  <c r="O232" i="23"/>
  <c r="N232" i="23"/>
  <c r="M232" i="23"/>
  <c r="BE231" i="23"/>
  <c r="BC231" i="23" s="1"/>
  <c r="BD231" i="23"/>
  <c r="AW231" i="23"/>
  <c r="AQ231" i="23"/>
  <c r="AI231" i="23"/>
  <c r="AG231" i="23"/>
  <c r="AE231" i="23"/>
  <c r="AC231" i="23"/>
  <c r="AA231" i="23"/>
  <c r="Z231" i="23"/>
  <c r="Y231" i="23"/>
  <c r="T231" i="23" s="1"/>
  <c r="O231" i="23"/>
  <c r="N231" i="23"/>
  <c r="M231" i="23"/>
  <c r="C231" i="23"/>
  <c r="BE230" i="23"/>
  <c r="BC230" i="23" s="1"/>
  <c r="BD230" i="23"/>
  <c r="AW230" i="23"/>
  <c r="AQ230" i="23"/>
  <c r="AI230" i="23"/>
  <c r="AG230" i="23"/>
  <c r="AE230" i="23"/>
  <c r="AC230" i="23"/>
  <c r="AA230" i="23"/>
  <c r="Z230" i="23"/>
  <c r="Y230" i="23"/>
  <c r="T230" i="23" s="1"/>
  <c r="U230" i="23" s="1"/>
  <c r="BX230" i="23" s="1"/>
  <c r="O230" i="23"/>
  <c r="N230" i="23"/>
  <c r="M230" i="23"/>
  <c r="C230" i="23"/>
  <c r="BE229" i="23"/>
  <c r="BC229" i="23" s="1"/>
  <c r="BD229" i="23"/>
  <c r="AW229" i="23"/>
  <c r="AQ229" i="23"/>
  <c r="AI229" i="23"/>
  <c r="AG229" i="23"/>
  <c r="AE229" i="23"/>
  <c r="AC229" i="23"/>
  <c r="AA229" i="23"/>
  <c r="Z229" i="23"/>
  <c r="Y229" i="23"/>
  <c r="O229" i="23"/>
  <c r="N229" i="23"/>
  <c r="M229" i="23"/>
  <c r="BE228" i="23"/>
  <c r="BC228" i="23" s="1"/>
  <c r="BD228" i="23"/>
  <c r="AW228" i="23"/>
  <c r="AQ228" i="23"/>
  <c r="AI228" i="23"/>
  <c r="AG228" i="23"/>
  <c r="AE228" i="23"/>
  <c r="AC228" i="23"/>
  <c r="AA228" i="23"/>
  <c r="Z228" i="23"/>
  <c r="Y228" i="23"/>
  <c r="AP228" i="23" s="1"/>
  <c r="O228" i="23"/>
  <c r="N228" i="23"/>
  <c r="M228" i="23"/>
  <c r="C228" i="23"/>
  <c r="BE226" i="23"/>
  <c r="BC226" i="23" s="1"/>
  <c r="BD226" i="23"/>
  <c r="AW226" i="23"/>
  <c r="AQ226" i="23"/>
  <c r="AI226" i="23"/>
  <c r="AG226" i="23"/>
  <c r="AE226" i="23"/>
  <c r="AC226" i="23"/>
  <c r="AA226" i="23"/>
  <c r="Z226" i="23"/>
  <c r="Y226" i="23"/>
  <c r="T226" i="23" s="1"/>
  <c r="J226" i="23" s="1"/>
  <c r="O226" i="23"/>
  <c r="N226" i="23"/>
  <c r="M226" i="23"/>
  <c r="C226" i="23"/>
  <c r="BE225" i="23"/>
  <c r="BC225" i="23" s="1"/>
  <c r="BD225" i="23"/>
  <c r="AW225" i="23"/>
  <c r="AQ225" i="23"/>
  <c r="AI225" i="23"/>
  <c r="AG225" i="23"/>
  <c r="AE225" i="23"/>
  <c r="AC225" i="23"/>
  <c r="AA225" i="23"/>
  <c r="Z225" i="23"/>
  <c r="Y225" i="23"/>
  <c r="T225" i="23" s="1"/>
  <c r="AD225" i="23" s="1"/>
  <c r="O225" i="23"/>
  <c r="N225" i="23"/>
  <c r="M225" i="23"/>
  <c r="BE224" i="23"/>
  <c r="BC224" i="23" s="1"/>
  <c r="BD224" i="23"/>
  <c r="AW224" i="23"/>
  <c r="AQ224" i="23"/>
  <c r="AI224" i="23"/>
  <c r="AG224" i="23"/>
  <c r="AE224" i="23"/>
  <c r="AC224" i="23"/>
  <c r="AA224" i="23"/>
  <c r="Z224" i="23"/>
  <c r="Y224" i="23"/>
  <c r="AP224" i="23" s="1"/>
  <c r="O224" i="23"/>
  <c r="N224" i="23"/>
  <c r="M224" i="23"/>
  <c r="C224" i="23"/>
  <c r="BE223" i="23"/>
  <c r="BC223" i="23" s="1"/>
  <c r="BD223" i="23"/>
  <c r="AW223" i="23"/>
  <c r="AQ223" i="23"/>
  <c r="AI223" i="23"/>
  <c r="AG223" i="23"/>
  <c r="AE223" i="23"/>
  <c r="AC223" i="23"/>
  <c r="AA223" i="23"/>
  <c r="Z223" i="23"/>
  <c r="Y223" i="23"/>
  <c r="O223" i="23"/>
  <c r="N223" i="23"/>
  <c r="M223" i="23"/>
  <c r="BE222" i="23"/>
  <c r="BC222" i="23" s="1"/>
  <c r="BD222" i="23"/>
  <c r="AW222" i="23"/>
  <c r="AQ222" i="23"/>
  <c r="AI222" i="23"/>
  <c r="AG222" i="23"/>
  <c r="AE222" i="23"/>
  <c r="AC222" i="23"/>
  <c r="AA222" i="23"/>
  <c r="Z222" i="23"/>
  <c r="Y222" i="23"/>
  <c r="T222" i="23" s="1"/>
  <c r="O222" i="23"/>
  <c r="N222" i="23"/>
  <c r="M222" i="23"/>
  <c r="BE221" i="23"/>
  <c r="BC221" i="23" s="1"/>
  <c r="BD221" i="23"/>
  <c r="AW221" i="23"/>
  <c r="AQ221" i="23"/>
  <c r="AI221" i="23"/>
  <c r="AG221" i="23"/>
  <c r="AE221" i="23"/>
  <c r="AC221" i="23"/>
  <c r="AA221" i="23"/>
  <c r="Z221" i="23"/>
  <c r="Y221" i="23"/>
  <c r="AP221" i="23" s="1"/>
  <c r="O221" i="23"/>
  <c r="N221" i="23"/>
  <c r="M221" i="23"/>
  <c r="BE220" i="23"/>
  <c r="BC220" i="23" s="1"/>
  <c r="BD220" i="23"/>
  <c r="AW220" i="23"/>
  <c r="AQ220" i="23"/>
  <c r="AI220" i="23"/>
  <c r="AG220" i="23"/>
  <c r="AE220" i="23"/>
  <c r="AC220" i="23"/>
  <c r="AA220" i="23"/>
  <c r="Z220" i="23"/>
  <c r="Y220" i="23"/>
  <c r="AP220" i="23" s="1"/>
  <c r="O220" i="23"/>
  <c r="N220" i="23"/>
  <c r="M220" i="23"/>
  <c r="BE219" i="23"/>
  <c r="BC219" i="23" s="1"/>
  <c r="BD219" i="23"/>
  <c r="AW219" i="23"/>
  <c r="AQ219" i="23"/>
  <c r="AI219" i="23"/>
  <c r="AG219" i="23"/>
  <c r="AE219" i="23"/>
  <c r="AC219" i="23"/>
  <c r="AA219" i="23"/>
  <c r="Z219" i="23"/>
  <c r="Y219" i="23"/>
  <c r="AH219" i="23" s="1"/>
  <c r="O219" i="23"/>
  <c r="N219" i="23"/>
  <c r="M219" i="23"/>
  <c r="BE218" i="23"/>
  <c r="BC218" i="23" s="1"/>
  <c r="BD218" i="23"/>
  <c r="AW218" i="23"/>
  <c r="AQ218" i="23"/>
  <c r="AI218" i="23"/>
  <c r="AG218" i="23"/>
  <c r="AE218" i="23"/>
  <c r="AC218" i="23"/>
  <c r="AA218" i="23"/>
  <c r="Z218" i="23"/>
  <c r="Y218" i="23"/>
  <c r="AP218" i="23" s="1"/>
  <c r="O218" i="23"/>
  <c r="N218" i="23"/>
  <c r="M218" i="23"/>
  <c r="BE216" i="23"/>
  <c r="BC216" i="23" s="1"/>
  <c r="BD216" i="23"/>
  <c r="AW216" i="23"/>
  <c r="AQ216" i="23"/>
  <c r="AI216" i="23"/>
  <c r="AG216" i="23"/>
  <c r="AE216" i="23"/>
  <c r="AC216" i="23"/>
  <c r="AA216" i="23"/>
  <c r="Z216" i="23"/>
  <c r="Y216" i="23"/>
  <c r="O216" i="23"/>
  <c r="N216" i="23"/>
  <c r="M216" i="23"/>
  <c r="BE215" i="23"/>
  <c r="BC215" i="23" s="1"/>
  <c r="BD215" i="23"/>
  <c r="AW215" i="23"/>
  <c r="AQ215" i="23"/>
  <c r="AI215" i="23"/>
  <c r="AG215" i="23"/>
  <c r="AE215" i="23"/>
  <c r="AC215" i="23"/>
  <c r="AA215" i="23"/>
  <c r="Z215" i="23"/>
  <c r="Y215" i="23"/>
  <c r="AP215" i="23" s="1"/>
  <c r="O215" i="23"/>
  <c r="N215" i="23"/>
  <c r="M215" i="23"/>
  <c r="BE214" i="23"/>
  <c r="BC214" i="23" s="1"/>
  <c r="BD214" i="23"/>
  <c r="AW214" i="23"/>
  <c r="AQ214" i="23"/>
  <c r="AI214" i="23"/>
  <c r="AG214" i="23"/>
  <c r="AE214" i="23"/>
  <c r="AC214" i="23"/>
  <c r="AA214" i="23"/>
  <c r="Z214" i="23"/>
  <c r="Y214" i="23"/>
  <c r="AH214" i="23" s="1"/>
  <c r="AJ214" i="23" s="1"/>
  <c r="O214" i="23"/>
  <c r="N214" i="23"/>
  <c r="M214" i="23"/>
  <c r="BE213" i="23"/>
  <c r="BC213" i="23" s="1"/>
  <c r="BD213" i="23"/>
  <c r="AW213" i="23"/>
  <c r="AQ213" i="23"/>
  <c r="AI213" i="23"/>
  <c r="AG213" i="23"/>
  <c r="AE213" i="23"/>
  <c r="AC213" i="23"/>
  <c r="AA213" i="23"/>
  <c r="Z213" i="23"/>
  <c r="Y213" i="23"/>
  <c r="AP213" i="23" s="1"/>
  <c r="O213" i="23"/>
  <c r="N213" i="23"/>
  <c r="M213" i="23"/>
  <c r="BE212" i="23"/>
  <c r="BC212" i="23" s="1"/>
  <c r="BD212" i="23"/>
  <c r="AW212" i="23"/>
  <c r="AQ212" i="23"/>
  <c r="AI212" i="23"/>
  <c r="AG212" i="23"/>
  <c r="AE212" i="23"/>
  <c r="AC212" i="23"/>
  <c r="AA212" i="23"/>
  <c r="Z212" i="23"/>
  <c r="Y212" i="23"/>
  <c r="AH212" i="23" s="1"/>
  <c r="O212" i="23"/>
  <c r="N212" i="23"/>
  <c r="M212" i="23"/>
  <c r="BE211" i="23"/>
  <c r="BC211" i="23" s="1"/>
  <c r="BD211" i="23"/>
  <c r="AW211" i="23"/>
  <c r="AQ211" i="23"/>
  <c r="AI211" i="23"/>
  <c r="AG211" i="23"/>
  <c r="AE211" i="23"/>
  <c r="AC211" i="23"/>
  <c r="AA211" i="23"/>
  <c r="Z211" i="23"/>
  <c r="Y211" i="23"/>
  <c r="AP211" i="23" s="1"/>
  <c r="O211" i="23"/>
  <c r="N211" i="23"/>
  <c r="M211" i="23"/>
  <c r="BE210" i="23"/>
  <c r="BC210" i="23" s="1"/>
  <c r="BD210" i="23"/>
  <c r="AW210" i="23"/>
  <c r="AQ210" i="23"/>
  <c r="AI210" i="23"/>
  <c r="AG210" i="23"/>
  <c r="AE210" i="23"/>
  <c r="AC210" i="23"/>
  <c r="AA210" i="23"/>
  <c r="Z210" i="23"/>
  <c r="Y210" i="23"/>
  <c r="AH210" i="23" s="1"/>
  <c r="O210" i="23"/>
  <c r="N210" i="23"/>
  <c r="M210" i="23"/>
  <c r="BE209" i="23"/>
  <c r="BC209" i="23" s="1"/>
  <c r="BD209" i="23"/>
  <c r="AW209" i="23"/>
  <c r="AQ209" i="23"/>
  <c r="AI209" i="23"/>
  <c r="AG209" i="23"/>
  <c r="AE209" i="23"/>
  <c r="AC209" i="23"/>
  <c r="AA209" i="23"/>
  <c r="Z209" i="23"/>
  <c r="Y209" i="23"/>
  <c r="AP209" i="23" s="1"/>
  <c r="O209" i="23"/>
  <c r="N209" i="23"/>
  <c r="M209" i="23"/>
  <c r="BE208" i="23"/>
  <c r="BC208" i="23" s="1"/>
  <c r="BD208" i="23"/>
  <c r="AW208" i="23"/>
  <c r="AQ208" i="23"/>
  <c r="AI208" i="23"/>
  <c r="AG208" i="23"/>
  <c r="AE208" i="23"/>
  <c r="AC208" i="23"/>
  <c r="AA208" i="23"/>
  <c r="Z208" i="23"/>
  <c r="Y208" i="23"/>
  <c r="AH208" i="23" s="1"/>
  <c r="O208" i="23"/>
  <c r="N208" i="23"/>
  <c r="M208" i="23"/>
  <c r="BE206" i="23"/>
  <c r="BC206" i="23" s="1"/>
  <c r="BD206" i="23"/>
  <c r="AW206" i="23"/>
  <c r="AQ206" i="23"/>
  <c r="AI206" i="23"/>
  <c r="AG206" i="23"/>
  <c r="AE206" i="23"/>
  <c r="AC206" i="23"/>
  <c r="AA206" i="23"/>
  <c r="Z206" i="23"/>
  <c r="Y206" i="23"/>
  <c r="T206" i="23" s="1"/>
  <c r="O206" i="23"/>
  <c r="N206" i="23"/>
  <c r="M206" i="23"/>
  <c r="BE205" i="23"/>
  <c r="BC205" i="23" s="1"/>
  <c r="BD205" i="23"/>
  <c r="AW205" i="23"/>
  <c r="AQ205" i="23"/>
  <c r="AI205" i="23"/>
  <c r="AG205" i="23"/>
  <c r="AE205" i="23"/>
  <c r="AC205" i="23"/>
  <c r="AA205" i="23"/>
  <c r="Z205" i="23"/>
  <c r="Y205" i="23"/>
  <c r="AH205" i="23" s="1"/>
  <c r="AK205" i="23" s="1"/>
  <c r="O205" i="23"/>
  <c r="N205" i="23"/>
  <c r="M205" i="23"/>
  <c r="BE204" i="23"/>
  <c r="BC204" i="23" s="1"/>
  <c r="BD204" i="23"/>
  <c r="AW204" i="23"/>
  <c r="AQ204" i="23"/>
  <c r="AI204" i="23"/>
  <c r="AG204" i="23"/>
  <c r="AE204" i="23"/>
  <c r="AC204" i="23"/>
  <c r="AA204" i="23"/>
  <c r="Z204" i="23"/>
  <c r="Y204" i="23"/>
  <c r="AP204" i="23" s="1"/>
  <c r="O204" i="23"/>
  <c r="N204" i="23"/>
  <c r="M204" i="23"/>
  <c r="BE203" i="23"/>
  <c r="BC203" i="23" s="1"/>
  <c r="BD203" i="23"/>
  <c r="AW203" i="23"/>
  <c r="AQ203" i="23"/>
  <c r="AI203" i="23"/>
  <c r="AG203" i="23"/>
  <c r="AE203" i="23"/>
  <c r="AC203" i="23"/>
  <c r="AA203" i="23"/>
  <c r="Z203" i="23"/>
  <c r="Y203" i="23"/>
  <c r="AP203" i="23" s="1"/>
  <c r="O203" i="23"/>
  <c r="N203" i="23"/>
  <c r="M203" i="23"/>
  <c r="BE202" i="23"/>
  <c r="BC202" i="23" s="1"/>
  <c r="BD202" i="23"/>
  <c r="AW202" i="23"/>
  <c r="AQ202" i="23"/>
  <c r="AI202" i="23"/>
  <c r="AG202" i="23"/>
  <c r="AE202" i="23"/>
  <c r="AC202" i="23"/>
  <c r="AA202" i="23"/>
  <c r="Z202" i="23"/>
  <c r="Y202" i="23"/>
  <c r="AP202" i="23" s="1"/>
  <c r="O202" i="23"/>
  <c r="N202" i="23"/>
  <c r="M202" i="23"/>
  <c r="C202" i="23"/>
  <c r="BE201" i="23"/>
  <c r="BC201" i="23" s="1"/>
  <c r="BD201" i="23"/>
  <c r="AW201" i="23"/>
  <c r="AQ201" i="23"/>
  <c r="AI201" i="23"/>
  <c r="AG201" i="23"/>
  <c r="AE201" i="23"/>
  <c r="AC201" i="23"/>
  <c r="AA201" i="23"/>
  <c r="Z201" i="23"/>
  <c r="Y201" i="23"/>
  <c r="O201" i="23"/>
  <c r="N201" i="23"/>
  <c r="M201" i="23"/>
  <c r="C201" i="23"/>
  <c r="BE200" i="23"/>
  <c r="BC200" i="23" s="1"/>
  <c r="BD200" i="23"/>
  <c r="AW200" i="23"/>
  <c r="AQ200" i="23"/>
  <c r="AI200" i="23"/>
  <c r="AG200" i="23"/>
  <c r="AE200" i="23"/>
  <c r="AC200" i="23"/>
  <c r="AA200" i="23"/>
  <c r="Z200" i="23"/>
  <c r="Y200" i="23"/>
  <c r="O200" i="23"/>
  <c r="N200" i="23"/>
  <c r="M200" i="23"/>
  <c r="C200" i="23"/>
  <c r="BE199" i="23"/>
  <c r="BC199" i="23" s="1"/>
  <c r="BD199" i="23"/>
  <c r="AW199" i="23"/>
  <c r="AQ199" i="23"/>
  <c r="AI199" i="23"/>
  <c r="AG199" i="23"/>
  <c r="AE199" i="23"/>
  <c r="AC199" i="23"/>
  <c r="AA199" i="23"/>
  <c r="Z199" i="23"/>
  <c r="Y199" i="23"/>
  <c r="AP199" i="23" s="1"/>
  <c r="O199" i="23"/>
  <c r="N199" i="23"/>
  <c r="M199" i="23"/>
  <c r="BE198" i="23"/>
  <c r="BC198" i="23" s="1"/>
  <c r="BD198" i="23"/>
  <c r="AW198" i="23"/>
  <c r="AQ198" i="23"/>
  <c r="AI198" i="23"/>
  <c r="AG198" i="23"/>
  <c r="AE198" i="23"/>
  <c r="AC198" i="23"/>
  <c r="AA198" i="23"/>
  <c r="Z198" i="23"/>
  <c r="Y198" i="23"/>
  <c r="O198" i="23"/>
  <c r="N198" i="23"/>
  <c r="M198" i="23"/>
  <c r="BE197" i="23"/>
  <c r="BC197" i="23" s="1"/>
  <c r="BD197" i="23"/>
  <c r="AW197" i="23"/>
  <c r="AQ197" i="23"/>
  <c r="AI197" i="23"/>
  <c r="AG197" i="23"/>
  <c r="AE197" i="23"/>
  <c r="AC197" i="23"/>
  <c r="AA197" i="23"/>
  <c r="Z197" i="23"/>
  <c r="Y197" i="23"/>
  <c r="AH197" i="23" s="1"/>
  <c r="AL197" i="23" s="1"/>
  <c r="O197" i="23"/>
  <c r="N197" i="23"/>
  <c r="M197" i="23"/>
  <c r="BE196" i="23"/>
  <c r="BC196" i="23" s="1"/>
  <c r="BD196" i="23"/>
  <c r="AW196" i="23"/>
  <c r="AQ196" i="23"/>
  <c r="AI196" i="23"/>
  <c r="AG196" i="23"/>
  <c r="AE196" i="23"/>
  <c r="AC196" i="23"/>
  <c r="AA196" i="23"/>
  <c r="Z196" i="23"/>
  <c r="Y196" i="23"/>
  <c r="AH196" i="23" s="1"/>
  <c r="O196" i="23"/>
  <c r="N196" i="23"/>
  <c r="M196" i="23"/>
  <c r="BE195" i="23"/>
  <c r="BC195" i="23" s="1"/>
  <c r="BD195" i="23"/>
  <c r="AW195" i="23"/>
  <c r="AQ195" i="23"/>
  <c r="AI195" i="23"/>
  <c r="AG195" i="23"/>
  <c r="AE195" i="23"/>
  <c r="AC195" i="23"/>
  <c r="AA195" i="23"/>
  <c r="Z195" i="23"/>
  <c r="Y195" i="23"/>
  <c r="AH195" i="23" s="1"/>
  <c r="O195" i="23"/>
  <c r="N195" i="23"/>
  <c r="M195" i="23"/>
  <c r="BE194" i="23"/>
  <c r="BC194" i="23" s="1"/>
  <c r="BD194" i="23"/>
  <c r="AW194" i="23"/>
  <c r="AQ194" i="23"/>
  <c r="AI194" i="23"/>
  <c r="AG194" i="23"/>
  <c r="AE194" i="23"/>
  <c r="AC194" i="23"/>
  <c r="AA194" i="23"/>
  <c r="Z194" i="23"/>
  <c r="Y194" i="23"/>
  <c r="AH194" i="23" s="1"/>
  <c r="O194" i="23"/>
  <c r="N194" i="23"/>
  <c r="M194" i="23"/>
  <c r="BE193" i="23"/>
  <c r="BC193" i="23" s="1"/>
  <c r="BD193" i="23"/>
  <c r="AW193" i="23"/>
  <c r="AQ193" i="23"/>
  <c r="AI193" i="23"/>
  <c r="AG193" i="23"/>
  <c r="AE193" i="23"/>
  <c r="AC193" i="23"/>
  <c r="AA193" i="23"/>
  <c r="Z193" i="23"/>
  <c r="Y193" i="23"/>
  <c r="AP193" i="23" s="1"/>
  <c r="O193" i="23"/>
  <c r="N193" i="23"/>
  <c r="M193" i="23"/>
  <c r="C193" i="23"/>
  <c r="BE192" i="23"/>
  <c r="BC192" i="23" s="1"/>
  <c r="BD192" i="23"/>
  <c r="AW192" i="23"/>
  <c r="AQ192" i="23"/>
  <c r="AI192" i="23"/>
  <c r="AG192" i="23"/>
  <c r="AE192" i="23"/>
  <c r="AC192" i="23"/>
  <c r="AA192" i="23"/>
  <c r="Z192" i="23"/>
  <c r="Y192" i="23"/>
  <c r="O192" i="23"/>
  <c r="N192" i="23"/>
  <c r="M192" i="23"/>
  <c r="C192" i="23"/>
  <c r="BE191" i="23"/>
  <c r="BC191" i="23" s="1"/>
  <c r="BD191" i="23"/>
  <c r="AW191" i="23"/>
  <c r="AQ191" i="23"/>
  <c r="AI191" i="23"/>
  <c r="AG191" i="23"/>
  <c r="AE191" i="23"/>
  <c r="AC191" i="23"/>
  <c r="AA191" i="23"/>
  <c r="Z191" i="23"/>
  <c r="Y191" i="23"/>
  <c r="T191" i="23" s="1"/>
  <c r="AD191" i="23" s="1"/>
  <c r="O191" i="23"/>
  <c r="N191" i="23"/>
  <c r="M191" i="23"/>
  <c r="C191" i="23"/>
  <c r="BE190" i="23"/>
  <c r="BC190" i="23" s="1"/>
  <c r="BD190" i="23"/>
  <c r="AW190" i="23"/>
  <c r="AQ190" i="23"/>
  <c r="AI190" i="23"/>
  <c r="AG190" i="23"/>
  <c r="AE190" i="23"/>
  <c r="AC190" i="23"/>
  <c r="AA190" i="23"/>
  <c r="Z190" i="23"/>
  <c r="Y190" i="23"/>
  <c r="T190" i="23" s="1"/>
  <c r="K190" i="23" s="1"/>
  <c r="O190" i="23"/>
  <c r="N190" i="23"/>
  <c r="M190" i="23"/>
  <c r="BE189" i="23"/>
  <c r="BC189" i="23" s="1"/>
  <c r="BD189" i="23"/>
  <c r="AW189" i="23"/>
  <c r="AQ189" i="23"/>
  <c r="AI189" i="23"/>
  <c r="AG189" i="23"/>
  <c r="AE189" i="23"/>
  <c r="AC189" i="23"/>
  <c r="AA189" i="23"/>
  <c r="Z189" i="23"/>
  <c r="Y189" i="23"/>
  <c r="T189" i="23" s="1"/>
  <c r="O189" i="23"/>
  <c r="N189" i="23"/>
  <c r="M189" i="23"/>
  <c r="C189" i="23"/>
  <c r="BE188" i="23"/>
  <c r="BC188" i="23" s="1"/>
  <c r="BD188" i="23"/>
  <c r="AW188" i="23"/>
  <c r="AQ188" i="23"/>
  <c r="AI188" i="23"/>
  <c r="AG188" i="23"/>
  <c r="AE188" i="23"/>
  <c r="AC188" i="23"/>
  <c r="AA188" i="23"/>
  <c r="Z188" i="23"/>
  <c r="Y188" i="23"/>
  <c r="BE187" i="23"/>
  <c r="BC187" i="23" s="1"/>
  <c r="BD187" i="23"/>
  <c r="AW187" i="23"/>
  <c r="AQ187" i="23"/>
  <c r="AI187" i="23"/>
  <c r="AG187" i="23"/>
  <c r="AE187" i="23"/>
  <c r="AC187" i="23"/>
  <c r="AA187" i="23"/>
  <c r="Z187" i="23"/>
  <c r="Y187" i="23"/>
  <c r="AH187" i="23" s="1"/>
  <c r="BE186" i="23"/>
  <c r="BC186" i="23" s="1"/>
  <c r="BD186" i="23"/>
  <c r="AW186" i="23"/>
  <c r="AQ186" i="23"/>
  <c r="AI186" i="23"/>
  <c r="AG186" i="23"/>
  <c r="AE186" i="23"/>
  <c r="AC186" i="23"/>
  <c r="AA186" i="23"/>
  <c r="Z186" i="23"/>
  <c r="Y186" i="23"/>
  <c r="AP186" i="23" s="1"/>
  <c r="BE185" i="23"/>
  <c r="BC185" i="23" s="1"/>
  <c r="BD185" i="23"/>
  <c r="AW185" i="23"/>
  <c r="AQ185" i="23"/>
  <c r="AI185" i="23"/>
  <c r="AG185" i="23"/>
  <c r="AE185" i="23"/>
  <c r="AC185" i="23"/>
  <c r="AA185" i="23"/>
  <c r="Z185" i="23"/>
  <c r="Y185" i="23"/>
  <c r="AH185" i="23" s="1"/>
  <c r="BE184" i="23"/>
  <c r="BC184" i="23" s="1"/>
  <c r="BD184" i="23"/>
  <c r="AW184" i="23"/>
  <c r="AQ184" i="23"/>
  <c r="AI184" i="23"/>
  <c r="AG184" i="23"/>
  <c r="AE184" i="23"/>
  <c r="AC184" i="23"/>
  <c r="AA184" i="23"/>
  <c r="Z184" i="23"/>
  <c r="Y184" i="23"/>
  <c r="AP184" i="23" s="1"/>
  <c r="BE183" i="23"/>
  <c r="BC183" i="23" s="1"/>
  <c r="BD183" i="23"/>
  <c r="AW183" i="23"/>
  <c r="AQ183" i="23"/>
  <c r="AI183" i="23"/>
  <c r="AG183" i="23"/>
  <c r="AE183" i="23"/>
  <c r="AC183" i="23"/>
  <c r="AA183" i="23"/>
  <c r="Z183" i="23"/>
  <c r="Y183" i="23"/>
  <c r="AH183" i="23" s="1"/>
  <c r="BE182" i="23"/>
  <c r="BC182" i="23" s="1"/>
  <c r="BD182" i="23"/>
  <c r="AW182" i="23"/>
  <c r="AQ182" i="23"/>
  <c r="AI182" i="23"/>
  <c r="AG182" i="23"/>
  <c r="AE182" i="23"/>
  <c r="AC182" i="23"/>
  <c r="AA182" i="23"/>
  <c r="Z182" i="23"/>
  <c r="Y182" i="23"/>
  <c r="T182" i="23" s="1"/>
  <c r="AD182" i="23" s="1"/>
  <c r="BE181" i="23"/>
  <c r="BC181" i="23" s="1"/>
  <c r="BD181" i="23"/>
  <c r="AW181" i="23"/>
  <c r="AQ181" i="23"/>
  <c r="AI181" i="23"/>
  <c r="AG181" i="23"/>
  <c r="AE181" i="23"/>
  <c r="AC181" i="23"/>
  <c r="AA181" i="23"/>
  <c r="Z181" i="23"/>
  <c r="Y181" i="23"/>
  <c r="AP181" i="23" s="1"/>
  <c r="BE180" i="23"/>
  <c r="BC180" i="23" s="1"/>
  <c r="BD180" i="23"/>
  <c r="AW180" i="23"/>
  <c r="AQ180" i="23"/>
  <c r="AI180" i="23"/>
  <c r="AG180" i="23"/>
  <c r="AE180" i="23"/>
  <c r="AC180" i="23"/>
  <c r="AA180" i="23"/>
  <c r="Z180" i="23"/>
  <c r="Y180" i="23"/>
  <c r="T180" i="23" s="1"/>
  <c r="K180" i="23" s="1"/>
  <c r="O180" i="23"/>
  <c r="N180" i="23"/>
  <c r="M180" i="23"/>
  <c r="BE179" i="23"/>
  <c r="BC179" i="23" s="1"/>
  <c r="BD179" i="23"/>
  <c r="AW179" i="23"/>
  <c r="AQ179" i="23"/>
  <c r="AI179" i="23"/>
  <c r="AG179" i="23"/>
  <c r="AE179" i="23"/>
  <c r="AC179" i="23"/>
  <c r="AA179" i="23"/>
  <c r="Z179" i="23"/>
  <c r="Y179" i="23"/>
  <c r="AP179" i="23" s="1"/>
  <c r="O179" i="23"/>
  <c r="N179" i="23"/>
  <c r="M179" i="23"/>
  <c r="BE178" i="23"/>
  <c r="BC178" i="23" s="1"/>
  <c r="BD178" i="23"/>
  <c r="AW178" i="23"/>
  <c r="AQ178" i="23"/>
  <c r="AI178" i="23"/>
  <c r="AG178" i="23"/>
  <c r="AE178" i="23"/>
  <c r="AC178" i="23"/>
  <c r="AA178" i="23"/>
  <c r="Z178" i="23"/>
  <c r="Y178" i="23"/>
  <c r="T178" i="23" s="1"/>
  <c r="K178" i="23" s="1"/>
  <c r="O178" i="23"/>
  <c r="N178" i="23"/>
  <c r="M178" i="23"/>
  <c r="BE177" i="23"/>
  <c r="BC177" i="23" s="1"/>
  <c r="BD177" i="23"/>
  <c r="AW177" i="23"/>
  <c r="AQ177" i="23"/>
  <c r="AI177" i="23"/>
  <c r="AG177" i="23"/>
  <c r="AE177" i="23"/>
  <c r="AC177" i="23"/>
  <c r="AA177" i="23"/>
  <c r="Z177" i="23"/>
  <c r="Y177" i="23"/>
  <c r="AP177" i="23" s="1"/>
  <c r="O177" i="23"/>
  <c r="N177" i="23"/>
  <c r="M177" i="23"/>
  <c r="BE176" i="23"/>
  <c r="BC176" i="23" s="1"/>
  <c r="BD176" i="23"/>
  <c r="AW176" i="23"/>
  <c r="AQ176" i="23"/>
  <c r="AI176" i="23"/>
  <c r="AG176" i="23"/>
  <c r="AE176" i="23"/>
  <c r="AC176" i="23"/>
  <c r="AA176" i="23"/>
  <c r="Z176" i="23"/>
  <c r="Y176" i="23"/>
  <c r="T176" i="23" s="1"/>
  <c r="O176" i="23"/>
  <c r="N176" i="23"/>
  <c r="M176" i="23"/>
  <c r="BE175" i="23"/>
  <c r="BC175" i="23" s="1"/>
  <c r="BD175" i="23"/>
  <c r="AW175" i="23"/>
  <c r="AQ175" i="23"/>
  <c r="AI175" i="23"/>
  <c r="AG175" i="23"/>
  <c r="AE175" i="23"/>
  <c r="AC175" i="23"/>
  <c r="AA175" i="23"/>
  <c r="Z175" i="23"/>
  <c r="Y175" i="23"/>
  <c r="AP175" i="23" s="1"/>
  <c r="O175" i="23"/>
  <c r="N175" i="23"/>
  <c r="M175" i="23"/>
  <c r="BE174" i="23"/>
  <c r="BC174" i="23" s="1"/>
  <c r="BD174" i="23"/>
  <c r="AW174" i="23"/>
  <c r="AQ174" i="23"/>
  <c r="AI174" i="23"/>
  <c r="AG174" i="23"/>
  <c r="AE174" i="23"/>
  <c r="AC174" i="23"/>
  <c r="AA174" i="23"/>
  <c r="Z174" i="23"/>
  <c r="Y174" i="23"/>
  <c r="O174" i="23"/>
  <c r="N174" i="23"/>
  <c r="M174" i="23"/>
  <c r="BE173" i="23"/>
  <c r="BC173" i="23" s="1"/>
  <c r="BD173" i="23"/>
  <c r="AW173" i="23"/>
  <c r="AQ173" i="23"/>
  <c r="AI173" i="23"/>
  <c r="AG173" i="23"/>
  <c r="AE173" i="23"/>
  <c r="AC173" i="23"/>
  <c r="AA173" i="23"/>
  <c r="Z173" i="23"/>
  <c r="Y173" i="23"/>
  <c r="AP173" i="23" s="1"/>
  <c r="O173" i="23"/>
  <c r="N173" i="23"/>
  <c r="M173" i="23"/>
  <c r="BE172" i="23"/>
  <c r="BC172" i="23" s="1"/>
  <c r="BB172" i="23"/>
  <c r="AQ172" i="23"/>
  <c r="AI172" i="23"/>
  <c r="AG172" i="23"/>
  <c r="AE172" i="23"/>
  <c r="AC172" i="23"/>
  <c r="AA172" i="23"/>
  <c r="O172" i="23"/>
  <c r="N172" i="23"/>
  <c r="M172" i="23"/>
  <c r="BE171" i="23"/>
  <c r="BC171" i="23" s="1"/>
  <c r="BB171" i="23"/>
  <c r="AQ171" i="23"/>
  <c r="AI171" i="23"/>
  <c r="AG171" i="23"/>
  <c r="AE171" i="23"/>
  <c r="AC171" i="23"/>
  <c r="AA171" i="23"/>
  <c r="O171" i="23"/>
  <c r="N171" i="23"/>
  <c r="M171" i="23"/>
  <c r="BE170" i="23"/>
  <c r="BC170" i="23" s="1"/>
  <c r="BB170" i="23"/>
  <c r="AQ170" i="23"/>
  <c r="AI170" i="23"/>
  <c r="AG170" i="23"/>
  <c r="AE170" i="23"/>
  <c r="AC170" i="23"/>
  <c r="AA170" i="23"/>
  <c r="O170" i="23"/>
  <c r="N170" i="23"/>
  <c r="M170" i="23"/>
  <c r="BE169" i="23"/>
  <c r="BC169" i="23" s="1"/>
  <c r="BB169" i="23"/>
  <c r="AQ169" i="23"/>
  <c r="AI169" i="23"/>
  <c r="AG169" i="23"/>
  <c r="AE169" i="23"/>
  <c r="AC169" i="23"/>
  <c r="AA169" i="23"/>
  <c r="O169" i="23"/>
  <c r="N169" i="23"/>
  <c r="M169" i="23"/>
  <c r="BE168" i="23"/>
  <c r="BC168" i="23" s="1"/>
  <c r="BB168" i="23"/>
  <c r="AQ168" i="23"/>
  <c r="AI168" i="23"/>
  <c r="AG168" i="23"/>
  <c r="AE168" i="23"/>
  <c r="AC168" i="23"/>
  <c r="AA168" i="23"/>
  <c r="O168" i="23"/>
  <c r="N168" i="23"/>
  <c r="M168" i="23"/>
  <c r="BE167" i="23"/>
  <c r="BC167" i="23" s="1"/>
  <c r="BD167" i="23"/>
  <c r="AW167" i="23"/>
  <c r="AQ167" i="23"/>
  <c r="AI167" i="23"/>
  <c r="AG167" i="23"/>
  <c r="AE167" i="23"/>
  <c r="AC167" i="23"/>
  <c r="AA167" i="23"/>
  <c r="Z167" i="23"/>
  <c r="Y167" i="23"/>
  <c r="AP167" i="23" s="1"/>
  <c r="BE166" i="23"/>
  <c r="BC166" i="23" s="1"/>
  <c r="BD166" i="23"/>
  <c r="AW166" i="23"/>
  <c r="AQ166" i="23"/>
  <c r="AI166" i="23"/>
  <c r="AG166" i="23"/>
  <c r="AE166" i="23"/>
  <c r="AC166" i="23"/>
  <c r="AA166" i="23"/>
  <c r="Z166" i="23"/>
  <c r="Y166" i="23"/>
  <c r="AH166" i="23" s="1"/>
  <c r="BE163" i="23"/>
  <c r="BC163" i="23" s="1"/>
  <c r="BD163" i="23"/>
  <c r="AW163" i="23"/>
  <c r="AQ163" i="23"/>
  <c r="AI163" i="23"/>
  <c r="AG163" i="23"/>
  <c r="AE163" i="23"/>
  <c r="AC163" i="23"/>
  <c r="AA163" i="23"/>
  <c r="Z163" i="23"/>
  <c r="Y163" i="23"/>
  <c r="O163" i="23"/>
  <c r="N163" i="23"/>
  <c r="M163" i="23"/>
  <c r="BE162" i="23"/>
  <c r="BC162" i="23" s="1"/>
  <c r="AW162" i="23"/>
  <c r="AQ162" i="23"/>
  <c r="AI162" i="23"/>
  <c r="AG162" i="23"/>
  <c r="AE162" i="23"/>
  <c r="AC162" i="23"/>
  <c r="AA162" i="23"/>
  <c r="O162" i="23"/>
  <c r="N162" i="23"/>
  <c r="M162" i="23"/>
  <c r="BE161" i="23"/>
  <c r="BC161" i="23" s="1"/>
  <c r="AW161" i="23"/>
  <c r="AQ161" i="23"/>
  <c r="AI161" i="23"/>
  <c r="AG161" i="23"/>
  <c r="AE161" i="23"/>
  <c r="AC161" i="23"/>
  <c r="AA161" i="23"/>
  <c r="O161" i="23"/>
  <c r="N161" i="23"/>
  <c r="M161" i="23"/>
  <c r="BM160" i="23"/>
  <c r="BM161" i="23" s="1"/>
  <c r="BE160" i="23"/>
  <c r="BC160" i="23" s="1"/>
  <c r="AW160" i="23"/>
  <c r="AQ160" i="23"/>
  <c r="AI160" i="23"/>
  <c r="AG160" i="23"/>
  <c r="AE160" i="23"/>
  <c r="AC160" i="23"/>
  <c r="AA160" i="23"/>
  <c r="O160" i="23"/>
  <c r="N160" i="23"/>
  <c r="M160" i="23"/>
  <c r="BE157" i="23"/>
  <c r="BC157" i="23" s="1"/>
  <c r="AW157" i="23"/>
  <c r="AQ157" i="23"/>
  <c r="AI157" i="23"/>
  <c r="AG157" i="23"/>
  <c r="AE157" i="23"/>
  <c r="AC157" i="23"/>
  <c r="AA157" i="23"/>
  <c r="O157" i="23"/>
  <c r="N157" i="23"/>
  <c r="M157" i="23"/>
  <c r="BE156" i="23"/>
  <c r="BC156" i="23" s="1"/>
  <c r="BD156" i="23"/>
  <c r="BB156" i="23"/>
  <c r="AQ156" i="23"/>
  <c r="AI156" i="23"/>
  <c r="AG156" i="23"/>
  <c r="AE156" i="23"/>
  <c r="AC156" i="23"/>
  <c r="AA156" i="23"/>
  <c r="Z156" i="23"/>
  <c r="Y156" i="23"/>
  <c r="T156" i="23" s="1"/>
  <c r="K156" i="23" s="1"/>
  <c r="O156" i="23"/>
  <c r="N156" i="23"/>
  <c r="M156" i="23"/>
  <c r="BE155" i="23"/>
  <c r="BC155" i="23" s="1"/>
  <c r="BD155" i="23"/>
  <c r="BB155" i="23"/>
  <c r="AQ155" i="23"/>
  <c r="AI155" i="23"/>
  <c r="AG155" i="23"/>
  <c r="AE155" i="23"/>
  <c r="AC155" i="23"/>
  <c r="AA155" i="23"/>
  <c r="Z155" i="23"/>
  <c r="Y155" i="23"/>
  <c r="AP155" i="23" s="1"/>
  <c r="O155" i="23"/>
  <c r="N155" i="23"/>
  <c r="M155" i="23"/>
  <c r="BE154" i="23"/>
  <c r="BC154" i="23" s="1"/>
  <c r="BD154" i="23"/>
  <c r="BB154" i="23"/>
  <c r="AQ154" i="23"/>
  <c r="AI154" i="23"/>
  <c r="AG154" i="23"/>
  <c r="AE154" i="23"/>
  <c r="AC154" i="23"/>
  <c r="AA154" i="23"/>
  <c r="Z154" i="23"/>
  <c r="Y154" i="23"/>
  <c r="O154" i="23"/>
  <c r="N154" i="23"/>
  <c r="M154" i="23"/>
  <c r="BE153" i="23"/>
  <c r="BC153" i="23" s="1"/>
  <c r="BD153" i="23"/>
  <c r="BB153" i="23"/>
  <c r="AQ153" i="23"/>
  <c r="AI153" i="23"/>
  <c r="AG153" i="23"/>
  <c r="AE153" i="23"/>
  <c r="AC153" i="23"/>
  <c r="AA153" i="23"/>
  <c r="Z153" i="23"/>
  <c r="Y153" i="23"/>
  <c r="AP153" i="23" s="1"/>
  <c r="O153" i="23"/>
  <c r="N153" i="23"/>
  <c r="M153" i="23"/>
  <c r="BE152" i="23"/>
  <c r="BC152" i="23" s="1"/>
  <c r="BD152" i="23"/>
  <c r="BB152" i="23"/>
  <c r="AQ152" i="23"/>
  <c r="AI152" i="23"/>
  <c r="AG152" i="23"/>
  <c r="AE152" i="23"/>
  <c r="AC152" i="23"/>
  <c r="AA152" i="23"/>
  <c r="Z152" i="23"/>
  <c r="Y152" i="23"/>
  <c r="AP152" i="23" s="1"/>
  <c r="O152" i="23"/>
  <c r="N152" i="23"/>
  <c r="M152" i="23"/>
  <c r="BE151" i="23"/>
  <c r="BC151" i="23" s="1"/>
  <c r="BD151" i="23"/>
  <c r="AQ151" i="23"/>
  <c r="AI151" i="23"/>
  <c r="AG151" i="23"/>
  <c r="AE151" i="23"/>
  <c r="AC151" i="23"/>
  <c r="AA151" i="23"/>
  <c r="Z151" i="23"/>
  <c r="Y151" i="23"/>
  <c r="O151" i="23"/>
  <c r="N151" i="23"/>
  <c r="M151" i="23"/>
  <c r="BE150" i="23"/>
  <c r="BC150" i="23" s="1"/>
  <c r="BD150" i="23"/>
  <c r="AQ150" i="23"/>
  <c r="AI150" i="23"/>
  <c r="AG150" i="23"/>
  <c r="AE150" i="23"/>
  <c r="AC150" i="23"/>
  <c r="AA150" i="23"/>
  <c r="Z150" i="23"/>
  <c r="Y150" i="23"/>
  <c r="T150" i="23" s="1"/>
  <c r="K150" i="23" s="1"/>
  <c r="O150" i="23"/>
  <c r="N150" i="23"/>
  <c r="M150" i="23"/>
  <c r="BE149" i="23"/>
  <c r="BC149" i="23" s="1"/>
  <c r="BD149" i="23"/>
  <c r="AQ149" i="23"/>
  <c r="AI149" i="23"/>
  <c r="AG149" i="23"/>
  <c r="AE149" i="23"/>
  <c r="AC149" i="23"/>
  <c r="AA149" i="23"/>
  <c r="Z149" i="23"/>
  <c r="Y149" i="23"/>
  <c r="AP149" i="23" s="1"/>
  <c r="O149" i="23"/>
  <c r="N149" i="23"/>
  <c r="M149" i="23"/>
  <c r="BE148" i="23"/>
  <c r="BC148" i="23" s="1"/>
  <c r="BD148" i="23"/>
  <c r="BB148" i="23"/>
  <c r="AQ148" i="23"/>
  <c r="AI148" i="23"/>
  <c r="AG148" i="23"/>
  <c r="AE148" i="23"/>
  <c r="AC148" i="23"/>
  <c r="AA148" i="23"/>
  <c r="Z148" i="23"/>
  <c r="Y148" i="23"/>
  <c r="AP148" i="23" s="1"/>
  <c r="O148" i="23"/>
  <c r="N148" i="23"/>
  <c r="M148" i="23"/>
  <c r="BE147" i="23"/>
  <c r="BC147" i="23" s="1"/>
  <c r="BD147" i="23"/>
  <c r="BB147" i="23"/>
  <c r="AQ147" i="23"/>
  <c r="AI147" i="23"/>
  <c r="AG147" i="23"/>
  <c r="AE147" i="23"/>
  <c r="AC147" i="23"/>
  <c r="AA147" i="23"/>
  <c r="Z147" i="23"/>
  <c r="Y147" i="23"/>
  <c r="T147" i="23" s="1"/>
  <c r="K147" i="23" s="1"/>
  <c r="O147" i="23"/>
  <c r="N147" i="23"/>
  <c r="M147" i="23"/>
  <c r="BE146" i="23"/>
  <c r="BC146" i="23" s="1"/>
  <c r="BD146" i="23"/>
  <c r="BB146" i="23"/>
  <c r="AQ146" i="23"/>
  <c r="AI146" i="23"/>
  <c r="AG146" i="23"/>
  <c r="AE146" i="23"/>
  <c r="AC146" i="23"/>
  <c r="AA146" i="23"/>
  <c r="Z146" i="23"/>
  <c r="Y146" i="23"/>
  <c r="AP146" i="23" s="1"/>
  <c r="O146" i="23"/>
  <c r="N146" i="23"/>
  <c r="M146" i="23"/>
  <c r="BE145" i="23"/>
  <c r="BC145" i="23" s="1"/>
  <c r="BD145" i="23"/>
  <c r="BB145" i="23"/>
  <c r="AQ145" i="23"/>
  <c r="AI145" i="23"/>
  <c r="AG145" i="23"/>
  <c r="AE145" i="23"/>
  <c r="AC145" i="23"/>
  <c r="AA145" i="23"/>
  <c r="Z145" i="23"/>
  <c r="Y145" i="23"/>
  <c r="O145" i="23"/>
  <c r="N145" i="23"/>
  <c r="M145" i="23"/>
  <c r="BE144" i="23"/>
  <c r="BC144" i="23" s="1"/>
  <c r="BD144" i="23"/>
  <c r="BB144" i="23"/>
  <c r="AQ144" i="23"/>
  <c r="AI144" i="23"/>
  <c r="AG144" i="23"/>
  <c r="AE144" i="23"/>
  <c r="AC144" i="23"/>
  <c r="AA144" i="23"/>
  <c r="Z144" i="23"/>
  <c r="Y144" i="23"/>
  <c r="AP144" i="23" s="1"/>
  <c r="O144" i="23"/>
  <c r="N144" i="23"/>
  <c r="M144" i="23"/>
  <c r="BE143" i="23"/>
  <c r="BC143" i="23" s="1"/>
  <c r="BD143" i="23"/>
  <c r="AQ143" i="23"/>
  <c r="AI143" i="23"/>
  <c r="AG143" i="23"/>
  <c r="AE143" i="23"/>
  <c r="AC143" i="23"/>
  <c r="AA143" i="23"/>
  <c r="Z143" i="23"/>
  <c r="Y143" i="23"/>
  <c r="AP143" i="23" s="1"/>
  <c r="O143" i="23"/>
  <c r="N143" i="23"/>
  <c r="M143" i="23"/>
  <c r="BE142" i="23"/>
  <c r="BC142" i="23" s="1"/>
  <c r="BD142" i="23"/>
  <c r="AQ142" i="23"/>
  <c r="AI142" i="23"/>
  <c r="AG142" i="23"/>
  <c r="AE142" i="23"/>
  <c r="AC142" i="23"/>
  <c r="AA142" i="23"/>
  <c r="Z142" i="23"/>
  <c r="Y142" i="23"/>
  <c r="AP142" i="23" s="1"/>
  <c r="O142" i="23"/>
  <c r="N142" i="23"/>
  <c r="M142" i="23"/>
  <c r="BE141" i="23"/>
  <c r="BC141" i="23" s="1"/>
  <c r="BD141" i="23"/>
  <c r="AQ141" i="23"/>
  <c r="AI141" i="23"/>
  <c r="AG141" i="23"/>
  <c r="AE141" i="23"/>
  <c r="AC141" i="23"/>
  <c r="AA141" i="23"/>
  <c r="Z141" i="23"/>
  <c r="Y141" i="23"/>
  <c r="T141" i="23" s="1"/>
  <c r="J141" i="23" s="1"/>
  <c r="O141" i="23"/>
  <c r="N141" i="23"/>
  <c r="M141" i="23"/>
  <c r="BE140" i="23"/>
  <c r="BC140" i="23" s="1"/>
  <c r="BD140" i="23"/>
  <c r="AQ140" i="23"/>
  <c r="AI140" i="23"/>
  <c r="AG140" i="23"/>
  <c r="AE140" i="23"/>
  <c r="AC140" i="23"/>
  <c r="AA140" i="23"/>
  <c r="Z140" i="23"/>
  <c r="Y140" i="23"/>
  <c r="AP140" i="23" s="1"/>
  <c r="O140" i="23"/>
  <c r="N140" i="23"/>
  <c r="M140" i="23"/>
  <c r="BE139" i="23"/>
  <c r="BC139" i="23" s="1"/>
  <c r="BD139" i="23"/>
  <c r="AQ139" i="23"/>
  <c r="AI139" i="23"/>
  <c r="AG139" i="23"/>
  <c r="AE139" i="23"/>
  <c r="AC139" i="23"/>
  <c r="AA139" i="23"/>
  <c r="Z139" i="23"/>
  <c r="Y139" i="23"/>
  <c r="AP139" i="23" s="1"/>
  <c r="O139" i="23"/>
  <c r="N139" i="23"/>
  <c r="M139" i="23"/>
  <c r="BE138" i="23"/>
  <c r="BC138" i="23" s="1"/>
  <c r="BD138" i="23"/>
  <c r="BB138" i="23"/>
  <c r="AQ138" i="23"/>
  <c r="AI138" i="23"/>
  <c r="AG138" i="23"/>
  <c r="AE138" i="23"/>
  <c r="AC138" i="23"/>
  <c r="AA138" i="23"/>
  <c r="Z138" i="23"/>
  <c r="Y138" i="23"/>
  <c r="C138" i="23"/>
  <c r="BE137" i="23"/>
  <c r="BC137" i="23" s="1"/>
  <c r="BD137" i="23"/>
  <c r="AW137" i="23"/>
  <c r="AQ137" i="23"/>
  <c r="AI137" i="23"/>
  <c r="AG137" i="23"/>
  <c r="AE137" i="23"/>
  <c r="AC137" i="23"/>
  <c r="AA137" i="23"/>
  <c r="Z137" i="23"/>
  <c r="Y137" i="23"/>
  <c r="AP137" i="23" s="1"/>
  <c r="BE136" i="23"/>
  <c r="BC136" i="23" s="1"/>
  <c r="BD136" i="23"/>
  <c r="BB136" i="23"/>
  <c r="AW136" i="23"/>
  <c r="AQ136" i="23"/>
  <c r="AI136" i="23"/>
  <c r="AG136" i="23"/>
  <c r="AE136" i="23"/>
  <c r="AC136" i="23"/>
  <c r="AA136" i="23"/>
  <c r="Z136" i="23"/>
  <c r="Y136" i="23"/>
  <c r="C136" i="23"/>
  <c r="BE135" i="23"/>
  <c r="BC135" i="23" s="1"/>
  <c r="BD135" i="23"/>
  <c r="AW135" i="23"/>
  <c r="AQ135" i="23"/>
  <c r="AI135" i="23"/>
  <c r="AG135" i="23"/>
  <c r="AE135" i="23"/>
  <c r="AC135" i="23"/>
  <c r="AA135" i="23"/>
  <c r="Z135" i="23"/>
  <c r="Y135" i="23"/>
  <c r="O135" i="23"/>
  <c r="N135" i="23"/>
  <c r="M135" i="23"/>
  <c r="BE134" i="23"/>
  <c r="BC134" i="23" s="1"/>
  <c r="BD134" i="23"/>
  <c r="AW134" i="23"/>
  <c r="AQ134" i="23"/>
  <c r="AI134" i="23"/>
  <c r="AG134" i="23"/>
  <c r="AE134" i="23"/>
  <c r="AC134" i="23"/>
  <c r="AA134" i="23"/>
  <c r="Z134" i="23"/>
  <c r="Y134" i="23"/>
  <c r="AP134" i="23" s="1"/>
  <c r="O134" i="23"/>
  <c r="N134" i="23"/>
  <c r="M134" i="23"/>
  <c r="C134" i="23"/>
  <c r="BE133" i="23"/>
  <c r="BC133" i="23" s="1"/>
  <c r="BD133" i="23"/>
  <c r="BB133" i="23"/>
  <c r="AW133" i="23"/>
  <c r="AQ133" i="23"/>
  <c r="AI133" i="23"/>
  <c r="AG133" i="23"/>
  <c r="AE133" i="23"/>
  <c r="AC133" i="23"/>
  <c r="AA133" i="23"/>
  <c r="Z133" i="23"/>
  <c r="Y133" i="23"/>
  <c r="AP133" i="23" s="1"/>
  <c r="C133" i="23"/>
  <c r="BE124" i="23"/>
  <c r="BC124" i="23" s="1"/>
  <c r="BD124" i="23"/>
  <c r="AW124" i="23"/>
  <c r="AQ124" i="23"/>
  <c r="AI124" i="23"/>
  <c r="AG124" i="23"/>
  <c r="AE124" i="23"/>
  <c r="AC124" i="23"/>
  <c r="AA124" i="23"/>
  <c r="Z124" i="23"/>
  <c r="Y124" i="23"/>
  <c r="O124" i="23"/>
  <c r="N124" i="23"/>
  <c r="M124" i="23"/>
  <c r="BE123" i="23"/>
  <c r="BC123" i="23" s="1"/>
  <c r="BD123" i="23"/>
  <c r="AW123" i="23"/>
  <c r="AQ123" i="23"/>
  <c r="AI123" i="23"/>
  <c r="AG123" i="23"/>
  <c r="AE123" i="23"/>
  <c r="AC123" i="23"/>
  <c r="AA123" i="23"/>
  <c r="Z123" i="23"/>
  <c r="Y123" i="23"/>
  <c r="AP123" i="23" s="1"/>
  <c r="O123" i="23"/>
  <c r="N123" i="23"/>
  <c r="M123" i="23"/>
  <c r="C123" i="23"/>
  <c r="BE122" i="23"/>
  <c r="BC122" i="23" s="1"/>
  <c r="BD122" i="23"/>
  <c r="AW122" i="23"/>
  <c r="AQ122" i="23"/>
  <c r="AI122" i="23"/>
  <c r="AG122" i="23"/>
  <c r="AE122" i="23"/>
  <c r="AC122" i="23"/>
  <c r="AA122" i="23"/>
  <c r="Z122" i="23"/>
  <c r="Y122" i="23"/>
  <c r="AP122" i="23" s="1"/>
  <c r="O122" i="23"/>
  <c r="N122" i="23"/>
  <c r="M122" i="23"/>
  <c r="C122" i="23"/>
  <c r="BE121" i="23"/>
  <c r="BC121" i="23" s="1"/>
  <c r="BD121" i="23"/>
  <c r="BB121" i="23"/>
  <c r="AW121" i="23"/>
  <c r="AQ121" i="23"/>
  <c r="AI121" i="23"/>
  <c r="AG121" i="23"/>
  <c r="AE121" i="23"/>
  <c r="AC121" i="23"/>
  <c r="AA121" i="23"/>
  <c r="Z121" i="23"/>
  <c r="Y121" i="23"/>
  <c r="O121" i="23"/>
  <c r="N121" i="23"/>
  <c r="M121" i="23"/>
  <c r="C121" i="23"/>
  <c r="BE120" i="23"/>
  <c r="BC120" i="23" s="1"/>
  <c r="BD120" i="23"/>
  <c r="BB120" i="23"/>
  <c r="AW120" i="23"/>
  <c r="AQ120" i="23"/>
  <c r="AI120" i="23"/>
  <c r="AG120" i="23"/>
  <c r="AE120" i="23"/>
  <c r="AC120" i="23"/>
  <c r="AA120" i="23"/>
  <c r="Z120" i="23"/>
  <c r="Y120" i="23"/>
  <c r="O120" i="23"/>
  <c r="N120" i="23"/>
  <c r="M120" i="23"/>
  <c r="C120" i="23"/>
  <c r="BE119" i="23"/>
  <c r="BC119" i="23" s="1"/>
  <c r="BD119" i="23"/>
  <c r="BB119" i="23"/>
  <c r="AW119" i="23"/>
  <c r="AQ119" i="23"/>
  <c r="AI119" i="23"/>
  <c r="AG119" i="23"/>
  <c r="AE119" i="23"/>
  <c r="AC119" i="23"/>
  <c r="AA119" i="23"/>
  <c r="Z119" i="23"/>
  <c r="Y119" i="23"/>
  <c r="O119" i="23"/>
  <c r="N119" i="23"/>
  <c r="M119" i="23"/>
  <c r="C119" i="23"/>
  <c r="BE118" i="23"/>
  <c r="BC118" i="23" s="1"/>
  <c r="BD118" i="23"/>
  <c r="BB118" i="23"/>
  <c r="AQ118" i="23"/>
  <c r="AI118" i="23"/>
  <c r="AG118" i="23"/>
  <c r="AE118" i="23"/>
  <c r="AC118" i="23"/>
  <c r="AA118" i="23"/>
  <c r="Z118" i="23"/>
  <c r="Y118" i="23"/>
  <c r="T118" i="23" s="1"/>
  <c r="U118" i="23" s="1"/>
  <c r="BX118" i="23" s="1"/>
  <c r="O118" i="23"/>
  <c r="N118" i="23"/>
  <c r="M118" i="23"/>
  <c r="BE117" i="23"/>
  <c r="BC117" i="23" s="1"/>
  <c r="BD117" i="23"/>
  <c r="BB117" i="23"/>
  <c r="AQ117" i="23"/>
  <c r="AI117" i="23"/>
  <c r="AG117" i="23"/>
  <c r="AE117" i="23"/>
  <c r="AC117" i="23"/>
  <c r="AA117" i="23"/>
  <c r="Z117" i="23"/>
  <c r="Y117" i="23"/>
  <c r="T117" i="23" s="1"/>
  <c r="AD117" i="23" s="1"/>
  <c r="O117" i="23"/>
  <c r="N117" i="23"/>
  <c r="M117" i="23"/>
  <c r="BE116" i="23"/>
  <c r="BC116" i="23" s="1"/>
  <c r="BD116" i="23"/>
  <c r="BB116" i="23"/>
  <c r="AQ116" i="23"/>
  <c r="AI116" i="23"/>
  <c r="AG116" i="23"/>
  <c r="AE116" i="23"/>
  <c r="AC116" i="23"/>
  <c r="AA116" i="23"/>
  <c r="Z116" i="23"/>
  <c r="Y116" i="23"/>
  <c r="AH116" i="23" s="1"/>
  <c r="O116" i="23"/>
  <c r="N116" i="23"/>
  <c r="M116" i="23"/>
  <c r="BE115" i="23"/>
  <c r="BC115" i="23" s="1"/>
  <c r="BD115" i="23"/>
  <c r="BB115" i="23"/>
  <c r="AQ115" i="23"/>
  <c r="AI115" i="23"/>
  <c r="AG115" i="23"/>
  <c r="AE115" i="23"/>
  <c r="AC115" i="23"/>
  <c r="AA115" i="23"/>
  <c r="Z115" i="23"/>
  <c r="Y115" i="23"/>
  <c r="AP115" i="23" s="1"/>
  <c r="O115" i="23"/>
  <c r="N115" i="23"/>
  <c r="M115" i="23"/>
  <c r="BE114" i="23"/>
  <c r="BC114" i="23" s="1"/>
  <c r="BD114" i="23"/>
  <c r="BB114" i="23"/>
  <c r="AQ114" i="23"/>
  <c r="AI114" i="23"/>
  <c r="AG114" i="23"/>
  <c r="AE114" i="23"/>
  <c r="AC114" i="23"/>
  <c r="AA114" i="23"/>
  <c r="Z114" i="23"/>
  <c r="Y114" i="23"/>
  <c r="AH114" i="23" s="1"/>
  <c r="O114" i="23"/>
  <c r="N114" i="23"/>
  <c r="M114" i="23"/>
  <c r="BE113" i="23"/>
  <c r="BC113" i="23" s="1"/>
  <c r="BD113" i="23"/>
  <c r="BB113" i="23"/>
  <c r="AQ113" i="23"/>
  <c r="AI113" i="23"/>
  <c r="AG113" i="23"/>
  <c r="AE113" i="23"/>
  <c r="AC113" i="23"/>
  <c r="AA113" i="23"/>
  <c r="Z113" i="23"/>
  <c r="Y113" i="23"/>
  <c r="T113" i="23" s="1"/>
  <c r="AD113" i="23" s="1"/>
  <c r="O113" i="23"/>
  <c r="N113" i="23"/>
  <c r="M113" i="23"/>
  <c r="BE112" i="23"/>
  <c r="BC112" i="23" s="1"/>
  <c r="BD112" i="23"/>
  <c r="AQ112" i="23"/>
  <c r="AI112" i="23"/>
  <c r="AG112" i="23"/>
  <c r="AE112" i="23"/>
  <c r="AC112" i="23"/>
  <c r="AA112" i="23"/>
  <c r="Z112" i="23"/>
  <c r="Y112" i="23"/>
  <c r="AH112" i="23" s="1"/>
  <c r="AK112" i="23" s="1"/>
  <c r="O112" i="23"/>
  <c r="N112" i="23"/>
  <c r="M112" i="23"/>
  <c r="BE111" i="23"/>
  <c r="BC111" i="23" s="1"/>
  <c r="BD111" i="23"/>
  <c r="AQ111" i="23"/>
  <c r="AI111" i="23"/>
  <c r="AG111" i="23"/>
  <c r="AE111" i="23"/>
  <c r="AC111" i="23"/>
  <c r="AA111" i="23"/>
  <c r="Z111" i="23"/>
  <c r="Y111" i="23"/>
  <c r="O111" i="23"/>
  <c r="N111" i="23"/>
  <c r="M111" i="23"/>
  <c r="BE110" i="23"/>
  <c r="BC110" i="23" s="1"/>
  <c r="BD110" i="23"/>
  <c r="AQ110" i="23"/>
  <c r="AI110" i="23"/>
  <c r="AG110" i="23"/>
  <c r="AE110" i="23"/>
  <c r="AC110" i="23"/>
  <c r="AA110" i="23"/>
  <c r="Z110" i="23"/>
  <c r="Y110" i="23"/>
  <c r="AH110" i="23" s="1"/>
  <c r="O110" i="23"/>
  <c r="N110" i="23"/>
  <c r="M110" i="23"/>
  <c r="BE109" i="23"/>
  <c r="BC109" i="23" s="1"/>
  <c r="BD109" i="23"/>
  <c r="BB109" i="23"/>
  <c r="AQ109" i="23"/>
  <c r="AI109" i="23"/>
  <c r="AG109" i="23"/>
  <c r="AE109" i="23"/>
  <c r="AC109" i="23"/>
  <c r="AA109" i="23"/>
  <c r="Z109" i="23"/>
  <c r="Y109" i="23"/>
  <c r="T109" i="23" s="1"/>
  <c r="O109" i="23"/>
  <c r="N109" i="23"/>
  <c r="M109" i="23"/>
  <c r="BE108" i="23"/>
  <c r="BC108" i="23" s="1"/>
  <c r="BD108" i="23"/>
  <c r="BB108" i="23"/>
  <c r="AQ108" i="23"/>
  <c r="AI108" i="23"/>
  <c r="AG108" i="23"/>
  <c r="AE108" i="23"/>
  <c r="AC108" i="23"/>
  <c r="AA108" i="23"/>
  <c r="Z108" i="23"/>
  <c r="Y108" i="23"/>
  <c r="T108" i="23" s="1"/>
  <c r="AD108" i="23" s="1"/>
  <c r="O108" i="23"/>
  <c r="N108" i="23"/>
  <c r="M108" i="23"/>
  <c r="BE107" i="23"/>
  <c r="BC107" i="23" s="1"/>
  <c r="BD107" i="23"/>
  <c r="BB107" i="23"/>
  <c r="AQ107" i="23"/>
  <c r="AI107" i="23"/>
  <c r="AG107" i="23"/>
  <c r="AE107" i="23"/>
  <c r="AC107" i="23"/>
  <c r="AA107" i="23"/>
  <c r="Z107" i="23"/>
  <c r="Y107" i="23"/>
  <c r="AP107" i="23" s="1"/>
  <c r="O107" i="23"/>
  <c r="N107" i="23"/>
  <c r="M107" i="23"/>
  <c r="BE106" i="23"/>
  <c r="BC106" i="23" s="1"/>
  <c r="BD106" i="23"/>
  <c r="BB106" i="23"/>
  <c r="AQ106" i="23"/>
  <c r="AI106" i="23"/>
  <c r="AG106" i="23"/>
  <c r="AE106" i="23"/>
  <c r="AC106" i="23"/>
  <c r="AA106" i="23"/>
  <c r="Z106" i="23"/>
  <c r="Y106" i="23"/>
  <c r="AP106" i="23" s="1"/>
  <c r="O106" i="23"/>
  <c r="N106" i="23"/>
  <c r="M106" i="23"/>
  <c r="BE105" i="23"/>
  <c r="BC105" i="23" s="1"/>
  <c r="BD105" i="23"/>
  <c r="BB105" i="23"/>
  <c r="AW105" i="23"/>
  <c r="AQ105" i="23"/>
  <c r="AI105" i="23"/>
  <c r="AG105" i="23"/>
  <c r="AE105" i="23"/>
  <c r="AC105" i="23"/>
  <c r="AA105" i="23"/>
  <c r="Z105" i="23"/>
  <c r="Y105" i="23"/>
  <c r="AP105" i="23" s="1"/>
  <c r="O105" i="23"/>
  <c r="N105" i="23"/>
  <c r="M105" i="23"/>
  <c r="BE104" i="23"/>
  <c r="BC104" i="23" s="1"/>
  <c r="BD104" i="23"/>
  <c r="BB104" i="23"/>
  <c r="AW104" i="23"/>
  <c r="AQ104" i="23"/>
  <c r="AI104" i="23"/>
  <c r="AG104" i="23"/>
  <c r="AE104" i="23"/>
  <c r="AC104" i="23"/>
  <c r="AA104" i="23"/>
  <c r="Z104" i="23"/>
  <c r="Y104" i="23"/>
  <c r="AP104" i="23" s="1"/>
  <c r="O104" i="23"/>
  <c r="N104" i="23"/>
  <c r="M104" i="23"/>
  <c r="BE103" i="23"/>
  <c r="BC103" i="23" s="1"/>
  <c r="BD103" i="23"/>
  <c r="BB103" i="23"/>
  <c r="AW103" i="23"/>
  <c r="AQ103" i="23"/>
  <c r="AI103" i="23"/>
  <c r="AG103" i="23"/>
  <c r="AE103" i="23"/>
  <c r="AC103" i="23"/>
  <c r="AA103" i="23"/>
  <c r="Z103" i="23"/>
  <c r="Y103" i="23"/>
  <c r="AP103" i="23" s="1"/>
  <c r="O103" i="23"/>
  <c r="N103" i="23"/>
  <c r="M103" i="23"/>
  <c r="BE102" i="23"/>
  <c r="BC102" i="23" s="1"/>
  <c r="BD102" i="23"/>
  <c r="BB102" i="23"/>
  <c r="AW102" i="23"/>
  <c r="AQ102" i="23"/>
  <c r="AI102" i="23"/>
  <c r="AG102" i="23"/>
  <c r="AE102" i="23"/>
  <c r="AC102" i="23"/>
  <c r="AA102" i="23"/>
  <c r="Z102" i="23"/>
  <c r="Y102" i="23"/>
  <c r="T102" i="23" s="1"/>
  <c r="K102" i="23" s="1"/>
  <c r="O102" i="23"/>
  <c r="N102" i="23"/>
  <c r="M102" i="23"/>
  <c r="C102" i="23"/>
  <c r="BE101" i="23"/>
  <c r="BC101" i="23" s="1"/>
  <c r="BD101" i="23"/>
  <c r="BB101" i="23"/>
  <c r="AW101" i="23"/>
  <c r="AQ101" i="23"/>
  <c r="AI101" i="23"/>
  <c r="AG101" i="23"/>
  <c r="AE101" i="23"/>
  <c r="AC101" i="23"/>
  <c r="AA101" i="23"/>
  <c r="Z101" i="23"/>
  <c r="Y101" i="23"/>
  <c r="AH101" i="23" s="1"/>
  <c r="O101" i="23"/>
  <c r="N101" i="23"/>
  <c r="M101" i="23"/>
  <c r="BE100" i="23"/>
  <c r="BC100" i="23" s="1"/>
  <c r="BD100" i="23"/>
  <c r="BB100" i="23"/>
  <c r="AW100" i="23"/>
  <c r="AQ100" i="23"/>
  <c r="AI100" i="23"/>
  <c r="AG100" i="23"/>
  <c r="AE100" i="23"/>
  <c r="AC100" i="23"/>
  <c r="AA100" i="23"/>
  <c r="Z100" i="23"/>
  <c r="Y100" i="23"/>
  <c r="O100" i="23"/>
  <c r="N100" i="23"/>
  <c r="M100" i="23"/>
  <c r="C100" i="23"/>
  <c r="BE99" i="23"/>
  <c r="BC99" i="23" s="1"/>
  <c r="BD99" i="23"/>
  <c r="BB99" i="23"/>
  <c r="AW99" i="23"/>
  <c r="AQ99" i="23"/>
  <c r="AI99" i="23"/>
  <c r="AG99" i="23"/>
  <c r="AE99" i="23"/>
  <c r="AC99" i="23"/>
  <c r="AA99" i="23"/>
  <c r="Z99" i="23"/>
  <c r="Y99" i="23"/>
  <c r="O99" i="23"/>
  <c r="N99" i="23"/>
  <c r="M99" i="23"/>
  <c r="C99" i="23"/>
  <c r="BE98" i="23"/>
  <c r="BC98" i="23" s="1"/>
  <c r="BD98" i="23"/>
  <c r="BB98" i="23"/>
  <c r="AW98" i="23"/>
  <c r="AQ98" i="23"/>
  <c r="AI98" i="23"/>
  <c r="AG98" i="23"/>
  <c r="AE98" i="23"/>
  <c r="AC98" i="23"/>
  <c r="AA98" i="23"/>
  <c r="Z98" i="23"/>
  <c r="Y98" i="23"/>
  <c r="AP98" i="23" s="1"/>
  <c r="O98" i="23"/>
  <c r="N98" i="23"/>
  <c r="M98" i="23"/>
  <c r="BE97" i="23"/>
  <c r="BC97" i="23" s="1"/>
  <c r="BD97" i="23"/>
  <c r="BB97" i="23"/>
  <c r="AW97" i="23"/>
  <c r="AQ97" i="23"/>
  <c r="AI97" i="23"/>
  <c r="AG97" i="23"/>
  <c r="AE97" i="23"/>
  <c r="AC97" i="23"/>
  <c r="AA97" i="23"/>
  <c r="Z97" i="23"/>
  <c r="Y97" i="23"/>
  <c r="T97" i="23" s="1"/>
  <c r="J97" i="23" s="1"/>
  <c r="O97" i="23"/>
  <c r="N97" i="23"/>
  <c r="M97" i="23"/>
  <c r="BE96" i="23"/>
  <c r="BC96" i="23" s="1"/>
  <c r="BD96" i="23"/>
  <c r="BB96" i="23"/>
  <c r="AW96" i="23"/>
  <c r="AQ96" i="23"/>
  <c r="AI96" i="23"/>
  <c r="AG96" i="23"/>
  <c r="AE96" i="23"/>
  <c r="AC96" i="23"/>
  <c r="AA96" i="23"/>
  <c r="Z96" i="23"/>
  <c r="Y96" i="23"/>
  <c r="AP96" i="23" s="1"/>
  <c r="O96" i="23"/>
  <c r="N96" i="23"/>
  <c r="M96" i="23"/>
  <c r="BE95" i="23"/>
  <c r="BC95" i="23" s="1"/>
  <c r="BD95" i="23"/>
  <c r="AQ95" i="23"/>
  <c r="AI95" i="23"/>
  <c r="AG95" i="23"/>
  <c r="AE95" i="23"/>
  <c r="AC95" i="23"/>
  <c r="AA95" i="23"/>
  <c r="Z95" i="23"/>
  <c r="Y95" i="23"/>
  <c r="AP95" i="23" s="1"/>
  <c r="O95" i="23"/>
  <c r="N95" i="23"/>
  <c r="M95" i="23"/>
  <c r="BE94" i="23"/>
  <c r="BC94" i="23" s="1"/>
  <c r="BD94" i="23"/>
  <c r="AQ94" i="23"/>
  <c r="AI94" i="23"/>
  <c r="AG94" i="23"/>
  <c r="AE94" i="23"/>
  <c r="AC94" i="23"/>
  <c r="AA94" i="23"/>
  <c r="Z94" i="23"/>
  <c r="Y94" i="23"/>
  <c r="T94" i="23" s="1"/>
  <c r="J94" i="23" s="1"/>
  <c r="O94" i="23"/>
  <c r="N94" i="23"/>
  <c r="M94" i="23"/>
  <c r="BE93" i="23"/>
  <c r="BC93" i="23" s="1"/>
  <c r="BD93" i="23"/>
  <c r="BB93" i="23"/>
  <c r="AW93" i="23"/>
  <c r="AQ93" i="23"/>
  <c r="AI93" i="23"/>
  <c r="AG93" i="23"/>
  <c r="AE93" i="23"/>
  <c r="AC93" i="23"/>
  <c r="AA93" i="23"/>
  <c r="Z93" i="23"/>
  <c r="Y93" i="23"/>
  <c r="O93" i="23"/>
  <c r="N93" i="23"/>
  <c r="M93" i="23"/>
  <c r="BE92" i="23"/>
  <c r="BC92" i="23" s="1"/>
  <c r="BD92" i="23"/>
  <c r="BB92" i="23"/>
  <c r="AW92" i="23"/>
  <c r="AQ92" i="23"/>
  <c r="AI92" i="23"/>
  <c r="AG92" i="23"/>
  <c r="AE92" i="23"/>
  <c r="AC92" i="23"/>
  <c r="AA92" i="23"/>
  <c r="Z92" i="23"/>
  <c r="Y92" i="23"/>
  <c r="T92" i="23" s="1"/>
  <c r="J92" i="23" s="1"/>
  <c r="O92" i="23"/>
  <c r="N92" i="23"/>
  <c r="M92" i="23"/>
  <c r="BE91" i="23"/>
  <c r="BC91" i="23" s="1"/>
  <c r="BD91" i="23"/>
  <c r="BB91" i="23"/>
  <c r="AW91" i="23"/>
  <c r="AQ91" i="23"/>
  <c r="AI91" i="23"/>
  <c r="AG91" i="23"/>
  <c r="AE91" i="23"/>
  <c r="AC91" i="23"/>
  <c r="AA91" i="23"/>
  <c r="Z91" i="23"/>
  <c r="Y91" i="23"/>
  <c r="O91" i="23"/>
  <c r="N91" i="23"/>
  <c r="M91" i="23"/>
  <c r="BE90" i="23"/>
  <c r="BC90" i="23" s="1"/>
  <c r="BD90" i="23"/>
  <c r="BB90" i="23"/>
  <c r="AW90" i="23"/>
  <c r="AQ90" i="23"/>
  <c r="AI90" i="23"/>
  <c r="AG90" i="23"/>
  <c r="AE90" i="23"/>
  <c r="AC90" i="23"/>
  <c r="AA90" i="23"/>
  <c r="Z90" i="23"/>
  <c r="Y90" i="23"/>
  <c r="AP90" i="23" s="1"/>
  <c r="O90" i="23"/>
  <c r="N90" i="23"/>
  <c r="M90" i="23"/>
  <c r="BE89" i="23"/>
  <c r="BC89" i="23" s="1"/>
  <c r="BD89" i="23"/>
  <c r="BB89" i="23"/>
  <c r="AW89" i="23"/>
  <c r="AQ89" i="23"/>
  <c r="AI89" i="23"/>
  <c r="AG89" i="23"/>
  <c r="AE89" i="23"/>
  <c r="AC89" i="23"/>
  <c r="AA89" i="23"/>
  <c r="Z89" i="23"/>
  <c r="Y89" i="23"/>
  <c r="O89" i="23"/>
  <c r="N89" i="23"/>
  <c r="M89" i="23"/>
  <c r="BE88" i="23"/>
  <c r="BC88" i="23" s="1"/>
  <c r="BD88" i="23"/>
  <c r="AQ88" i="23"/>
  <c r="AI88" i="23"/>
  <c r="AG88" i="23"/>
  <c r="AE88" i="23"/>
  <c r="AC88" i="23"/>
  <c r="AA88" i="23"/>
  <c r="Z88" i="23"/>
  <c r="Y88" i="23"/>
  <c r="AH88" i="23" s="1"/>
  <c r="O88" i="23"/>
  <c r="N88" i="23"/>
  <c r="M88" i="23"/>
  <c r="BE87" i="23"/>
  <c r="BC87" i="23" s="1"/>
  <c r="BD87" i="23"/>
  <c r="AQ87" i="23"/>
  <c r="AI87" i="23"/>
  <c r="AG87" i="23"/>
  <c r="AE87" i="23"/>
  <c r="AC87" i="23"/>
  <c r="AA87" i="23"/>
  <c r="Z87" i="23"/>
  <c r="Y87" i="23"/>
  <c r="T87" i="23" s="1"/>
  <c r="O87" i="23"/>
  <c r="N87" i="23"/>
  <c r="M87" i="23"/>
  <c r="BE86" i="23"/>
  <c r="BC86" i="23" s="1"/>
  <c r="BD86" i="23"/>
  <c r="AQ86" i="23"/>
  <c r="AI86" i="23"/>
  <c r="AG86" i="23"/>
  <c r="AE86" i="23"/>
  <c r="AC86" i="23"/>
  <c r="AA86" i="23"/>
  <c r="Z86" i="23"/>
  <c r="Y86" i="23"/>
  <c r="T86" i="23" s="1"/>
  <c r="O86" i="23"/>
  <c r="N86" i="23"/>
  <c r="M86" i="23"/>
  <c r="BE85" i="23"/>
  <c r="BC85" i="23" s="1"/>
  <c r="AQ85" i="23"/>
  <c r="AI85" i="23"/>
  <c r="AG85" i="23"/>
  <c r="AE85" i="23"/>
  <c r="AC85" i="23"/>
  <c r="AA85" i="23"/>
  <c r="O85" i="23"/>
  <c r="N85" i="23"/>
  <c r="M85" i="23"/>
  <c r="BE84" i="23"/>
  <c r="BC84" i="23" s="1"/>
  <c r="AQ84" i="23"/>
  <c r="AI84" i="23"/>
  <c r="AG84" i="23"/>
  <c r="AE84" i="23"/>
  <c r="AC84" i="23"/>
  <c r="AA84" i="23"/>
  <c r="O84" i="23"/>
  <c r="N84" i="23"/>
  <c r="M84" i="23"/>
  <c r="BE83" i="23"/>
  <c r="BC83" i="23" s="1"/>
  <c r="AQ83" i="23"/>
  <c r="AI83" i="23"/>
  <c r="AG83" i="23"/>
  <c r="AE83" i="23"/>
  <c r="AC83" i="23"/>
  <c r="AA83" i="23"/>
  <c r="O83" i="23"/>
  <c r="N83" i="23"/>
  <c r="M83" i="23"/>
  <c r="BE82" i="23"/>
  <c r="BC82" i="23" s="1"/>
  <c r="AQ82" i="23"/>
  <c r="AI82" i="23"/>
  <c r="AG82" i="23"/>
  <c r="AE82" i="23"/>
  <c r="AC82" i="23"/>
  <c r="AA82" i="23"/>
  <c r="O82" i="23"/>
  <c r="N82" i="23"/>
  <c r="M82" i="23"/>
  <c r="BE81" i="23"/>
  <c r="BC81" i="23" s="1"/>
  <c r="AQ81" i="23"/>
  <c r="AI81" i="23"/>
  <c r="AG81" i="23"/>
  <c r="AE81" i="23"/>
  <c r="AC81" i="23"/>
  <c r="AA81" i="23"/>
  <c r="O81" i="23"/>
  <c r="N81" i="23"/>
  <c r="M81" i="23"/>
  <c r="BE80" i="23"/>
  <c r="BC80" i="23" s="1"/>
  <c r="AQ80" i="23"/>
  <c r="AI80" i="23"/>
  <c r="AG80" i="23"/>
  <c r="AE80" i="23"/>
  <c r="AC80" i="23"/>
  <c r="AA80" i="23"/>
  <c r="O80" i="23"/>
  <c r="N80" i="23"/>
  <c r="M80" i="23"/>
  <c r="BE79" i="23"/>
  <c r="BC79" i="23" s="1"/>
  <c r="AQ79" i="23"/>
  <c r="AI79" i="23"/>
  <c r="AG79" i="23"/>
  <c r="AE79" i="23"/>
  <c r="AC79" i="23"/>
  <c r="AA79" i="23"/>
  <c r="O79" i="23"/>
  <c r="N79" i="23"/>
  <c r="M79" i="23"/>
  <c r="BE78" i="23"/>
  <c r="BC78" i="23" s="1"/>
  <c r="AQ78" i="23"/>
  <c r="AI78" i="23"/>
  <c r="AG78" i="23"/>
  <c r="AE78" i="23"/>
  <c r="AC78" i="23"/>
  <c r="AA78" i="23"/>
  <c r="O78" i="23"/>
  <c r="N78" i="23"/>
  <c r="BE77" i="23"/>
  <c r="BC77" i="23" s="1"/>
  <c r="BD77" i="23"/>
  <c r="BB77" i="23"/>
  <c r="AW77" i="23"/>
  <c r="AQ77" i="23"/>
  <c r="AI77" i="23"/>
  <c r="AG77" i="23"/>
  <c r="AE77" i="23"/>
  <c r="AC77" i="23"/>
  <c r="AA77" i="23"/>
  <c r="Z77" i="23"/>
  <c r="Y77" i="23"/>
  <c r="AP77" i="23" s="1"/>
  <c r="O77" i="23"/>
  <c r="N77" i="23"/>
  <c r="M77" i="23"/>
  <c r="BE76" i="23"/>
  <c r="BC76" i="23" s="1"/>
  <c r="BD76" i="23"/>
  <c r="AW76" i="23"/>
  <c r="AQ76" i="23"/>
  <c r="AI76" i="23"/>
  <c r="AG76" i="23"/>
  <c r="AE76" i="23"/>
  <c r="AC76" i="23"/>
  <c r="AA76" i="23"/>
  <c r="Z76" i="23"/>
  <c r="Y76" i="23"/>
  <c r="AH76" i="23" s="1"/>
  <c r="AJ76" i="23" s="1"/>
  <c r="O76" i="23"/>
  <c r="N76" i="23"/>
  <c r="M76" i="23"/>
  <c r="BE75" i="23"/>
  <c r="BC75" i="23" s="1"/>
  <c r="BD75" i="23"/>
  <c r="BB75" i="23"/>
  <c r="AW75" i="23"/>
  <c r="AQ75" i="23"/>
  <c r="AI75" i="23"/>
  <c r="AG75" i="23"/>
  <c r="AE75" i="23"/>
  <c r="AC75" i="23"/>
  <c r="AA75" i="23"/>
  <c r="Z75" i="23"/>
  <c r="Y75" i="23"/>
  <c r="T75" i="23" s="1"/>
  <c r="O75" i="23"/>
  <c r="N75" i="23"/>
  <c r="M75" i="23"/>
  <c r="BE74" i="23"/>
  <c r="BC74" i="23" s="1"/>
  <c r="BD74" i="23"/>
  <c r="AW74" i="23"/>
  <c r="AQ74" i="23"/>
  <c r="AI74" i="23"/>
  <c r="AG74" i="23"/>
  <c r="AE74" i="23"/>
  <c r="AC74" i="23"/>
  <c r="AA74" i="23"/>
  <c r="Z74" i="23"/>
  <c r="Y74" i="23"/>
  <c r="AH74" i="23" s="1"/>
  <c r="O74" i="23"/>
  <c r="N74" i="23"/>
  <c r="M74" i="23"/>
  <c r="BE73" i="23"/>
  <c r="BC73" i="23" s="1"/>
  <c r="BD73" i="23"/>
  <c r="AW73" i="23"/>
  <c r="AQ73" i="23"/>
  <c r="AI73" i="23"/>
  <c r="AG73" i="23"/>
  <c r="AE73" i="23"/>
  <c r="AC73" i="23"/>
  <c r="AA73" i="23"/>
  <c r="Z73" i="23"/>
  <c r="Y73" i="23"/>
  <c r="AP73" i="23" s="1"/>
  <c r="O73" i="23"/>
  <c r="N73" i="23"/>
  <c r="M73" i="23"/>
  <c r="BE72" i="23"/>
  <c r="BC72" i="23" s="1"/>
  <c r="BD72" i="23"/>
  <c r="AW72" i="23"/>
  <c r="AQ72" i="23"/>
  <c r="AI72" i="23"/>
  <c r="AG72" i="23"/>
  <c r="AE72" i="23"/>
  <c r="AC72" i="23"/>
  <c r="AA72" i="23"/>
  <c r="Z72" i="23"/>
  <c r="Y72" i="23"/>
  <c r="AH72" i="23" s="1"/>
  <c r="O72" i="23"/>
  <c r="N72" i="23"/>
  <c r="M72" i="23"/>
  <c r="BE71" i="23"/>
  <c r="BC71" i="23" s="1"/>
  <c r="BD71" i="23"/>
  <c r="AW71" i="23"/>
  <c r="AQ71" i="23"/>
  <c r="AI71" i="23"/>
  <c r="AG71" i="23"/>
  <c r="AE71" i="23"/>
  <c r="AC71" i="23"/>
  <c r="AA71" i="23"/>
  <c r="Z71" i="23"/>
  <c r="Y71" i="23"/>
  <c r="O71" i="23"/>
  <c r="N71" i="23"/>
  <c r="M71" i="23"/>
  <c r="BE70" i="23"/>
  <c r="BC70" i="23" s="1"/>
  <c r="BD70" i="23"/>
  <c r="AW70" i="23"/>
  <c r="AQ70" i="23"/>
  <c r="AI70" i="23"/>
  <c r="AG70" i="23"/>
  <c r="AE70" i="23"/>
  <c r="AC70" i="23"/>
  <c r="AA70" i="23"/>
  <c r="Z70" i="23"/>
  <c r="Y70" i="23"/>
  <c r="T70" i="23" s="1"/>
  <c r="O70" i="23"/>
  <c r="N70" i="23"/>
  <c r="M70" i="23"/>
  <c r="BE69" i="23"/>
  <c r="BC69" i="23" s="1"/>
  <c r="BD69" i="23"/>
  <c r="AW69" i="23"/>
  <c r="AQ69" i="23"/>
  <c r="AI69" i="23"/>
  <c r="AG69" i="23"/>
  <c r="AE69" i="23"/>
  <c r="AC69" i="23"/>
  <c r="AA69" i="23"/>
  <c r="Z69" i="23"/>
  <c r="Y69" i="23"/>
  <c r="O69" i="23"/>
  <c r="N69" i="23"/>
  <c r="M69" i="23"/>
  <c r="BE68" i="23"/>
  <c r="BC68" i="23" s="1"/>
  <c r="BD68" i="23"/>
  <c r="BB68" i="23"/>
  <c r="AW68" i="23"/>
  <c r="AQ68" i="23"/>
  <c r="AI68" i="23"/>
  <c r="AG68" i="23"/>
  <c r="AE68" i="23"/>
  <c r="AC68" i="23"/>
  <c r="AA68" i="23"/>
  <c r="Z68" i="23"/>
  <c r="Y68" i="23"/>
  <c r="T68" i="23" s="1"/>
  <c r="O68" i="23"/>
  <c r="N68" i="23"/>
  <c r="M68" i="23"/>
  <c r="C68" i="23"/>
  <c r="BE67" i="23"/>
  <c r="BC67" i="23" s="1"/>
  <c r="BD67" i="23"/>
  <c r="BB67" i="23"/>
  <c r="AW67" i="23"/>
  <c r="AQ67" i="23"/>
  <c r="AI67" i="23"/>
  <c r="AG67" i="23"/>
  <c r="AE67" i="23"/>
  <c r="AC67" i="23"/>
  <c r="AA67" i="23"/>
  <c r="Z67" i="23"/>
  <c r="Y67" i="23"/>
  <c r="T67" i="23" s="1"/>
  <c r="O67" i="23"/>
  <c r="N67" i="23"/>
  <c r="M67" i="23"/>
  <c r="C67" i="23"/>
  <c r="BE66" i="23"/>
  <c r="BC66" i="23" s="1"/>
  <c r="BD66" i="23"/>
  <c r="BB66" i="23"/>
  <c r="AW66" i="23"/>
  <c r="AQ66" i="23"/>
  <c r="AI66" i="23"/>
  <c r="AG66" i="23"/>
  <c r="AE66" i="23"/>
  <c r="AC66" i="23"/>
  <c r="AA66" i="23"/>
  <c r="Z66" i="23"/>
  <c r="Y66" i="23"/>
  <c r="T66" i="23" s="1"/>
  <c r="O66" i="23"/>
  <c r="N66" i="23"/>
  <c r="M66" i="23"/>
  <c r="C66" i="23"/>
  <c r="BE65" i="23"/>
  <c r="BC65" i="23" s="1"/>
  <c r="BD65" i="23"/>
  <c r="AW65" i="23"/>
  <c r="AQ65" i="23"/>
  <c r="AI65" i="23"/>
  <c r="AG65" i="23"/>
  <c r="AE65" i="23"/>
  <c r="AC65" i="23"/>
  <c r="AA65" i="23"/>
  <c r="Z65" i="23"/>
  <c r="Y65" i="23"/>
  <c r="AP65" i="23" s="1"/>
  <c r="O65" i="23"/>
  <c r="N65" i="23"/>
  <c r="M65" i="23"/>
  <c r="C65" i="23"/>
  <c r="BE64" i="23"/>
  <c r="BC64" i="23" s="1"/>
  <c r="BD64" i="23"/>
  <c r="AW64" i="23"/>
  <c r="AQ64" i="23"/>
  <c r="AI64" i="23"/>
  <c r="AG64" i="23"/>
  <c r="AE64" i="23"/>
  <c r="AC64" i="23"/>
  <c r="AA64" i="23"/>
  <c r="Z64" i="23"/>
  <c r="Y64" i="23"/>
  <c r="AH64" i="23" s="1"/>
  <c r="O64" i="23"/>
  <c r="N64" i="23"/>
  <c r="M64" i="23"/>
  <c r="C64" i="23"/>
  <c r="BE63" i="23"/>
  <c r="BC63" i="23" s="1"/>
  <c r="BD63" i="23"/>
  <c r="AW63" i="23"/>
  <c r="AQ63" i="23"/>
  <c r="AI63" i="23"/>
  <c r="AG63" i="23"/>
  <c r="AE63" i="23"/>
  <c r="AC63" i="23"/>
  <c r="AA63" i="23"/>
  <c r="Z63" i="23"/>
  <c r="Y63" i="23"/>
  <c r="AP63" i="23" s="1"/>
  <c r="O63" i="23"/>
  <c r="N63" i="23"/>
  <c r="M63" i="23"/>
  <c r="C63" i="23"/>
  <c r="BE62" i="23"/>
  <c r="BC62" i="23" s="1"/>
  <c r="BD62" i="23"/>
  <c r="AW62" i="23"/>
  <c r="AQ62" i="23"/>
  <c r="AI62" i="23"/>
  <c r="AG62" i="23"/>
  <c r="AE62" i="23"/>
  <c r="AC62" i="23"/>
  <c r="AA62" i="23"/>
  <c r="Z62" i="23"/>
  <c r="Y62" i="23"/>
  <c r="AP62" i="23" s="1"/>
  <c r="O62" i="23"/>
  <c r="N62" i="23"/>
  <c r="M62" i="23"/>
  <c r="C62" i="23"/>
  <c r="BE61" i="23"/>
  <c r="BC61" i="23" s="1"/>
  <c r="BD61" i="23"/>
  <c r="AW61" i="23"/>
  <c r="AQ61" i="23"/>
  <c r="AI61" i="23"/>
  <c r="AG61" i="23"/>
  <c r="AE61" i="23"/>
  <c r="AC61" i="23"/>
  <c r="AA61" i="23"/>
  <c r="Z61" i="23"/>
  <c r="Y61" i="23"/>
  <c r="AP61" i="23" s="1"/>
  <c r="O61" i="23"/>
  <c r="N61" i="23"/>
  <c r="M61" i="23"/>
  <c r="C61" i="23"/>
  <c r="BE60" i="23"/>
  <c r="BC60" i="23" s="1"/>
  <c r="BD60" i="23"/>
  <c r="AW60" i="23"/>
  <c r="AQ60" i="23"/>
  <c r="AI60" i="23"/>
  <c r="AG60" i="23"/>
  <c r="AE60" i="23"/>
  <c r="AC60" i="23"/>
  <c r="AA60" i="23"/>
  <c r="Z60" i="23"/>
  <c r="Y60" i="23"/>
  <c r="AP60" i="23" s="1"/>
  <c r="O60" i="23"/>
  <c r="N60" i="23"/>
  <c r="M60" i="23"/>
  <c r="BE59" i="23"/>
  <c r="BC59" i="23" s="1"/>
  <c r="BD59" i="23"/>
  <c r="AW59" i="23"/>
  <c r="AQ59" i="23"/>
  <c r="AI59" i="23"/>
  <c r="AG59" i="23"/>
  <c r="AE59" i="23"/>
  <c r="AC59" i="23"/>
  <c r="AA59" i="23"/>
  <c r="Z59" i="23"/>
  <c r="Y59" i="23"/>
  <c r="T59" i="23" s="1"/>
  <c r="O59" i="23"/>
  <c r="N59" i="23"/>
  <c r="M59" i="23"/>
  <c r="BE58" i="23"/>
  <c r="BC58" i="23" s="1"/>
  <c r="BD58" i="23"/>
  <c r="AW58" i="23"/>
  <c r="AQ58" i="23"/>
  <c r="AI58" i="23"/>
  <c r="AG58" i="23"/>
  <c r="AE58" i="23"/>
  <c r="AC58" i="23"/>
  <c r="AA58" i="23"/>
  <c r="Z58" i="23"/>
  <c r="Y58" i="23"/>
  <c r="AH58" i="23" s="1"/>
  <c r="AL58" i="23" s="1"/>
  <c r="O58" i="23"/>
  <c r="N58" i="23"/>
  <c r="M58" i="23"/>
  <c r="BE57" i="23"/>
  <c r="BC57" i="23" s="1"/>
  <c r="BD57" i="23"/>
  <c r="AW57" i="23"/>
  <c r="AQ57" i="23"/>
  <c r="AI57" i="23"/>
  <c r="AG57" i="23"/>
  <c r="AE57" i="23"/>
  <c r="AC57" i="23"/>
  <c r="AA57" i="23"/>
  <c r="Z57" i="23"/>
  <c r="Y57" i="23"/>
  <c r="T57" i="23" s="1"/>
  <c r="O57" i="23"/>
  <c r="N57" i="23"/>
  <c r="M57" i="23"/>
  <c r="BE56" i="23"/>
  <c r="BC56" i="23" s="1"/>
  <c r="BD56" i="23"/>
  <c r="AW56" i="23"/>
  <c r="AQ56" i="23"/>
  <c r="AI56" i="23"/>
  <c r="AG56" i="23"/>
  <c r="AE56" i="23"/>
  <c r="AC56" i="23"/>
  <c r="AA56" i="23"/>
  <c r="Z56" i="23"/>
  <c r="Y56" i="23"/>
  <c r="AH56" i="23" s="1"/>
  <c r="AL56" i="23" s="1"/>
  <c r="O56" i="23"/>
  <c r="N56" i="23"/>
  <c r="M56" i="23"/>
  <c r="BE51" i="23"/>
  <c r="BC51" i="23" s="1"/>
  <c r="BD51" i="23"/>
  <c r="AW51" i="23"/>
  <c r="AQ51" i="23"/>
  <c r="AI51" i="23"/>
  <c r="AG51" i="23"/>
  <c r="AE51" i="23"/>
  <c r="AC51" i="23"/>
  <c r="AA51" i="23"/>
  <c r="Z51" i="23"/>
  <c r="Y51" i="23"/>
  <c r="T51" i="23" s="1"/>
  <c r="O51" i="23"/>
  <c r="N51" i="23"/>
  <c r="M51" i="23"/>
  <c r="BE50" i="23"/>
  <c r="BC50" i="23" s="1"/>
  <c r="BD50" i="23"/>
  <c r="AW50" i="23"/>
  <c r="AQ50" i="23"/>
  <c r="AI50" i="23"/>
  <c r="AG50" i="23"/>
  <c r="AE50" i="23"/>
  <c r="AC50" i="23"/>
  <c r="AA50" i="23"/>
  <c r="Z50" i="23"/>
  <c r="Y50" i="23"/>
  <c r="K50" i="23" s="1"/>
  <c r="O50" i="23"/>
  <c r="N50" i="23"/>
  <c r="M50" i="23"/>
  <c r="BE49" i="23"/>
  <c r="BC49" i="23" s="1"/>
  <c r="BD49" i="23"/>
  <c r="AW49" i="23"/>
  <c r="AQ49" i="23"/>
  <c r="AI49" i="23"/>
  <c r="AG49" i="23"/>
  <c r="AE49" i="23"/>
  <c r="AC49" i="23"/>
  <c r="AA49" i="23"/>
  <c r="Z49" i="23"/>
  <c r="Y49" i="23"/>
  <c r="T49" i="23" s="1"/>
  <c r="O49" i="23"/>
  <c r="N49" i="23"/>
  <c r="M49" i="23"/>
  <c r="BE48" i="23"/>
  <c r="BC48" i="23" s="1"/>
  <c r="BD48" i="23"/>
  <c r="AW48" i="23"/>
  <c r="AQ48" i="23"/>
  <c r="AI48" i="23"/>
  <c r="AG48" i="23"/>
  <c r="AE48" i="23"/>
  <c r="AC48" i="23"/>
  <c r="AA48" i="23"/>
  <c r="Z48" i="23"/>
  <c r="Y48" i="23"/>
  <c r="K48" i="23" s="1"/>
  <c r="O48" i="23"/>
  <c r="N48" i="23"/>
  <c r="M48" i="23"/>
  <c r="BE42" i="23"/>
  <c r="BC42" i="23" s="1"/>
  <c r="BD42" i="23"/>
  <c r="AW42" i="23"/>
  <c r="AQ42" i="23"/>
  <c r="AI42" i="23"/>
  <c r="AG42" i="23"/>
  <c r="AE42" i="23"/>
  <c r="AC42" i="23"/>
  <c r="AA42" i="23"/>
  <c r="Z42" i="23"/>
  <c r="Y42" i="23"/>
  <c r="T42" i="23" s="1"/>
  <c r="O42" i="23"/>
  <c r="N42" i="23"/>
  <c r="M42" i="23"/>
  <c r="BE40" i="23"/>
  <c r="BC40" i="23" s="1"/>
  <c r="BD40" i="23"/>
  <c r="AW40" i="23"/>
  <c r="AQ40" i="23"/>
  <c r="AI40" i="23"/>
  <c r="AG40" i="23"/>
  <c r="AE40" i="23"/>
  <c r="AC40" i="23"/>
  <c r="AA40" i="23"/>
  <c r="Z40" i="23"/>
  <c r="Y40" i="23"/>
  <c r="K40" i="23" s="1"/>
  <c r="O40" i="23"/>
  <c r="N40" i="23"/>
  <c r="M40" i="23"/>
  <c r="BE38" i="23"/>
  <c r="BC38" i="23" s="1"/>
  <c r="BD38" i="23"/>
  <c r="AW38" i="23"/>
  <c r="AQ38" i="23"/>
  <c r="AI38" i="23"/>
  <c r="AG38" i="23"/>
  <c r="AE38" i="23"/>
  <c r="AC38" i="23"/>
  <c r="AA38" i="23"/>
  <c r="Z38" i="23"/>
  <c r="Y38" i="23"/>
  <c r="T38" i="23" s="1"/>
  <c r="O38" i="23"/>
  <c r="N38" i="23"/>
  <c r="M38" i="23"/>
  <c r="BE37" i="23"/>
  <c r="BC37" i="23" s="1"/>
  <c r="BD37" i="23"/>
  <c r="AW37" i="23"/>
  <c r="AQ37" i="23"/>
  <c r="AI37" i="23"/>
  <c r="AG37" i="23"/>
  <c r="AE37" i="23"/>
  <c r="AC37" i="23"/>
  <c r="AA37" i="23"/>
  <c r="Z37" i="23"/>
  <c r="Y37" i="23"/>
  <c r="K37" i="23" s="1"/>
  <c r="O37" i="23"/>
  <c r="N37" i="23"/>
  <c r="M37" i="23"/>
  <c r="BE36" i="23"/>
  <c r="BC36" i="23" s="1"/>
  <c r="BD36" i="23"/>
  <c r="AW36" i="23"/>
  <c r="AQ36" i="23"/>
  <c r="AI36" i="23"/>
  <c r="AG36" i="23"/>
  <c r="AE36" i="23"/>
  <c r="AC36" i="23"/>
  <c r="AA36" i="23"/>
  <c r="Z36" i="23"/>
  <c r="Y36" i="23"/>
  <c r="T36" i="23" s="1"/>
  <c r="O36" i="23"/>
  <c r="N36" i="23"/>
  <c r="M36" i="23"/>
  <c r="BE32" i="23"/>
  <c r="BC32" i="23" s="1"/>
  <c r="BD32" i="23"/>
  <c r="AW32" i="23"/>
  <c r="AQ32" i="23"/>
  <c r="AI32" i="23"/>
  <c r="AG32" i="23"/>
  <c r="AE32" i="23"/>
  <c r="AC32" i="23"/>
  <c r="AA32" i="23"/>
  <c r="Z32" i="23"/>
  <c r="Y32" i="23"/>
  <c r="K32" i="23" s="1"/>
  <c r="O32" i="23"/>
  <c r="N32" i="23"/>
  <c r="M32" i="23"/>
  <c r="BE31" i="23"/>
  <c r="BC31" i="23" s="1"/>
  <c r="BD31" i="23"/>
  <c r="AW31" i="23"/>
  <c r="AQ31" i="23"/>
  <c r="AI31" i="23"/>
  <c r="AG31" i="23"/>
  <c r="AE31" i="23"/>
  <c r="AC31" i="23"/>
  <c r="AA31" i="23"/>
  <c r="Z31" i="23"/>
  <c r="Y31" i="23"/>
  <c r="T31" i="23" s="1"/>
  <c r="O31" i="23"/>
  <c r="N31" i="23"/>
  <c r="M31" i="23"/>
  <c r="BE29" i="23"/>
  <c r="BC29" i="23" s="1"/>
  <c r="BD29" i="23"/>
  <c r="AW29" i="23"/>
  <c r="AQ29" i="23"/>
  <c r="AI29" i="23"/>
  <c r="AG29" i="23"/>
  <c r="AE29" i="23"/>
  <c r="AC29" i="23"/>
  <c r="AA29" i="23"/>
  <c r="Z29" i="23"/>
  <c r="Y29" i="23"/>
  <c r="K29" i="23" s="1"/>
  <c r="O29" i="23"/>
  <c r="N29" i="23"/>
  <c r="M29" i="23"/>
  <c r="BM28" i="23"/>
  <c r="BM29" i="23" s="1"/>
  <c r="BE28" i="23"/>
  <c r="BC28" i="23" s="1"/>
  <c r="BD28" i="23"/>
  <c r="AW28" i="23"/>
  <c r="AQ28" i="23"/>
  <c r="AI28" i="23"/>
  <c r="AG28" i="23"/>
  <c r="AE28" i="23"/>
  <c r="AC28" i="23"/>
  <c r="AA28" i="23"/>
  <c r="Z28" i="23"/>
  <c r="O28" i="23"/>
  <c r="N28" i="23"/>
  <c r="M28" i="23"/>
  <c r="BI24" i="23"/>
  <c r="BH15" i="23"/>
  <c r="BJ15" i="23" s="1"/>
  <c r="Q15" i="23"/>
  <c r="BH14" i="23"/>
  <c r="BI14" i="23" s="1"/>
  <c r="BJ14" i="23" s="1"/>
  <c r="E13" i="23"/>
  <c r="E11" i="23"/>
  <c r="Q8" i="23"/>
  <c r="Q14" i="23" s="1"/>
  <c r="AH28" i="23" l="1"/>
  <c r="AL28" i="23" s="1"/>
  <c r="BM31" i="23"/>
  <c r="BM32" i="23" s="1"/>
  <c r="BM36" i="23" s="1"/>
  <c r="BM37" i="23" s="1"/>
  <c r="BM38" i="23" s="1"/>
  <c r="BM40" i="23" s="1"/>
  <c r="BM42" i="23" s="1"/>
  <c r="BM30" i="23"/>
  <c r="K28" i="23"/>
  <c r="T28" i="23"/>
  <c r="AD28" i="23" s="1"/>
  <c r="CD37" i="23"/>
  <c r="CD38" i="23" s="1"/>
  <c r="CD39" i="23" s="1"/>
  <c r="BM162" i="23"/>
  <c r="BM164" i="23"/>
  <c r="BR278" i="23"/>
  <c r="BR279" i="23"/>
  <c r="AI373" i="23" a="1"/>
  <c r="AI373" i="23" s="1"/>
  <c r="T106" i="23"/>
  <c r="K106" i="23" s="1"/>
  <c r="T195" i="23"/>
  <c r="K195" i="23" s="1"/>
  <c r="AP195" i="23"/>
  <c r="T204" i="23"/>
  <c r="AD204" i="23" s="1"/>
  <c r="T220" i="23"/>
  <c r="J220" i="23" s="1"/>
  <c r="T76" i="23"/>
  <c r="U76" i="23" s="1"/>
  <c r="BX76" i="23" s="1"/>
  <c r="T242" i="23"/>
  <c r="U242" i="23" s="1"/>
  <c r="BX242" i="23" s="1"/>
  <c r="T239" i="23"/>
  <c r="U239" i="23" s="1"/>
  <c r="BX239" i="23" s="1"/>
  <c r="T134" i="23"/>
  <c r="AD134" i="23" s="1"/>
  <c r="T197" i="23"/>
  <c r="J197" i="23" s="1"/>
  <c r="AP76" i="23"/>
  <c r="AH150" i="23"/>
  <c r="AL150" i="23" s="1"/>
  <c r="T186" i="23"/>
  <c r="J186" i="23" s="1"/>
  <c r="AH234" i="23"/>
  <c r="AJ234" i="23" s="1"/>
  <c r="AH262" i="23"/>
  <c r="AT262" i="23" s="1"/>
  <c r="AH97" i="23"/>
  <c r="AT97" i="23" s="1"/>
  <c r="T269" i="23"/>
  <c r="J269" i="23" s="1"/>
  <c r="AH244" i="23"/>
  <c r="AK244" i="23" s="1"/>
  <c r="AH104" i="23"/>
  <c r="AT104" i="23" s="1"/>
  <c r="AH106" i="23"/>
  <c r="AK106" i="23" s="1"/>
  <c r="T114" i="23"/>
  <c r="U114" i="23" s="1"/>
  <c r="BX114" i="23" s="1"/>
  <c r="AP114" i="23"/>
  <c r="T115" i="23"/>
  <c r="U115" i="23" s="1"/>
  <c r="BX115" i="23" s="1"/>
  <c r="AH38" i="23"/>
  <c r="AL38" i="23" s="1"/>
  <c r="T123" i="23"/>
  <c r="K123" i="23" s="1"/>
  <c r="AH224" i="23"/>
  <c r="AK224" i="23" s="1"/>
  <c r="T233" i="23"/>
  <c r="U233" i="23" s="1"/>
  <c r="BX233" i="23" s="1"/>
  <c r="AP235" i="23"/>
  <c r="AP244" i="23"/>
  <c r="AH259" i="23"/>
  <c r="AL259" i="23" s="1"/>
  <c r="AH260" i="23"/>
  <c r="AJ260" i="23" s="1"/>
  <c r="AH67" i="23"/>
  <c r="AK67" i="23" s="1"/>
  <c r="AH144" i="23"/>
  <c r="AJ144" i="23" s="1"/>
  <c r="AP166" i="23"/>
  <c r="AH215" i="23"/>
  <c r="AT215" i="23" s="1"/>
  <c r="AP233" i="23"/>
  <c r="AH36" i="23"/>
  <c r="AL36" i="23" s="1"/>
  <c r="AH51" i="23"/>
  <c r="AL51" i="23" s="1"/>
  <c r="AH63" i="23"/>
  <c r="AT63" i="23" s="1"/>
  <c r="AH156" i="23"/>
  <c r="AL156" i="23" s="1"/>
  <c r="AH181" i="23"/>
  <c r="AL181" i="23" s="1"/>
  <c r="J190" i="23"/>
  <c r="K59" i="23"/>
  <c r="AH148" i="23"/>
  <c r="AK148" i="23" s="1"/>
  <c r="AH49" i="23"/>
  <c r="AL49" i="23" s="1"/>
  <c r="AH60" i="23"/>
  <c r="AL60" i="23" s="1"/>
  <c r="AH140" i="23"/>
  <c r="AJ140" i="23" s="1"/>
  <c r="AH220" i="23"/>
  <c r="AL220" i="23" s="1"/>
  <c r="AH246" i="23"/>
  <c r="AK246" i="23" s="1"/>
  <c r="AH31" i="23"/>
  <c r="AL31" i="23" s="1"/>
  <c r="T60" i="23"/>
  <c r="AD60" i="23" s="1"/>
  <c r="AH175" i="23"/>
  <c r="AL175" i="23" s="1"/>
  <c r="AP197" i="23"/>
  <c r="AT255" i="23"/>
  <c r="AH274" i="23"/>
  <c r="AL274" i="23" s="1"/>
  <c r="AL275" i="23"/>
  <c r="AH42" i="23"/>
  <c r="AL42" i="23" s="1"/>
  <c r="AH235" i="23"/>
  <c r="AL235" i="23" s="1"/>
  <c r="J259" i="23"/>
  <c r="J260" i="23"/>
  <c r="T274" i="23"/>
  <c r="J274" i="23" s="1"/>
  <c r="AJ233" i="23"/>
  <c r="AK233" i="23"/>
  <c r="AT233" i="23"/>
  <c r="AP29" i="23"/>
  <c r="AP32" i="23"/>
  <c r="AP37" i="23"/>
  <c r="AP40" i="23"/>
  <c r="AP48" i="23"/>
  <c r="AP50" i="23"/>
  <c r="AP56" i="23"/>
  <c r="AH57" i="23"/>
  <c r="AL57" i="23" s="1"/>
  <c r="T63" i="23"/>
  <c r="K63" i="23" s="1"/>
  <c r="T88" i="23"/>
  <c r="K88" i="23" s="1"/>
  <c r="AP88" i="23"/>
  <c r="T112" i="23"/>
  <c r="U112" i="23" s="1"/>
  <c r="BX112" i="23" s="1"/>
  <c r="AH123" i="23"/>
  <c r="AJ123" i="23" s="1"/>
  <c r="AH147" i="23"/>
  <c r="AL147" i="23" s="1"/>
  <c r="AP180" i="23"/>
  <c r="T181" i="23"/>
  <c r="AD181" i="23" s="1"/>
  <c r="T215" i="23"/>
  <c r="K215" i="23" s="1"/>
  <c r="T218" i="23"/>
  <c r="K218" i="23" s="1"/>
  <c r="AH218" i="23"/>
  <c r="AL218" i="23" s="1"/>
  <c r="T224" i="23"/>
  <c r="K224" i="23" s="1"/>
  <c r="T228" i="23"/>
  <c r="J228" i="23" s="1"/>
  <c r="T232" i="23"/>
  <c r="U232" i="23" s="1"/>
  <c r="BX232" i="23" s="1"/>
  <c r="AP232" i="23"/>
  <c r="AH239" i="23"/>
  <c r="AT239" i="23" s="1"/>
  <c r="AP38" i="23"/>
  <c r="AP51" i="23"/>
  <c r="AP67" i="23"/>
  <c r="T133" i="23"/>
  <c r="AD133" i="23" s="1"/>
  <c r="T142" i="23"/>
  <c r="U142" i="23" s="1"/>
  <c r="BX142" i="23" s="1"/>
  <c r="T148" i="23"/>
  <c r="U148" i="23" s="1"/>
  <c r="BX148" i="23" s="1"/>
  <c r="AH153" i="23"/>
  <c r="AJ153" i="23" s="1"/>
  <c r="AP31" i="23"/>
  <c r="AP49" i="23"/>
  <c r="K60" i="23"/>
  <c r="AH103" i="23"/>
  <c r="AT103" i="23" s="1"/>
  <c r="T153" i="23"/>
  <c r="K153" i="23" s="1"/>
  <c r="AH190" i="23"/>
  <c r="AK190" i="23" s="1"/>
  <c r="T193" i="23"/>
  <c r="J193" i="23" s="1"/>
  <c r="AH193" i="23"/>
  <c r="AL193" i="23" s="1"/>
  <c r="AH243" i="23"/>
  <c r="AJ243" i="23" s="1"/>
  <c r="AT276" i="23"/>
  <c r="AH347" i="23"/>
  <c r="AL347" i="23" s="1"/>
  <c r="AP156" i="23"/>
  <c r="AH90" i="23"/>
  <c r="AT90" i="23" s="1"/>
  <c r="T103" i="23"/>
  <c r="J103" i="23" s="1"/>
  <c r="T110" i="23"/>
  <c r="K110" i="23" s="1"/>
  <c r="AP110" i="23"/>
  <c r="T243" i="23"/>
  <c r="J243" i="23" s="1"/>
  <c r="T262" i="23"/>
  <c r="AD262" i="23" s="1"/>
  <c r="U347" i="23"/>
  <c r="BX347" i="23" s="1"/>
  <c r="AP36" i="23"/>
  <c r="AH75" i="23"/>
  <c r="AL75" i="23" s="1"/>
  <c r="K118" i="23"/>
  <c r="T209" i="23"/>
  <c r="AD209" i="23" s="1"/>
  <c r="T213" i="23"/>
  <c r="AD213" i="23" s="1"/>
  <c r="AH213" i="23"/>
  <c r="AT213" i="23" s="1"/>
  <c r="AH230" i="23"/>
  <c r="AT230" i="23" s="1"/>
  <c r="T279" i="23"/>
  <c r="K279" i="23" s="1"/>
  <c r="AP42" i="23"/>
  <c r="K57" i="23"/>
  <c r="T104" i="23"/>
  <c r="J104" i="23" s="1"/>
  <c r="AH176" i="23"/>
  <c r="AL176" i="23" s="1"/>
  <c r="T210" i="23"/>
  <c r="K210" i="23" s="1"/>
  <c r="AP210" i="23"/>
  <c r="AP135" i="23"/>
  <c r="T135" i="23"/>
  <c r="AK166" i="23"/>
  <c r="AL166" i="23"/>
  <c r="AJ240" i="23"/>
  <c r="AL240" i="23"/>
  <c r="AK240" i="23"/>
  <c r="K56" i="23"/>
  <c r="AP58" i="23"/>
  <c r="AH59" i="23"/>
  <c r="AT59" i="23" s="1"/>
  <c r="AL88" i="23"/>
  <c r="AK88" i="23"/>
  <c r="AT88" i="23"/>
  <c r="K109" i="23"/>
  <c r="AD109" i="23"/>
  <c r="T152" i="23"/>
  <c r="K152" i="23" s="1"/>
  <c r="AH152" i="23"/>
  <c r="AL152" i="23" s="1"/>
  <c r="T174" i="23"/>
  <c r="K174" i="23" s="1"/>
  <c r="AH174" i="23"/>
  <c r="AL174" i="23" s="1"/>
  <c r="AP174" i="23"/>
  <c r="K58" i="23"/>
  <c r="T69" i="23"/>
  <c r="K69" i="23" s="1"/>
  <c r="AH69" i="23"/>
  <c r="AL69" i="23" s="1"/>
  <c r="AP69" i="23"/>
  <c r="AH71" i="23"/>
  <c r="AL71" i="23" s="1"/>
  <c r="T71" i="23"/>
  <c r="AP71" i="23"/>
  <c r="T105" i="23"/>
  <c r="J105" i="23" s="1"/>
  <c r="AH105" i="23"/>
  <c r="AL105" i="23" s="1"/>
  <c r="AP198" i="23"/>
  <c r="AH198" i="23"/>
  <c r="AL198" i="23" s="1"/>
  <c r="AP268" i="23"/>
  <c r="T268" i="23"/>
  <c r="J268" i="23" s="1"/>
  <c r="AT240" i="23"/>
  <c r="T29" i="23"/>
  <c r="T32" i="23"/>
  <c r="T37" i="23"/>
  <c r="T40" i="23"/>
  <c r="T48" i="23"/>
  <c r="T50" i="23"/>
  <c r="AP57" i="23"/>
  <c r="T62" i="23"/>
  <c r="K62" i="23" s="1"/>
  <c r="AH62" i="23"/>
  <c r="AL62" i="23" s="1"/>
  <c r="AH66" i="23"/>
  <c r="AT66" i="23" s="1"/>
  <c r="AT101" i="23"/>
  <c r="AL112" i="23"/>
  <c r="AJ112" i="23"/>
  <c r="AP121" i="23"/>
  <c r="T121" i="23"/>
  <c r="J121" i="23" s="1"/>
  <c r="J222" i="23"/>
  <c r="U222" i="23"/>
  <c r="BX222" i="23" s="1"/>
  <c r="AD222" i="23"/>
  <c r="K222" i="23"/>
  <c r="AH29" i="23"/>
  <c r="AL29" i="23" s="1"/>
  <c r="K31" i="23"/>
  <c r="AH32" i="23"/>
  <c r="AL32" i="23" s="1"/>
  <c r="K36" i="23"/>
  <c r="AH37" i="23"/>
  <c r="AL37" i="23" s="1"/>
  <c r="K38" i="23"/>
  <c r="AH40" i="23"/>
  <c r="AL40" i="23" s="1"/>
  <c r="K42" i="23"/>
  <c r="AH48" i="23"/>
  <c r="AL48" i="23" s="1"/>
  <c r="K49" i="23"/>
  <c r="AH50" i="23"/>
  <c r="AL50" i="23" s="1"/>
  <c r="K51" i="23"/>
  <c r="T56" i="23"/>
  <c r="AP59" i="23"/>
  <c r="AH216" i="23"/>
  <c r="AT216" i="23" s="1"/>
  <c r="T216" i="23"/>
  <c r="K216" i="23" s="1"/>
  <c r="AH237" i="23"/>
  <c r="AT237" i="23" s="1"/>
  <c r="AP237" i="23"/>
  <c r="T237" i="23"/>
  <c r="T58" i="23"/>
  <c r="T64" i="23"/>
  <c r="U64" i="23" s="1"/>
  <c r="BX64" i="23" s="1"/>
  <c r="AP64" i="23"/>
  <c r="T65" i="23"/>
  <c r="AD65" i="23" s="1"/>
  <c r="AP66" i="23"/>
  <c r="AP100" i="23"/>
  <c r="T100" i="23"/>
  <c r="AD100" i="23" s="1"/>
  <c r="AL101" i="23"/>
  <c r="AK101" i="23"/>
  <c r="AH188" i="23"/>
  <c r="AT188" i="23" s="1"/>
  <c r="T188" i="23"/>
  <c r="AP188" i="23"/>
  <c r="AH73" i="23"/>
  <c r="AL73" i="23" s="1"/>
  <c r="T73" i="23"/>
  <c r="AD73" i="23" s="1"/>
  <c r="AH70" i="23"/>
  <c r="AJ70" i="23" s="1"/>
  <c r="T72" i="23"/>
  <c r="AD72" i="23" s="1"/>
  <c r="AP72" i="23"/>
  <c r="T90" i="23"/>
  <c r="J90" i="23" s="1"/>
  <c r="AP112" i="23"/>
  <c r="T140" i="23"/>
  <c r="K140" i="23" s="1"/>
  <c r="T144" i="23"/>
  <c r="K144" i="23" s="1"/>
  <c r="T149" i="23"/>
  <c r="AD149" i="23" s="1"/>
  <c r="T175" i="23"/>
  <c r="J175" i="23" s="1"/>
  <c r="T184" i="23"/>
  <c r="AH186" i="23"/>
  <c r="AT186" i="23" s="1"/>
  <c r="T199" i="23"/>
  <c r="T202" i="23"/>
  <c r="J202" i="23" s="1"/>
  <c r="AP223" i="23"/>
  <c r="AH223" i="23"/>
  <c r="AJ223" i="23" s="1"/>
  <c r="T223" i="23"/>
  <c r="AD223" i="23" s="1"/>
  <c r="AT74" i="23"/>
  <c r="T95" i="23"/>
  <c r="K95" i="23" s="1"/>
  <c r="AP97" i="23"/>
  <c r="AP101" i="23"/>
  <c r="T122" i="23"/>
  <c r="T137" i="23"/>
  <c r="AH141" i="23"/>
  <c r="AL141" i="23" s="1"/>
  <c r="AH177" i="23"/>
  <c r="AL177" i="23" s="1"/>
  <c r="AH182" i="23"/>
  <c r="AT182" i="23" s="1"/>
  <c r="AH184" i="23"/>
  <c r="AL184" i="23" s="1"/>
  <c r="AP191" i="23"/>
  <c r="AT195" i="23"/>
  <c r="AH199" i="23"/>
  <c r="T203" i="23"/>
  <c r="AH203" i="23"/>
  <c r="AL203" i="23" s="1"/>
  <c r="AT208" i="23"/>
  <c r="AH221" i="23"/>
  <c r="AT221" i="23" s="1"/>
  <c r="J244" i="23"/>
  <c r="K244" i="23"/>
  <c r="U244" i="23"/>
  <c r="BX244" i="23" s="1"/>
  <c r="AJ279" i="23"/>
  <c r="AK279" i="23"/>
  <c r="AP70" i="23"/>
  <c r="T77" i="23"/>
  <c r="AH77" i="23"/>
  <c r="AK77" i="23" s="1"/>
  <c r="AP94" i="23"/>
  <c r="AH102" i="23"/>
  <c r="AT102" i="23" s="1"/>
  <c r="U113" i="23"/>
  <c r="BX113" i="23" s="1"/>
  <c r="AP113" i="23"/>
  <c r="AH115" i="23"/>
  <c r="AL115" i="23" s="1"/>
  <c r="AT116" i="23"/>
  <c r="AP118" i="23"/>
  <c r="AP147" i="23"/>
  <c r="AP150" i="23"/>
  <c r="AP176" i="23"/>
  <c r="T177" i="23"/>
  <c r="U177" i="23" s="1"/>
  <c r="BX177" i="23" s="1"/>
  <c r="AH178" i="23"/>
  <c r="AL178" i="23" s="1"/>
  <c r="U182" i="23"/>
  <c r="BX182" i="23" s="1"/>
  <c r="T208" i="23"/>
  <c r="U208" i="23" s="1"/>
  <c r="BX208" i="23" s="1"/>
  <c r="T211" i="23"/>
  <c r="U211" i="23" s="1"/>
  <c r="BX211" i="23" s="1"/>
  <c r="T221" i="23"/>
  <c r="J221" i="23" s="1"/>
  <c r="J230" i="23"/>
  <c r="AD230" i="23"/>
  <c r="K235" i="23"/>
  <c r="AD235" i="23"/>
  <c r="AP141" i="23"/>
  <c r="AP102" i="23"/>
  <c r="T166" i="23"/>
  <c r="AH167" i="23"/>
  <c r="AL167" i="23" s="1"/>
  <c r="AH173" i="23"/>
  <c r="AL173" i="23" s="1"/>
  <c r="AH179" i="23"/>
  <c r="AL179" i="23" s="1"/>
  <c r="AH180" i="23"/>
  <c r="AL180" i="23" s="1"/>
  <c r="AP190" i="23"/>
  <c r="AH191" i="23"/>
  <c r="T214" i="23"/>
  <c r="AT112" i="23"/>
  <c r="J113" i="23"/>
  <c r="AT166" i="23"/>
  <c r="T167" i="23"/>
  <c r="AD167" i="23" s="1"/>
  <c r="T173" i="23"/>
  <c r="AD173" i="23" s="1"/>
  <c r="AP178" i="23"/>
  <c r="T179" i="23"/>
  <c r="AD179" i="23" s="1"/>
  <c r="J182" i="23"/>
  <c r="AP182" i="23"/>
  <c r="T183" i="23"/>
  <c r="K183" i="23" s="1"/>
  <c r="AP183" i="23"/>
  <c r="T194" i="23"/>
  <c r="AD194" i="23" s="1"/>
  <c r="AP194" i="23"/>
  <c r="AT197" i="23"/>
  <c r="AP214" i="23"/>
  <c r="K230" i="23"/>
  <c r="J235" i="23"/>
  <c r="AH245" i="23"/>
  <c r="AT245" i="23" s="1"/>
  <c r="T245" i="23"/>
  <c r="K245" i="23" s="1"/>
  <c r="J246" i="23"/>
  <c r="AD246" i="23"/>
  <c r="K246" i="23"/>
  <c r="K261" i="23"/>
  <c r="U261" i="23"/>
  <c r="BX261" i="23" s="1"/>
  <c r="T101" i="23"/>
  <c r="J101" i="23" s="1"/>
  <c r="T107" i="23"/>
  <c r="J107" i="23" s="1"/>
  <c r="K113" i="23"/>
  <c r="K182" i="23"/>
  <c r="AH222" i="23"/>
  <c r="AT222" i="23" s="1"/>
  <c r="AP222" i="23"/>
  <c r="T240" i="23"/>
  <c r="AP240" i="23"/>
  <c r="AP275" i="23"/>
  <c r="T278" i="23"/>
  <c r="J347" i="23"/>
  <c r="AP230" i="23"/>
  <c r="AH269" i="23"/>
  <c r="AL269" i="23" s="1"/>
  <c r="AD347" i="23"/>
  <c r="AP234" i="23"/>
  <c r="AT247" i="23"/>
  <c r="AH349" i="23"/>
  <c r="AK349" i="23" s="1"/>
  <c r="AP246" i="23"/>
  <c r="T273" i="23"/>
  <c r="K273" i="23" s="1"/>
  <c r="T275" i="23"/>
  <c r="U275" i="23" s="1"/>
  <c r="BX275" i="23" s="1"/>
  <c r="AT275" i="23"/>
  <c r="AP349" i="23"/>
  <c r="AL233" i="23"/>
  <c r="U87" i="23"/>
  <c r="BX87" i="23" s="1"/>
  <c r="AD87" i="23"/>
  <c r="K87" i="23"/>
  <c r="J87" i="23"/>
  <c r="J36" i="23"/>
  <c r="AD36" i="23"/>
  <c r="U36" i="23"/>
  <c r="BX36" i="23" s="1"/>
  <c r="J51" i="23"/>
  <c r="AD51" i="23"/>
  <c r="U51" i="23"/>
  <c r="BX51" i="23" s="1"/>
  <c r="AT72" i="23"/>
  <c r="J86" i="23"/>
  <c r="U86" i="23"/>
  <c r="BX86" i="23" s="1"/>
  <c r="AD86" i="23"/>
  <c r="K86" i="23"/>
  <c r="J66" i="23"/>
  <c r="K66" i="23"/>
  <c r="U66" i="23"/>
  <c r="BX66" i="23" s="1"/>
  <c r="AD66" i="23"/>
  <c r="J70" i="23"/>
  <c r="U70" i="23"/>
  <c r="BX70" i="23" s="1"/>
  <c r="AD70" i="23"/>
  <c r="K70" i="23"/>
  <c r="AL72" i="23"/>
  <c r="AJ72" i="23"/>
  <c r="AK72" i="23"/>
  <c r="J57" i="23"/>
  <c r="U57" i="23"/>
  <c r="BX57" i="23" s="1"/>
  <c r="AD57" i="23"/>
  <c r="BC372" i="23"/>
  <c r="U68" i="23"/>
  <c r="BX68" i="23" s="1"/>
  <c r="AD68" i="23"/>
  <c r="K68" i="23"/>
  <c r="J68" i="23"/>
  <c r="J42" i="23"/>
  <c r="U42" i="23"/>
  <c r="BX42" i="23" s="1"/>
  <c r="AD42" i="23"/>
  <c r="AD67" i="23"/>
  <c r="K67" i="23"/>
  <c r="J67" i="23"/>
  <c r="U67" i="23"/>
  <c r="BX67" i="23" s="1"/>
  <c r="K75" i="23"/>
  <c r="U75" i="23"/>
  <c r="BX75" i="23" s="1"/>
  <c r="AD75" i="23"/>
  <c r="J75" i="23"/>
  <c r="J38" i="23"/>
  <c r="AD38" i="23"/>
  <c r="U38" i="23"/>
  <c r="BX38" i="23" s="1"/>
  <c r="AD31" i="23"/>
  <c r="J31" i="23"/>
  <c r="U31" i="23"/>
  <c r="BX31" i="23" s="1"/>
  <c r="AD49" i="23"/>
  <c r="J49" i="23"/>
  <c r="U49" i="23"/>
  <c r="BX49" i="23" s="1"/>
  <c r="J59" i="23"/>
  <c r="U59" i="23"/>
  <c r="BX59" i="23" s="1"/>
  <c r="AD59" i="23"/>
  <c r="AL74" i="23"/>
  <c r="AJ74" i="23"/>
  <c r="AK74" i="23"/>
  <c r="AP119" i="23"/>
  <c r="T119" i="23"/>
  <c r="AH68" i="23"/>
  <c r="AT68" i="23" s="1"/>
  <c r="AP68" i="23"/>
  <c r="AP92" i="23"/>
  <c r="J102" i="23"/>
  <c r="U102" i="23"/>
  <c r="BX102" i="23" s="1"/>
  <c r="AD102" i="23"/>
  <c r="AC373" i="23" a="1"/>
  <c r="AC373" i="23" s="1"/>
  <c r="AJ64" i="23"/>
  <c r="AT64" i="23"/>
  <c r="AK76" i="23"/>
  <c r="AP86" i="23"/>
  <c r="AH86" i="23"/>
  <c r="AT86" i="23" s="1"/>
  <c r="AK64" i="23"/>
  <c r="AH65" i="23"/>
  <c r="AP74" i="23"/>
  <c r="AL76" i="23"/>
  <c r="AP87" i="23"/>
  <c r="AH94" i="23"/>
  <c r="AK110" i="23"/>
  <c r="AJ110" i="23"/>
  <c r="AL110" i="23"/>
  <c r="AP111" i="23"/>
  <c r="AH111" i="23"/>
  <c r="T111" i="23"/>
  <c r="K117" i="23"/>
  <c r="J117" i="23"/>
  <c r="U117" i="23"/>
  <c r="BX117" i="23" s="1"/>
  <c r="T120" i="23"/>
  <c r="AH120" i="23"/>
  <c r="AP120" i="23"/>
  <c r="AJ56" i="23"/>
  <c r="AJ58" i="23"/>
  <c r="T61" i="23"/>
  <c r="AE373" i="23" a="1"/>
  <c r="AE373" i="23" s="1"/>
  <c r="AL64" i="23"/>
  <c r="AL116" i="23"/>
  <c r="AK116" i="23"/>
  <c r="AJ116" i="23"/>
  <c r="AK56" i="23"/>
  <c r="AT56" i="23"/>
  <c r="AK58" i="23"/>
  <c r="AT58" i="23"/>
  <c r="BB372" i="23"/>
  <c r="T74" i="23"/>
  <c r="AH92" i="23"/>
  <c r="AP93" i="23"/>
  <c r="AH93" i="23"/>
  <c r="T93" i="23"/>
  <c r="U94" i="23"/>
  <c r="BX94" i="23" s="1"/>
  <c r="AD94" i="23"/>
  <c r="K94" i="23"/>
  <c r="AP89" i="23"/>
  <c r="AH89" i="23"/>
  <c r="T89" i="23"/>
  <c r="AG373" i="23" a="1"/>
  <c r="AG373" i="23" s="1"/>
  <c r="BE372" i="23"/>
  <c r="BE373" i="23" s="1"/>
  <c r="AP75" i="23"/>
  <c r="AH87" i="23"/>
  <c r="J108" i="23"/>
  <c r="K108" i="23"/>
  <c r="U108" i="23"/>
  <c r="BX108" i="23" s="1"/>
  <c r="AJ114" i="23"/>
  <c r="AL114" i="23"/>
  <c r="AK114" i="23"/>
  <c r="AT114" i="23"/>
  <c r="AH119" i="23"/>
  <c r="J176" i="23"/>
  <c r="U176" i="23"/>
  <c r="BX176" i="23" s="1"/>
  <c r="AD176" i="23"/>
  <c r="K176" i="23"/>
  <c r="AH61" i="23"/>
  <c r="AT61" i="23" s="1"/>
  <c r="AT76" i="23"/>
  <c r="AP91" i="23"/>
  <c r="AH91" i="23"/>
  <c r="T91" i="23"/>
  <c r="U92" i="23"/>
  <c r="BX92" i="23" s="1"/>
  <c r="AD92" i="23"/>
  <c r="K92" i="23"/>
  <c r="U97" i="23"/>
  <c r="BX97" i="23" s="1"/>
  <c r="AD97" i="23"/>
  <c r="K97" i="23"/>
  <c r="T99" i="23"/>
  <c r="AP99" i="23"/>
  <c r="AH99" i="23"/>
  <c r="AP201" i="23"/>
  <c r="AH201" i="23"/>
  <c r="AT201" i="23" s="1"/>
  <c r="T201" i="23"/>
  <c r="T96" i="23"/>
  <c r="T98" i="23"/>
  <c r="AH118" i="23"/>
  <c r="J156" i="23"/>
  <c r="U156" i="23"/>
  <c r="BX156" i="23" s="1"/>
  <c r="AD156" i="23"/>
  <c r="AK187" i="23"/>
  <c r="AJ187" i="23"/>
  <c r="AL187" i="23"/>
  <c r="AH192" i="23"/>
  <c r="AT192" i="23" s="1"/>
  <c r="T192" i="23"/>
  <c r="AP192" i="23"/>
  <c r="AH95" i="23"/>
  <c r="AH107" i="23"/>
  <c r="AT107" i="23" s="1"/>
  <c r="U109" i="23"/>
  <c r="BX109" i="23" s="1"/>
  <c r="T138" i="23"/>
  <c r="AP138" i="23"/>
  <c r="AH138" i="23"/>
  <c r="AT138" i="23" s="1"/>
  <c r="K189" i="23"/>
  <c r="J189" i="23"/>
  <c r="U189" i="23"/>
  <c r="BX189" i="23" s="1"/>
  <c r="AD189" i="23"/>
  <c r="AL205" i="23"/>
  <c r="AT205" i="23"/>
  <c r="AJ205" i="23"/>
  <c r="AL219" i="23"/>
  <c r="AK219" i="23"/>
  <c r="AJ219" i="23"/>
  <c r="AP108" i="23"/>
  <c r="AH108" i="23"/>
  <c r="AP109" i="23"/>
  <c r="AP117" i="23"/>
  <c r="AH117" i="23"/>
  <c r="T136" i="23"/>
  <c r="AP136" i="23"/>
  <c r="AH136" i="23"/>
  <c r="AT136" i="23" s="1"/>
  <c r="AT183" i="23"/>
  <c r="AK183" i="23"/>
  <c r="AJ183" i="23"/>
  <c r="AL183" i="23"/>
  <c r="AT185" i="23"/>
  <c r="AK185" i="23"/>
  <c r="AJ185" i="23"/>
  <c r="AL185" i="23"/>
  <c r="U238" i="23"/>
  <c r="BX238" i="23" s="1"/>
  <c r="AD238" i="23"/>
  <c r="K238" i="23"/>
  <c r="J238" i="23"/>
  <c r="AJ88" i="23"/>
  <c r="AH96" i="23"/>
  <c r="AH98" i="23"/>
  <c r="AJ101" i="23"/>
  <c r="AH109" i="23"/>
  <c r="AT109" i="23" s="1"/>
  <c r="AH113" i="23"/>
  <c r="J118" i="23"/>
  <c r="U141" i="23"/>
  <c r="BX141" i="23" s="1"/>
  <c r="AD141" i="23"/>
  <c r="K141" i="23"/>
  <c r="J147" i="23"/>
  <c r="U147" i="23"/>
  <c r="BX147" i="23" s="1"/>
  <c r="AD147" i="23"/>
  <c r="J150" i="23"/>
  <c r="U150" i="23"/>
  <c r="BX150" i="23" s="1"/>
  <c r="AD150" i="23"/>
  <c r="T154" i="23"/>
  <c r="AP154" i="23"/>
  <c r="AH154" i="23"/>
  <c r="AT154" i="23" s="1"/>
  <c r="AL210" i="23"/>
  <c r="AK210" i="23"/>
  <c r="AJ210" i="23"/>
  <c r="J109" i="23"/>
  <c r="T116" i="23"/>
  <c r="AP116" i="23"/>
  <c r="T151" i="23"/>
  <c r="AP151" i="23"/>
  <c r="AH151" i="23"/>
  <c r="AP185" i="23"/>
  <c r="T185" i="23"/>
  <c r="AT194" i="23"/>
  <c r="AK194" i="23"/>
  <c r="AJ194" i="23"/>
  <c r="AL194" i="23"/>
  <c r="AK196" i="23"/>
  <c r="AJ196" i="23"/>
  <c r="AL196" i="23"/>
  <c r="AH100" i="23"/>
  <c r="AT100" i="23" s="1"/>
  <c r="AT110" i="23"/>
  <c r="AD118" i="23"/>
  <c r="T163" i="23"/>
  <c r="AP163" i="23"/>
  <c r="AH163" i="23"/>
  <c r="AT163" i="23" s="1"/>
  <c r="J180" i="23"/>
  <c r="U180" i="23"/>
  <c r="BX180" i="23" s="1"/>
  <c r="AD180" i="23"/>
  <c r="T124" i="23"/>
  <c r="AP124" i="23"/>
  <c r="AH124" i="23"/>
  <c r="AT124" i="23" s="1"/>
  <c r="T145" i="23"/>
  <c r="AP145" i="23"/>
  <c r="AH145" i="23"/>
  <c r="J178" i="23"/>
  <c r="U178" i="23"/>
  <c r="BX178" i="23" s="1"/>
  <c r="AD178" i="23"/>
  <c r="T139" i="23"/>
  <c r="T143" i="23"/>
  <c r="T146" i="23"/>
  <c r="T155" i="23"/>
  <c r="T187" i="23"/>
  <c r="AP187" i="23"/>
  <c r="U190" i="23"/>
  <c r="BX190" i="23" s="1"/>
  <c r="AD190" i="23"/>
  <c r="AK197" i="23"/>
  <c r="T198" i="23"/>
  <c r="J206" i="23"/>
  <c r="K206" i="23"/>
  <c r="U206" i="23"/>
  <c r="BX206" i="23" s="1"/>
  <c r="AD206" i="23"/>
  <c r="AH122" i="23"/>
  <c r="AH134" i="23"/>
  <c r="AT134" i="23" s="1"/>
  <c r="AH142" i="23"/>
  <c r="AP196" i="23"/>
  <c r="K191" i="23"/>
  <c r="J191" i="23"/>
  <c r="AJ195" i="23"/>
  <c r="T200" i="23"/>
  <c r="AP200" i="23"/>
  <c r="AH200" i="23"/>
  <c r="AJ252" i="23"/>
  <c r="AL252" i="23"/>
  <c r="AH139" i="23"/>
  <c r="AH143" i="23"/>
  <c r="AH146" i="23"/>
  <c r="AH155" i="23"/>
  <c r="AJ166" i="23"/>
  <c r="AT187" i="23"/>
  <c r="U191" i="23"/>
  <c r="BX191" i="23" s="1"/>
  <c r="AP219" i="23"/>
  <c r="T219" i="23"/>
  <c r="U231" i="23"/>
  <c r="BX231" i="23" s="1"/>
  <c r="K231" i="23"/>
  <c r="J231" i="23"/>
  <c r="AD231" i="23"/>
  <c r="AH121" i="23"/>
  <c r="AH133" i="23"/>
  <c r="AH135" i="23"/>
  <c r="AH137" i="23"/>
  <c r="AH149" i="23"/>
  <c r="AK195" i="23"/>
  <c r="T196" i="23"/>
  <c r="AL212" i="23"/>
  <c r="AK212" i="23"/>
  <c r="AJ212" i="23"/>
  <c r="AL214" i="23"/>
  <c r="AK214" i="23"/>
  <c r="AJ232" i="23"/>
  <c r="AL232" i="23"/>
  <c r="AT232" i="23"/>
  <c r="AK232" i="23"/>
  <c r="AP189" i="23"/>
  <c r="AH189" i="23"/>
  <c r="AL195" i="23"/>
  <c r="AT196" i="23"/>
  <c r="AL208" i="23"/>
  <c r="AK208" i="23"/>
  <c r="AJ208" i="23"/>
  <c r="AH263" i="23"/>
  <c r="T263" i="23"/>
  <c r="AP263" i="23"/>
  <c r="AJ264" i="23"/>
  <c r="AL264" i="23"/>
  <c r="AK264" i="23"/>
  <c r="AT264" i="23"/>
  <c r="AJ197" i="23"/>
  <c r="AT219" i="23"/>
  <c r="AP238" i="23"/>
  <c r="AH238" i="23"/>
  <c r="AJ247" i="23"/>
  <c r="AL247" i="23"/>
  <c r="AT250" i="23"/>
  <c r="AT253" i="23"/>
  <c r="AJ255" i="23"/>
  <c r="AL255" i="23"/>
  <c r="AT258" i="23"/>
  <c r="AP270" i="23"/>
  <c r="AH270" i="23"/>
  <c r="AT270" i="23" s="1"/>
  <c r="T270" i="23"/>
  <c r="AP231" i="23"/>
  <c r="AH231" i="23"/>
  <c r="AT231" i="23" s="1"/>
  <c r="AJ250" i="23"/>
  <c r="AL250" i="23"/>
  <c r="AK250" i="23"/>
  <c r="AJ258" i="23"/>
  <c r="AL258" i="23"/>
  <c r="AK258" i="23"/>
  <c r="AP266" i="23"/>
  <c r="AH266" i="23"/>
  <c r="T266" i="23"/>
  <c r="AH202" i="23"/>
  <c r="AT202" i="23" s="1"/>
  <c r="AH204" i="23"/>
  <c r="T205" i="23"/>
  <c r="T212" i="23"/>
  <c r="AP212" i="23"/>
  <c r="AH226" i="23"/>
  <c r="AT248" i="23"/>
  <c r="AT251" i="23"/>
  <c r="AJ253" i="23"/>
  <c r="AL253" i="23"/>
  <c r="AT256" i="23"/>
  <c r="AP205" i="23"/>
  <c r="K226" i="23"/>
  <c r="U226" i="23"/>
  <c r="BX226" i="23" s="1"/>
  <c r="AD226" i="23"/>
  <c r="K234" i="23"/>
  <c r="U234" i="23"/>
  <c r="BX234" i="23" s="1"/>
  <c r="AD234" i="23"/>
  <c r="AJ248" i="23"/>
  <c r="AL248" i="23"/>
  <c r="AK248" i="23"/>
  <c r="AJ256" i="23"/>
  <c r="AL256" i="23"/>
  <c r="AK256" i="23"/>
  <c r="AP206" i="23"/>
  <c r="AH206" i="23"/>
  <c r="AP208" i="23"/>
  <c r="AP216" i="23"/>
  <c r="U225" i="23"/>
  <c r="BX225" i="23" s="1"/>
  <c r="K225" i="23"/>
  <c r="J225" i="23"/>
  <c r="AP229" i="23"/>
  <c r="AH229" i="23"/>
  <c r="AT229" i="23" s="1"/>
  <c r="T229" i="23"/>
  <c r="AT249" i="23"/>
  <c r="AJ251" i="23"/>
  <c r="AL251" i="23"/>
  <c r="AT254" i="23"/>
  <c r="AT257" i="23"/>
  <c r="T272" i="23"/>
  <c r="AP272" i="23"/>
  <c r="AH272" i="23"/>
  <c r="AT212" i="23"/>
  <c r="AP225" i="23"/>
  <c r="AH225" i="23"/>
  <c r="AT225" i="23" s="1"/>
  <c r="AJ254" i="23"/>
  <c r="AL254" i="23"/>
  <c r="AK254" i="23"/>
  <c r="AT210" i="23"/>
  <c r="AT214" i="23"/>
  <c r="AP226" i="23"/>
  <c r="AP236" i="23"/>
  <c r="AH236" i="23"/>
  <c r="AT236" i="23" s="1"/>
  <c r="T236" i="23"/>
  <c r="AJ249" i="23"/>
  <c r="AL249" i="23"/>
  <c r="AT252" i="23"/>
  <c r="AJ257" i="23"/>
  <c r="AL257" i="23"/>
  <c r="AP264" i="23"/>
  <c r="J265" i="23"/>
  <c r="J267" i="23"/>
  <c r="AD259" i="23"/>
  <c r="AD260" i="23"/>
  <c r="K265" i="23"/>
  <c r="AD265" i="23"/>
  <c r="AP265" i="23"/>
  <c r="AH228" i="23"/>
  <c r="AH242" i="23"/>
  <c r="T264" i="23"/>
  <c r="AH209" i="23"/>
  <c r="AT209" i="23" s="1"/>
  <c r="AH211" i="23"/>
  <c r="AT211" i="23" s="1"/>
  <c r="T241" i="23"/>
  <c r="T247" i="23"/>
  <c r="T248" i="23"/>
  <c r="AP248" i="23"/>
  <c r="T249" i="23"/>
  <c r="T250" i="23"/>
  <c r="AP250" i="23"/>
  <c r="T251" i="23"/>
  <c r="T252" i="23"/>
  <c r="AP252" i="23"/>
  <c r="T253" i="23"/>
  <c r="T254" i="23"/>
  <c r="AP254" i="23"/>
  <c r="T255" i="23"/>
  <c r="T256" i="23"/>
  <c r="AP256" i="23"/>
  <c r="T257" i="23"/>
  <c r="T258" i="23"/>
  <c r="AP258" i="23"/>
  <c r="U259" i="23"/>
  <c r="BX259" i="23" s="1"/>
  <c r="U260" i="23"/>
  <c r="BX260" i="23" s="1"/>
  <c r="AP267" i="23"/>
  <c r="AJ276" i="23"/>
  <c r="AK276" i="23"/>
  <c r="AP247" i="23"/>
  <c r="AP249" i="23"/>
  <c r="AP251" i="23"/>
  <c r="AP253" i="23"/>
  <c r="AP255" i="23"/>
  <c r="AP257" i="23"/>
  <c r="AP259" i="23"/>
  <c r="AP260" i="23"/>
  <c r="J261" i="23"/>
  <c r="AD261" i="23"/>
  <c r="AH265" i="23"/>
  <c r="AT265" i="23" s="1"/>
  <c r="AD267" i="23"/>
  <c r="K267" i="23"/>
  <c r="AH267" i="23"/>
  <c r="AH241" i="23"/>
  <c r="AP261" i="23"/>
  <c r="AH261" i="23"/>
  <c r="AT261" i="23" s="1"/>
  <c r="AK278" i="23"/>
  <c r="AT278" i="23"/>
  <c r="AJ278" i="23"/>
  <c r="T271" i="23"/>
  <c r="AK275" i="23"/>
  <c r="AL279" i="23"/>
  <c r="AH271" i="23"/>
  <c r="T276" i="23"/>
  <c r="AH268" i="23"/>
  <c r="AH273" i="23"/>
  <c r="AT279" i="23"/>
  <c r="AD349" i="23"/>
  <c r="K349" i="23"/>
  <c r="J349" i="23"/>
  <c r="U349" i="23"/>
  <c r="BX349" i="23" s="1"/>
  <c r="AP350" i="23"/>
  <c r="AH350" i="23"/>
  <c r="T350" i="23"/>
  <c r="AD348" i="23"/>
  <c r="J348" i="23"/>
  <c r="U348" i="23"/>
  <c r="BX348" i="23" s="1"/>
  <c r="AP347" i="23"/>
  <c r="AP348" i="23"/>
  <c r="AH348" i="23"/>
  <c r="BM48" i="23" l="1"/>
  <c r="BM49" i="23" s="1"/>
  <c r="BM50" i="23" s="1"/>
  <c r="BM51" i="23" s="1"/>
  <c r="BM52" i="23" s="1"/>
  <c r="BM53" i="23" s="1"/>
  <c r="BM54" i="23" s="1"/>
  <c r="BM55" i="23" s="1"/>
  <c r="BM43" i="23"/>
  <c r="BM44" i="23" s="1"/>
  <c r="BM45" i="23" s="1"/>
  <c r="BM46" i="23" s="1"/>
  <c r="BM47" i="23" s="1"/>
  <c r="AJ28" i="23"/>
  <c r="AT28" i="23"/>
  <c r="AK28" i="23"/>
  <c r="U28" i="23"/>
  <c r="BX28" i="23" s="1"/>
  <c r="BM39" i="23"/>
  <c r="BM41" i="23" s="1"/>
  <c r="CD41" i="23"/>
  <c r="CE41" i="23" s="1"/>
  <c r="CF41" i="23" s="1"/>
  <c r="CE39" i="23"/>
  <c r="CF39" i="23" s="1"/>
  <c r="J28" i="23"/>
  <c r="CE37" i="23"/>
  <c r="CF37" i="23" s="1"/>
  <c r="AJ176" i="23"/>
  <c r="AJ262" i="23"/>
  <c r="AD195" i="23"/>
  <c r="AK262" i="23"/>
  <c r="AL262" i="23"/>
  <c r="AK140" i="23"/>
  <c r="AK274" i="23"/>
  <c r="AK176" i="23"/>
  <c r="AK59" i="23"/>
  <c r="AT152" i="23"/>
  <c r="AJ177" i="23"/>
  <c r="AT274" i="23"/>
  <c r="AD215" i="23"/>
  <c r="AT177" i="23"/>
  <c r="AK177" i="23"/>
  <c r="AK31" i="23"/>
  <c r="J106" i="23"/>
  <c r="J153" i="23"/>
  <c r="K173" i="23"/>
  <c r="K262" i="23"/>
  <c r="AD220" i="23"/>
  <c r="U173" i="23"/>
  <c r="BX173" i="23" s="1"/>
  <c r="J95" i="23"/>
  <c r="AK223" i="23"/>
  <c r="AJ184" i="23"/>
  <c r="AK156" i="23"/>
  <c r="AJ274" i="23"/>
  <c r="AL223" i="23"/>
  <c r="AL144" i="23"/>
  <c r="AJ156" i="23"/>
  <c r="AL140" i="23"/>
  <c r="AK144" i="23"/>
  <c r="AK152" i="23"/>
  <c r="AJ152" i="23"/>
  <c r="K112" i="23"/>
  <c r="AJ102" i="23"/>
  <c r="AD112" i="23"/>
  <c r="K76" i="23"/>
  <c r="AJ269" i="23"/>
  <c r="J173" i="23"/>
  <c r="AD76" i="23"/>
  <c r="AT144" i="23"/>
  <c r="AK269" i="23"/>
  <c r="AT140" i="23"/>
  <c r="J76" i="23"/>
  <c r="AL190" i="23"/>
  <c r="K220" i="23"/>
  <c r="AD218" i="23"/>
  <c r="AL102" i="23"/>
  <c r="AJ62" i="23"/>
  <c r="AK102" i="23"/>
  <c r="J115" i="23"/>
  <c r="J114" i="23"/>
  <c r="AD106" i="23"/>
  <c r="BM163" i="23"/>
  <c r="BM166" i="23" s="1"/>
  <c r="BM167" i="23" s="1"/>
  <c r="BM168" i="23" s="1"/>
  <c r="BM169" i="23" s="1"/>
  <c r="BM170" i="23" s="1"/>
  <c r="BM171" i="23" s="1"/>
  <c r="BM172" i="23" s="1"/>
  <c r="BM173" i="23" s="1"/>
  <c r="BM174" i="23" s="1"/>
  <c r="BM175" i="23" s="1"/>
  <c r="BM176" i="23" s="1"/>
  <c r="BM177" i="23" s="1"/>
  <c r="BM178" i="23" s="1"/>
  <c r="BM179" i="23" s="1"/>
  <c r="BM180" i="23" s="1"/>
  <c r="BM181" i="23" s="1"/>
  <c r="BM182" i="23" s="1"/>
  <c r="BM183" i="23" s="1"/>
  <c r="BM184" i="23" s="1"/>
  <c r="BM185" i="23" s="1"/>
  <c r="BM186" i="23" s="1"/>
  <c r="BM187" i="23" s="1"/>
  <c r="BM188" i="23" s="1"/>
  <c r="BM189" i="23" s="1"/>
  <c r="BM190" i="23" s="1"/>
  <c r="BM191" i="23" s="1"/>
  <c r="BM192" i="23" s="1"/>
  <c r="BM193" i="23" s="1"/>
  <c r="BM194" i="23" s="1"/>
  <c r="BM195" i="23" s="1"/>
  <c r="BM196" i="23" s="1"/>
  <c r="BM197" i="23" s="1"/>
  <c r="BM198" i="23" s="1"/>
  <c r="BM199" i="23" s="1"/>
  <c r="BM200" i="23" s="1"/>
  <c r="BM201" i="23" s="1"/>
  <c r="BM202" i="23" s="1"/>
  <c r="BM203" i="23" s="1"/>
  <c r="BM204" i="23" s="1"/>
  <c r="BM205" i="23" s="1"/>
  <c r="BM165" i="23"/>
  <c r="U88" i="23"/>
  <c r="BX88" i="23" s="1"/>
  <c r="J88" i="23"/>
  <c r="U153" i="23"/>
  <c r="BX153" i="23" s="1"/>
  <c r="AL153" i="23"/>
  <c r="AD88" i="23"/>
  <c r="U204" i="23"/>
  <c r="BX204" i="23" s="1"/>
  <c r="AD153" i="23"/>
  <c r="J204" i="23"/>
  <c r="K204" i="23"/>
  <c r="AK153" i="23"/>
  <c r="AT218" i="23"/>
  <c r="J242" i="23"/>
  <c r="AD224" i="23"/>
  <c r="U221" i="23"/>
  <c r="BX221" i="23" s="1"/>
  <c r="K221" i="23"/>
  <c r="AL104" i="23"/>
  <c r="AJ73" i="23"/>
  <c r="K242" i="23"/>
  <c r="CD40" i="23"/>
  <c r="CE38" i="23"/>
  <c r="CF38" i="23" s="1"/>
  <c r="AD242" i="23"/>
  <c r="U195" i="23"/>
  <c r="BX195" i="23" s="1"/>
  <c r="J195" i="23"/>
  <c r="AJ104" i="23"/>
  <c r="AK104" i="23"/>
  <c r="U224" i="23"/>
  <c r="BX224" i="23" s="1"/>
  <c r="K90" i="23"/>
  <c r="K186" i="23"/>
  <c r="U106" i="23"/>
  <c r="BX106" i="23" s="1"/>
  <c r="AL224" i="23"/>
  <c r="J224" i="23"/>
  <c r="AD186" i="23"/>
  <c r="AJ224" i="23"/>
  <c r="J239" i="23"/>
  <c r="AD239" i="23"/>
  <c r="AK178" i="23"/>
  <c r="AD114" i="23"/>
  <c r="K114" i="23"/>
  <c r="AK42" i="23"/>
  <c r="AJ246" i="23"/>
  <c r="AL215" i="23"/>
  <c r="AL246" i="23"/>
  <c r="AK73" i="23"/>
  <c r="AT73" i="23"/>
  <c r="J233" i="23"/>
  <c r="AT234" i="23"/>
  <c r="AT246" i="23"/>
  <c r="U220" i="23"/>
  <c r="BX220" i="23" s="1"/>
  <c r="AT198" i="23"/>
  <c r="AK71" i="23"/>
  <c r="AJ71" i="23"/>
  <c r="AJ198" i="23"/>
  <c r="AK198" i="23"/>
  <c r="AJ218" i="23"/>
  <c r="K239" i="23"/>
  <c r="AT223" i="23"/>
  <c r="AK218" i="23"/>
  <c r="U186" i="23"/>
  <c r="BX186" i="23" s="1"/>
  <c r="AD243" i="23"/>
  <c r="K107" i="23"/>
  <c r="K194" i="23"/>
  <c r="U100" i="23"/>
  <c r="BX100" i="23" s="1"/>
  <c r="K101" i="23"/>
  <c r="K202" i="23"/>
  <c r="K115" i="23"/>
  <c r="U197" i="23"/>
  <c r="BX197" i="23" s="1"/>
  <c r="AT148" i="23"/>
  <c r="AJ141" i="23"/>
  <c r="AT203" i="23"/>
  <c r="AK141" i="23"/>
  <c r="AL97" i="23"/>
  <c r="AD202" i="23"/>
  <c r="AT141" i="23"/>
  <c r="AD110" i="23"/>
  <c r="AJ203" i="23"/>
  <c r="U202" i="23"/>
  <c r="BX202" i="23" s="1"/>
  <c r="U110" i="23"/>
  <c r="BX110" i="23" s="1"/>
  <c r="AD115" i="23"/>
  <c r="AT42" i="23"/>
  <c r="AK203" i="23"/>
  <c r="AJ37" i="23"/>
  <c r="AK36" i="23"/>
  <c r="AJ31" i="23"/>
  <c r="AK66" i="23"/>
  <c r="AL66" i="23"/>
  <c r="AM233" i="23"/>
  <c r="AN233" i="23" s="1"/>
  <c r="AO233" i="23" s="1"/>
  <c r="AU233" i="23" s="1"/>
  <c r="K134" i="23"/>
  <c r="AT123" i="23"/>
  <c r="J134" i="23"/>
  <c r="AK123" i="23"/>
  <c r="AL188" i="23"/>
  <c r="AJ97" i="23"/>
  <c r="AL123" i="23"/>
  <c r="AK97" i="23"/>
  <c r="AT235" i="23"/>
  <c r="AJ235" i="23"/>
  <c r="AK235" i="23"/>
  <c r="AT31" i="23"/>
  <c r="U134" i="23"/>
  <c r="BX134" i="23" s="1"/>
  <c r="AT175" i="23"/>
  <c r="AD90" i="23"/>
  <c r="U90" i="23"/>
  <c r="BX90" i="23" s="1"/>
  <c r="J65" i="23"/>
  <c r="AJ216" i="23"/>
  <c r="K175" i="23"/>
  <c r="K223" i="23"/>
  <c r="AK216" i="23"/>
  <c r="AJ40" i="23"/>
  <c r="AJ66" i="23"/>
  <c r="AJ173" i="23"/>
  <c r="AL216" i="23"/>
  <c r="K65" i="23"/>
  <c r="U65" i="23"/>
  <c r="BX65" i="23" s="1"/>
  <c r="AT40" i="23"/>
  <c r="AK40" i="23"/>
  <c r="AK175" i="23"/>
  <c r="J144" i="23"/>
  <c r="AT193" i="23"/>
  <c r="AD269" i="23"/>
  <c r="U269" i="23"/>
  <c r="BX269" i="23" s="1"/>
  <c r="AJ259" i="23"/>
  <c r="AJ32" i="23"/>
  <c r="AT259" i="23"/>
  <c r="J177" i="23"/>
  <c r="AK32" i="23"/>
  <c r="AJ38" i="23"/>
  <c r="AK259" i="23"/>
  <c r="AJ175" i="23"/>
  <c r="AJ36" i="23"/>
  <c r="K269" i="23"/>
  <c r="AK38" i="23"/>
  <c r="AD211" i="23"/>
  <c r="AD140" i="23"/>
  <c r="AJ180" i="23"/>
  <c r="AJ90" i="23"/>
  <c r="AT184" i="23"/>
  <c r="AD232" i="23"/>
  <c r="AL260" i="23"/>
  <c r="AK243" i="23"/>
  <c r="J232" i="23"/>
  <c r="AT349" i="23"/>
  <c r="AJ349" i="23"/>
  <c r="AK260" i="23"/>
  <c r="U167" i="23"/>
  <c r="BX167" i="23" s="1"/>
  <c r="AK51" i="23"/>
  <c r="K232" i="23"/>
  <c r="AK184" i="23"/>
  <c r="AL349" i="23"/>
  <c r="J133" i="23"/>
  <c r="K105" i="23"/>
  <c r="AK49" i="23"/>
  <c r="AK180" i="23"/>
  <c r="AM101" i="23"/>
  <c r="AN101" i="23" s="1"/>
  <c r="AO101" i="23" s="1"/>
  <c r="AU101" i="23" s="1"/>
  <c r="AD105" i="23"/>
  <c r="AJ174" i="23"/>
  <c r="AD268" i="23"/>
  <c r="AK150" i="23"/>
  <c r="K103" i="23"/>
  <c r="AT174" i="23"/>
  <c r="AT150" i="23"/>
  <c r="AK174" i="23"/>
  <c r="U181" i="23"/>
  <c r="BX181" i="23" s="1"/>
  <c r="AM208" i="23"/>
  <c r="AN208" i="23" s="1"/>
  <c r="AO208" i="23" s="1"/>
  <c r="AU208" i="23" s="1"/>
  <c r="J123" i="23"/>
  <c r="J181" i="23"/>
  <c r="AJ244" i="23"/>
  <c r="J142" i="23"/>
  <c r="K181" i="23"/>
  <c r="U105" i="23"/>
  <c r="BX105" i="23" s="1"/>
  <c r="AJ150" i="23"/>
  <c r="U63" i="23"/>
  <c r="BX63" i="23" s="1"/>
  <c r="J69" i="23"/>
  <c r="AT181" i="23"/>
  <c r="J148" i="23"/>
  <c r="AD103" i="23"/>
  <c r="AT224" i="23"/>
  <c r="U216" i="23"/>
  <c r="BX216" i="23" s="1"/>
  <c r="AK181" i="23"/>
  <c r="U144" i="23"/>
  <c r="BX144" i="23" s="1"/>
  <c r="AL106" i="23"/>
  <c r="J110" i="23"/>
  <c r="J215" i="23"/>
  <c r="AK220" i="23"/>
  <c r="AK221" i="23"/>
  <c r="U215" i="23"/>
  <c r="BX215" i="23" s="1"/>
  <c r="AT167" i="23"/>
  <c r="AJ167" i="23"/>
  <c r="AD144" i="23"/>
  <c r="U69" i="23"/>
  <c r="BX69" i="23" s="1"/>
  <c r="AM76" i="23"/>
  <c r="AN76" i="23" s="1"/>
  <c r="AO76" i="23" s="1"/>
  <c r="AU76" i="23" s="1"/>
  <c r="K197" i="23"/>
  <c r="AM275" i="23"/>
  <c r="AN275" i="23" s="1"/>
  <c r="AO275" i="23" s="1"/>
  <c r="AU275" i="23" s="1"/>
  <c r="AL221" i="23"/>
  <c r="AJ221" i="23"/>
  <c r="AK167" i="23"/>
  <c r="U179" i="23"/>
  <c r="BX179" i="23" s="1"/>
  <c r="AT156" i="23"/>
  <c r="AK234" i="23"/>
  <c r="J179" i="23"/>
  <c r="AJ106" i="23"/>
  <c r="AT106" i="23"/>
  <c r="AL239" i="23"/>
  <c r="AJ181" i="23"/>
  <c r="AL234" i="23"/>
  <c r="K179" i="23"/>
  <c r="AK50" i="23"/>
  <c r="U103" i="23"/>
  <c r="BX103" i="23" s="1"/>
  <c r="AD197" i="23"/>
  <c r="AD69" i="23"/>
  <c r="AJ220" i="23"/>
  <c r="AT179" i="23"/>
  <c r="AK347" i="23"/>
  <c r="J210" i="23"/>
  <c r="AJ57" i="23"/>
  <c r="AD174" i="23"/>
  <c r="AK179" i="23"/>
  <c r="AJ178" i="23"/>
  <c r="AD123" i="23"/>
  <c r="AJ190" i="23"/>
  <c r="U174" i="23"/>
  <c r="BX174" i="23" s="1"/>
  <c r="AJ67" i="23"/>
  <c r="AD210" i="23"/>
  <c r="AJ63" i="23"/>
  <c r="K228" i="23"/>
  <c r="AT190" i="23"/>
  <c r="U123" i="23"/>
  <c r="BX123" i="23" s="1"/>
  <c r="J174" i="23"/>
  <c r="AT60" i="23"/>
  <c r="AT244" i="23"/>
  <c r="AJ215" i="23"/>
  <c r="AT176" i="23"/>
  <c r="AL67" i="23"/>
  <c r="AT49" i="23"/>
  <c r="AK60" i="23"/>
  <c r="AT37" i="23"/>
  <c r="AJ60" i="23"/>
  <c r="AJ239" i="23"/>
  <c r="AT67" i="23"/>
  <c r="AM112" i="23"/>
  <c r="AN112" i="23" s="1"/>
  <c r="AO112" i="23" s="1"/>
  <c r="AU112" i="23" s="1"/>
  <c r="AK37" i="23"/>
  <c r="AL63" i="23"/>
  <c r="AT57" i="23"/>
  <c r="U262" i="23"/>
  <c r="BX262" i="23" s="1"/>
  <c r="U274" i="23"/>
  <c r="BX274" i="23" s="1"/>
  <c r="AL244" i="23"/>
  <c r="AD221" i="23"/>
  <c r="AM253" i="23"/>
  <c r="AN253" i="23" s="1"/>
  <c r="AO253" i="23" s="1"/>
  <c r="AU253" i="23" s="1"/>
  <c r="AJ179" i="23"/>
  <c r="AM279" i="23"/>
  <c r="AN279" i="23" s="1"/>
  <c r="AO279" i="23" s="1"/>
  <c r="AU279" i="23" s="1"/>
  <c r="AK57" i="23"/>
  <c r="K274" i="23"/>
  <c r="AK215" i="23"/>
  <c r="AJ42" i="23"/>
  <c r="AJ50" i="23"/>
  <c r="AT75" i="23"/>
  <c r="J262" i="23"/>
  <c r="AD274" i="23"/>
  <c r="J112" i="23"/>
  <c r="AJ193" i="23"/>
  <c r="AT153" i="23"/>
  <c r="U60" i="23"/>
  <c r="BX60" i="23" s="1"/>
  <c r="AJ245" i="23"/>
  <c r="K177" i="23"/>
  <c r="AK245" i="23"/>
  <c r="J152" i="23"/>
  <c r="AD177" i="23"/>
  <c r="AT50" i="23"/>
  <c r="AT32" i="23"/>
  <c r="AJ48" i="23"/>
  <c r="AK193" i="23"/>
  <c r="AK63" i="23"/>
  <c r="AT220" i="23"/>
  <c r="AT38" i="23"/>
  <c r="K233" i="23"/>
  <c r="AD233" i="23"/>
  <c r="AD228" i="23"/>
  <c r="AL148" i="23"/>
  <c r="U243" i="23"/>
  <c r="BX243" i="23" s="1"/>
  <c r="J60" i="23"/>
  <c r="AJ51" i="23"/>
  <c r="AJ148" i="23"/>
  <c r="AT48" i="23"/>
  <c r="AT29" i="23"/>
  <c r="U72" i="23"/>
  <c r="BX72" i="23" s="1"/>
  <c r="AD63" i="23"/>
  <c r="K193" i="23"/>
  <c r="AK239" i="23"/>
  <c r="AJ49" i="23"/>
  <c r="AT51" i="23"/>
  <c r="AT36" i="23"/>
  <c r="AM214" i="23"/>
  <c r="AN214" i="23" s="1"/>
  <c r="AO214" i="23" s="1"/>
  <c r="AU214" i="23" s="1"/>
  <c r="U194" i="23"/>
  <c r="BX194" i="23" s="1"/>
  <c r="AJ77" i="23"/>
  <c r="AK48" i="23"/>
  <c r="AK29" i="23"/>
  <c r="U210" i="23"/>
  <c r="BX210" i="23" s="1"/>
  <c r="U152" i="23"/>
  <c r="BX152" i="23" s="1"/>
  <c r="AM257" i="23"/>
  <c r="AN257" i="23" s="1"/>
  <c r="AO257" i="23" s="1"/>
  <c r="AU257" i="23" s="1"/>
  <c r="AL245" i="23"/>
  <c r="AD152" i="23"/>
  <c r="J194" i="23"/>
  <c r="AL77" i="23"/>
  <c r="AJ29" i="23"/>
  <c r="J63" i="23"/>
  <c r="AM247" i="23"/>
  <c r="AN247" i="23" s="1"/>
  <c r="AO247" i="23" s="1"/>
  <c r="AU247" i="23" s="1"/>
  <c r="K243" i="23"/>
  <c r="U228" i="23"/>
  <c r="BX228" i="23" s="1"/>
  <c r="AK75" i="23"/>
  <c r="AJ75" i="23"/>
  <c r="AT260" i="23"/>
  <c r="AL70" i="23"/>
  <c r="AT178" i="23"/>
  <c r="AT71" i="23"/>
  <c r="U279" i="23"/>
  <c r="BX279" i="23" s="1"/>
  <c r="J279" i="23"/>
  <c r="AD279" i="23"/>
  <c r="AM166" i="23"/>
  <c r="AN166" i="23" s="1"/>
  <c r="AO166" i="23" s="1"/>
  <c r="AU166" i="23" s="1"/>
  <c r="U140" i="23"/>
  <c r="BX140" i="23" s="1"/>
  <c r="AK147" i="23"/>
  <c r="AT243" i="23"/>
  <c r="AD193" i="23"/>
  <c r="U193" i="23"/>
  <c r="BX193" i="23" s="1"/>
  <c r="AD148" i="23"/>
  <c r="K148" i="23"/>
  <c r="J218" i="23"/>
  <c r="U218" i="23"/>
  <c r="BX218" i="23" s="1"/>
  <c r="AL243" i="23"/>
  <c r="AT70" i="23"/>
  <c r="AT347" i="23"/>
  <c r="AJ347" i="23"/>
  <c r="AD142" i="23"/>
  <c r="K142" i="23"/>
  <c r="AL90" i="23"/>
  <c r="AK70" i="23"/>
  <c r="AL103" i="23"/>
  <c r="AT147" i="23"/>
  <c r="K133" i="23"/>
  <c r="U133" i="23"/>
  <c r="BX133" i="23" s="1"/>
  <c r="AT173" i="23"/>
  <c r="AK173" i="23"/>
  <c r="AJ147" i="23"/>
  <c r="AT105" i="23"/>
  <c r="AJ105" i="23"/>
  <c r="AM88" i="23"/>
  <c r="AN88" i="23" s="1"/>
  <c r="AO88" i="23" s="1"/>
  <c r="AU88" i="23" s="1"/>
  <c r="AK90" i="23"/>
  <c r="AL230" i="23"/>
  <c r="AK230" i="23"/>
  <c r="AJ230" i="23"/>
  <c r="AM248" i="23"/>
  <c r="AN248" i="23" s="1"/>
  <c r="AO248" i="23" s="1"/>
  <c r="AU248" i="23" s="1"/>
  <c r="AK105" i="23"/>
  <c r="AJ103" i="23"/>
  <c r="AJ188" i="23"/>
  <c r="K104" i="23"/>
  <c r="AD104" i="23"/>
  <c r="U104" i="23"/>
  <c r="BX104" i="23" s="1"/>
  <c r="AJ213" i="23"/>
  <c r="AL213" i="23"/>
  <c r="AK213" i="23"/>
  <c r="J209" i="23"/>
  <c r="U209" i="23"/>
  <c r="BX209" i="23" s="1"/>
  <c r="K209" i="23"/>
  <c r="J140" i="23"/>
  <c r="AK103" i="23"/>
  <c r="AM210" i="23"/>
  <c r="AN210" i="23" s="1"/>
  <c r="AO210" i="23" s="1"/>
  <c r="AU210" i="23" s="1"/>
  <c r="AK188" i="23"/>
  <c r="AM185" i="23"/>
  <c r="AN185" i="23" s="1"/>
  <c r="AO185" i="23" s="1"/>
  <c r="AU185" i="23" s="1"/>
  <c r="AM240" i="23"/>
  <c r="AN240" i="23" s="1"/>
  <c r="AO240" i="23" s="1"/>
  <c r="AU240" i="23" s="1"/>
  <c r="J213" i="23"/>
  <c r="U213" i="23"/>
  <c r="BX213" i="23" s="1"/>
  <c r="K213" i="23"/>
  <c r="AD166" i="23"/>
  <c r="U166" i="23"/>
  <c r="BX166" i="23" s="1"/>
  <c r="AD77" i="23"/>
  <c r="K77" i="23"/>
  <c r="J77" i="23"/>
  <c r="U77" i="23"/>
  <c r="BX77" i="23" s="1"/>
  <c r="U188" i="23"/>
  <c r="BX188" i="23" s="1"/>
  <c r="AD188" i="23"/>
  <c r="K188" i="23"/>
  <c r="J188" i="23"/>
  <c r="AD273" i="23"/>
  <c r="AM250" i="23"/>
  <c r="AN250" i="23" s="1"/>
  <c r="AO250" i="23" s="1"/>
  <c r="AU250" i="23" s="1"/>
  <c r="AD175" i="23"/>
  <c r="J167" i="23"/>
  <c r="J72" i="23"/>
  <c r="U58" i="23"/>
  <c r="BX58" i="23" s="1"/>
  <c r="AD58" i="23"/>
  <c r="J58" i="23"/>
  <c r="U56" i="23"/>
  <c r="BX56" i="23" s="1"/>
  <c r="AD56" i="23"/>
  <c r="J56" i="23"/>
  <c r="AD62" i="23"/>
  <c r="U62" i="23"/>
  <c r="BX62" i="23" s="1"/>
  <c r="J62" i="23"/>
  <c r="AD208" i="23"/>
  <c r="J208" i="23"/>
  <c r="K122" i="23"/>
  <c r="U122" i="23"/>
  <c r="BX122" i="23" s="1"/>
  <c r="U273" i="23"/>
  <c r="BX273" i="23" s="1"/>
  <c r="K167" i="23"/>
  <c r="K72" i="23"/>
  <c r="K64" i="23"/>
  <c r="AT269" i="23"/>
  <c r="AJ191" i="23"/>
  <c r="AT191" i="23"/>
  <c r="AL191" i="23"/>
  <c r="AK191" i="23"/>
  <c r="AT115" i="23"/>
  <c r="J237" i="23"/>
  <c r="U237" i="23"/>
  <c r="BX237" i="23" s="1"/>
  <c r="AD237" i="23"/>
  <c r="K237" i="23"/>
  <c r="K121" i="23"/>
  <c r="U121" i="23"/>
  <c r="BX121" i="23" s="1"/>
  <c r="AD121" i="23"/>
  <c r="U71" i="23"/>
  <c r="BX71" i="23" s="1"/>
  <c r="J71" i="23"/>
  <c r="AD71" i="23"/>
  <c r="K71" i="23"/>
  <c r="J273" i="23"/>
  <c r="J183" i="23"/>
  <c r="J64" i="23"/>
  <c r="AD245" i="23"/>
  <c r="U245" i="23"/>
  <c r="BX245" i="23" s="1"/>
  <c r="J245" i="23"/>
  <c r="AT180" i="23"/>
  <c r="AD203" i="23"/>
  <c r="K203" i="23"/>
  <c r="J203" i="23"/>
  <c r="U203" i="23"/>
  <c r="BX203" i="23" s="1"/>
  <c r="AL182" i="23"/>
  <c r="AK182" i="23"/>
  <c r="AJ182" i="23"/>
  <c r="AD199" i="23"/>
  <c r="K199" i="23"/>
  <c r="J199" i="23"/>
  <c r="U199" i="23"/>
  <c r="BX199" i="23" s="1"/>
  <c r="J50" i="23"/>
  <c r="U50" i="23"/>
  <c r="BX50" i="23" s="1"/>
  <c r="AD50" i="23"/>
  <c r="AD64" i="23"/>
  <c r="AJ199" i="23"/>
  <c r="AL199" i="23"/>
  <c r="AK199" i="23"/>
  <c r="AT199" i="23"/>
  <c r="AD95" i="23"/>
  <c r="U95" i="23"/>
  <c r="BX95" i="23" s="1"/>
  <c r="U223" i="23"/>
  <c r="BX223" i="23" s="1"/>
  <c r="J223" i="23"/>
  <c r="J149" i="23"/>
  <c r="K149" i="23"/>
  <c r="U149" i="23"/>
  <c r="BX149" i="23" s="1"/>
  <c r="AL237" i="23"/>
  <c r="AK237" i="23"/>
  <c r="AJ237" i="23"/>
  <c r="J48" i="23"/>
  <c r="U48" i="23"/>
  <c r="BX48" i="23" s="1"/>
  <c r="AD48" i="23"/>
  <c r="AK62" i="23"/>
  <c r="K240" i="23"/>
  <c r="AD240" i="23"/>
  <c r="J240" i="23"/>
  <c r="U240" i="23"/>
  <c r="BX240" i="23" s="1"/>
  <c r="AD107" i="23"/>
  <c r="U107" i="23"/>
  <c r="BX107" i="23" s="1"/>
  <c r="AL186" i="23"/>
  <c r="AK186" i="23"/>
  <c r="AJ186" i="23"/>
  <c r="K73" i="23"/>
  <c r="J73" i="23"/>
  <c r="U73" i="23"/>
  <c r="BX73" i="23" s="1"/>
  <c r="AD216" i="23"/>
  <c r="J216" i="23"/>
  <c r="U40" i="23"/>
  <c r="BX40" i="23" s="1"/>
  <c r="AD40" i="23"/>
  <c r="J40" i="23"/>
  <c r="AK69" i="23"/>
  <c r="AT69" i="23"/>
  <c r="AJ69" i="23"/>
  <c r="AJ115" i="23"/>
  <c r="K208" i="23"/>
  <c r="AM232" i="23"/>
  <c r="AN232" i="23" s="1"/>
  <c r="AO232" i="23" s="1"/>
  <c r="AU232" i="23" s="1"/>
  <c r="AK115" i="23"/>
  <c r="U183" i="23"/>
  <c r="BX183" i="23" s="1"/>
  <c r="AD183" i="23"/>
  <c r="J122" i="23"/>
  <c r="U175" i="23"/>
  <c r="BX175" i="23" s="1"/>
  <c r="AM116" i="23"/>
  <c r="AN116" i="23" s="1"/>
  <c r="AO116" i="23" s="1"/>
  <c r="AU116" i="23" s="1"/>
  <c r="AM72" i="23"/>
  <c r="AN72" i="23" s="1"/>
  <c r="AO72" i="23" s="1"/>
  <c r="AU72" i="23" s="1"/>
  <c r="U278" i="23"/>
  <c r="BX278" i="23" s="1"/>
  <c r="AD278" i="23"/>
  <c r="K278" i="23"/>
  <c r="J278" i="23"/>
  <c r="AD184" i="23"/>
  <c r="K184" i="23"/>
  <c r="J184" i="23"/>
  <c r="U184" i="23"/>
  <c r="BX184" i="23" s="1"/>
  <c r="U37" i="23"/>
  <c r="BX37" i="23" s="1"/>
  <c r="AD37" i="23"/>
  <c r="J37" i="23"/>
  <c r="U268" i="23"/>
  <c r="BX268" i="23" s="1"/>
  <c r="K268" i="23"/>
  <c r="J135" i="23"/>
  <c r="U135" i="23"/>
  <c r="BX135" i="23" s="1"/>
  <c r="AD135" i="23"/>
  <c r="K135" i="23"/>
  <c r="J29" i="23"/>
  <c r="U29" i="23"/>
  <c r="BX29" i="23" s="1"/>
  <c r="AD29" i="23"/>
  <c r="K166" i="23"/>
  <c r="J166" i="23"/>
  <c r="AD122" i="23"/>
  <c r="AT62" i="23"/>
  <c r="AM74" i="23"/>
  <c r="AN74" i="23" s="1"/>
  <c r="AO74" i="23" s="1"/>
  <c r="AU74" i="23" s="1"/>
  <c r="K275" i="23"/>
  <c r="AD275" i="23"/>
  <c r="J275" i="23"/>
  <c r="AJ222" i="23"/>
  <c r="AL222" i="23"/>
  <c r="AK222" i="23"/>
  <c r="AD101" i="23"/>
  <c r="U101" i="23"/>
  <c r="BX101" i="23" s="1"/>
  <c r="AD214" i="23"/>
  <c r="U214" i="23"/>
  <c r="BX214" i="23" s="1"/>
  <c r="K214" i="23"/>
  <c r="J214" i="23"/>
  <c r="J211" i="23"/>
  <c r="K211" i="23"/>
  <c r="J137" i="23"/>
  <c r="K137" i="23"/>
  <c r="U137" i="23"/>
  <c r="BX137" i="23" s="1"/>
  <c r="AD137" i="23"/>
  <c r="J100" i="23"/>
  <c r="K100" i="23"/>
  <c r="AT77" i="23"/>
  <c r="U32" i="23"/>
  <c r="BX32" i="23" s="1"/>
  <c r="AD32" i="23"/>
  <c r="J32" i="23"/>
  <c r="AL59" i="23"/>
  <c r="AJ59" i="23"/>
  <c r="AL122" i="23"/>
  <c r="AK122" i="23"/>
  <c r="AJ122" i="23"/>
  <c r="AT122" i="23"/>
  <c r="U198" i="23"/>
  <c r="BX198" i="23" s="1"/>
  <c r="AD198" i="23"/>
  <c r="K198" i="23"/>
  <c r="J198" i="23"/>
  <c r="J350" i="23"/>
  <c r="U350" i="23"/>
  <c r="BX350" i="23" s="1"/>
  <c r="AD350" i="23"/>
  <c r="K350" i="23"/>
  <c r="U264" i="23"/>
  <c r="BX264" i="23" s="1"/>
  <c r="K264" i="23"/>
  <c r="J264" i="23"/>
  <c r="AD264" i="23"/>
  <c r="AT146" i="23"/>
  <c r="AK146" i="23"/>
  <c r="AJ146" i="23"/>
  <c r="AL146" i="23"/>
  <c r="AL145" i="23"/>
  <c r="AK145" i="23"/>
  <c r="AJ145" i="23"/>
  <c r="AT145" i="23"/>
  <c r="AL99" i="23"/>
  <c r="AK99" i="23"/>
  <c r="AJ99" i="23"/>
  <c r="AT99" i="23"/>
  <c r="K146" i="23"/>
  <c r="J146" i="23"/>
  <c r="U146" i="23"/>
  <c r="BX146" i="23" s="1"/>
  <c r="AD146" i="23"/>
  <c r="AL242" i="23"/>
  <c r="AT242" i="23"/>
  <c r="AK242" i="23"/>
  <c r="AJ242" i="23"/>
  <c r="U163" i="23"/>
  <c r="BX163" i="23" s="1"/>
  <c r="AD163" i="23"/>
  <c r="K163" i="23"/>
  <c r="J163" i="23"/>
  <c r="AJ350" i="23"/>
  <c r="AK350" i="23"/>
  <c r="AL350" i="23"/>
  <c r="AT350" i="23"/>
  <c r="AD212" i="23"/>
  <c r="K212" i="23"/>
  <c r="J212" i="23"/>
  <c r="U212" i="23"/>
  <c r="BX212" i="23" s="1"/>
  <c r="AT98" i="23"/>
  <c r="AK98" i="23"/>
  <c r="AJ98" i="23"/>
  <c r="AL98" i="23"/>
  <c r="U136" i="23"/>
  <c r="BX136" i="23" s="1"/>
  <c r="AD136" i="23"/>
  <c r="K136" i="23"/>
  <c r="J136" i="23"/>
  <c r="U138" i="23"/>
  <c r="BX138" i="23" s="1"/>
  <c r="AD138" i="23"/>
  <c r="K138" i="23"/>
  <c r="J138" i="23"/>
  <c r="AJ268" i="23"/>
  <c r="AL268" i="23"/>
  <c r="AK268" i="23"/>
  <c r="AT268" i="23"/>
  <c r="AL236" i="23"/>
  <c r="AK236" i="23"/>
  <c r="AJ236" i="23"/>
  <c r="AJ135" i="23"/>
  <c r="AL135" i="23"/>
  <c r="AK135" i="23"/>
  <c r="AT135" i="23"/>
  <c r="AT200" i="23"/>
  <c r="AK200" i="23"/>
  <c r="AJ200" i="23"/>
  <c r="AL200" i="23"/>
  <c r="AT96" i="23"/>
  <c r="AK96" i="23"/>
  <c r="AJ96" i="23"/>
  <c r="AL96" i="23"/>
  <c r="J255" i="23"/>
  <c r="U255" i="23"/>
  <c r="BX255" i="23" s="1"/>
  <c r="AD255" i="23"/>
  <c r="K255" i="23"/>
  <c r="U250" i="23"/>
  <c r="BX250" i="23" s="1"/>
  <c r="J250" i="23"/>
  <c r="AD250" i="23"/>
  <c r="K250" i="23"/>
  <c r="AL226" i="23"/>
  <c r="AT226" i="23"/>
  <c r="AK226" i="23"/>
  <c r="AJ226" i="23"/>
  <c r="AL238" i="23"/>
  <c r="AK238" i="23"/>
  <c r="AJ238" i="23"/>
  <c r="AT238" i="23"/>
  <c r="U263" i="23"/>
  <c r="BX263" i="23" s="1"/>
  <c r="AD263" i="23"/>
  <c r="K263" i="23"/>
  <c r="J263" i="23"/>
  <c r="AJ133" i="23"/>
  <c r="AL133" i="23"/>
  <c r="AK133" i="23"/>
  <c r="AT133" i="23"/>
  <c r="AL348" i="23"/>
  <c r="AJ348" i="23"/>
  <c r="AK348" i="23"/>
  <c r="AT348" i="23"/>
  <c r="J249" i="23"/>
  <c r="U249" i="23"/>
  <c r="BX249" i="23" s="1"/>
  <c r="AD249" i="23"/>
  <c r="K249" i="23"/>
  <c r="AJ263" i="23"/>
  <c r="AL263" i="23"/>
  <c r="AK263" i="23"/>
  <c r="AT263" i="23"/>
  <c r="AL117" i="23"/>
  <c r="AK117" i="23"/>
  <c r="AT117" i="23"/>
  <c r="AJ117" i="23"/>
  <c r="AL120" i="23"/>
  <c r="AK120" i="23"/>
  <c r="AJ120" i="23"/>
  <c r="AL228" i="23"/>
  <c r="AK228" i="23"/>
  <c r="AJ228" i="23"/>
  <c r="AT228" i="23"/>
  <c r="AL272" i="23"/>
  <c r="AK272" i="23"/>
  <c r="AJ272" i="23"/>
  <c r="AM251" i="23"/>
  <c r="AN251" i="23" s="1"/>
  <c r="AO251" i="23" s="1"/>
  <c r="AU251" i="23" s="1"/>
  <c r="J229" i="23"/>
  <c r="AD229" i="23"/>
  <c r="U229" i="23"/>
  <c r="BX229" i="23" s="1"/>
  <c r="K229" i="23"/>
  <c r="AM256" i="23"/>
  <c r="AN256" i="23" s="1"/>
  <c r="AO256" i="23" s="1"/>
  <c r="AU256" i="23" s="1"/>
  <c r="AD205" i="23"/>
  <c r="K205" i="23"/>
  <c r="J205" i="23"/>
  <c r="U205" i="23"/>
  <c r="BX205" i="23" s="1"/>
  <c r="AM255" i="23"/>
  <c r="AN255" i="23" s="1"/>
  <c r="AO255" i="23" s="1"/>
  <c r="AU255" i="23" s="1"/>
  <c r="AD219" i="23"/>
  <c r="U219" i="23"/>
  <c r="BX219" i="23" s="1"/>
  <c r="K219" i="23"/>
  <c r="J219" i="23"/>
  <c r="AT143" i="23"/>
  <c r="AK143" i="23"/>
  <c r="AJ143" i="23"/>
  <c r="AL143" i="23"/>
  <c r="K200" i="23"/>
  <c r="J200" i="23"/>
  <c r="AD200" i="23"/>
  <c r="U200" i="23"/>
  <c r="BX200" i="23" s="1"/>
  <c r="AL142" i="23"/>
  <c r="AK142" i="23"/>
  <c r="AJ142" i="23"/>
  <c r="K155" i="23"/>
  <c r="J155" i="23"/>
  <c r="U155" i="23"/>
  <c r="BX155" i="23" s="1"/>
  <c r="AD155" i="23"/>
  <c r="K143" i="23"/>
  <c r="J143" i="23"/>
  <c r="U143" i="23"/>
  <c r="BX143" i="23" s="1"/>
  <c r="AD143" i="23"/>
  <c r="U145" i="23"/>
  <c r="BX145" i="23" s="1"/>
  <c r="AD145" i="23"/>
  <c r="K145" i="23"/>
  <c r="J145" i="23"/>
  <c r="AM196" i="23"/>
  <c r="AN196" i="23" s="1"/>
  <c r="AO196" i="23" s="1"/>
  <c r="AU196" i="23" s="1"/>
  <c r="AL151" i="23"/>
  <c r="AK151" i="23"/>
  <c r="AJ151" i="23"/>
  <c r="AL113" i="23"/>
  <c r="AK113" i="23"/>
  <c r="AJ113" i="23"/>
  <c r="AM187" i="23"/>
  <c r="AN187" i="23" s="1"/>
  <c r="AO187" i="23" s="1"/>
  <c r="AU187" i="23" s="1"/>
  <c r="AL118" i="23"/>
  <c r="AK118" i="23"/>
  <c r="AJ118" i="23"/>
  <c r="U99" i="23"/>
  <c r="BX99" i="23" s="1"/>
  <c r="AD99" i="23"/>
  <c r="K99" i="23"/>
  <c r="J99" i="23"/>
  <c r="AM114" i="23"/>
  <c r="AN114" i="23" s="1"/>
  <c r="AO114" i="23" s="1"/>
  <c r="AU114" i="23" s="1"/>
  <c r="AL87" i="23"/>
  <c r="AJ87" i="23"/>
  <c r="AK87" i="23"/>
  <c r="AT87" i="23"/>
  <c r="K93" i="23"/>
  <c r="J93" i="23"/>
  <c r="U93" i="23"/>
  <c r="BX93" i="23" s="1"/>
  <c r="AD93" i="23"/>
  <c r="AD120" i="23"/>
  <c r="U120" i="23"/>
  <c r="BX120" i="23" s="1"/>
  <c r="K120" i="23"/>
  <c r="J120" i="23"/>
  <c r="AL65" i="23"/>
  <c r="AT65" i="23"/>
  <c r="AK65" i="23"/>
  <c r="AJ65" i="23"/>
  <c r="AM64" i="23"/>
  <c r="AN64" i="23" s="1"/>
  <c r="AO64" i="23" s="1"/>
  <c r="AU64" i="23" s="1"/>
  <c r="U254" i="23"/>
  <c r="BX254" i="23" s="1"/>
  <c r="J254" i="23"/>
  <c r="AD254" i="23"/>
  <c r="K254" i="23"/>
  <c r="U276" i="23"/>
  <c r="BX276" i="23" s="1"/>
  <c r="K276" i="23"/>
  <c r="J276" i="23"/>
  <c r="AD276" i="23"/>
  <c r="AM254" i="23"/>
  <c r="AN254" i="23" s="1"/>
  <c r="AO254" i="23" s="1"/>
  <c r="AU254" i="23" s="1"/>
  <c r="AJ93" i="23"/>
  <c r="AL93" i="23"/>
  <c r="AK93" i="23"/>
  <c r="AT93" i="23"/>
  <c r="J61" i="23"/>
  <c r="U61" i="23"/>
  <c r="K61" i="23"/>
  <c r="AD61" i="23"/>
  <c r="AL261" i="23"/>
  <c r="AK261" i="23"/>
  <c r="AJ261" i="23"/>
  <c r="AM276" i="23"/>
  <c r="AN276" i="23" s="1"/>
  <c r="AO276" i="23" s="1"/>
  <c r="AU276" i="23" s="1"/>
  <c r="J253" i="23"/>
  <c r="U253" i="23"/>
  <c r="BX253" i="23" s="1"/>
  <c r="AD253" i="23"/>
  <c r="K253" i="23"/>
  <c r="U248" i="23"/>
  <c r="BX248" i="23" s="1"/>
  <c r="J248" i="23"/>
  <c r="AD248" i="23"/>
  <c r="K248" i="23"/>
  <c r="AM249" i="23"/>
  <c r="AN249" i="23" s="1"/>
  <c r="AO249" i="23" s="1"/>
  <c r="AU249" i="23" s="1"/>
  <c r="AL229" i="23"/>
  <c r="AK229" i="23"/>
  <c r="AJ229" i="23"/>
  <c r="AL204" i="23"/>
  <c r="AK204" i="23"/>
  <c r="AT204" i="23"/>
  <c r="AJ204" i="23"/>
  <c r="AM258" i="23"/>
  <c r="AN258" i="23" s="1"/>
  <c r="AO258" i="23" s="1"/>
  <c r="AU258" i="23" s="1"/>
  <c r="J270" i="23"/>
  <c r="U270" i="23"/>
  <c r="BX270" i="23" s="1"/>
  <c r="AD270" i="23"/>
  <c r="K270" i="23"/>
  <c r="AL121" i="23"/>
  <c r="AK121" i="23"/>
  <c r="AJ121" i="23"/>
  <c r="AT121" i="23"/>
  <c r="AT142" i="23"/>
  <c r="K185" i="23"/>
  <c r="U185" i="23"/>
  <c r="BX185" i="23" s="1"/>
  <c r="AD185" i="23"/>
  <c r="J185" i="23"/>
  <c r="AM205" i="23"/>
  <c r="AN205" i="23" s="1"/>
  <c r="AO205" i="23" s="1"/>
  <c r="AU205" i="23" s="1"/>
  <c r="AL95" i="23"/>
  <c r="AK95" i="23"/>
  <c r="AJ95" i="23"/>
  <c r="K98" i="23"/>
  <c r="J98" i="23"/>
  <c r="U98" i="23"/>
  <c r="BX98" i="23" s="1"/>
  <c r="AD98" i="23"/>
  <c r="AM278" i="23"/>
  <c r="AN278" i="23" s="1"/>
  <c r="AO278" i="23" s="1"/>
  <c r="AU278" i="23" s="1"/>
  <c r="AT272" i="23"/>
  <c r="U258" i="23"/>
  <c r="BX258" i="23" s="1"/>
  <c r="J258" i="23"/>
  <c r="AD258" i="23"/>
  <c r="K258" i="23"/>
  <c r="J247" i="23"/>
  <c r="U247" i="23"/>
  <c r="BX247" i="23" s="1"/>
  <c r="AD247" i="23"/>
  <c r="K247" i="23"/>
  <c r="U272" i="23"/>
  <c r="BX272" i="23" s="1"/>
  <c r="AD272" i="23"/>
  <c r="J272" i="23"/>
  <c r="K272" i="23"/>
  <c r="AL202" i="23"/>
  <c r="AK202" i="23"/>
  <c r="AJ202" i="23"/>
  <c r="AL270" i="23"/>
  <c r="AJ270" i="23"/>
  <c r="AK270" i="23"/>
  <c r="AM197" i="23"/>
  <c r="AN197" i="23" s="1"/>
  <c r="AO197" i="23" s="1"/>
  <c r="AU197" i="23" s="1"/>
  <c r="AJ189" i="23"/>
  <c r="AK189" i="23"/>
  <c r="AT189" i="23"/>
  <c r="AL189" i="23"/>
  <c r="U196" i="23"/>
  <c r="BX196" i="23" s="1"/>
  <c r="K196" i="23"/>
  <c r="AD196" i="23"/>
  <c r="J196" i="23"/>
  <c r="AT139" i="23"/>
  <c r="AK139" i="23"/>
  <c r="AJ139" i="23"/>
  <c r="AL139" i="23"/>
  <c r="K139" i="23"/>
  <c r="J139" i="23"/>
  <c r="U139" i="23"/>
  <c r="BX139" i="23" s="1"/>
  <c r="AD139" i="23"/>
  <c r="U151" i="23"/>
  <c r="BX151" i="23" s="1"/>
  <c r="AD151" i="23"/>
  <c r="K151" i="23"/>
  <c r="J151" i="23"/>
  <c r="AL107" i="23"/>
  <c r="AK107" i="23"/>
  <c r="AJ107" i="23"/>
  <c r="K96" i="23"/>
  <c r="J96" i="23"/>
  <c r="U96" i="23"/>
  <c r="BX96" i="23" s="1"/>
  <c r="AD96" i="23"/>
  <c r="K91" i="23"/>
  <c r="J91" i="23"/>
  <c r="U91" i="23"/>
  <c r="BX91" i="23" s="1"/>
  <c r="AD91" i="23"/>
  <c r="AL61" i="23"/>
  <c r="AK61" i="23"/>
  <c r="AJ61" i="23"/>
  <c r="J89" i="23"/>
  <c r="U89" i="23"/>
  <c r="BX89" i="23" s="1"/>
  <c r="AD89" i="23"/>
  <c r="K89" i="23"/>
  <c r="AM110" i="23"/>
  <c r="AN110" i="23" s="1"/>
  <c r="AO110" i="23" s="1"/>
  <c r="AU110" i="23" s="1"/>
  <c r="AL68" i="23"/>
  <c r="AK68" i="23"/>
  <c r="AJ68" i="23"/>
  <c r="AT271" i="23"/>
  <c r="AK271" i="23"/>
  <c r="AJ271" i="23"/>
  <c r="AL271" i="23"/>
  <c r="K271" i="23"/>
  <c r="J271" i="23"/>
  <c r="U271" i="23"/>
  <c r="BX271" i="23" s="1"/>
  <c r="AD271" i="23"/>
  <c r="AL241" i="23"/>
  <c r="AK241" i="23"/>
  <c r="AJ241" i="23"/>
  <c r="AL267" i="23"/>
  <c r="AT267" i="23"/>
  <c r="AK267" i="23"/>
  <c r="AJ267" i="23"/>
  <c r="J257" i="23"/>
  <c r="U257" i="23"/>
  <c r="BX257" i="23" s="1"/>
  <c r="AD257" i="23"/>
  <c r="K257" i="23"/>
  <c r="U252" i="23"/>
  <c r="BX252" i="23" s="1"/>
  <c r="J252" i="23"/>
  <c r="AD252" i="23"/>
  <c r="K252" i="23"/>
  <c r="J241" i="23"/>
  <c r="U241" i="23"/>
  <c r="BX241" i="23" s="1"/>
  <c r="AD241" i="23"/>
  <c r="K241" i="23"/>
  <c r="AK231" i="23"/>
  <c r="AJ231" i="23"/>
  <c r="AL231" i="23"/>
  <c r="AT155" i="23"/>
  <c r="AK155" i="23"/>
  <c r="AJ155" i="23"/>
  <c r="AL155" i="23"/>
  <c r="AL124" i="23"/>
  <c r="AK124" i="23"/>
  <c r="AJ124" i="23"/>
  <c r="AD116" i="23"/>
  <c r="U116" i="23"/>
  <c r="BX116" i="23" s="1"/>
  <c r="K116" i="23"/>
  <c r="J116" i="23"/>
  <c r="AL154" i="23"/>
  <c r="AK154" i="23"/>
  <c r="AJ154" i="23"/>
  <c r="AK109" i="23"/>
  <c r="AJ109" i="23"/>
  <c r="AL109" i="23"/>
  <c r="AT151" i="23"/>
  <c r="K201" i="23"/>
  <c r="J201" i="23"/>
  <c r="U201" i="23"/>
  <c r="BX201" i="23" s="1"/>
  <c r="AD201" i="23"/>
  <c r="AJ91" i="23"/>
  <c r="AK91" i="23"/>
  <c r="AL91" i="23"/>
  <c r="AT91" i="23"/>
  <c r="AT95" i="23"/>
  <c r="AJ119" i="23"/>
  <c r="AL119" i="23"/>
  <c r="AK119" i="23"/>
  <c r="AT119" i="23"/>
  <c r="AJ89" i="23"/>
  <c r="AK89" i="23"/>
  <c r="AL89" i="23"/>
  <c r="AL92" i="23"/>
  <c r="AJ92" i="23"/>
  <c r="AK92" i="23"/>
  <c r="AT92" i="23"/>
  <c r="AM58" i="23"/>
  <c r="AN58" i="23" s="1"/>
  <c r="AO58" i="23" s="1"/>
  <c r="AU58" i="23" s="1"/>
  <c r="AL86" i="23"/>
  <c r="AK86" i="23"/>
  <c r="AJ86" i="23"/>
  <c r="AJ265" i="23"/>
  <c r="AK265" i="23"/>
  <c r="AL265" i="23"/>
  <c r="J251" i="23"/>
  <c r="U251" i="23"/>
  <c r="BX251" i="23" s="1"/>
  <c r="AD251" i="23"/>
  <c r="K251" i="23"/>
  <c r="AK211" i="23"/>
  <c r="AJ211" i="23"/>
  <c r="AL211" i="23"/>
  <c r="AT241" i="23"/>
  <c r="AT206" i="23"/>
  <c r="AJ206" i="23"/>
  <c r="AL206" i="23"/>
  <c r="AK206" i="23"/>
  <c r="K266" i="23"/>
  <c r="J266" i="23"/>
  <c r="U266" i="23"/>
  <c r="BX266" i="23" s="1"/>
  <c r="AD266" i="23"/>
  <c r="AM264" i="23"/>
  <c r="AN264" i="23" s="1"/>
  <c r="AO264" i="23" s="1"/>
  <c r="AU264" i="23" s="1"/>
  <c r="AJ149" i="23"/>
  <c r="AL149" i="23"/>
  <c r="AT149" i="23"/>
  <c r="AK149" i="23"/>
  <c r="AM252" i="23"/>
  <c r="AN252" i="23" s="1"/>
  <c r="AO252" i="23" s="1"/>
  <c r="AU252" i="23" s="1"/>
  <c r="AM195" i="23"/>
  <c r="AN195" i="23" s="1"/>
  <c r="AO195" i="23" s="1"/>
  <c r="AU195" i="23" s="1"/>
  <c r="AL134" i="23"/>
  <c r="AK134" i="23"/>
  <c r="AJ134" i="23"/>
  <c r="K187" i="23"/>
  <c r="AD187" i="23"/>
  <c r="J187" i="23"/>
  <c r="U187" i="23"/>
  <c r="BX187" i="23" s="1"/>
  <c r="AM194" i="23"/>
  <c r="AN194" i="23" s="1"/>
  <c r="AO194" i="23" s="1"/>
  <c r="AU194" i="23" s="1"/>
  <c r="AL136" i="23"/>
  <c r="AK136" i="23"/>
  <c r="AJ136" i="23"/>
  <c r="AL108" i="23"/>
  <c r="AK108" i="23"/>
  <c r="AT108" i="23"/>
  <c r="AJ108" i="23"/>
  <c r="AM219" i="23"/>
  <c r="AN219" i="23" s="1"/>
  <c r="AO219" i="23" s="1"/>
  <c r="AU219" i="23" s="1"/>
  <c r="AL138" i="23"/>
  <c r="AK138" i="23"/>
  <c r="AJ138" i="23"/>
  <c r="AD192" i="23"/>
  <c r="U192" i="23"/>
  <c r="BX192" i="23" s="1"/>
  <c r="K192" i="23"/>
  <c r="J192" i="23"/>
  <c r="AL201" i="23"/>
  <c r="AK201" i="23"/>
  <c r="AJ201" i="23"/>
  <c r="AM56" i="23"/>
  <c r="AN56" i="23" s="1"/>
  <c r="AO56" i="23" s="1"/>
  <c r="AU56" i="23" s="1"/>
  <c r="AT120" i="23"/>
  <c r="K119" i="23"/>
  <c r="U119" i="23"/>
  <c r="BX119" i="23" s="1"/>
  <c r="AD119" i="23"/>
  <c r="J119" i="23"/>
  <c r="AJ273" i="23"/>
  <c r="AL273" i="23"/>
  <c r="AT273" i="23"/>
  <c r="AK273" i="23"/>
  <c r="U256" i="23"/>
  <c r="BX256" i="23" s="1"/>
  <c r="J256" i="23"/>
  <c r="AD256" i="23"/>
  <c r="K256" i="23"/>
  <c r="AJ209" i="23"/>
  <c r="AL209" i="23"/>
  <c r="AK209" i="23"/>
  <c r="J236" i="23"/>
  <c r="U236" i="23"/>
  <c r="BX236" i="23" s="1"/>
  <c r="AD236" i="23"/>
  <c r="K236" i="23"/>
  <c r="AK225" i="23"/>
  <c r="AJ225" i="23"/>
  <c r="AL225" i="23"/>
  <c r="AL266" i="23"/>
  <c r="AK266" i="23"/>
  <c r="AJ266" i="23"/>
  <c r="AT266" i="23"/>
  <c r="AM212" i="23"/>
  <c r="AN212" i="23" s="1"/>
  <c r="AO212" i="23" s="1"/>
  <c r="AU212" i="23" s="1"/>
  <c r="AJ137" i="23"/>
  <c r="AL137" i="23"/>
  <c r="AK137" i="23"/>
  <c r="AT137" i="23"/>
  <c r="AD124" i="23"/>
  <c r="K124" i="23"/>
  <c r="J124" i="23"/>
  <c r="U124" i="23"/>
  <c r="BX124" i="23" s="1"/>
  <c r="AL163" i="23"/>
  <c r="AK163" i="23"/>
  <c r="AJ163" i="23"/>
  <c r="AL100" i="23"/>
  <c r="AK100" i="23"/>
  <c r="AJ100" i="23"/>
  <c r="U154" i="23"/>
  <c r="BX154" i="23" s="1"/>
  <c r="AD154" i="23"/>
  <c r="K154" i="23"/>
  <c r="J154" i="23"/>
  <c r="AM183" i="23"/>
  <c r="AN183" i="23" s="1"/>
  <c r="AO183" i="23" s="1"/>
  <c r="AU183" i="23" s="1"/>
  <c r="AL192" i="23"/>
  <c r="AK192" i="23"/>
  <c r="AJ192" i="23"/>
  <c r="U74" i="23"/>
  <c r="BX74" i="23" s="1"/>
  <c r="AD74" i="23"/>
  <c r="J74" i="23"/>
  <c r="K74" i="23"/>
  <c r="K111" i="23"/>
  <c r="J111" i="23"/>
  <c r="U111" i="23"/>
  <c r="BX111" i="23" s="1"/>
  <c r="AD111" i="23"/>
  <c r="AL94" i="23"/>
  <c r="AT94" i="23"/>
  <c r="AK94" i="23"/>
  <c r="AJ94" i="23"/>
  <c r="AT113" i="23"/>
  <c r="AT118" i="23"/>
  <c r="AL111" i="23"/>
  <c r="AK111" i="23"/>
  <c r="AT111" i="23"/>
  <c r="AJ111" i="23"/>
  <c r="AT89" i="23"/>
  <c r="BM56" i="23" l="1"/>
  <c r="BM57" i="23" s="1"/>
  <c r="BM58" i="23" s="1"/>
  <c r="BM59" i="23" s="1"/>
  <c r="BM60" i="23" s="1"/>
  <c r="AM28" i="23"/>
  <c r="AN28" i="23" s="1"/>
  <c r="AO28" i="23" s="1"/>
  <c r="AU28" i="23" s="1"/>
  <c r="BM206" i="23"/>
  <c r="BM208" i="23" s="1"/>
  <c r="BM209" i="23" s="1"/>
  <c r="BM210" i="23" s="1"/>
  <c r="BM211" i="23" s="1"/>
  <c r="BM212" i="23" s="1"/>
  <c r="BM213" i="23" s="1"/>
  <c r="BM214" i="23" s="1"/>
  <c r="BM215" i="23" s="1"/>
  <c r="BM216" i="23" s="1"/>
  <c r="BM207" i="23"/>
  <c r="BM280" i="23"/>
  <c r="BM281" i="23" s="1"/>
  <c r="BM282" i="23" s="1"/>
  <c r="BM283" i="23" s="1"/>
  <c r="BM284" i="23" s="1"/>
  <c r="BM285" i="23" s="1"/>
  <c r="BM286" i="23" s="1"/>
  <c r="BM287" i="23" s="1"/>
  <c r="AM176" i="23"/>
  <c r="AN176" i="23" s="1"/>
  <c r="AO176" i="23" s="1"/>
  <c r="AU176" i="23" s="1"/>
  <c r="AM262" i="23"/>
  <c r="AN262" i="23" s="1"/>
  <c r="AO262" i="23" s="1"/>
  <c r="AU262" i="23" s="1"/>
  <c r="AM184" i="23"/>
  <c r="AN184" i="23" s="1"/>
  <c r="AO184" i="23" s="1"/>
  <c r="AU184" i="23" s="1"/>
  <c r="AM274" i="23"/>
  <c r="AN274" i="23" s="1"/>
  <c r="AO274" i="23" s="1"/>
  <c r="AU274" i="23" s="1"/>
  <c r="AM140" i="23"/>
  <c r="AN140" i="23" s="1"/>
  <c r="AO140" i="23" s="1"/>
  <c r="AU140" i="23" s="1"/>
  <c r="AM31" i="23"/>
  <c r="AN31" i="23" s="1"/>
  <c r="AO31" i="23" s="1"/>
  <c r="AU31" i="23" s="1"/>
  <c r="AM150" i="23"/>
  <c r="AN150" i="23" s="1"/>
  <c r="AO150" i="23" s="1"/>
  <c r="AU150" i="23" s="1"/>
  <c r="AM177" i="23"/>
  <c r="AN177" i="23" s="1"/>
  <c r="AO177" i="23" s="1"/>
  <c r="AU177" i="23" s="1"/>
  <c r="AM190" i="23"/>
  <c r="AN190" i="23" s="1"/>
  <c r="AO190" i="23" s="1"/>
  <c r="AU190" i="23" s="1"/>
  <c r="AM153" i="23"/>
  <c r="AN153" i="23" s="1"/>
  <c r="AO153" i="23" s="1"/>
  <c r="AU153" i="23" s="1"/>
  <c r="AM220" i="23"/>
  <c r="AN220" i="23" s="1"/>
  <c r="AO220" i="23" s="1"/>
  <c r="AU220" i="23" s="1"/>
  <c r="AM269" i="23"/>
  <c r="AN269" i="23" s="1"/>
  <c r="AO269" i="23" s="1"/>
  <c r="AU269" i="23" s="1"/>
  <c r="AM223" i="23"/>
  <c r="AN223" i="23" s="1"/>
  <c r="AO223" i="23" s="1"/>
  <c r="AU223" i="23" s="1"/>
  <c r="AM144" i="23"/>
  <c r="AN144" i="23" s="1"/>
  <c r="AO144" i="23" s="1"/>
  <c r="AU144" i="23" s="1"/>
  <c r="AM152" i="23"/>
  <c r="AN152" i="23" s="1"/>
  <c r="AO152" i="23" s="1"/>
  <c r="AU152" i="23" s="1"/>
  <c r="AM62" i="23"/>
  <c r="AN62" i="23" s="1"/>
  <c r="AO62" i="23" s="1"/>
  <c r="AU62" i="23" s="1"/>
  <c r="AM156" i="23"/>
  <c r="AN156" i="23" s="1"/>
  <c r="AO156" i="23" s="1"/>
  <c r="AU156" i="23" s="1"/>
  <c r="AM102" i="23"/>
  <c r="AN102" i="23" s="1"/>
  <c r="AO102" i="23" s="1"/>
  <c r="AU102" i="23" s="1"/>
  <c r="AM73" i="23"/>
  <c r="AN73" i="23" s="1"/>
  <c r="AO73" i="23" s="1"/>
  <c r="AU73" i="23" s="1"/>
  <c r="AM243" i="23"/>
  <c r="AN243" i="23" s="1"/>
  <c r="AO243" i="23" s="1"/>
  <c r="AU243" i="23" s="1"/>
  <c r="AM37" i="23"/>
  <c r="AN37" i="23" s="1"/>
  <c r="AO37" i="23" s="1"/>
  <c r="AU37" i="23" s="1"/>
  <c r="AM178" i="23"/>
  <c r="AN178" i="23" s="1"/>
  <c r="AO178" i="23" s="1"/>
  <c r="AU178" i="23" s="1"/>
  <c r="AM104" i="23"/>
  <c r="AN104" i="23" s="1"/>
  <c r="AO104" i="23" s="1"/>
  <c r="AU104" i="23" s="1"/>
  <c r="AM71" i="23"/>
  <c r="AN71" i="23" s="1"/>
  <c r="AO71" i="23" s="1"/>
  <c r="AU71" i="23" s="1"/>
  <c r="AM167" i="23"/>
  <c r="AN167" i="23" s="1"/>
  <c r="AO167" i="23" s="1"/>
  <c r="AU167" i="23" s="1"/>
  <c r="AM106" i="23"/>
  <c r="AN106" i="23" s="1"/>
  <c r="AO106" i="23" s="1"/>
  <c r="AU106" i="23" s="1"/>
  <c r="AM174" i="23"/>
  <c r="AN174" i="23" s="1"/>
  <c r="AO174" i="23" s="1"/>
  <c r="AU174" i="23" s="1"/>
  <c r="AM42" i="23"/>
  <c r="AN42" i="23" s="1"/>
  <c r="AO42" i="23" s="1"/>
  <c r="AU42" i="23" s="1"/>
  <c r="AM51" i="23"/>
  <c r="AN51" i="23" s="1"/>
  <c r="AO51" i="23" s="1"/>
  <c r="AU51" i="23" s="1"/>
  <c r="AM198" i="23"/>
  <c r="AN198" i="23" s="1"/>
  <c r="AO198" i="23" s="1"/>
  <c r="AU198" i="23" s="1"/>
  <c r="AM224" i="23"/>
  <c r="AN224" i="23" s="1"/>
  <c r="AO224" i="23" s="1"/>
  <c r="AU224" i="23" s="1"/>
  <c r="CD42" i="23"/>
  <c r="CD43" i="23" s="1"/>
  <c r="CE40" i="23"/>
  <c r="CF40" i="23" s="1"/>
  <c r="AM218" i="23"/>
  <c r="AN218" i="23" s="1"/>
  <c r="AO218" i="23" s="1"/>
  <c r="AU218" i="23" s="1"/>
  <c r="AM246" i="23"/>
  <c r="AN246" i="23" s="1"/>
  <c r="AO246" i="23" s="1"/>
  <c r="AU246" i="23" s="1"/>
  <c r="AM260" i="23"/>
  <c r="AN260" i="23" s="1"/>
  <c r="AO260" i="23" s="1"/>
  <c r="AU260" i="23" s="1"/>
  <c r="AM32" i="23"/>
  <c r="AN32" i="23" s="1"/>
  <c r="AO32" i="23" s="1"/>
  <c r="AU32" i="23" s="1"/>
  <c r="AM40" i="23"/>
  <c r="AN40" i="23" s="1"/>
  <c r="AO40" i="23" s="1"/>
  <c r="AU40" i="23" s="1"/>
  <c r="AM97" i="23"/>
  <c r="AN97" i="23" s="1"/>
  <c r="AO97" i="23" s="1"/>
  <c r="AU97" i="23" s="1"/>
  <c r="AM38" i="23"/>
  <c r="AN38" i="23" s="1"/>
  <c r="AO38" i="23" s="1"/>
  <c r="AU38" i="23" s="1"/>
  <c r="AM36" i="23"/>
  <c r="AN36" i="23" s="1"/>
  <c r="AO36" i="23" s="1"/>
  <c r="AU36" i="23" s="1"/>
  <c r="AM48" i="23"/>
  <c r="AN48" i="23" s="1"/>
  <c r="AO48" i="23" s="1"/>
  <c r="AU48" i="23" s="1"/>
  <c r="AM203" i="23"/>
  <c r="AN203" i="23" s="1"/>
  <c r="AO203" i="23" s="1"/>
  <c r="AU203" i="23" s="1"/>
  <c r="AM29" i="23"/>
  <c r="AN29" i="23" s="1"/>
  <c r="AO29" i="23" s="1"/>
  <c r="AU29" i="23" s="1"/>
  <c r="AM141" i="23"/>
  <c r="AN141" i="23" s="1"/>
  <c r="AO141" i="23" s="1"/>
  <c r="AU141" i="23" s="1"/>
  <c r="AM235" i="23"/>
  <c r="AN235" i="23" s="1"/>
  <c r="AO235" i="23" s="1"/>
  <c r="AU235" i="23" s="1"/>
  <c r="AM259" i="23"/>
  <c r="AN259" i="23" s="1"/>
  <c r="AO259" i="23" s="1"/>
  <c r="AU259" i="23" s="1"/>
  <c r="AM123" i="23"/>
  <c r="AN123" i="23" s="1"/>
  <c r="AO123" i="23" s="1"/>
  <c r="AU123" i="23" s="1"/>
  <c r="AM49" i="23"/>
  <c r="AN49" i="23" s="1"/>
  <c r="AO49" i="23" s="1"/>
  <c r="AU49" i="23" s="1"/>
  <c r="AM349" i="23"/>
  <c r="AN349" i="23" s="1"/>
  <c r="AO349" i="23" s="1"/>
  <c r="AU349" i="23" s="1"/>
  <c r="AM216" i="23"/>
  <c r="AN216" i="23" s="1"/>
  <c r="AO216" i="23" s="1"/>
  <c r="AU216" i="23" s="1"/>
  <c r="AM66" i="23"/>
  <c r="AN66" i="23" s="1"/>
  <c r="AO66" i="23" s="1"/>
  <c r="AU66" i="23" s="1"/>
  <c r="AM221" i="23"/>
  <c r="AN221" i="23" s="1"/>
  <c r="AO221" i="23" s="1"/>
  <c r="AU221" i="23" s="1"/>
  <c r="AM181" i="23"/>
  <c r="AN181" i="23" s="1"/>
  <c r="AO181" i="23" s="1"/>
  <c r="AU181" i="23" s="1"/>
  <c r="AM173" i="23"/>
  <c r="AN173" i="23" s="1"/>
  <c r="AO173" i="23" s="1"/>
  <c r="AU173" i="23" s="1"/>
  <c r="AM50" i="23"/>
  <c r="AN50" i="23" s="1"/>
  <c r="AO50" i="23" s="1"/>
  <c r="AU50" i="23" s="1"/>
  <c r="AM175" i="23"/>
  <c r="AN175" i="23" s="1"/>
  <c r="AO175" i="23" s="1"/>
  <c r="AU175" i="23" s="1"/>
  <c r="AM244" i="23"/>
  <c r="AN244" i="23" s="1"/>
  <c r="AO244" i="23" s="1"/>
  <c r="AU244" i="23" s="1"/>
  <c r="AM347" i="23"/>
  <c r="AN347" i="23" s="1"/>
  <c r="AO347" i="23" s="1"/>
  <c r="AU347" i="23" s="1"/>
  <c r="AM70" i="23"/>
  <c r="AN70" i="23" s="1"/>
  <c r="AO70" i="23" s="1"/>
  <c r="AU70" i="23" s="1"/>
  <c r="AM180" i="23"/>
  <c r="AN180" i="23" s="1"/>
  <c r="AO180" i="23" s="1"/>
  <c r="AU180" i="23" s="1"/>
  <c r="AM105" i="23"/>
  <c r="AN105" i="23" s="1"/>
  <c r="AO105" i="23" s="1"/>
  <c r="AU105" i="23" s="1"/>
  <c r="AM67" i="23"/>
  <c r="AN67" i="23" s="1"/>
  <c r="AO67" i="23" s="1"/>
  <c r="AU67" i="23" s="1"/>
  <c r="AM215" i="23"/>
  <c r="AN215" i="23" s="1"/>
  <c r="AO215" i="23" s="1"/>
  <c r="AU215" i="23" s="1"/>
  <c r="AM234" i="23"/>
  <c r="AN234" i="23" s="1"/>
  <c r="AO234" i="23" s="1"/>
  <c r="AU234" i="23" s="1"/>
  <c r="AM188" i="23"/>
  <c r="AN188" i="23" s="1"/>
  <c r="AO188" i="23" s="1"/>
  <c r="AU188" i="23" s="1"/>
  <c r="AM63" i="23"/>
  <c r="AN63" i="23" s="1"/>
  <c r="AO63" i="23" s="1"/>
  <c r="AU63" i="23" s="1"/>
  <c r="AM57" i="23"/>
  <c r="AN57" i="23" s="1"/>
  <c r="AO57" i="23" s="1"/>
  <c r="AU57" i="23" s="1"/>
  <c r="AM60" i="23"/>
  <c r="AN60" i="23" s="1"/>
  <c r="AO60" i="23" s="1"/>
  <c r="AU60" i="23" s="1"/>
  <c r="AM90" i="23"/>
  <c r="AN90" i="23" s="1"/>
  <c r="AO90" i="23" s="1"/>
  <c r="AU90" i="23" s="1"/>
  <c r="AM75" i="23"/>
  <c r="AN75" i="23" s="1"/>
  <c r="AO75" i="23" s="1"/>
  <c r="AU75" i="23" s="1"/>
  <c r="AM179" i="23"/>
  <c r="AN179" i="23" s="1"/>
  <c r="AO179" i="23" s="1"/>
  <c r="AU179" i="23" s="1"/>
  <c r="AM147" i="23"/>
  <c r="AN147" i="23" s="1"/>
  <c r="AO147" i="23" s="1"/>
  <c r="AU147" i="23" s="1"/>
  <c r="AM115" i="23"/>
  <c r="AN115" i="23" s="1"/>
  <c r="AO115" i="23" s="1"/>
  <c r="AU115" i="23" s="1"/>
  <c r="AM59" i="23"/>
  <c r="AN59" i="23" s="1"/>
  <c r="AO59" i="23" s="1"/>
  <c r="AU59" i="23" s="1"/>
  <c r="AM239" i="23"/>
  <c r="AN239" i="23" s="1"/>
  <c r="AO239" i="23" s="1"/>
  <c r="AU239" i="23" s="1"/>
  <c r="AM245" i="23"/>
  <c r="AN245" i="23" s="1"/>
  <c r="AO245" i="23" s="1"/>
  <c r="AU245" i="23" s="1"/>
  <c r="AM77" i="23"/>
  <c r="AN77" i="23" s="1"/>
  <c r="AO77" i="23" s="1"/>
  <c r="AU77" i="23" s="1"/>
  <c r="AM193" i="23"/>
  <c r="AN193" i="23" s="1"/>
  <c r="AO193" i="23" s="1"/>
  <c r="AU193" i="23" s="1"/>
  <c r="AM148" i="23"/>
  <c r="AN148" i="23" s="1"/>
  <c r="AO148" i="23" s="1"/>
  <c r="AU148" i="23" s="1"/>
  <c r="AM265" i="23"/>
  <c r="AN265" i="23" s="1"/>
  <c r="AO265" i="23" s="1"/>
  <c r="AU265" i="23" s="1"/>
  <c r="AM103" i="23"/>
  <c r="AN103" i="23" s="1"/>
  <c r="AO103" i="23" s="1"/>
  <c r="AU103" i="23" s="1"/>
  <c r="AM213" i="23"/>
  <c r="AN213" i="23" s="1"/>
  <c r="AO213" i="23" s="1"/>
  <c r="AU213" i="23" s="1"/>
  <c r="AM191" i="23"/>
  <c r="AN191" i="23" s="1"/>
  <c r="AO191" i="23" s="1"/>
  <c r="AU191" i="23" s="1"/>
  <c r="AM270" i="23"/>
  <c r="AN270" i="23" s="1"/>
  <c r="AO270" i="23" s="1"/>
  <c r="AU270" i="23" s="1"/>
  <c r="AM263" i="23"/>
  <c r="AN263" i="23" s="1"/>
  <c r="AO263" i="23" s="1"/>
  <c r="AU263" i="23" s="1"/>
  <c r="AM261" i="23"/>
  <c r="AN261" i="23" s="1"/>
  <c r="AO261" i="23" s="1"/>
  <c r="AU261" i="23" s="1"/>
  <c r="AM122" i="23"/>
  <c r="AN122" i="23" s="1"/>
  <c r="AO122" i="23" s="1"/>
  <c r="AU122" i="23" s="1"/>
  <c r="AM69" i="23"/>
  <c r="AN69" i="23" s="1"/>
  <c r="AO69" i="23" s="1"/>
  <c r="AU69" i="23" s="1"/>
  <c r="AM230" i="23"/>
  <c r="AN230" i="23" s="1"/>
  <c r="AO230" i="23" s="1"/>
  <c r="AU230" i="23" s="1"/>
  <c r="AM268" i="23"/>
  <c r="AN268" i="23" s="1"/>
  <c r="AO268" i="23" s="1"/>
  <c r="AU268" i="23" s="1"/>
  <c r="AM206" i="23"/>
  <c r="AN206" i="23" s="1"/>
  <c r="AO206" i="23" s="1"/>
  <c r="AU206" i="23" s="1"/>
  <c r="AM118" i="23"/>
  <c r="AN118" i="23" s="1"/>
  <c r="AO118" i="23" s="1"/>
  <c r="AU118" i="23" s="1"/>
  <c r="AM135" i="23"/>
  <c r="AN135" i="23" s="1"/>
  <c r="AO135" i="23" s="1"/>
  <c r="AU135" i="23" s="1"/>
  <c r="AM182" i="23"/>
  <c r="AN182" i="23" s="1"/>
  <c r="AO182" i="23" s="1"/>
  <c r="AU182" i="23" s="1"/>
  <c r="AM93" i="23"/>
  <c r="AN93" i="23" s="1"/>
  <c r="AO93" i="23" s="1"/>
  <c r="AU93" i="23" s="1"/>
  <c r="AM199" i="23"/>
  <c r="AN199" i="23" s="1"/>
  <c r="AO199" i="23" s="1"/>
  <c r="AU199" i="23" s="1"/>
  <c r="AM273" i="23"/>
  <c r="AN273" i="23" s="1"/>
  <c r="AO273" i="23" s="1"/>
  <c r="AU273" i="23" s="1"/>
  <c r="AM108" i="23"/>
  <c r="AN108" i="23" s="1"/>
  <c r="AO108" i="23" s="1"/>
  <c r="AU108" i="23" s="1"/>
  <c r="AM189" i="23"/>
  <c r="AN189" i="23" s="1"/>
  <c r="AO189" i="23" s="1"/>
  <c r="AU189" i="23" s="1"/>
  <c r="AM229" i="23"/>
  <c r="AN229" i="23" s="1"/>
  <c r="AO229" i="23" s="1"/>
  <c r="AU229" i="23" s="1"/>
  <c r="AM228" i="23"/>
  <c r="AN228" i="23" s="1"/>
  <c r="AO228" i="23" s="1"/>
  <c r="AU228" i="23" s="1"/>
  <c r="AM348" i="23"/>
  <c r="AN348" i="23" s="1"/>
  <c r="AO348" i="23" s="1"/>
  <c r="AU348" i="23" s="1"/>
  <c r="AM133" i="23"/>
  <c r="AN133" i="23" s="1"/>
  <c r="AO133" i="23" s="1"/>
  <c r="AU133" i="23" s="1"/>
  <c r="AM222" i="23"/>
  <c r="AN222" i="23" s="1"/>
  <c r="AO222" i="23" s="1"/>
  <c r="AU222" i="23" s="1"/>
  <c r="AM186" i="23"/>
  <c r="AN186" i="23" s="1"/>
  <c r="AO186" i="23" s="1"/>
  <c r="AU186" i="23" s="1"/>
  <c r="AM237" i="23"/>
  <c r="AN237" i="23" s="1"/>
  <c r="AO237" i="23" s="1"/>
  <c r="AU237" i="23" s="1"/>
  <c r="AM201" i="23"/>
  <c r="AN201" i="23" s="1"/>
  <c r="AO201" i="23" s="1"/>
  <c r="AU201" i="23" s="1"/>
  <c r="AM121" i="23"/>
  <c r="AN121" i="23" s="1"/>
  <c r="AO121" i="23" s="1"/>
  <c r="AU121" i="23" s="1"/>
  <c r="AM266" i="23"/>
  <c r="AN266" i="23" s="1"/>
  <c r="AO266" i="23" s="1"/>
  <c r="AU266" i="23" s="1"/>
  <c r="AM134" i="23"/>
  <c r="AN134" i="23" s="1"/>
  <c r="AO134" i="23" s="1"/>
  <c r="AU134" i="23" s="1"/>
  <c r="AX14" i="23"/>
  <c r="AM100" i="23"/>
  <c r="AN100" i="23" s="1"/>
  <c r="AO100" i="23" s="1"/>
  <c r="AU100" i="23" s="1"/>
  <c r="AM91" i="23"/>
  <c r="AN91" i="23" s="1"/>
  <c r="AO91" i="23" s="1"/>
  <c r="AU91" i="23" s="1"/>
  <c r="AM155" i="23"/>
  <c r="AN155" i="23" s="1"/>
  <c r="AO155" i="23" s="1"/>
  <c r="AU155" i="23" s="1"/>
  <c r="AM241" i="23"/>
  <c r="AN241" i="23" s="1"/>
  <c r="AO241" i="23" s="1"/>
  <c r="AU241" i="23" s="1"/>
  <c r="AM151" i="23"/>
  <c r="AN151" i="23" s="1"/>
  <c r="AO151" i="23" s="1"/>
  <c r="AU151" i="23" s="1"/>
  <c r="AM117" i="23"/>
  <c r="AN117" i="23" s="1"/>
  <c r="AO117" i="23" s="1"/>
  <c r="AU117" i="23" s="1"/>
  <c r="AM145" i="23"/>
  <c r="AN145" i="23" s="1"/>
  <c r="AO145" i="23" s="1"/>
  <c r="AU145" i="23" s="1"/>
  <c r="AM209" i="23"/>
  <c r="AN209" i="23" s="1"/>
  <c r="AO209" i="23" s="1"/>
  <c r="AU209" i="23" s="1"/>
  <c r="AM149" i="23"/>
  <c r="AN149" i="23" s="1"/>
  <c r="AO149" i="23" s="1"/>
  <c r="AU149" i="23" s="1"/>
  <c r="AM89" i="23"/>
  <c r="AN89" i="23" s="1"/>
  <c r="AO89" i="23" s="1"/>
  <c r="AU89" i="23" s="1"/>
  <c r="AM65" i="23"/>
  <c r="AN65" i="23" s="1"/>
  <c r="AO65" i="23" s="1"/>
  <c r="AU65" i="23" s="1"/>
  <c r="AM87" i="23"/>
  <c r="AN87" i="23" s="1"/>
  <c r="AO87" i="23" s="1"/>
  <c r="AU87" i="23" s="1"/>
  <c r="AM226" i="23"/>
  <c r="AN226" i="23" s="1"/>
  <c r="AO226" i="23" s="1"/>
  <c r="AU226" i="23" s="1"/>
  <c r="AM98" i="23"/>
  <c r="AN98" i="23" s="1"/>
  <c r="AO98" i="23" s="1"/>
  <c r="AU98" i="23" s="1"/>
  <c r="AM137" i="23"/>
  <c r="AN137" i="23" s="1"/>
  <c r="AO137" i="23" s="1"/>
  <c r="AU137" i="23" s="1"/>
  <c r="AM138" i="23"/>
  <c r="AN138" i="23" s="1"/>
  <c r="AO138" i="23" s="1"/>
  <c r="AU138" i="23" s="1"/>
  <c r="AM119" i="23"/>
  <c r="AN119" i="23" s="1"/>
  <c r="AO119" i="23" s="1"/>
  <c r="AU119" i="23" s="1"/>
  <c r="AM61" i="23"/>
  <c r="AM99" i="23"/>
  <c r="AN99" i="23" s="1"/>
  <c r="AO99" i="23" s="1"/>
  <c r="AU99" i="23" s="1"/>
  <c r="AM111" i="23"/>
  <c r="AN111" i="23" s="1"/>
  <c r="AO111" i="23" s="1"/>
  <c r="AU111" i="23" s="1"/>
  <c r="AM211" i="23"/>
  <c r="AN211" i="23" s="1"/>
  <c r="AO211" i="23" s="1"/>
  <c r="AU211" i="23" s="1"/>
  <c r="AM86" i="23"/>
  <c r="AN86" i="23" s="1"/>
  <c r="AO86" i="23" s="1"/>
  <c r="AU86" i="23" s="1"/>
  <c r="AM92" i="23"/>
  <c r="AN92" i="23" s="1"/>
  <c r="AO92" i="23" s="1"/>
  <c r="AU92" i="23" s="1"/>
  <c r="AM109" i="23"/>
  <c r="AN109" i="23" s="1"/>
  <c r="AO109" i="23" s="1"/>
  <c r="AU109" i="23" s="1"/>
  <c r="AM231" i="23"/>
  <c r="AN231" i="23" s="1"/>
  <c r="AO231" i="23" s="1"/>
  <c r="AU231" i="23" s="1"/>
  <c r="AM267" i="23"/>
  <c r="AN267" i="23" s="1"/>
  <c r="AO267" i="23" s="1"/>
  <c r="AU267" i="23" s="1"/>
  <c r="AM68" i="23"/>
  <c r="AN68" i="23" s="1"/>
  <c r="AO68" i="23" s="1"/>
  <c r="AU68" i="23" s="1"/>
  <c r="AM107" i="23"/>
  <c r="AN107" i="23" s="1"/>
  <c r="AO107" i="23" s="1"/>
  <c r="AU107" i="23" s="1"/>
  <c r="AM202" i="23"/>
  <c r="AN202" i="23" s="1"/>
  <c r="AO202" i="23" s="1"/>
  <c r="AU202" i="23" s="1"/>
  <c r="BX61" i="23"/>
  <c r="AM142" i="23"/>
  <c r="AN142" i="23" s="1"/>
  <c r="AO142" i="23" s="1"/>
  <c r="AU142" i="23" s="1"/>
  <c r="AM120" i="23"/>
  <c r="AN120" i="23" s="1"/>
  <c r="AO120" i="23" s="1"/>
  <c r="AU120" i="23" s="1"/>
  <c r="AM192" i="23"/>
  <c r="AN192" i="23" s="1"/>
  <c r="AO192" i="23" s="1"/>
  <c r="AU192" i="23" s="1"/>
  <c r="AM163" i="23"/>
  <c r="AN163" i="23" s="1"/>
  <c r="AO163" i="23" s="1"/>
  <c r="AU163" i="23" s="1"/>
  <c r="AM271" i="23"/>
  <c r="AN271" i="23" s="1"/>
  <c r="AO271" i="23" s="1"/>
  <c r="AU271" i="23" s="1"/>
  <c r="AM95" i="23"/>
  <c r="AN95" i="23" s="1"/>
  <c r="AO95" i="23" s="1"/>
  <c r="AU95" i="23" s="1"/>
  <c r="AM204" i="23"/>
  <c r="AN204" i="23" s="1"/>
  <c r="AO204" i="23" s="1"/>
  <c r="AU204" i="23" s="1"/>
  <c r="AM113" i="23"/>
  <c r="AN113" i="23" s="1"/>
  <c r="AO113" i="23" s="1"/>
  <c r="AU113" i="23" s="1"/>
  <c r="AM143" i="23"/>
  <c r="AN143" i="23" s="1"/>
  <c r="AO143" i="23" s="1"/>
  <c r="AU143" i="23" s="1"/>
  <c r="AM200" i="23"/>
  <c r="AN200" i="23" s="1"/>
  <c r="AO200" i="23" s="1"/>
  <c r="AU200" i="23" s="1"/>
  <c r="AM350" i="23"/>
  <c r="AN350" i="23" s="1"/>
  <c r="AO350" i="23" s="1"/>
  <c r="AU350" i="23" s="1"/>
  <c r="AM242" i="23"/>
  <c r="AN242" i="23" s="1"/>
  <c r="AO242" i="23" s="1"/>
  <c r="AU242" i="23" s="1"/>
  <c r="AM136" i="23"/>
  <c r="AN136" i="23" s="1"/>
  <c r="AO136" i="23" s="1"/>
  <c r="AU136" i="23" s="1"/>
  <c r="AM154" i="23"/>
  <c r="AN154" i="23" s="1"/>
  <c r="AO154" i="23" s="1"/>
  <c r="AU154" i="23" s="1"/>
  <c r="AM238" i="23"/>
  <c r="AN238" i="23" s="1"/>
  <c r="AO238" i="23" s="1"/>
  <c r="AU238" i="23" s="1"/>
  <c r="AM94" i="23"/>
  <c r="AN94" i="23" s="1"/>
  <c r="AO94" i="23" s="1"/>
  <c r="AU94" i="23" s="1"/>
  <c r="AM225" i="23"/>
  <c r="AN225" i="23" s="1"/>
  <c r="AO225" i="23" s="1"/>
  <c r="AU225" i="23" s="1"/>
  <c r="AM124" i="23"/>
  <c r="AN124" i="23" s="1"/>
  <c r="AO124" i="23" s="1"/>
  <c r="AU124" i="23" s="1"/>
  <c r="AM139" i="23"/>
  <c r="AN139" i="23" s="1"/>
  <c r="AO139" i="23" s="1"/>
  <c r="AU139" i="23" s="1"/>
  <c r="AM272" i="23"/>
  <c r="AN272" i="23" s="1"/>
  <c r="AO272" i="23" s="1"/>
  <c r="AU272" i="23" s="1"/>
  <c r="AM96" i="23"/>
  <c r="AN96" i="23" s="1"/>
  <c r="AO96" i="23" s="1"/>
  <c r="AU96" i="23" s="1"/>
  <c r="AM236" i="23"/>
  <c r="AN236" i="23" s="1"/>
  <c r="AO236" i="23" s="1"/>
  <c r="AU236" i="23" s="1"/>
  <c r="AM146" i="23"/>
  <c r="AN146" i="23" s="1"/>
  <c r="AO146" i="23" s="1"/>
  <c r="AU146" i="23" s="1"/>
  <c r="CD44" i="23" l="1"/>
  <c r="CE43" i="23"/>
  <c r="CF43" i="23" s="1"/>
  <c r="BM218" i="23"/>
  <c r="BM219" i="23" s="1"/>
  <c r="BM220" i="23" s="1"/>
  <c r="BM221" i="23" s="1"/>
  <c r="BM222" i="23" s="1"/>
  <c r="BM223" i="23" s="1"/>
  <c r="BM224" i="23" s="1"/>
  <c r="BM225" i="23" s="1"/>
  <c r="BM226" i="23" s="1"/>
  <c r="BM217" i="23"/>
  <c r="BM347" i="23"/>
  <c r="BM348" i="23" s="1"/>
  <c r="BM349" i="23" s="1"/>
  <c r="BM350" i="23" s="1"/>
  <c r="BM351" i="23" s="1"/>
  <c r="BM352" i="23" s="1"/>
  <c r="BM353" i="23" s="1"/>
  <c r="BM354" i="23" s="1"/>
  <c r="BM355" i="23" s="1"/>
  <c r="BM356" i="23" s="1"/>
  <c r="BM357" i="23" s="1"/>
  <c r="BM358" i="23" s="1"/>
  <c r="BM359" i="23" s="1"/>
  <c r="BM360" i="23" s="1"/>
  <c r="BM361" i="23" s="1"/>
  <c r="BM362" i="23" s="1"/>
  <c r="BM363" i="23" s="1"/>
  <c r="BM364" i="23" s="1"/>
  <c r="BM365" i="23" s="1"/>
  <c r="BM366" i="23" s="1"/>
  <c r="BM367" i="23" s="1"/>
  <c r="BM368" i="23" s="1"/>
  <c r="BM369" i="23" s="1"/>
  <c r="BM370" i="23" s="1"/>
  <c r="BM371" i="23" s="1"/>
  <c r="BM372" i="23" s="1"/>
  <c r="BM373" i="23" s="1"/>
  <c r="BM374" i="23" s="1"/>
  <c r="BM375" i="23" s="1"/>
  <c r="BM376" i="23" s="1"/>
  <c r="BM377" i="23" s="1"/>
  <c r="BM378" i="23" s="1"/>
  <c r="BM379" i="23" s="1"/>
  <c r="BM380" i="23" s="1"/>
  <c r="BM381" i="23" s="1"/>
  <c r="BM382" i="23" s="1"/>
  <c r="BM383" i="23" s="1"/>
  <c r="BM384" i="23" s="1"/>
  <c r="BM385" i="23" s="1"/>
  <c r="BM386" i="23" s="1"/>
  <c r="BM387" i="23" s="1"/>
  <c r="BM388" i="23" s="1"/>
  <c r="BM389" i="23" s="1"/>
  <c r="BM390" i="23" s="1"/>
  <c r="BM391" i="23" s="1"/>
  <c r="BM392" i="23" s="1"/>
  <c r="BM393" i="23" s="1"/>
  <c r="BM394" i="23" s="1"/>
  <c r="BM395" i="23" s="1"/>
  <c r="BM396" i="23" s="1"/>
  <c r="BM397" i="23" s="1"/>
  <c r="BM398" i="23" s="1"/>
  <c r="BM399" i="23" s="1"/>
  <c r="BM400" i="23" s="1"/>
  <c r="BM401" i="23" s="1"/>
  <c r="BM402" i="23" s="1"/>
  <c r="BM403" i="23" s="1"/>
  <c r="BM404" i="23" s="1"/>
  <c r="BM405" i="23" s="1"/>
  <c r="BM406" i="23" s="1"/>
  <c r="BM407" i="23" s="1"/>
  <c r="BM408" i="23" s="1"/>
  <c r="BM409" i="23" s="1"/>
  <c r="BM410" i="23" s="1"/>
  <c r="BM411" i="23" s="1"/>
  <c r="BM412" i="23" s="1"/>
  <c r="BM413" i="23" s="1"/>
  <c r="BM414" i="23" s="1"/>
  <c r="BM415" i="23" s="1"/>
  <c r="BM416" i="23" s="1"/>
  <c r="BM417" i="23" s="1"/>
  <c r="BM418" i="23" s="1"/>
  <c r="BM419" i="23" s="1"/>
  <c r="BM420" i="23" s="1"/>
  <c r="BM421" i="23" s="1"/>
  <c r="BM422" i="23" s="1"/>
  <c r="BM423" i="23" s="1"/>
  <c r="BM424" i="23" s="1"/>
  <c r="BM425" i="23" s="1"/>
  <c r="BM426" i="23" s="1"/>
  <c r="BM427" i="23" s="1"/>
  <c r="BM428" i="23" s="1"/>
  <c r="BM429" i="23" s="1"/>
  <c r="BM430" i="23" s="1"/>
  <c r="BM431" i="23" s="1"/>
  <c r="BM432" i="23" s="1"/>
  <c r="BM433" i="23" s="1"/>
  <c r="BM434" i="23" s="1"/>
  <c r="BM435" i="23" s="1"/>
  <c r="BM436" i="23" s="1"/>
  <c r="BM437" i="23" s="1"/>
  <c r="BM438" i="23" s="1"/>
  <c r="BM439" i="23" s="1"/>
  <c r="BM440" i="23" s="1"/>
  <c r="BM441" i="23" s="1"/>
  <c r="BM442" i="23" s="1"/>
  <c r="BM443" i="23" s="1"/>
  <c r="BM444" i="23" s="1"/>
  <c r="BM445" i="23" s="1"/>
  <c r="BM446" i="23" s="1"/>
  <c r="BM447" i="23" s="1"/>
  <c r="BM448" i="23" s="1"/>
  <c r="BM449" i="23" s="1"/>
  <c r="BM450" i="23" s="1"/>
  <c r="BM451" i="23" s="1"/>
  <c r="BM452" i="23" s="1"/>
  <c r="BM453" i="23" s="1"/>
  <c r="BM454" i="23" s="1"/>
  <c r="BM455" i="23" s="1"/>
  <c r="BM456" i="23" s="1"/>
  <c r="BM457" i="23" s="1"/>
  <c r="BM458" i="23" s="1"/>
  <c r="BM459" i="23" s="1"/>
  <c r="BM460" i="23" s="1"/>
  <c r="BM461" i="23" s="1"/>
  <c r="BM462" i="23" s="1"/>
  <c r="BM463" i="23" s="1"/>
  <c r="BM464" i="23" s="1"/>
  <c r="BM465" i="23" s="1"/>
  <c r="BM466" i="23" s="1"/>
  <c r="BM467" i="23" s="1"/>
  <c r="BM468" i="23" s="1"/>
  <c r="BM469" i="23" s="1"/>
  <c r="BM470" i="23" s="1"/>
  <c r="BM471" i="23" s="1"/>
  <c r="BM472" i="23" s="1"/>
  <c r="BM473" i="23" s="1"/>
  <c r="BM474" i="23" s="1"/>
  <c r="BM475" i="23" s="1"/>
  <c r="BM476" i="23" s="1"/>
  <c r="BM477" i="23" s="1"/>
  <c r="BM478" i="23" s="1"/>
  <c r="BM479" i="23" s="1"/>
  <c r="BM480" i="23" s="1"/>
  <c r="BM481" i="23" s="1"/>
  <c r="BM482" i="23" s="1"/>
  <c r="BM483" i="23" s="1"/>
  <c r="BM484" i="23" s="1"/>
  <c r="BM485" i="23" s="1"/>
  <c r="BM486" i="23" s="1"/>
  <c r="BM487" i="23" s="1"/>
  <c r="BM488" i="23" s="1"/>
  <c r="BM489" i="23" s="1"/>
  <c r="BM490" i="23" s="1"/>
  <c r="BM491" i="23" s="1"/>
  <c r="BM492" i="23" s="1"/>
  <c r="BM493" i="23" s="1"/>
  <c r="BM494" i="23" s="1"/>
  <c r="BM495" i="23" s="1"/>
  <c r="BM496" i="23" s="1"/>
  <c r="BM497" i="23" s="1"/>
  <c r="BM498" i="23" s="1"/>
  <c r="BM499" i="23" s="1"/>
  <c r="BM500" i="23" s="1"/>
  <c r="BM501" i="23" s="1"/>
  <c r="BM502" i="23" s="1"/>
  <c r="BM503" i="23" s="1"/>
  <c r="BM504" i="23" s="1"/>
  <c r="BM505" i="23" s="1"/>
  <c r="BM506" i="23" s="1"/>
  <c r="BM507" i="23" s="1"/>
  <c r="BM508" i="23" s="1"/>
  <c r="BM509" i="23" s="1"/>
  <c r="BM510" i="23" s="1"/>
  <c r="BM511" i="23" s="1"/>
  <c r="BM512" i="23" s="1"/>
  <c r="BM513" i="23" s="1"/>
  <c r="BM514" i="23" s="1"/>
  <c r="BM515" i="23" s="1"/>
  <c r="BM516" i="23" s="1"/>
  <c r="BM517" i="23" s="1"/>
  <c r="BM518" i="23" s="1"/>
  <c r="BM519" i="23" s="1"/>
  <c r="BM520" i="23" s="1"/>
  <c r="BM521" i="23" s="1"/>
  <c r="BM522" i="23" s="1"/>
  <c r="BM523" i="23" s="1"/>
  <c r="BM524" i="23" s="1"/>
  <c r="BM525" i="23" s="1"/>
  <c r="BM526" i="23" s="1"/>
  <c r="BM527" i="23" s="1"/>
  <c r="BM528" i="23" s="1"/>
  <c r="BM529" i="23" s="1"/>
  <c r="BM530" i="23" s="1"/>
  <c r="BM531" i="23" s="1"/>
  <c r="BM532" i="23" s="1"/>
  <c r="BM533" i="23" s="1"/>
  <c r="BM534" i="23" s="1"/>
  <c r="BM535" i="23" s="1"/>
  <c r="BM536" i="23" s="1"/>
  <c r="BM537" i="23" s="1"/>
  <c r="BM538" i="23" s="1"/>
  <c r="BM539" i="23" s="1"/>
  <c r="BM540" i="23" s="1"/>
  <c r="BM541" i="23" s="1"/>
  <c r="BM542" i="23" s="1"/>
  <c r="BM543" i="23" s="1"/>
  <c r="BM544" i="23" s="1"/>
  <c r="BM545" i="23" s="1"/>
  <c r="BM546" i="23" s="1"/>
  <c r="BM547" i="23" s="1"/>
  <c r="BM548" i="23" s="1"/>
  <c r="BM549" i="23" s="1"/>
  <c r="BM550" i="23" s="1"/>
  <c r="BM551" i="23" s="1"/>
  <c r="BM552" i="23" s="1"/>
  <c r="BM553" i="23" s="1"/>
  <c r="BM554" i="23" s="1"/>
  <c r="BM555" i="23" s="1"/>
  <c r="BM556" i="23" s="1"/>
  <c r="BM557" i="23" s="1"/>
  <c r="BM558" i="23" s="1"/>
  <c r="BM559" i="23" s="1"/>
  <c r="BM560" i="23" s="1"/>
  <c r="BM561" i="23" s="1"/>
  <c r="BM562" i="23" s="1"/>
  <c r="BM563" i="23" s="1"/>
  <c r="BM564" i="23" s="1"/>
  <c r="BM565" i="23" s="1"/>
  <c r="BM566" i="23" s="1"/>
  <c r="BM567" i="23" s="1"/>
  <c r="BM568" i="23" s="1"/>
  <c r="BM569" i="23" s="1"/>
  <c r="BM570" i="23" s="1"/>
  <c r="BM571" i="23" s="1"/>
  <c r="BM572" i="23" s="1"/>
  <c r="BM573" i="23" s="1"/>
  <c r="BM574" i="23" s="1"/>
  <c r="BM575" i="23" s="1"/>
  <c r="BM576" i="23" s="1"/>
  <c r="BM577" i="23" s="1"/>
  <c r="BM578" i="23" s="1"/>
  <c r="BM579" i="23" s="1"/>
  <c r="BM580" i="23" s="1"/>
  <c r="BM581" i="23" s="1"/>
  <c r="BM582" i="23" s="1"/>
  <c r="BM583" i="23" s="1"/>
  <c r="BM584" i="23" s="1"/>
  <c r="BM585" i="23" s="1"/>
  <c r="BM586" i="23" s="1"/>
  <c r="BM587" i="23" s="1"/>
  <c r="BM588" i="23" s="1"/>
  <c r="BM589" i="23" s="1"/>
  <c r="BM590" i="23" s="1"/>
  <c r="BM591" i="23" s="1"/>
  <c r="BM592" i="23" s="1"/>
  <c r="BM593" i="23" s="1"/>
  <c r="BM594" i="23" s="1"/>
  <c r="BM595" i="23" s="1"/>
  <c r="BM596" i="23" s="1"/>
  <c r="BM597" i="23" s="1"/>
  <c r="BM598" i="23" s="1"/>
  <c r="BM599" i="23" s="1"/>
  <c r="BM600" i="23" s="1"/>
  <c r="BM601" i="23" s="1"/>
  <c r="BM602" i="23" s="1"/>
  <c r="BM603" i="23" s="1"/>
  <c r="BM604" i="23" s="1"/>
  <c r="BM605" i="23" s="1"/>
  <c r="BM606" i="23" s="1"/>
  <c r="BM607" i="23" s="1"/>
  <c r="BM608" i="23" s="1"/>
  <c r="BM609" i="23" s="1"/>
  <c r="BM610" i="23" s="1"/>
  <c r="BM611" i="23" s="1"/>
  <c r="BM612" i="23" s="1"/>
  <c r="BM613" i="23" s="1"/>
  <c r="BM614" i="23" s="1"/>
  <c r="BM615" i="23" s="1"/>
  <c r="BM616" i="23" s="1"/>
  <c r="BM617" i="23" s="1"/>
  <c r="BM618" i="23" s="1"/>
  <c r="BM619" i="23" s="1"/>
  <c r="BM620" i="23" s="1"/>
  <c r="BM621" i="23" s="1"/>
  <c r="BM622" i="23" s="1"/>
  <c r="BM623" i="23" s="1"/>
  <c r="BM624" i="23" s="1"/>
  <c r="BM625" i="23" s="1"/>
  <c r="BM626" i="23" s="1"/>
  <c r="BM627" i="23" s="1"/>
  <c r="BM628" i="23" s="1"/>
  <c r="BM629" i="23" s="1"/>
  <c r="BM630" i="23" s="1"/>
  <c r="BM631" i="23" s="1"/>
  <c r="BM632" i="23" s="1"/>
  <c r="BM633" i="23" s="1"/>
  <c r="BM634" i="23" s="1"/>
  <c r="BM635" i="23" s="1"/>
  <c r="BM636" i="23" s="1"/>
  <c r="BM637" i="23" s="1"/>
  <c r="BM638" i="23" s="1"/>
  <c r="BM639" i="23" s="1"/>
  <c r="BM640" i="23" s="1"/>
  <c r="BM641" i="23" s="1"/>
  <c r="BM642" i="23" s="1"/>
  <c r="BM643" i="23" s="1"/>
  <c r="BM644" i="23" s="1"/>
  <c r="BM645" i="23" s="1"/>
  <c r="BM646" i="23" s="1"/>
  <c r="BM647" i="23" s="1"/>
  <c r="BM648" i="23" s="1"/>
  <c r="BM649" i="23" s="1"/>
  <c r="BM650" i="23" s="1"/>
  <c r="BM651" i="23" s="1"/>
  <c r="BM652" i="23" s="1"/>
  <c r="BM653" i="23" s="1"/>
  <c r="BM654" i="23" s="1"/>
  <c r="BM655" i="23" s="1"/>
  <c r="BM656" i="23" s="1"/>
  <c r="BM657" i="23" s="1"/>
  <c r="BM658" i="23" s="1"/>
  <c r="BM659" i="23" s="1"/>
  <c r="BM660" i="23" s="1"/>
  <c r="BM661" i="23" s="1"/>
  <c r="BM662" i="23" s="1"/>
  <c r="BM663" i="23" s="1"/>
  <c r="BM664" i="23" s="1"/>
  <c r="BM665" i="23" s="1"/>
  <c r="BM666" i="23" s="1"/>
  <c r="BM667" i="23" s="1"/>
  <c r="BM668" i="23" s="1"/>
  <c r="BM669" i="23" s="1"/>
  <c r="BM670" i="23" s="1"/>
  <c r="BM671" i="23" s="1"/>
  <c r="BM672" i="23" s="1"/>
  <c r="BM673" i="23" s="1"/>
  <c r="BM674" i="23" s="1"/>
  <c r="BM675" i="23" s="1"/>
  <c r="BM676" i="23" s="1"/>
  <c r="BM677" i="23" s="1"/>
  <c r="BM678" i="23" s="1"/>
  <c r="BM679" i="23" s="1"/>
  <c r="BM680" i="23" s="1"/>
  <c r="BM681" i="23" s="1"/>
  <c r="BM682" i="23" s="1"/>
  <c r="BM683" i="23" s="1"/>
  <c r="BM684" i="23" s="1"/>
  <c r="BM685" i="23" s="1"/>
  <c r="BM686" i="23" s="1"/>
  <c r="BM687" i="23" s="1"/>
  <c r="BM688" i="23" s="1"/>
  <c r="BM689" i="23" s="1"/>
  <c r="BM690" i="23" s="1"/>
  <c r="BM691" i="23" s="1"/>
  <c r="BM692" i="23" s="1"/>
  <c r="BM693" i="23" s="1"/>
  <c r="BM694" i="23" s="1"/>
  <c r="BM695" i="23" s="1"/>
  <c r="BM696" i="23" s="1"/>
  <c r="BM697" i="23" s="1"/>
  <c r="BM698" i="23" s="1"/>
  <c r="BM699" i="23" s="1"/>
  <c r="BM700" i="23" s="1"/>
  <c r="BM701" i="23" s="1"/>
  <c r="BM702" i="23" s="1"/>
  <c r="BM703" i="23" s="1"/>
  <c r="BM704" i="23" s="1"/>
  <c r="BM705" i="23" s="1"/>
  <c r="BM706" i="23" s="1"/>
  <c r="BM707" i="23" s="1"/>
  <c r="BM708" i="23" s="1"/>
  <c r="BM709" i="23" s="1"/>
  <c r="BM710" i="23" s="1"/>
  <c r="BM711" i="23" s="1"/>
  <c r="BM712" i="23" s="1"/>
  <c r="BM713" i="23" s="1"/>
  <c r="BM714" i="23" s="1"/>
  <c r="BM715" i="23" s="1"/>
  <c r="BM716" i="23" s="1"/>
  <c r="BM717" i="23" s="1"/>
  <c r="BM718" i="23" s="1"/>
  <c r="BM719" i="23" s="1"/>
  <c r="BM720" i="23" s="1"/>
  <c r="BM721" i="23" s="1"/>
  <c r="BM722" i="23" s="1"/>
  <c r="BM723" i="23" s="1"/>
  <c r="BM724" i="23" s="1"/>
  <c r="BM725" i="23" s="1"/>
  <c r="BM726" i="23" s="1"/>
  <c r="BM727" i="23" s="1"/>
  <c r="BM728" i="23" s="1"/>
  <c r="BM729" i="23" s="1"/>
  <c r="CE42" i="23"/>
  <c r="CF42" i="23" s="1"/>
  <c r="CD48" i="23"/>
  <c r="AN61" i="23"/>
  <c r="CE44" i="23" l="1"/>
  <c r="CF44" i="23" s="1"/>
  <c r="CD45" i="23"/>
  <c r="BM228" i="23"/>
  <c r="BM229" i="23" s="1"/>
  <c r="BM230" i="23" s="1"/>
  <c r="BM231" i="23" s="1"/>
  <c r="BM232" i="23" s="1"/>
  <c r="BM233" i="23" s="1"/>
  <c r="BM234" i="23" s="1"/>
  <c r="BM235" i="23" s="1"/>
  <c r="BM236" i="23" s="1"/>
  <c r="BM237" i="23" s="1"/>
  <c r="BM238" i="23" s="1"/>
  <c r="BM239" i="23" s="1"/>
  <c r="BM240" i="23" s="1"/>
  <c r="BM241" i="23" s="1"/>
  <c r="BM242" i="23" s="1"/>
  <c r="BM243" i="23" s="1"/>
  <c r="BM244" i="23" s="1"/>
  <c r="BM245" i="23" s="1"/>
  <c r="BM246" i="23" s="1"/>
  <c r="BM247" i="23" s="1"/>
  <c r="BM248" i="23" s="1"/>
  <c r="BM249" i="23" s="1"/>
  <c r="BM250" i="23" s="1"/>
  <c r="BM251" i="23" s="1"/>
  <c r="BM252" i="23" s="1"/>
  <c r="BM253" i="23" s="1"/>
  <c r="BM254" i="23" s="1"/>
  <c r="BM255" i="23" s="1"/>
  <c r="BM256" i="23" s="1"/>
  <c r="BM257" i="23" s="1"/>
  <c r="BM258" i="23" s="1"/>
  <c r="BM259" i="23" s="1"/>
  <c r="BM260" i="23" s="1"/>
  <c r="BM261" i="23" s="1"/>
  <c r="BM262" i="23" s="1"/>
  <c r="BM263" i="23" s="1"/>
  <c r="BM264" i="23" s="1"/>
  <c r="BM265" i="23" s="1"/>
  <c r="BM266" i="23" s="1"/>
  <c r="BM267" i="23" s="1"/>
  <c r="BM268" i="23" s="1"/>
  <c r="BM269" i="23" s="1"/>
  <c r="BM270" i="23" s="1"/>
  <c r="BM271" i="23" s="1"/>
  <c r="BM272" i="23" s="1"/>
  <c r="BM273" i="23" s="1"/>
  <c r="BM274" i="23" s="1"/>
  <c r="BM275" i="23" s="1"/>
  <c r="BM227" i="23"/>
  <c r="CE48" i="23"/>
  <c r="CF48" i="23" s="1"/>
  <c r="CD49" i="23"/>
  <c r="AO61" i="23"/>
  <c r="CD46" i="23" l="1"/>
  <c r="CE45" i="23"/>
  <c r="CF45" i="23" s="1"/>
  <c r="BM276" i="23"/>
  <c r="BM278" i="23" s="1"/>
  <c r="BM279" i="23" s="1"/>
  <c r="BM277" i="23"/>
  <c r="CE49" i="23"/>
  <c r="CF49" i="23" s="1"/>
  <c r="CD50" i="23"/>
  <c r="AU61" i="23"/>
  <c r="CE46" i="23" l="1"/>
  <c r="CF46" i="23" s="1"/>
  <c r="CD47" i="23"/>
  <c r="CE47" i="23" s="1"/>
  <c r="CF47" i="23" s="1"/>
  <c r="CE50" i="23"/>
  <c r="CF50" i="23" s="1"/>
  <c r="CD51" i="23"/>
  <c r="CD52" i="23" s="1"/>
  <c r="G7" i="23"/>
  <c r="BY292" i="23" l="1"/>
  <c r="BY289" i="23"/>
  <c r="BY291" i="23"/>
  <c r="BY290" i="23"/>
  <c r="BY288" i="23"/>
  <c r="CE52" i="23"/>
  <c r="CF52" i="23" s="1"/>
  <c r="CD53" i="23"/>
  <c r="BY281" i="23"/>
  <c r="BY282" i="23"/>
  <c r="BY283" i="23"/>
  <c r="BY284" i="23"/>
  <c r="BY285" i="23"/>
  <c r="BY286" i="23"/>
  <c r="BY287" i="23"/>
  <c r="CE51" i="23"/>
  <c r="CF51" i="23" s="1"/>
  <c r="CD56" i="23"/>
  <c r="BY264" i="23"/>
  <c r="BY253" i="23"/>
  <c r="BY265" i="23"/>
  <c r="BY250" i="23"/>
  <c r="BY251" i="23"/>
  <c r="BY249" i="23"/>
  <c r="BY256" i="23"/>
  <c r="BY252" i="23"/>
  <c r="BY258" i="23"/>
  <c r="BY254" i="23"/>
  <c r="BY274" i="23"/>
  <c r="BY248" i="23"/>
  <c r="BY257" i="23"/>
  <c r="BY255" i="23"/>
  <c r="BY267" i="23"/>
  <c r="BY273" i="23"/>
  <c r="BY271" i="23"/>
  <c r="BY247" i="23"/>
  <c r="BY262" i="23"/>
  <c r="CE53" i="23" l="1"/>
  <c r="CF53" i="23" s="1"/>
  <c r="CD54" i="23"/>
  <c r="AA287" i="23"/>
  <c r="AP287" i="23"/>
  <c r="AA281" i="23"/>
  <c r="AP281" i="23"/>
  <c r="AA282" i="23"/>
  <c r="AP282" i="23"/>
  <c r="AA283" i="23"/>
  <c r="AP283" i="23"/>
  <c r="AA284" i="23"/>
  <c r="AP284" i="23"/>
  <c r="AA280" i="23"/>
  <c r="AP280" i="23"/>
  <c r="AA285" i="23"/>
  <c r="AP285" i="23"/>
  <c r="AA286" i="23"/>
  <c r="AP286" i="23"/>
  <c r="CD57" i="23"/>
  <c r="CE56" i="23"/>
  <c r="CF56" i="23" s="1"/>
  <c r="AP276" i="23"/>
  <c r="AA276" i="23"/>
  <c r="AA279" i="23"/>
  <c r="AP279" i="23"/>
  <c r="AA278" i="23"/>
  <c r="AP278" i="23"/>
  <c r="CE54" i="23" l="1"/>
  <c r="CF54" i="23" s="1"/>
  <c r="CD55" i="23"/>
  <c r="CD58" i="23"/>
  <c r="CE57" i="23"/>
  <c r="CF57" i="23" s="1"/>
  <c r="AA373" i="23" a="1"/>
  <c r="AA373" i="23" s="1"/>
  <c r="AB309" i="23" l="1"/>
  <c r="AF309" i="23" s="1"/>
  <c r="AB307" i="23"/>
  <c r="AF307" i="23" s="1"/>
  <c r="AB305" i="23"/>
  <c r="AF305" i="23" s="1"/>
  <c r="AB303" i="23"/>
  <c r="AF303" i="23" s="1"/>
  <c r="AB301" i="23"/>
  <c r="AF301" i="23" s="1"/>
  <c r="AB310" i="23"/>
  <c r="AF310" i="23" s="1"/>
  <c r="AB308" i="23"/>
  <c r="AF308" i="23" s="1"/>
  <c r="AB306" i="23"/>
  <c r="AF306" i="23" s="1"/>
  <c r="AB304" i="23"/>
  <c r="AF304" i="23" s="1"/>
  <c r="AB302" i="23"/>
  <c r="AF302" i="23" s="1"/>
  <c r="AB300" i="23"/>
  <c r="AF300" i="23" s="1"/>
  <c r="AB335" i="23"/>
  <c r="AF335" i="23" s="1"/>
  <c r="AB346" i="23"/>
  <c r="AF346" i="23" s="1"/>
  <c r="AB342" i="23"/>
  <c r="AF342" i="23" s="1"/>
  <c r="AB340" i="23"/>
  <c r="AF340" i="23" s="1"/>
  <c r="AB344" i="23"/>
  <c r="AF344" i="23" s="1"/>
  <c r="AB338" i="23"/>
  <c r="AF338" i="23" s="1"/>
  <c r="AB345" i="23"/>
  <c r="AF345" i="23" s="1"/>
  <c r="AB343" i="23"/>
  <c r="AF343" i="23" s="1"/>
  <c r="AB341" i="23"/>
  <c r="AF341" i="23" s="1"/>
  <c r="AB339" i="23"/>
  <c r="AF339" i="23" s="1"/>
  <c r="BD84" i="23"/>
  <c r="Y84" i="23"/>
  <c r="BD79" i="23"/>
  <c r="Y79" i="23"/>
  <c r="BD82" i="23"/>
  <c r="Y82" i="23"/>
  <c r="BD85" i="23"/>
  <c r="Y85" i="23"/>
  <c r="BD80" i="23"/>
  <c r="Y80" i="23"/>
  <c r="BD83" i="23"/>
  <c r="Y83" i="23"/>
  <c r="BD81" i="23"/>
  <c r="Y81" i="23"/>
  <c r="BD78" i="23"/>
  <c r="Y78" i="23"/>
  <c r="AB46" i="23"/>
  <c r="AF46" i="23" s="1"/>
  <c r="AB43" i="23"/>
  <c r="AF43" i="23" s="1"/>
  <c r="AB44" i="23"/>
  <c r="AF44" i="23" s="1"/>
  <c r="AB45" i="23"/>
  <c r="AF45" i="23" s="1"/>
  <c r="AB47" i="23"/>
  <c r="AF47" i="23" s="1"/>
  <c r="AB336" i="23"/>
  <c r="AF336" i="23" s="1"/>
  <c r="AB333" i="23"/>
  <c r="AF333" i="23" s="1"/>
  <c r="AB331" i="23"/>
  <c r="AF331" i="23" s="1"/>
  <c r="AB329" i="23"/>
  <c r="AF329" i="23" s="1"/>
  <c r="AB337" i="23"/>
  <c r="AF337" i="23" s="1"/>
  <c r="AB334" i="23"/>
  <c r="AF334" i="23" s="1"/>
  <c r="AB332" i="23"/>
  <c r="AF332" i="23" s="1"/>
  <c r="AB330" i="23"/>
  <c r="AF330" i="23" s="1"/>
  <c r="AB319" i="23"/>
  <c r="AF319" i="23" s="1"/>
  <c r="AB327" i="23"/>
  <c r="AF327" i="23" s="1"/>
  <c r="AB325" i="23"/>
  <c r="AF325" i="23" s="1"/>
  <c r="AB323" i="23"/>
  <c r="AF323" i="23" s="1"/>
  <c r="AB321" i="23"/>
  <c r="AF321" i="23" s="1"/>
  <c r="AB328" i="23"/>
  <c r="AF328" i="23" s="1"/>
  <c r="AB326" i="23"/>
  <c r="AF326" i="23" s="1"/>
  <c r="AB324" i="23"/>
  <c r="AF324" i="23" s="1"/>
  <c r="AB322" i="23"/>
  <c r="AF322" i="23" s="1"/>
  <c r="AB320" i="23"/>
  <c r="AF320" i="23" s="1"/>
  <c r="AB317" i="23"/>
  <c r="AF317" i="23" s="1"/>
  <c r="AB315" i="23"/>
  <c r="AF315" i="23" s="1"/>
  <c r="AB318" i="23"/>
  <c r="AF318" i="23" s="1"/>
  <c r="AB316" i="23"/>
  <c r="AF316" i="23" s="1"/>
  <c r="AB311" i="23"/>
  <c r="AF311" i="23" s="1"/>
  <c r="AB313" i="23"/>
  <c r="AF313" i="23" s="1"/>
  <c r="AB314" i="23"/>
  <c r="AF314" i="23" s="1"/>
  <c r="AB312" i="23"/>
  <c r="AF312" i="23" s="1"/>
  <c r="AB296" i="23"/>
  <c r="AF296" i="23" s="1"/>
  <c r="AB294" i="23"/>
  <c r="AF294" i="23" s="1"/>
  <c r="AB298" i="23"/>
  <c r="AF298" i="23" s="1"/>
  <c r="AB292" i="23"/>
  <c r="AF292" i="23" s="1"/>
  <c r="AB291" i="23"/>
  <c r="AF291" i="23" s="1"/>
  <c r="AB289" i="23"/>
  <c r="AF289" i="23" s="1"/>
  <c r="AB290" i="23"/>
  <c r="AF290" i="23" s="1"/>
  <c r="AB297" i="23"/>
  <c r="AF297" i="23" s="1"/>
  <c r="AB295" i="23"/>
  <c r="AF295" i="23" s="1"/>
  <c r="AB293" i="23"/>
  <c r="AF293" i="23" s="1"/>
  <c r="AB299" i="23"/>
  <c r="AF299" i="23" s="1"/>
  <c r="AB288" i="23"/>
  <c r="AF288" i="23" s="1"/>
  <c r="AB277" i="23"/>
  <c r="AF277" i="23" s="1"/>
  <c r="AB132" i="23"/>
  <c r="AF132" i="23" s="1"/>
  <c r="AB131" i="23"/>
  <c r="AF131" i="23" s="1"/>
  <c r="AB130" i="23"/>
  <c r="AF130" i="23" s="1"/>
  <c r="AB127" i="23"/>
  <c r="AF127" i="23" s="1"/>
  <c r="AB126" i="23"/>
  <c r="AF126" i="23" s="1"/>
  <c r="AB125" i="23"/>
  <c r="AF125" i="23" s="1"/>
  <c r="CE55" i="23"/>
  <c r="CF55" i="23" s="1"/>
  <c r="AB30" i="23"/>
  <c r="AF30" i="23" s="1"/>
  <c r="AB54" i="23"/>
  <c r="AF54" i="23" s="1"/>
  <c r="AB52" i="23"/>
  <c r="AF52" i="23" s="1"/>
  <c r="AB55" i="23"/>
  <c r="AF55" i="23" s="1"/>
  <c r="AB53" i="23"/>
  <c r="AF53" i="23" s="1"/>
  <c r="AB227" i="23"/>
  <c r="AF227" i="23" s="1"/>
  <c r="AB39" i="23"/>
  <c r="AF39" i="23" s="1"/>
  <c r="AB41" i="23"/>
  <c r="AF41" i="23" s="1"/>
  <c r="AB207" i="23"/>
  <c r="AF207" i="23" s="1"/>
  <c r="AB217" i="23"/>
  <c r="AF217" i="23" s="1"/>
  <c r="AB158" i="23"/>
  <c r="AF158" i="23" s="1"/>
  <c r="Y158" i="23"/>
  <c r="BD158" i="23"/>
  <c r="AB159" i="23"/>
  <c r="AF159" i="23" s="1"/>
  <c r="BD159" i="23"/>
  <c r="Y159" i="23"/>
  <c r="AB129" i="23"/>
  <c r="AF129" i="23" s="1"/>
  <c r="AB128" i="23"/>
  <c r="AF128" i="23" s="1"/>
  <c r="BD162" i="23"/>
  <c r="Y162" i="23"/>
  <c r="BD161" i="23"/>
  <c r="Y161" i="23"/>
  <c r="BD160" i="23"/>
  <c r="Y160" i="23"/>
  <c r="BD157" i="23"/>
  <c r="Y157" i="23"/>
  <c r="AB286" i="23"/>
  <c r="AF286" i="23" s="1"/>
  <c r="AB281" i="23"/>
  <c r="AF281" i="23" s="1"/>
  <c r="AB280" i="23"/>
  <c r="AF280" i="23" s="1"/>
  <c r="AB284" i="23"/>
  <c r="AF284" i="23" s="1"/>
  <c r="AB285" i="23"/>
  <c r="AF285" i="23" s="1"/>
  <c r="AB287" i="23"/>
  <c r="AF287" i="23" s="1"/>
  <c r="AB282" i="23"/>
  <c r="AF282" i="23" s="1"/>
  <c r="AB283" i="23"/>
  <c r="AF283" i="23" s="1"/>
  <c r="Y172" i="23"/>
  <c r="BD172" i="23"/>
  <c r="BD171" i="23"/>
  <c r="Y171" i="23"/>
  <c r="BD170" i="23"/>
  <c r="Y170" i="23"/>
  <c r="BD169" i="23"/>
  <c r="Y169" i="23"/>
  <c r="BD168" i="23"/>
  <c r="Y168" i="23"/>
  <c r="AB165" i="23"/>
  <c r="AF165" i="23" s="1"/>
  <c r="AB164" i="23"/>
  <c r="AF164" i="23" s="1"/>
  <c r="CD59" i="23"/>
  <c r="CE58" i="23"/>
  <c r="CF58" i="23" s="1"/>
  <c r="AB348" i="23"/>
  <c r="AF348" i="23" s="1"/>
  <c r="AB160" i="23"/>
  <c r="AF160" i="23" s="1"/>
  <c r="AB176" i="23"/>
  <c r="AF176" i="23" s="1"/>
  <c r="AB206" i="23"/>
  <c r="AF206" i="23" s="1"/>
  <c r="AB89" i="23"/>
  <c r="AF89" i="23" s="1"/>
  <c r="AB182" i="23"/>
  <c r="AF182" i="23" s="1"/>
  <c r="AB153" i="23"/>
  <c r="AF153" i="23" s="1"/>
  <c r="AB214" i="23"/>
  <c r="AF214" i="23" s="1"/>
  <c r="AB84" i="23"/>
  <c r="AF84" i="23" s="1"/>
  <c r="AB139" i="23"/>
  <c r="AF139" i="23" s="1"/>
  <c r="AB71" i="23"/>
  <c r="AF71" i="23" s="1"/>
  <c r="AB240" i="23"/>
  <c r="AF240" i="23" s="1"/>
  <c r="AB172" i="23"/>
  <c r="AF172" i="23" s="1"/>
  <c r="AB82" i="23"/>
  <c r="AF82" i="23" s="1"/>
  <c r="AB103" i="23"/>
  <c r="AF103" i="23" s="1"/>
  <c r="AB155" i="23"/>
  <c r="AF155" i="23" s="1"/>
  <c r="AB242" i="23"/>
  <c r="AF242" i="23" s="1"/>
  <c r="AB64" i="23"/>
  <c r="AF64" i="23" s="1"/>
  <c r="AB138" i="23"/>
  <c r="AF138" i="23" s="1"/>
  <c r="AB135" i="23"/>
  <c r="AF135" i="23" s="1"/>
  <c r="AB244" i="23"/>
  <c r="AF244" i="23" s="1"/>
  <c r="AB70" i="23"/>
  <c r="AF70" i="23" s="1"/>
  <c r="AB81" i="23"/>
  <c r="AF81" i="23" s="1"/>
  <c r="AB137" i="23"/>
  <c r="AF137" i="23" s="1"/>
  <c r="AB246" i="23"/>
  <c r="AF246" i="23" s="1"/>
  <c r="AB61" i="23"/>
  <c r="AB101" i="23"/>
  <c r="AF101" i="23" s="1"/>
  <c r="AB230" i="23"/>
  <c r="AF230" i="23" s="1"/>
  <c r="AB266" i="23"/>
  <c r="AF266" i="23" s="1"/>
  <c r="AB72" i="23"/>
  <c r="AF72" i="23" s="1"/>
  <c r="AB173" i="23"/>
  <c r="AF173" i="23" s="1"/>
  <c r="AB245" i="23"/>
  <c r="AF245" i="23" s="1"/>
  <c r="AB221" i="23"/>
  <c r="AF221" i="23" s="1"/>
  <c r="AB252" i="23"/>
  <c r="AF252" i="23" s="1"/>
  <c r="AB98" i="23"/>
  <c r="AF98" i="23" s="1"/>
  <c r="AB258" i="23"/>
  <c r="AF258" i="23" s="1"/>
  <c r="AB144" i="23"/>
  <c r="AF144" i="23" s="1"/>
  <c r="AB183" i="23"/>
  <c r="AF183" i="23" s="1"/>
  <c r="AB92" i="23"/>
  <c r="AF92" i="23" s="1"/>
  <c r="AB247" i="23"/>
  <c r="AF247" i="23" s="1"/>
  <c r="AB166" i="23"/>
  <c r="AF166" i="23" s="1"/>
  <c r="AB68" i="23"/>
  <c r="AF68" i="23" s="1"/>
  <c r="AB96" i="23"/>
  <c r="AF96" i="23" s="1"/>
  <c r="AB193" i="23"/>
  <c r="AF193" i="23" s="1"/>
  <c r="AB265" i="23"/>
  <c r="AF265" i="23" s="1"/>
  <c r="AB79" i="23"/>
  <c r="AF79" i="23" s="1"/>
  <c r="AB108" i="23"/>
  <c r="AF108" i="23" s="1"/>
  <c r="AB192" i="23"/>
  <c r="AF192" i="23" s="1"/>
  <c r="AB29" i="23"/>
  <c r="AF29" i="23" s="1"/>
  <c r="AB109" i="23"/>
  <c r="AF109" i="23" s="1"/>
  <c r="AB203" i="23"/>
  <c r="AF203" i="23" s="1"/>
  <c r="AB78" i="23"/>
  <c r="AF78" i="23" s="1"/>
  <c r="AB85" i="23"/>
  <c r="AF85" i="23" s="1"/>
  <c r="AB149" i="23"/>
  <c r="AF149" i="23" s="1"/>
  <c r="AB224" i="23"/>
  <c r="AF224" i="23" s="1"/>
  <c r="AB73" i="23"/>
  <c r="AF73" i="23" s="1"/>
  <c r="AB118" i="23"/>
  <c r="AF118" i="23" s="1"/>
  <c r="AB143" i="23"/>
  <c r="AF143" i="23" s="1"/>
  <c r="AB235" i="23"/>
  <c r="AF235" i="23" s="1"/>
  <c r="AB69" i="23"/>
  <c r="AF69" i="23" s="1"/>
  <c r="AB112" i="23"/>
  <c r="AF112" i="23" s="1"/>
  <c r="AB110" i="23"/>
  <c r="AF110" i="23" s="1"/>
  <c r="AB223" i="23"/>
  <c r="AF223" i="23" s="1"/>
  <c r="AB177" i="23"/>
  <c r="AF177" i="23" s="1"/>
  <c r="AB231" i="23"/>
  <c r="AF231" i="23" s="1"/>
  <c r="AB184" i="23"/>
  <c r="AF184" i="23" s="1"/>
  <c r="AB123" i="23"/>
  <c r="AF123" i="23" s="1"/>
  <c r="AB234" i="23"/>
  <c r="AF234" i="23" s="1"/>
  <c r="AB28" i="23"/>
  <c r="AF28" i="23" s="1"/>
  <c r="AB49" i="23"/>
  <c r="AF49" i="23" s="1"/>
  <c r="AB229" i="23"/>
  <c r="AF229" i="23" s="1"/>
  <c r="AB151" i="23"/>
  <c r="AF151" i="23" s="1"/>
  <c r="AB37" i="23"/>
  <c r="AF37" i="23" s="1"/>
  <c r="AB261" i="23"/>
  <c r="AF261" i="23" s="1"/>
  <c r="AB205" i="23"/>
  <c r="AF205" i="23" s="1"/>
  <c r="AB66" i="23"/>
  <c r="AF66" i="23" s="1"/>
  <c r="AB213" i="23"/>
  <c r="AF213" i="23" s="1"/>
  <c r="AB191" i="23"/>
  <c r="AF191" i="23" s="1"/>
  <c r="AB133" i="23"/>
  <c r="AF133" i="23" s="1"/>
  <c r="AB50" i="23"/>
  <c r="AF50" i="23" s="1"/>
  <c r="AB186" i="23"/>
  <c r="AF186" i="23" s="1"/>
  <c r="AB259" i="23"/>
  <c r="AF259" i="23" s="1"/>
  <c r="AB58" i="23"/>
  <c r="AF58" i="23" s="1"/>
  <c r="AB147" i="23"/>
  <c r="AF147" i="23" s="1"/>
  <c r="AB185" i="23"/>
  <c r="AF185" i="23" s="1"/>
  <c r="AB60" i="23"/>
  <c r="AF60" i="23" s="1"/>
  <c r="AB150" i="23"/>
  <c r="AF150" i="23" s="1"/>
  <c r="AB187" i="23"/>
  <c r="AF187" i="23" s="1"/>
  <c r="AB269" i="23"/>
  <c r="AF269" i="23" s="1"/>
  <c r="AB32" i="23"/>
  <c r="AF32" i="23" s="1"/>
  <c r="AB117" i="23"/>
  <c r="AF117" i="23" s="1"/>
  <c r="AB210" i="23"/>
  <c r="AF210" i="23" s="1"/>
  <c r="AB31" i="23"/>
  <c r="AF31" i="23" s="1"/>
  <c r="AB91" i="23"/>
  <c r="AF91" i="23" s="1"/>
  <c r="AB162" i="23"/>
  <c r="AF162" i="23" s="1"/>
  <c r="AB239" i="23"/>
  <c r="AF239" i="23" s="1"/>
  <c r="AB175" i="23"/>
  <c r="AF175" i="23" s="1"/>
  <c r="AB347" i="23"/>
  <c r="AF347" i="23" s="1"/>
  <c r="AB140" i="23"/>
  <c r="AF140" i="23" s="1"/>
  <c r="AB248" i="23"/>
  <c r="AF248" i="23" s="1"/>
  <c r="AB57" i="23"/>
  <c r="AF57" i="23" s="1"/>
  <c r="AB263" i="23"/>
  <c r="AF263" i="23" s="1"/>
  <c r="AB171" i="23"/>
  <c r="AF171" i="23" s="1"/>
  <c r="AB76" i="23"/>
  <c r="AF76" i="23" s="1"/>
  <c r="AB179" i="23"/>
  <c r="AF179" i="23" s="1"/>
  <c r="AB56" i="23"/>
  <c r="AF56" i="23" s="1"/>
  <c r="AB233" i="23"/>
  <c r="AF233" i="23" s="1"/>
  <c r="AB168" i="23"/>
  <c r="AF168" i="23" s="1"/>
  <c r="AB350" i="23"/>
  <c r="AF350" i="23" s="1"/>
  <c r="AB208" i="23"/>
  <c r="AF208" i="23" s="1"/>
  <c r="AB86" i="23"/>
  <c r="AF86" i="23" s="1"/>
  <c r="AB174" i="23"/>
  <c r="AF174" i="23" s="1"/>
  <c r="AB216" i="23"/>
  <c r="AF216" i="23" s="1"/>
  <c r="AB253" i="23"/>
  <c r="AF253" i="23" s="1"/>
  <c r="AB38" i="23"/>
  <c r="AF38" i="23" s="1"/>
  <c r="AB178" i="23"/>
  <c r="AF178" i="23" s="1"/>
  <c r="AB189" i="23"/>
  <c r="AF189" i="23" s="1"/>
  <c r="AB257" i="23"/>
  <c r="AF257" i="23" s="1"/>
  <c r="AB51" i="23"/>
  <c r="AF51" i="23" s="1"/>
  <c r="AB180" i="23"/>
  <c r="AF180" i="23" s="1"/>
  <c r="AB200" i="23"/>
  <c r="AF200" i="23" s="1"/>
  <c r="AB264" i="23"/>
  <c r="AF264" i="23" s="1"/>
  <c r="AB62" i="23"/>
  <c r="AF62" i="23" s="1"/>
  <c r="AB156" i="23"/>
  <c r="AF156" i="23" s="1"/>
  <c r="AB194" i="23"/>
  <c r="AF194" i="23" s="1"/>
  <c r="AB274" i="23"/>
  <c r="AF274" i="23" s="1"/>
  <c r="AB40" i="23"/>
  <c r="AF40" i="23" s="1"/>
  <c r="AB136" i="23"/>
  <c r="AF136" i="23" s="1"/>
  <c r="AB220" i="23"/>
  <c r="AF220" i="23" s="1"/>
  <c r="AB270" i="23"/>
  <c r="AF270" i="23" s="1"/>
  <c r="AB88" i="23"/>
  <c r="AF88" i="23" s="1"/>
  <c r="AB169" i="23"/>
  <c r="AF169" i="23" s="1"/>
  <c r="AB36" i="23"/>
  <c r="AF36" i="23" s="1"/>
  <c r="AB111" i="23"/>
  <c r="AF111" i="23" s="1"/>
  <c r="AB218" i="23"/>
  <c r="AF218" i="23" s="1"/>
  <c r="AB77" i="23"/>
  <c r="AF77" i="23" s="1"/>
  <c r="AB254" i="23"/>
  <c r="AF254" i="23" s="1"/>
  <c r="AB87" i="23"/>
  <c r="AF87" i="23" s="1"/>
  <c r="AB272" i="23"/>
  <c r="AF272" i="23" s="1"/>
  <c r="AB134" i="23"/>
  <c r="AF134" i="23" s="1"/>
  <c r="AB59" i="23"/>
  <c r="AF59" i="23" s="1"/>
  <c r="AB228" i="23"/>
  <c r="AF228" i="23" s="1"/>
  <c r="AB100" i="23"/>
  <c r="AF100" i="23" s="1"/>
  <c r="AB154" i="23"/>
  <c r="AF154" i="23" s="1"/>
  <c r="AB250" i="23"/>
  <c r="AF250" i="23" s="1"/>
  <c r="AB278" i="23"/>
  <c r="AF278" i="23" s="1"/>
  <c r="AB102" i="23"/>
  <c r="AF102" i="23" s="1"/>
  <c r="AB163" i="23"/>
  <c r="AF163" i="23" s="1"/>
  <c r="AB260" i="23"/>
  <c r="AF260" i="23" s="1"/>
  <c r="AB268" i="23"/>
  <c r="AF268" i="23" s="1"/>
  <c r="AB104" i="23"/>
  <c r="AF104" i="23" s="1"/>
  <c r="AB188" i="23"/>
  <c r="AF188" i="23" s="1"/>
  <c r="AB271" i="23"/>
  <c r="AF271" i="23" s="1"/>
  <c r="AB273" i="23"/>
  <c r="AF273" i="23" s="1"/>
  <c r="AB67" i="23"/>
  <c r="AF67" i="23" s="1"/>
  <c r="AB237" i="23"/>
  <c r="AF237" i="23" s="1"/>
  <c r="AB219" i="23"/>
  <c r="AF219" i="23" s="1"/>
  <c r="AB42" i="23"/>
  <c r="AF42" i="23" s="1"/>
  <c r="AB170" i="23"/>
  <c r="AF170" i="23" s="1"/>
  <c r="AB198" i="23"/>
  <c r="AF198" i="23" s="1"/>
  <c r="AB249" i="23"/>
  <c r="AF249" i="23" s="1"/>
  <c r="AB232" i="23"/>
  <c r="AF232" i="23" s="1"/>
  <c r="AB93" i="23"/>
  <c r="AF93" i="23" s="1"/>
  <c r="AB204" i="23"/>
  <c r="AF204" i="23" s="1"/>
  <c r="AB121" i="23"/>
  <c r="AF121" i="23" s="1"/>
  <c r="AB197" i="23"/>
  <c r="AF197" i="23" s="1"/>
  <c r="AB107" i="23"/>
  <c r="AF107" i="23" s="1"/>
  <c r="AB146" i="23"/>
  <c r="AF146" i="23" s="1"/>
  <c r="AB65" i="23"/>
  <c r="AF65" i="23" s="1"/>
  <c r="AB275" i="23"/>
  <c r="AF275" i="23" s="1"/>
  <c r="AB90" i="23"/>
  <c r="AF90" i="23" s="1"/>
  <c r="AB122" i="23"/>
  <c r="AF122" i="23" s="1"/>
  <c r="AB222" i="23"/>
  <c r="AF222" i="23" s="1"/>
  <c r="AB279" i="23"/>
  <c r="AF279" i="23" s="1"/>
  <c r="AB94" i="23"/>
  <c r="AF94" i="23" s="1"/>
  <c r="AB142" i="23"/>
  <c r="AF142" i="23" s="1"/>
  <c r="AB211" i="23"/>
  <c r="AF211" i="23" s="1"/>
  <c r="AB97" i="23"/>
  <c r="AF97" i="23" s="1"/>
  <c r="AB148" i="23"/>
  <c r="AF148" i="23" s="1"/>
  <c r="AB215" i="23"/>
  <c r="AF215" i="23" s="1"/>
  <c r="AB106" i="23"/>
  <c r="AF106" i="23" s="1"/>
  <c r="AB201" i="23"/>
  <c r="AF201" i="23" s="1"/>
  <c r="AB195" i="23"/>
  <c r="AF195" i="23" s="1"/>
  <c r="AB63" i="23"/>
  <c r="AF63" i="23" s="1"/>
  <c r="AB145" i="23"/>
  <c r="AF145" i="23" s="1"/>
  <c r="AB202" i="23"/>
  <c r="AF202" i="23" s="1"/>
  <c r="AB119" i="23"/>
  <c r="AF119" i="23" s="1"/>
  <c r="AB74" i="23"/>
  <c r="AF74" i="23" s="1"/>
  <c r="AB105" i="23"/>
  <c r="AF105" i="23" s="1"/>
  <c r="AB80" i="23"/>
  <c r="AF80" i="23" s="1"/>
  <c r="AB262" i="23"/>
  <c r="AF262" i="23" s="1"/>
  <c r="AB181" i="23"/>
  <c r="AF181" i="23" s="1"/>
  <c r="AB95" i="23"/>
  <c r="AF95" i="23" s="1"/>
  <c r="AB267" i="23"/>
  <c r="AF267" i="23" s="1"/>
  <c r="AB190" i="23"/>
  <c r="AF190" i="23" s="1"/>
  <c r="AB212" i="23"/>
  <c r="AF212" i="23" s="1"/>
  <c r="AB141" i="23"/>
  <c r="AF141" i="23" s="1"/>
  <c r="AB75" i="23"/>
  <c r="AF75" i="23" s="1"/>
  <c r="AB243" i="23"/>
  <c r="AF243" i="23" s="1"/>
  <c r="AB161" i="23"/>
  <c r="AF161" i="23" s="1"/>
  <c r="AB48" i="23"/>
  <c r="AF48" i="23" s="1"/>
  <c r="AB225" i="23"/>
  <c r="AF225" i="23" s="1"/>
  <c r="AB113" i="23"/>
  <c r="AF113" i="23" s="1"/>
  <c r="AB349" i="23"/>
  <c r="AF349" i="23" s="1"/>
  <c r="AB196" i="23"/>
  <c r="AF196" i="23" s="1"/>
  <c r="AB124" i="23"/>
  <c r="AF124" i="23" s="1"/>
  <c r="AB251" i="23"/>
  <c r="AF251" i="23" s="1"/>
  <c r="AB99" i="23"/>
  <c r="AF99" i="23" s="1"/>
  <c r="AB114" i="23"/>
  <c r="AF114" i="23" s="1"/>
  <c r="AB256" i="23"/>
  <c r="AF256" i="23" s="1"/>
  <c r="AB115" i="23"/>
  <c r="AF115" i="23" s="1"/>
  <c r="AB152" i="23"/>
  <c r="AF152" i="23" s="1"/>
  <c r="AB236" i="23"/>
  <c r="AF236" i="23" s="1"/>
  <c r="AB120" i="23"/>
  <c r="AF120" i="23" s="1"/>
  <c r="AB167" i="23"/>
  <c r="AF167" i="23" s="1"/>
  <c r="AB241" i="23"/>
  <c r="AF241" i="23" s="1"/>
  <c r="AB116" i="23"/>
  <c r="AF116" i="23" s="1"/>
  <c r="AB157" i="23"/>
  <c r="AF157" i="23" s="1"/>
  <c r="AB226" i="23"/>
  <c r="AF226" i="23" s="1"/>
  <c r="AB83" i="23"/>
  <c r="AF83" i="23" s="1"/>
  <c r="AB209" i="23"/>
  <c r="AF209" i="23" s="1"/>
  <c r="AB199" i="23"/>
  <c r="AF199" i="23" s="1"/>
  <c r="AB276" i="23"/>
  <c r="AF276" i="23" s="1"/>
  <c r="AB255" i="23"/>
  <c r="AF255" i="23" s="1"/>
  <c r="AB238" i="23"/>
  <c r="AF238" i="23" s="1"/>
  <c r="AH85" i="23" l="1"/>
  <c r="T85" i="23"/>
  <c r="AP85" i="23"/>
  <c r="AH81" i="23"/>
  <c r="AP81" i="23"/>
  <c r="T81" i="23"/>
  <c r="T82" i="23"/>
  <c r="AP82" i="23"/>
  <c r="AH82" i="23"/>
  <c r="AP83" i="23"/>
  <c r="T83" i="23"/>
  <c r="AH83" i="23"/>
  <c r="AH79" i="23"/>
  <c r="AP79" i="23"/>
  <c r="T79" i="23"/>
  <c r="AP80" i="23"/>
  <c r="AH80" i="23"/>
  <c r="T80" i="23"/>
  <c r="AP84" i="23"/>
  <c r="T84" i="23"/>
  <c r="AH84" i="23"/>
  <c r="T78" i="23"/>
  <c r="AP78" i="23"/>
  <c r="AH78" i="23"/>
  <c r="AP159" i="23"/>
  <c r="AH159" i="23"/>
  <c r="T159" i="23"/>
  <c r="AP158" i="23"/>
  <c r="AH158" i="23"/>
  <c r="T158" i="23"/>
  <c r="AP162" i="23"/>
  <c r="T162" i="23"/>
  <c r="AH162" i="23"/>
  <c r="T161" i="23"/>
  <c r="AP161" i="23"/>
  <c r="AH161" i="23"/>
  <c r="AP160" i="23"/>
  <c r="AH160" i="23"/>
  <c r="T160" i="23"/>
  <c r="AP157" i="23"/>
  <c r="T157" i="23"/>
  <c r="AH157" i="23"/>
  <c r="T172" i="23"/>
  <c r="AP172" i="23"/>
  <c r="AH172" i="23"/>
  <c r="AP171" i="23"/>
  <c r="T171" i="23"/>
  <c r="AH171" i="23"/>
  <c r="T170" i="23"/>
  <c r="AH170" i="23"/>
  <c r="AP170" i="23"/>
  <c r="AP169" i="23"/>
  <c r="AH169" i="23"/>
  <c r="T169" i="23"/>
  <c r="AP168" i="23"/>
  <c r="AH168" i="23"/>
  <c r="T168" i="23"/>
  <c r="CE59" i="23"/>
  <c r="CF59" i="23" s="1"/>
  <c r="CD60" i="23"/>
  <c r="AF61" i="23"/>
  <c r="AB373" i="23" a="1"/>
  <c r="AB373" i="23" s="1"/>
  <c r="AF373" i="23" s="1" a="1"/>
  <c r="AF373" i="23" s="1"/>
  <c r="E16" i="23" s="1"/>
  <c r="AS306" i="23" l="1"/>
  <c r="AS305" i="23"/>
  <c r="AS302" i="23"/>
  <c r="AS310" i="23"/>
  <c r="AS308" i="23"/>
  <c r="AS307" i="23"/>
  <c r="AS301" i="23"/>
  <c r="AS304" i="23"/>
  <c r="AS309" i="23"/>
  <c r="AS300" i="23"/>
  <c r="AS303" i="23"/>
  <c r="AS335" i="23"/>
  <c r="AS344" i="23"/>
  <c r="AS340" i="23"/>
  <c r="AS343" i="23"/>
  <c r="AS338" i="23"/>
  <c r="AS342" i="23"/>
  <c r="AS341" i="23"/>
  <c r="AS345" i="23"/>
  <c r="AS346" i="23"/>
  <c r="AS339" i="23"/>
  <c r="AD79" i="23"/>
  <c r="K79" i="23"/>
  <c r="J79" i="23"/>
  <c r="U79" i="23"/>
  <c r="U82" i="23"/>
  <c r="AD82" i="23"/>
  <c r="K82" i="23"/>
  <c r="J82" i="23"/>
  <c r="AD81" i="23"/>
  <c r="J81" i="23"/>
  <c r="U81" i="23"/>
  <c r="K81" i="23"/>
  <c r="AT84" i="23"/>
  <c r="AJ84" i="23"/>
  <c r="AL84" i="23"/>
  <c r="AK84" i="23"/>
  <c r="AT79" i="23"/>
  <c r="AK79" i="23"/>
  <c r="AJ79" i="23"/>
  <c r="AL79" i="23"/>
  <c r="AK80" i="23"/>
  <c r="AJ80" i="23"/>
  <c r="AL80" i="23"/>
  <c r="AT80" i="23"/>
  <c r="AK82" i="23"/>
  <c r="AJ82" i="23"/>
  <c r="AT82" i="23"/>
  <c r="AL82" i="23"/>
  <c r="K84" i="23"/>
  <c r="J84" i="23"/>
  <c r="AD84" i="23"/>
  <c r="U84" i="23"/>
  <c r="AT83" i="23"/>
  <c r="AL83" i="23"/>
  <c r="AJ83" i="23"/>
  <c r="AK83" i="23"/>
  <c r="AT81" i="23"/>
  <c r="AL81" i="23"/>
  <c r="AJ81" i="23"/>
  <c r="AK81" i="23"/>
  <c r="AL85" i="23"/>
  <c r="AK85" i="23"/>
  <c r="AJ85" i="23"/>
  <c r="AT85" i="23"/>
  <c r="J83" i="23"/>
  <c r="AD83" i="23"/>
  <c r="U83" i="23"/>
  <c r="K83" i="23"/>
  <c r="K80" i="23"/>
  <c r="AD80" i="23"/>
  <c r="J80" i="23"/>
  <c r="U80" i="23"/>
  <c r="J85" i="23"/>
  <c r="U85" i="23"/>
  <c r="K85" i="23"/>
  <c r="AD85" i="23"/>
  <c r="AJ78" i="23"/>
  <c r="AT78" i="23"/>
  <c r="AK78" i="23"/>
  <c r="AL78" i="23"/>
  <c r="U78" i="23"/>
  <c r="AD78" i="23"/>
  <c r="K78" i="23"/>
  <c r="J78" i="23"/>
  <c r="AS47" i="23"/>
  <c r="AS43" i="23"/>
  <c r="AS44" i="23"/>
  <c r="AS45" i="23"/>
  <c r="AS46" i="23"/>
  <c r="AS332" i="23"/>
  <c r="AS334" i="23"/>
  <c r="AS330" i="23"/>
  <c r="AS333" i="23"/>
  <c r="AS329" i="23"/>
  <c r="AS336" i="23"/>
  <c r="AS337" i="23"/>
  <c r="AS331" i="23"/>
  <c r="AS320" i="23"/>
  <c r="AS326" i="23"/>
  <c r="AS322" i="23"/>
  <c r="AS324" i="23"/>
  <c r="AS327" i="23"/>
  <c r="AS321" i="23"/>
  <c r="AS325" i="23"/>
  <c r="AS328" i="23"/>
  <c r="AS323" i="23"/>
  <c r="AS319" i="23"/>
  <c r="AS316" i="23"/>
  <c r="AS318" i="23"/>
  <c r="AS315" i="23"/>
  <c r="AS317" i="23"/>
  <c r="AS314" i="23"/>
  <c r="AS312" i="23"/>
  <c r="AS311" i="23"/>
  <c r="AS313" i="23"/>
  <c r="AS291" i="23"/>
  <c r="AS295" i="23"/>
  <c r="AS290" i="23"/>
  <c r="AS293" i="23"/>
  <c r="AS298" i="23"/>
  <c r="AS294" i="23"/>
  <c r="AS289" i="23"/>
  <c r="AS296" i="23"/>
  <c r="AS299" i="23"/>
  <c r="AS292" i="23"/>
  <c r="AS288" i="23"/>
  <c r="AS297" i="23"/>
  <c r="BY280" i="23"/>
  <c r="AS277" i="23"/>
  <c r="AS130" i="23"/>
  <c r="AS132" i="23"/>
  <c r="AS131" i="23"/>
  <c r="AS125" i="23"/>
  <c r="AS126" i="23"/>
  <c r="AS127" i="23"/>
  <c r="AS54" i="23"/>
  <c r="AS55" i="23"/>
  <c r="AS52" i="23"/>
  <c r="AS53" i="23"/>
  <c r="AS30" i="23"/>
  <c r="AS41" i="23"/>
  <c r="AS39" i="23"/>
  <c r="AS227" i="23"/>
  <c r="AS217" i="23"/>
  <c r="AS207" i="23"/>
  <c r="AD158" i="23"/>
  <c r="K158" i="23"/>
  <c r="U158" i="23"/>
  <c r="J158" i="23"/>
  <c r="AJ158" i="23"/>
  <c r="AL158" i="23"/>
  <c r="AK158" i="23"/>
  <c r="AT158" i="23"/>
  <c r="AS158" i="23"/>
  <c r="J159" i="23"/>
  <c r="U159" i="23"/>
  <c r="AD159" i="23"/>
  <c r="K159" i="23"/>
  <c r="AK159" i="23"/>
  <c r="AL159" i="23"/>
  <c r="AJ159" i="23"/>
  <c r="AT159" i="23"/>
  <c r="AS159" i="23"/>
  <c r="AS128" i="23"/>
  <c r="AS129" i="23"/>
  <c r="J162" i="23"/>
  <c r="AD162" i="23"/>
  <c r="K162" i="23"/>
  <c r="U162" i="23"/>
  <c r="AJ162" i="23"/>
  <c r="AL162" i="23"/>
  <c r="AT162" i="23"/>
  <c r="AK162" i="23"/>
  <c r="AT161" i="23"/>
  <c r="AJ161" i="23"/>
  <c r="AK161" i="23"/>
  <c r="AL161" i="23"/>
  <c r="K161" i="23"/>
  <c r="J161" i="23"/>
  <c r="U161" i="23"/>
  <c r="AD161" i="23"/>
  <c r="AD160" i="23"/>
  <c r="K160" i="23"/>
  <c r="U160" i="23"/>
  <c r="J160" i="23"/>
  <c r="AK160" i="23"/>
  <c r="AJ160" i="23"/>
  <c r="AL160" i="23"/>
  <c r="AT160" i="23"/>
  <c r="AL157" i="23"/>
  <c r="AJ157" i="23"/>
  <c r="AK157" i="23"/>
  <c r="AT157" i="23"/>
  <c r="AD157" i="23"/>
  <c r="J157" i="23"/>
  <c r="U157" i="23"/>
  <c r="K157" i="23"/>
  <c r="AS283" i="23"/>
  <c r="AS281" i="23"/>
  <c r="AS285" i="23"/>
  <c r="AS286" i="23"/>
  <c r="AS287" i="23"/>
  <c r="AS280" i="23"/>
  <c r="AS282" i="23"/>
  <c r="AS284" i="23"/>
  <c r="AL172" i="23"/>
  <c r="AK172" i="23"/>
  <c r="AJ172" i="23"/>
  <c r="AT172" i="23"/>
  <c r="K172" i="23"/>
  <c r="J172" i="23"/>
  <c r="U172" i="23"/>
  <c r="AD172" i="23"/>
  <c r="AL171" i="23"/>
  <c r="AT171" i="23"/>
  <c r="AK171" i="23"/>
  <c r="AJ171" i="23"/>
  <c r="AD171" i="23"/>
  <c r="J171" i="23"/>
  <c r="K171" i="23"/>
  <c r="U171" i="23"/>
  <c r="AL170" i="23"/>
  <c r="AJ170" i="23"/>
  <c r="AK170" i="23"/>
  <c r="AT170" i="23"/>
  <c r="K170" i="23"/>
  <c r="J170" i="23"/>
  <c r="U170" i="23"/>
  <c r="AD170" i="23"/>
  <c r="K169" i="23"/>
  <c r="U169" i="23"/>
  <c r="AD169" i="23"/>
  <c r="J169" i="23"/>
  <c r="AL169" i="23"/>
  <c r="AK169" i="23"/>
  <c r="AJ169" i="23"/>
  <c r="AT169" i="23"/>
  <c r="K168" i="23"/>
  <c r="AD168" i="23"/>
  <c r="U168" i="23"/>
  <c r="J168" i="23"/>
  <c r="AL168" i="23"/>
  <c r="AH373" i="23" a="1"/>
  <c r="AH373" i="23" s="1"/>
  <c r="AT168" i="23"/>
  <c r="AK168" i="23"/>
  <c r="AJ168" i="23"/>
  <c r="AS201" i="23"/>
  <c r="AS171" i="23"/>
  <c r="AS176" i="23"/>
  <c r="AS150" i="23"/>
  <c r="AS220" i="23"/>
  <c r="AS258" i="23"/>
  <c r="AS140" i="23"/>
  <c r="AS151" i="23"/>
  <c r="AS162" i="23"/>
  <c r="AS155" i="23"/>
  <c r="AS81" i="23"/>
  <c r="AS189" i="23"/>
  <c r="AS253" i="23"/>
  <c r="AS83" i="23"/>
  <c r="AS231" i="23"/>
  <c r="AS167" i="23"/>
  <c r="AS190" i="23"/>
  <c r="AS249" i="23"/>
  <c r="AS245" i="23"/>
  <c r="AS172" i="23"/>
  <c r="AS347" i="23"/>
  <c r="AS99" i="23"/>
  <c r="AS182" i="23"/>
  <c r="AS148" i="23"/>
  <c r="AS133" i="23"/>
  <c r="AS198" i="23"/>
  <c r="AS71" i="23"/>
  <c r="AS68" i="23"/>
  <c r="AS96" i="23"/>
  <c r="AS108" i="23"/>
  <c r="AS106" i="23"/>
  <c r="AS187" i="23"/>
  <c r="AS206" i="23"/>
  <c r="AS118" i="23"/>
  <c r="AS256" i="23"/>
  <c r="AS111" i="23"/>
  <c r="AS37" i="23"/>
  <c r="AS94" i="23"/>
  <c r="AS137" i="23"/>
  <c r="AS114" i="23"/>
  <c r="AS254" i="23"/>
  <c r="AS193" i="23"/>
  <c r="AS263" i="23"/>
  <c r="AS139" i="23"/>
  <c r="AS67" i="23"/>
  <c r="AS141" i="23"/>
  <c r="AS246" i="23"/>
  <c r="AS178" i="23"/>
  <c r="AS224" i="23"/>
  <c r="AS153" i="23"/>
  <c r="AS120" i="23"/>
  <c r="AS278" i="23"/>
  <c r="AS276" i="23"/>
  <c r="AS82" i="23"/>
  <c r="AS100" i="23"/>
  <c r="AS103" i="23"/>
  <c r="AS185" i="23"/>
  <c r="AS145" i="23"/>
  <c r="AS31" i="23"/>
  <c r="AS173" i="23"/>
  <c r="AS119" i="23"/>
  <c r="AS124" i="23"/>
  <c r="AS226" i="23"/>
  <c r="AS160" i="23"/>
  <c r="AS241" i="23"/>
  <c r="AS211" i="23"/>
  <c r="AS42" i="23"/>
  <c r="AS235" i="23"/>
  <c r="AS271" i="23"/>
  <c r="AS208" i="23"/>
  <c r="AS230" i="23"/>
  <c r="AS38" i="23"/>
  <c r="AS264" i="23"/>
  <c r="AS51" i="23"/>
  <c r="AS92" i="23"/>
  <c r="AS221" i="23"/>
  <c r="AS60" i="23"/>
  <c r="AS136" i="23"/>
  <c r="AS199" i="23"/>
  <c r="AS177" i="23"/>
  <c r="AS102" i="23"/>
  <c r="AS223" i="23"/>
  <c r="AS32" i="23"/>
  <c r="AS88" i="23"/>
  <c r="AS117" i="23"/>
  <c r="AS175" i="23"/>
  <c r="AS247" i="23"/>
  <c r="AS107" i="23"/>
  <c r="AS229" i="23"/>
  <c r="AS122" i="23"/>
  <c r="AS270" i="23"/>
  <c r="AS80" i="23"/>
  <c r="AS228" i="23"/>
  <c r="AS59" i="23"/>
  <c r="AS236" i="23"/>
  <c r="AS123" i="23"/>
  <c r="AS115" i="23"/>
  <c r="AS251" i="23"/>
  <c r="AS28" i="23"/>
  <c r="AS84" i="23"/>
  <c r="AS89" i="23"/>
  <c r="AS191" i="23"/>
  <c r="AS86" i="23"/>
  <c r="AS218" i="23"/>
  <c r="AS76" i="23"/>
  <c r="AS78" i="23"/>
  <c r="AS66" i="23"/>
  <c r="AS348" i="23"/>
  <c r="AS192" i="23"/>
  <c r="AS142" i="23"/>
  <c r="AS204" i="23"/>
  <c r="AS240" i="23"/>
  <c r="AS214" i="23"/>
  <c r="AS350" i="23"/>
  <c r="AS349" i="23"/>
  <c r="AS237" i="23"/>
  <c r="AS195" i="23"/>
  <c r="AS266" i="23"/>
  <c r="AS255" i="23"/>
  <c r="AS147" i="23"/>
  <c r="AS56" i="23"/>
  <c r="AS97" i="23"/>
  <c r="AS233" i="23"/>
  <c r="AS165" i="23"/>
  <c r="AS109" i="23"/>
  <c r="AS91" i="23"/>
  <c r="AS200" i="23"/>
  <c r="AS260" i="23"/>
  <c r="AS161" i="23"/>
  <c r="AS65" i="23"/>
  <c r="AS72" i="23"/>
  <c r="AS50" i="23"/>
  <c r="AS244" i="23"/>
  <c r="AS259" i="23"/>
  <c r="AS197" i="23"/>
  <c r="AS183" i="23"/>
  <c r="AS265" i="23"/>
  <c r="AS146" i="23"/>
  <c r="AS73" i="23"/>
  <c r="AS210" i="23"/>
  <c r="AS225" i="23"/>
  <c r="AS121" i="23"/>
  <c r="AS98" i="23"/>
  <c r="AS113" i="23"/>
  <c r="AS234" i="23"/>
  <c r="AS243" i="23"/>
  <c r="AS215" i="23"/>
  <c r="AS219" i="23"/>
  <c r="AS238" i="23"/>
  <c r="AS104" i="23"/>
  <c r="AS186" i="23"/>
  <c r="AS269" i="23"/>
  <c r="AS29" i="23"/>
  <c r="AS188" i="23"/>
  <c r="AS216" i="23"/>
  <c r="AS105" i="23"/>
  <c r="AS69" i="23"/>
  <c r="AS110" i="23"/>
  <c r="AS112" i="23"/>
  <c r="AS157" i="23"/>
  <c r="AS135" i="23"/>
  <c r="AS196" i="23"/>
  <c r="AS138" i="23"/>
  <c r="AS85" i="23"/>
  <c r="AS209" i="23"/>
  <c r="AS168" i="23"/>
  <c r="AS274" i="23"/>
  <c r="AS180" i="23"/>
  <c r="AS222" i="23"/>
  <c r="AS250" i="23"/>
  <c r="AS95" i="23"/>
  <c r="AS164" i="23"/>
  <c r="AS239" i="23"/>
  <c r="AS101" i="23"/>
  <c r="AS90" i="23"/>
  <c r="AS203" i="23"/>
  <c r="AS116" i="23"/>
  <c r="AS170" i="23"/>
  <c r="AS79" i="23"/>
  <c r="AS163" i="23"/>
  <c r="AS134" i="23"/>
  <c r="AS166" i="23"/>
  <c r="AS242" i="23"/>
  <c r="AS174" i="23"/>
  <c r="AS212" i="23"/>
  <c r="AS57" i="23"/>
  <c r="AS232" i="23"/>
  <c r="AS48" i="23"/>
  <c r="AS213" i="23"/>
  <c r="AS181" i="23"/>
  <c r="AS58" i="23"/>
  <c r="AS257" i="23"/>
  <c r="AS144" i="23"/>
  <c r="AS261" i="23"/>
  <c r="AS268" i="23"/>
  <c r="AS40" i="23"/>
  <c r="AS202" i="23"/>
  <c r="AS179" i="23"/>
  <c r="AS194" i="23"/>
  <c r="AS152" i="23"/>
  <c r="AS184" i="23"/>
  <c r="AS267" i="23"/>
  <c r="AS149" i="23"/>
  <c r="AS169" i="23"/>
  <c r="AS77" i="23"/>
  <c r="AS93" i="23"/>
  <c r="AS87" i="23"/>
  <c r="AS262" i="23"/>
  <c r="AS49" i="23"/>
  <c r="AS143" i="23"/>
  <c r="AS279" i="23"/>
  <c r="AS273" i="23"/>
  <c r="AS154" i="23"/>
  <c r="AS205" i="23"/>
  <c r="AS70" i="23"/>
  <c r="AS75" i="23"/>
  <c r="AS156" i="23"/>
  <c r="AS272" i="23"/>
  <c r="AS248" i="23"/>
  <c r="AS36" i="23"/>
  <c r="AS252" i="23"/>
  <c r="AS275" i="23"/>
  <c r="AS74" i="23"/>
  <c r="BY276" i="23"/>
  <c r="CE60" i="23"/>
  <c r="CF60" i="23" s="1"/>
  <c r="CD61" i="23"/>
  <c r="BY278" i="23"/>
  <c r="BY70" i="23"/>
  <c r="BX85" i="23" l="1"/>
  <c r="Z85" i="23"/>
  <c r="BX82" i="23"/>
  <c r="Z82" i="23"/>
  <c r="BX80" i="23"/>
  <c r="Z80" i="23"/>
  <c r="BX81" i="23"/>
  <c r="Z81" i="23"/>
  <c r="BX79" i="23"/>
  <c r="Z79" i="23"/>
  <c r="BX84" i="23"/>
  <c r="Z84" i="23"/>
  <c r="BX83" i="23"/>
  <c r="Z83" i="23"/>
  <c r="AM85" i="23"/>
  <c r="AN85" i="23" s="1"/>
  <c r="AO85" i="23" s="1"/>
  <c r="AU85" i="23" s="1"/>
  <c r="AM83" i="23"/>
  <c r="AN83" i="23" s="1"/>
  <c r="AO83" i="23" s="1"/>
  <c r="AU83" i="23" s="1"/>
  <c r="AM81" i="23"/>
  <c r="AN81" i="23" s="1"/>
  <c r="AO81" i="23" s="1"/>
  <c r="AU81" i="23" s="1"/>
  <c r="AM79" i="23"/>
  <c r="AN79" i="23" s="1"/>
  <c r="AO79" i="23" s="1"/>
  <c r="AU79" i="23" s="1"/>
  <c r="AM80" i="23"/>
  <c r="AN80" i="23" s="1"/>
  <c r="AO80" i="23" s="1"/>
  <c r="AU80" i="23" s="1"/>
  <c r="AM84" i="23"/>
  <c r="AN84" i="23" s="1"/>
  <c r="AO84" i="23" s="1"/>
  <c r="AU84" i="23" s="1"/>
  <c r="AM82" i="23"/>
  <c r="AN82" i="23" s="1"/>
  <c r="AO82" i="23" s="1"/>
  <c r="AU82" i="23" s="1"/>
  <c r="BX78" i="23"/>
  <c r="Z78" i="23"/>
  <c r="AM78" i="23"/>
  <c r="AN78" i="23" s="1"/>
  <c r="AO78" i="23" s="1"/>
  <c r="AU78" i="23" s="1"/>
  <c r="BX158" i="23"/>
  <c r="Z158" i="23"/>
  <c r="BX159" i="23"/>
  <c r="Z159" i="23"/>
  <c r="AM158" i="23"/>
  <c r="AN158" i="23" s="1"/>
  <c r="AO158" i="23" s="1"/>
  <c r="AU158" i="23" s="1"/>
  <c r="AM159" i="23"/>
  <c r="AN159" i="23" s="1"/>
  <c r="AO159" i="23" s="1"/>
  <c r="AU159" i="23" s="1"/>
  <c r="BX162" i="23"/>
  <c r="Z162" i="23"/>
  <c r="BX161" i="23"/>
  <c r="Z161" i="23"/>
  <c r="BX160" i="23"/>
  <c r="Z160" i="23"/>
  <c r="BX157" i="23"/>
  <c r="Z157" i="23"/>
  <c r="AM160" i="23"/>
  <c r="AN160" i="23" s="1"/>
  <c r="AO160" i="23" s="1"/>
  <c r="AU160" i="23" s="1"/>
  <c r="AM162" i="23"/>
  <c r="AN162" i="23" s="1"/>
  <c r="AO162" i="23" s="1"/>
  <c r="AU162" i="23" s="1"/>
  <c r="AM161" i="23"/>
  <c r="AN161" i="23" s="1"/>
  <c r="AO161" i="23" s="1"/>
  <c r="AU161" i="23" s="1"/>
  <c r="AM157" i="23"/>
  <c r="AN157" i="23" s="1"/>
  <c r="AO157" i="23" s="1"/>
  <c r="AU157" i="23" s="1"/>
  <c r="AM172" i="23"/>
  <c r="AN172" i="23" s="1"/>
  <c r="AO172" i="23" s="1"/>
  <c r="AU172" i="23" s="1"/>
  <c r="BX172" i="23"/>
  <c r="Z172" i="23"/>
  <c r="BX171" i="23"/>
  <c r="Z171" i="23"/>
  <c r="AL373" i="23" a="1"/>
  <c r="AL373" i="23" s="1"/>
  <c r="AM171" i="23"/>
  <c r="AN171" i="23" s="1"/>
  <c r="AO171" i="23" s="1"/>
  <c r="AU171" i="23" s="1"/>
  <c r="AM170" i="23"/>
  <c r="AN170" i="23" s="1"/>
  <c r="AO170" i="23" s="1"/>
  <c r="AU170" i="23" s="1"/>
  <c r="AK373" i="23" a="1"/>
  <c r="AK373" i="23" s="1"/>
  <c r="AM169" i="23"/>
  <c r="AN169" i="23" s="1"/>
  <c r="AO169" i="23" s="1"/>
  <c r="AU169" i="23" s="1"/>
  <c r="BX170" i="23"/>
  <c r="Z170" i="23"/>
  <c r="AD373" i="23" a="1"/>
  <c r="AD373" i="23" s="1"/>
  <c r="BX169" i="23"/>
  <c r="Z169" i="23"/>
  <c r="BH23" i="23"/>
  <c r="BG23" i="23" s="1"/>
  <c r="AT373" i="23"/>
  <c r="E17" i="23" s="1"/>
  <c r="BX168" i="23"/>
  <c r="Z168" i="23"/>
  <c r="AX9" i="23"/>
  <c r="AX15" i="23" s="1"/>
  <c r="E4" i="23"/>
  <c r="AM168" i="23"/>
  <c r="AJ373" i="23" a="1"/>
  <c r="AJ373" i="23" s="1"/>
  <c r="CE61" i="23"/>
  <c r="CF61" i="23" s="1"/>
  <c r="CD62" i="23"/>
  <c r="BY279" i="23"/>
  <c r="E18" i="23" l="1"/>
  <c r="AN168" i="23"/>
  <c r="AM373" i="23" a="1"/>
  <c r="AM373" i="23" s="1"/>
  <c r="CE62" i="23"/>
  <c r="CF62" i="23" s="1"/>
  <c r="J70" i="24" l="1"/>
  <c r="J65" i="24"/>
  <c r="J66" i="24"/>
  <c r="J64" i="24"/>
  <c r="J71" i="24"/>
  <c r="J69" i="24"/>
  <c r="J73" i="24"/>
  <c r="J72" i="24"/>
  <c r="J67" i="24"/>
  <c r="AO168" i="23"/>
  <c r="AN373" i="23" a="1"/>
  <c r="AN373" i="23" s="1"/>
  <c r="AU168" i="23" l="1"/>
  <c r="AO373" i="23" a="1"/>
  <c r="AO373" i="23" s="1"/>
  <c r="AU373" i="23" s="1"/>
  <c r="BY173" i="23"/>
  <c r="BY171" i="23"/>
  <c r="BY170" i="23"/>
  <c r="BY172" i="23"/>
  <c r="BY169" i="23"/>
  <c r="BY71" i="23"/>
  <c r="BY74" i="23" l="1"/>
  <c r="BY168" i="23" l="1"/>
  <c r="BY246" i="23" l="1"/>
  <c r="BY166" i="23" l="1"/>
  <c r="BY167" i="23"/>
  <c r="BY229" i="23"/>
  <c r="BY245" i="23"/>
  <c r="BY232" i="23"/>
  <c r="BY222" i="23"/>
  <c r="BY234" i="23"/>
  <c r="BY221" i="23"/>
  <c r="BY242" i="23"/>
  <c r="BY244" i="23"/>
  <c r="BY212" i="23"/>
  <c r="BY165" i="23" l="1"/>
  <c r="BY114" i="23" l="1"/>
  <c r="BY213" i="23"/>
  <c r="BY118" i="23"/>
  <c r="BY112" i="23"/>
  <c r="BY111" i="23"/>
  <c r="BY116" i="23"/>
  <c r="BY113" i="23"/>
  <c r="BY115" i="23"/>
  <c r="BY117" i="23"/>
  <c r="BY56" i="23"/>
  <c r="BY60" i="23"/>
  <c r="BY59" i="23"/>
  <c r="BY50" i="23"/>
  <c r="BY49" i="23"/>
  <c r="BY51" i="23"/>
  <c r="BY58" i="23"/>
  <c r="BY48" i="23"/>
  <c r="BY57" i="23"/>
  <c r="BY131" i="23"/>
  <c r="BY132" i="23"/>
  <c r="BY130" i="23"/>
  <c r="BY126" i="23"/>
  <c r="BY125" i="23"/>
  <c r="BY127" i="23"/>
  <c r="BY53" i="23"/>
  <c r="BY55" i="23"/>
  <c r="BY54" i="23"/>
  <c r="BY227" i="23"/>
  <c r="BY217" i="23"/>
  <c r="BY207" i="23"/>
  <c r="BY159" i="23"/>
  <c r="BY128" i="23"/>
  <c r="BY129" i="23"/>
  <c r="BY80" i="23"/>
  <c r="BY83" i="23"/>
  <c r="BY81" i="23"/>
  <c r="BY79" i="23"/>
  <c r="BY85" i="23"/>
  <c r="BY84" i="23"/>
  <c r="BY82" i="23"/>
  <c r="BY164" i="23"/>
  <c r="BY69" i="23"/>
  <c r="BY78" i="23"/>
  <c r="BY110" i="23"/>
  <c r="BY139" i="23"/>
  <c r="BY163" i="23"/>
  <c r="BY220" i="23"/>
  <c r="BY144" i="23"/>
  <c r="BY211" i="23"/>
  <c r="BY137" i="23" l="1"/>
  <c r="BY106" i="23" l="1"/>
  <c r="BY196" i="23" l="1"/>
  <c r="BY195" i="23"/>
  <c r="BY194" i="23"/>
  <c r="BY105" i="23"/>
  <c r="BY103" i="23"/>
  <c r="BY219" i="23" l="1"/>
  <c r="BY65" i="23" l="1"/>
  <c r="BY75" i="23"/>
  <c r="BY86" i="23"/>
  <c r="BY87" i="23"/>
  <c r="BY88" i="23"/>
  <c r="BY94" i="23"/>
  <c r="BY95" i="23"/>
  <c r="BY101" i="23"/>
  <c r="BY107" i="23"/>
  <c r="BY108" i="23"/>
  <c r="BY109" i="23"/>
  <c r="BY123" i="23"/>
  <c r="BY124" i="23"/>
  <c r="BY134" i="23"/>
  <c r="BY135" i="23"/>
  <c r="BY140" i="23"/>
  <c r="BY141" i="23"/>
  <c r="BY142" i="23"/>
  <c r="BY143" i="23"/>
  <c r="BY145" i="23"/>
  <c r="BY146" i="23"/>
  <c r="BY147" i="23"/>
  <c r="BY148" i="23"/>
  <c r="BY149" i="23"/>
  <c r="BY150" i="23"/>
  <c r="BY151" i="23"/>
  <c r="BY152" i="23"/>
  <c r="BY153" i="23"/>
  <c r="BY154" i="23"/>
  <c r="BY155" i="23"/>
  <c r="BY156" i="23"/>
  <c r="BY160" i="23"/>
  <c r="BY161" i="23"/>
  <c r="BY162" i="23"/>
  <c r="BY174" i="23"/>
  <c r="BY175" i="23"/>
  <c r="BY176" i="23"/>
  <c r="BY177" i="23"/>
  <c r="BY178" i="23"/>
  <c r="BY179" i="23"/>
  <c r="BY180" i="23"/>
  <c r="BY181" i="23"/>
  <c r="BY182" i="23"/>
  <c r="BY183" i="23"/>
  <c r="BY184" i="23"/>
  <c r="BY185" i="23"/>
  <c r="BY186" i="23"/>
  <c r="BY187" i="23"/>
  <c r="BY188" i="23"/>
  <c r="BY190" i="23"/>
  <c r="BY197" i="23"/>
  <c r="BY198" i="23"/>
  <c r="BY199" i="23"/>
  <c r="BY203" i="23"/>
  <c r="BY204" i="23"/>
  <c r="BY205" i="23"/>
  <c r="BY206" i="23"/>
  <c r="BY209" i="23"/>
  <c r="BY210" i="23"/>
  <c r="BY215" i="23"/>
  <c r="BY218" i="23"/>
  <c r="BY225" i="23"/>
  <c r="BY239" i="23"/>
  <c r="BY216" i="23" l="1"/>
  <c r="E22" i="23" l="1"/>
  <c r="E23" i="23" s="1"/>
  <c r="AC374" i="23" l="1"/>
  <c r="AC3" i="3" l="1"/>
  <c r="C6" i="22" l="1"/>
  <c r="C8" i="22" l="1"/>
  <c r="C7" i="22"/>
  <c r="C5" i="22"/>
  <c r="C9" i="22" l="1"/>
  <c r="C4" i="22" l="1"/>
  <c r="C14" i="22" l="1"/>
  <c r="E5" i="22" l="1"/>
  <c r="E8" i="22"/>
  <c r="E6" i="22"/>
  <c r="E7" i="22"/>
  <c r="E9" i="22"/>
  <c r="E4" i="22"/>
  <c r="E14" i="22" l="1"/>
  <c r="CA223" i="23" l="1"/>
  <c r="CA89" i="23"/>
  <c r="CA182" i="23"/>
  <c r="CC181" i="23" s="1"/>
  <c r="CC182" i="23" s="1"/>
  <c r="CF182" i="23" s="1"/>
  <c r="CA259" i="23"/>
  <c r="CA73" i="23"/>
  <c r="CC72" i="23" s="1"/>
  <c r="CC73" i="23" s="1"/>
  <c r="CF73" i="23" s="1"/>
  <c r="CA128" i="23"/>
  <c r="CA281" i="23"/>
  <c r="CA84" i="23"/>
  <c r="CA276" i="23"/>
  <c r="CA286" i="23"/>
  <c r="CA83" i="23"/>
  <c r="CA82" i="23"/>
  <c r="CA347" i="23"/>
  <c r="CA285" i="23"/>
  <c r="CA81" i="23"/>
  <c r="CA348" i="23"/>
  <c r="CA280" i="23"/>
  <c r="CA349" i="23"/>
  <c r="CA78" i="23"/>
  <c r="CA283" i="23"/>
  <c r="CA287" i="23"/>
  <c r="CA79" i="23"/>
  <c r="CA279" i="23"/>
  <c r="CA284" i="23"/>
  <c r="CA85" i="23"/>
  <c r="CA350" i="23"/>
  <c r="CA80" i="23"/>
  <c r="CA282" i="23"/>
  <c r="CA129" i="23"/>
  <c r="CA278" i="23"/>
  <c r="CA260" i="23"/>
  <c r="CA28" i="23"/>
  <c r="CA100" i="23"/>
  <c r="CA156" i="23"/>
  <c r="CA221" i="23"/>
  <c r="CA29" i="23"/>
  <c r="CA68" i="23"/>
  <c r="CA109" i="23"/>
  <c r="CA117" i="23"/>
  <c r="CA133" i="23"/>
  <c r="CA141" i="23"/>
  <c r="CA149" i="23"/>
  <c r="CA157" i="23"/>
  <c r="CA169" i="23"/>
  <c r="CA177" i="23"/>
  <c r="CA188" i="23"/>
  <c r="CA204" i="23"/>
  <c r="CA213" i="23"/>
  <c r="CA222" i="23"/>
  <c r="CA268" i="23"/>
  <c r="CA258" i="23"/>
  <c r="CA250" i="23"/>
  <c r="CA242" i="23"/>
  <c r="CA233" i="23"/>
  <c r="CA31" i="23"/>
  <c r="CA49" i="23"/>
  <c r="CA61" i="23"/>
  <c r="CA69" i="23"/>
  <c r="CA77" i="23"/>
  <c r="CA94" i="23"/>
  <c r="CA102" i="23"/>
  <c r="CA110" i="23"/>
  <c r="CA118" i="23"/>
  <c r="CA134" i="23"/>
  <c r="CA142" i="23"/>
  <c r="CA150" i="23"/>
  <c r="CA160" i="23"/>
  <c r="CA170" i="23"/>
  <c r="CA178" i="23"/>
  <c r="CA197" i="23"/>
  <c r="CA205" i="23"/>
  <c r="CA214" i="23"/>
  <c r="CA236" i="23"/>
  <c r="CA108" i="23"/>
  <c r="CA203" i="23"/>
  <c r="CA266" i="23"/>
  <c r="CA50" i="23"/>
  <c r="CA86" i="23"/>
  <c r="CA103" i="23"/>
  <c r="CA135" i="23"/>
  <c r="CA161" i="23"/>
  <c r="CA198" i="23"/>
  <c r="CA215" i="23"/>
  <c r="CA270" i="23"/>
  <c r="CA42" i="23"/>
  <c r="CA92" i="23"/>
  <c r="CA148" i="23"/>
  <c r="CA187" i="23"/>
  <c r="CA235" i="23"/>
  <c r="CA93" i="23"/>
  <c r="CA257" i="23"/>
  <c r="CA32" i="23"/>
  <c r="CA62" i="23"/>
  <c r="CA70" i="23"/>
  <c r="CA95" i="23"/>
  <c r="CA111" i="23"/>
  <c r="CA119" i="23"/>
  <c r="CA143" i="23"/>
  <c r="CA151" i="23"/>
  <c r="CA171" i="23"/>
  <c r="CA179" i="23"/>
  <c r="CA206" i="23"/>
  <c r="CA274" i="23"/>
  <c r="CA265" i="23"/>
  <c r="CA256" i="23"/>
  <c r="CA248" i="23"/>
  <c r="CA240" i="23"/>
  <c r="CA231" i="23"/>
  <c r="CA36" i="23"/>
  <c r="CA51" i="23"/>
  <c r="CA63" i="23"/>
  <c r="CA71" i="23"/>
  <c r="CA87" i="23"/>
  <c r="CA96" i="23"/>
  <c r="CA104" i="23"/>
  <c r="CA112" i="23"/>
  <c r="CA120" i="23"/>
  <c r="CA136" i="23"/>
  <c r="CA144" i="23"/>
  <c r="CA152" i="23"/>
  <c r="CA162" i="23"/>
  <c r="CA172" i="23"/>
  <c r="CA180" i="23"/>
  <c r="CA199" i="23"/>
  <c r="CA208" i="23"/>
  <c r="CA216" i="23"/>
  <c r="CA59" i="23"/>
  <c r="CA116" i="23"/>
  <c r="CA176" i="23"/>
  <c r="CA251" i="23"/>
  <c r="CA101" i="23"/>
  <c r="CA255" i="23"/>
  <c r="CA64" i="23"/>
  <c r="CA121" i="23"/>
  <c r="CA173" i="23"/>
  <c r="CA218" i="23"/>
  <c r="CA244" i="23"/>
  <c r="CA75" i="23"/>
  <c r="CA140" i="23"/>
  <c r="CA168" i="23"/>
  <c r="CA269" i="23"/>
  <c r="CA48" i="23"/>
  <c r="CA76" i="23"/>
  <c r="CA249" i="23"/>
  <c r="CA232" i="23"/>
  <c r="CA264" i="23"/>
  <c r="CA239" i="23"/>
  <c r="CA37" i="23"/>
  <c r="CA72" i="23"/>
  <c r="CA97" i="23"/>
  <c r="CA113" i="23"/>
  <c r="CA145" i="23"/>
  <c r="CA163" i="23"/>
  <c r="CA209" i="23"/>
  <c r="CA272" i="23"/>
  <c r="CA262" i="23"/>
  <c r="CA254" i="23"/>
  <c r="CA246" i="23"/>
  <c r="CA238" i="23"/>
  <c r="CA228" i="23"/>
  <c r="CA38" i="23"/>
  <c r="CA57" i="23"/>
  <c r="CA65" i="23"/>
  <c r="CA98" i="23"/>
  <c r="CA106" i="23"/>
  <c r="CA114" i="23"/>
  <c r="CA122" i="23"/>
  <c r="CA138" i="23"/>
  <c r="CA146" i="23"/>
  <c r="CA154" i="23"/>
  <c r="CA166" i="23"/>
  <c r="CA174" i="23"/>
  <c r="CA184" i="23"/>
  <c r="CA201" i="23"/>
  <c r="CA210" i="23"/>
  <c r="CA219" i="23"/>
  <c r="CA252" i="23"/>
  <c r="CA67" i="23"/>
  <c r="CA124" i="23"/>
  <c r="CA212" i="23"/>
  <c r="CA243" i="23"/>
  <c r="CA60" i="23"/>
  <c r="CA275" i="23"/>
  <c r="CA241" i="23"/>
  <c r="CA273" i="23"/>
  <c r="CA247" i="23"/>
  <c r="CA230" i="23"/>
  <c r="CA56" i="23"/>
  <c r="CA88" i="23"/>
  <c r="CA105" i="23"/>
  <c r="CA137" i="23"/>
  <c r="CA153" i="23"/>
  <c r="CA200" i="23"/>
  <c r="CA271" i="23"/>
  <c r="CA261" i="23"/>
  <c r="CA253" i="23"/>
  <c r="CA245" i="23"/>
  <c r="CA237" i="23"/>
  <c r="CA224" i="23"/>
  <c r="CA40" i="23"/>
  <c r="CA58" i="23"/>
  <c r="CA66" i="23"/>
  <c r="CA74" i="23"/>
  <c r="CA90" i="23"/>
  <c r="CA99" i="23"/>
  <c r="CA107" i="23"/>
  <c r="CA115" i="23"/>
  <c r="CA123" i="23"/>
  <c r="CA139" i="23"/>
  <c r="CA147" i="23"/>
  <c r="CA155" i="23"/>
  <c r="CA167" i="23"/>
  <c r="CA175" i="23"/>
  <c r="CA186" i="23"/>
  <c r="CA202" i="23"/>
  <c r="CA211" i="23"/>
  <c r="CA220" i="23"/>
  <c r="CA225" i="23"/>
  <c r="CA183" i="23"/>
  <c r="CA226" i="23"/>
  <c r="CA164" i="23"/>
  <c r="CA165" i="23"/>
  <c r="CA53" i="23"/>
  <c r="CA41" i="23"/>
  <c r="CA158" i="23"/>
  <c r="CA39" i="23"/>
  <c r="CA207" i="23"/>
  <c r="CA52" i="23"/>
  <c r="CA30" i="23"/>
  <c r="CA55" i="23"/>
  <c r="CA159" i="23"/>
  <c r="CA217" i="23"/>
  <c r="CA227" i="23"/>
  <c r="CA54" i="23"/>
  <c r="CA126" i="23"/>
  <c r="CA125" i="23"/>
  <c r="CA127" i="23"/>
  <c r="CA131" i="23"/>
  <c r="CA130" i="23"/>
  <c r="CA132" i="23"/>
  <c r="CA277" i="23"/>
  <c r="CA299" i="23"/>
  <c r="CA289" i="23"/>
  <c r="CA318" i="23"/>
  <c r="CA293" i="23"/>
  <c r="CA298" i="23"/>
  <c r="CA294" i="23"/>
  <c r="CA296" i="23"/>
  <c r="CA317" i="23"/>
  <c r="CA291" i="23"/>
  <c r="CA288" i="23"/>
  <c r="CA290" i="23"/>
  <c r="CA295" i="23"/>
  <c r="CA311" i="23"/>
  <c r="CA314" i="23"/>
  <c r="CA319" i="23"/>
  <c r="CA312" i="23"/>
  <c r="CA292" i="23"/>
  <c r="CA297" i="23"/>
  <c r="CA315" i="23"/>
  <c r="CA313" i="23"/>
  <c r="CA316" i="23"/>
  <c r="CA322" i="23"/>
  <c r="CA320" i="23"/>
  <c r="CA323" i="23"/>
  <c r="CA326" i="23"/>
  <c r="CA321" i="23"/>
  <c r="CA327" i="23"/>
  <c r="CA325" i="23"/>
  <c r="CA324" i="23"/>
  <c r="CA328" i="23"/>
  <c r="CA333" i="23"/>
  <c r="CA334" i="23"/>
  <c r="CA329" i="23"/>
  <c r="CA331" i="23"/>
  <c r="CA337" i="23"/>
  <c r="CA330" i="23"/>
  <c r="CA332" i="23"/>
  <c r="CA336" i="23"/>
  <c r="CA44" i="23"/>
  <c r="CA46" i="23"/>
  <c r="CA43" i="23"/>
  <c r="CA47" i="23"/>
  <c r="CA45" i="23"/>
  <c r="CA300" i="23"/>
  <c r="CA305" i="23"/>
  <c r="CA307" i="23"/>
  <c r="CA304" i="23"/>
  <c r="CA302" i="23"/>
  <c r="CA309" i="23"/>
  <c r="CA308" i="23"/>
  <c r="CA310" i="23"/>
  <c r="CA301" i="23"/>
  <c r="CA306" i="23"/>
  <c r="CA303" i="23"/>
  <c r="BY30" i="23" l="1"/>
  <c r="BY102" i="23"/>
  <c r="BY61" i="23"/>
  <c r="BY36" i="23"/>
  <c r="BY38" i="23"/>
  <c r="B24" i="24"/>
  <c r="B20" i="24"/>
  <c r="BY43" i="23"/>
  <c r="BY44" i="23"/>
  <c r="B35" i="24"/>
  <c r="B42" i="24"/>
  <c r="B62" i="24"/>
  <c r="B23" i="24"/>
  <c r="B31" i="24"/>
  <c r="B41" i="24"/>
  <c r="B26" i="24"/>
  <c r="B55" i="24"/>
  <c r="BY31" i="23"/>
  <c r="BY47" i="23"/>
  <c r="BY45" i="23"/>
  <c r="B29" i="24"/>
  <c r="C53" i="24"/>
  <c r="M53" i="24" s="1"/>
  <c r="B61" i="24"/>
  <c r="BY28" i="23"/>
  <c r="BY40" i="23"/>
  <c r="B56" i="24"/>
  <c r="B40" i="24"/>
  <c r="B44" i="24"/>
  <c r="CC89" i="23"/>
  <c r="CC90" i="23" s="1"/>
  <c r="CF90" i="23" s="1"/>
  <c r="B32" i="24"/>
  <c r="C57" i="24"/>
  <c r="H57" i="24" s="1"/>
  <c r="BY277" i="23"/>
  <c r="BY158" i="23"/>
  <c r="B60" i="24"/>
  <c r="BY349" i="23"/>
  <c r="BY243" i="23"/>
  <c r="BY157" i="23"/>
  <c r="BY99" i="23"/>
  <c r="B58" i="24"/>
  <c r="BY66" i="23"/>
  <c r="BY133" i="23"/>
  <c r="B50" i="24"/>
  <c r="BY93" i="23"/>
  <c r="BY266" i="23"/>
  <c r="BY67" i="23"/>
  <c r="BY224" i="23"/>
  <c r="B51" i="24"/>
  <c r="C60" i="24"/>
  <c r="BY233" i="23"/>
  <c r="BY347" i="23"/>
  <c r="BY214" i="23"/>
  <c r="B27" i="24"/>
  <c r="B43" i="24"/>
  <c r="B59" i="24"/>
  <c r="BY122" i="23"/>
  <c r="BY192" i="23"/>
  <c r="B49" i="24"/>
  <c r="BY32" i="23"/>
  <c r="BY77" i="23"/>
  <c r="BY238" i="23"/>
  <c r="BY208" i="23"/>
  <c r="BY350" i="23"/>
  <c r="BY104" i="23"/>
  <c r="BY231" i="23"/>
  <c r="BY191" i="23"/>
  <c r="BY91" i="23"/>
  <c r="BY89" i="23"/>
  <c r="BY240" i="23"/>
  <c r="BY96" i="23"/>
  <c r="BY92" i="23"/>
  <c r="BY230" i="23"/>
  <c r="BY241" i="23"/>
  <c r="B47" i="24"/>
  <c r="B37" i="24"/>
  <c r="C21" i="24"/>
  <c r="B39" i="24"/>
  <c r="B33" i="24"/>
  <c r="BY72" i="23"/>
  <c r="BY193" i="23"/>
  <c r="BY73" i="23"/>
  <c r="BY201" i="23"/>
  <c r="BY121" i="23"/>
  <c r="BY68" i="23"/>
  <c r="BY90" i="23"/>
  <c r="B46" i="24"/>
  <c r="C28" i="24"/>
  <c r="C45" i="24"/>
  <c r="B38" i="24"/>
  <c r="BY260" i="23"/>
  <c r="BY348" i="23"/>
  <c r="BY29" i="23"/>
  <c r="BY64" i="23"/>
  <c r="B34" i="24"/>
  <c r="B45" i="24"/>
  <c r="B57" i="24"/>
  <c r="B54" i="24"/>
  <c r="BY98" i="23"/>
  <c r="BY270" i="23"/>
  <c r="BY63" i="23"/>
  <c r="BY228" i="23"/>
  <c r="BY119" i="23"/>
  <c r="BY259" i="23"/>
  <c r="B53" i="24"/>
  <c r="BY263" i="23"/>
  <c r="BY268" i="23"/>
  <c r="C37" i="24"/>
  <c r="BY269" i="23"/>
  <c r="BY136" i="23"/>
  <c r="BY237" i="23"/>
  <c r="BY138" i="23"/>
  <c r="BY120" i="23"/>
  <c r="B52" i="24"/>
  <c r="B28" i="24"/>
  <c r="B22" i="24"/>
  <c r="BY261" i="23"/>
  <c r="C38" i="24"/>
  <c r="BY52" i="23"/>
  <c r="C27" i="24"/>
  <c r="B30" i="24"/>
  <c r="B36" i="24"/>
  <c r="BY200" i="23"/>
  <c r="BY189" i="23"/>
  <c r="BY275" i="23"/>
  <c r="BY272" i="23"/>
  <c r="BY76" i="23"/>
  <c r="BY226" i="23"/>
  <c r="BY223" i="23"/>
  <c r="BY236" i="23"/>
  <c r="BY202" i="23"/>
  <c r="BY62" i="23"/>
  <c r="BY235" i="23"/>
  <c r="B21" i="24"/>
  <c r="B48" i="24"/>
  <c r="C29" i="24"/>
  <c r="B25" i="24"/>
  <c r="C44" i="24"/>
  <c r="C59" i="24"/>
  <c r="C34" i="24"/>
  <c r="BY100" i="23"/>
  <c r="BY39" i="23"/>
  <c r="CC259" i="23"/>
  <c r="CC260" i="23" s="1"/>
  <c r="CF260" i="23" s="1"/>
  <c r="C20" i="24"/>
  <c r="C46" i="24"/>
  <c r="C62" i="24"/>
  <c r="BY37" i="23"/>
  <c r="C26" i="24"/>
  <c r="C41" i="24"/>
  <c r="C30" i="24"/>
  <c r="C54" i="24"/>
  <c r="CC223" i="23"/>
  <c r="CC224" i="23" s="1"/>
  <c r="CF224" i="23" s="1"/>
  <c r="C51" i="24"/>
  <c r="C47" i="24"/>
  <c r="C61" i="24"/>
  <c r="C48" i="24"/>
  <c r="C58" i="24"/>
  <c r="C39" i="24"/>
  <c r="BY42" i="23"/>
  <c r="C42" i="24"/>
  <c r="C25" i="24"/>
  <c r="BY46" i="23"/>
  <c r="BY41" i="23"/>
  <c r="BY97" i="23"/>
  <c r="C43" i="24"/>
  <c r="C31" i="24"/>
  <c r="C40" i="24"/>
  <c r="C35" i="24"/>
  <c r="C24" i="24"/>
  <c r="C50" i="24"/>
  <c r="C32" i="24"/>
  <c r="C33" i="24"/>
  <c r="C23" i="24"/>
  <c r="C55" i="24"/>
  <c r="C52" i="24"/>
  <c r="C49" i="24"/>
  <c r="C22" i="24"/>
  <c r="C36" i="24"/>
  <c r="C56" i="24"/>
  <c r="M57" i="24" l="1"/>
  <c r="H53" i="24"/>
  <c r="K53" i="24" s="1"/>
  <c r="L53" i="24" s="1"/>
  <c r="N53" i="24" s="1"/>
  <c r="H31" i="24"/>
  <c r="M31" i="24"/>
  <c r="H38" i="24"/>
  <c r="M38" i="24"/>
  <c r="H35" i="24"/>
  <c r="M35" i="24"/>
  <c r="M43" i="24"/>
  <c r="H43" i="24"/>
  <c r="M61" i="24"/>
  <c r="H61" i="24"/>
  <c r="H54" i="24"/>
  <c r="M54" i="24"/>
  <c r="M60" i="24"/>
  <c r="H60" i="24"/>
  <c r="J57" i="24"/>
  <c r="K57" i="24"/>
  <c r="L57" i="24" s="1"/>
  <c r="H23" i="24"/>
  <c r="M23" i="24"/>
  <c r="H32" i="24"/>
  <c r="M32" i="24"/>
  <c r="H47" i="24"/>
  <c r="M47" i="24"/>
  <c r="H30" i="24"/>
  <c r="M30" i="24"/>
  <c r="M62" i="24"/>
  <c r="H62" i="24"/>
  <c r="M44" i="24"/>
  <c r="H44" i="24"/>
  <c r="H40" i="24"/>
  <c r="M40" i="24"/>
  <c r="M37" i="24"/>
  <c r="H37" i="24"/>
  <c r="H49" i="24"/>
  <c r="M49" i="24"/>
  <c r="M42" i="24"/>
  <c r="H42" i="24"/>
  <c r="H52" i="24"/>
  <c r="M52" i="24"/>
  <c r="H33" i="24"/>
  <c r="M33" i="24"/>
  <c r="M58" i="24"/>
  <c r="H58" i="24"/>
  <c r="H41" i="24"/>
  <c r="M41" i="24"/>
  <c r="H34" i="24"/>
  <c r="M34" i="24"/>
  <c r="M21" i="24"/>
  <c r="H21" i="24"/>
  <c r="M24" i="24"/>
  <c r="H24" i="24"/>
  <c r="H50" i="24"/>
  <c r="M50" i="24"/>
  <c r="M59" i="24"/>
  <c r="H59" i="24"/>
  <c r="H39" i="24"/>
  <c r="M39" i="24"/>
  <c r="M56" i="24"/>
  <c r="H56" i="24"/>
  <c r="M48" i="24"/>
  <c r="H48" i="24"/>
  <c r="H26" i="24"/>
  <c r="M26" i="24"/>
  <c r="M27" i="24"/>
  <c r="H27" i="24"/>
  <c r="M45" i="24"/>
  <c r="H45" i="24"/>
  <c r="M22" i="24"/>
  <c r="H22" i="24"/>
  <c r="M46" i="24"/>
  <c r="H46" i="24"/>
  <c r="M51" i="24"/>
  <c r="H51" i="24"/>
  <c r="H29" i="24"/>
  <c r="M29" i="24"/>
  <c r="H36" i="24"/>
  <c r="M36" i="24"/>
  <c r="M55" i="24"/>
  <c r="H55" i="24"/>
  <c r="H25" i="24"/>
  <c r="M25" i="24"/>
  <c r="M20" i="24"/>
  <c r="H20" i="24"/>
  <c r="M28" i="24"/>
  <c r="H28" i="24"/>
  <c r="N57" i="24" l="1"/>
  <c r="J53" i="24"/>
  <c r="J29" i="24"/>
  <c r="K29" i="24"/>
  <c r="L29" i="24" s="1"/>
  <c r="N29" i="24" s="1"/>
  <c r="K41" i="24"/>
  <c r="L41" i="24" s="1"/>
  <c r="N41" i="24" s="1"/>
  <c r="J41" i="24"/>
  <c r="K40" i="24"/>
  <c r="L40" i="24" s="1"/>
  <c r="N40" i="24" s="1"/>
  <c r="J40" i="24"/>
  <c r="J30" i="24"/>
  <c r="K30" i="24"/>
  <c r="L30" i="24" s="1"/>
  <c r="N30" i="24" s="1"/>
  <c r="J52" i="24"/>
  <c r="K52" i="24"/>
  <c r="L52" i="24" s="1"/>
  <c r="N52" i="24" s="1"/>
  <c r="K39" i="24"/>
  <c r="L39" i="24" s="1"/>
  <c r="N39" i="24" s="1"/>
  <c r="J39" i="24"/>
  <c r="K51" i="24"/>
  <c r="L51" i="24" s="1"/>
  <c r="N51" i="24" s="1"/>
  <c r="J51" i="24"/>
  <c r="J48" i="24"/>
  <c r="K48" i="24"/>
  <c r="L48" i="24" s="1"/>
  <c r="N48" i="24" s="1"/>
  <c r="J54" i="24"/>
  <c r="K54" i="24"/>
  <c r="L54" i="24" s="1"/>
  <c r="N54" i="24" s="1"/>
  <c r="K35" i="24"/>
  <c r="L35" i="24" s="1"/>
  <c r="N35" i="24" s="1"/>
  <c r="J35" i="24"/>
  <c r="K25" i="24"/>
  <c r="L25" i="24" s="1"/>
  <c r="N25" i="24" s="1"/>
  <c r="J25" i="24"/>
  <c r="K22" i="24"/>
  <c r="L22" i="24" s="1"/>
  <c r="N22" i="24" s="1"/>
  <c r="J22" i="24"/>
  <c r="J58" i="24"/>
  <c r="K58" i="24"/>
  <c r="L58" i="24" s="1"/>
  <c r="N58" i="24" s="1"/>
  <c r="K28" i="24"/>
  <c r="L28" i="24" s="1"/>
  <c r="N28" i="24" s="1"/>
  <c r="J28" i="24"/>
  <c r="K55" i="24"/>
  <c r="L55" i="24" s="1"/>
  <c r="N55" i="24" s="1"/>
  <c r="J55" i="24"/>
  <c r="K45" i="24"/>
  <c r="L45" i="24" s="1"/>
  <c r="N45" i="24" s="1"/>
  <c r="J45" i="24"/>
  <c r="K24" i="24"/>
  <c r="L24" i="24" s="1"/>
  <c r="N24" i="24" s="1"/>
  <c r="J24" i="24"/>
  <c r="K47" i="24"/>
  <c r="L47" i="24" s="1"/>
  <c r="N47" i="24" s="1"/>
  <c r="J47" i="24"/>
  <c r="K38" i="24"/>
  <c r="L38" i="24" s="1"/>
  <c r="N38" i="24" s="1"/>
  <c r="J38" i="24"/>
  <c r="J59" i="24"/>
  <c r="K59" i="24"/>
  <c r="L59" i="24" s="1"/>
  <c r="N59" i="24" s="1"/>
  <c r="K26" i="24"/>
  <c r="L26" i="24" s="1"/>
  <c r="N26" i="24" s="1"/>
  <c r="J26" i="24"/>
  <c r="J21" i="24"/>
  <c r="K21" i="24"/>
  <c r="L21" i="24" s="1"/>
  <c r="N21" i="24" s="1"/>
  <c r="J61" i="24"/>
  <c r="K61" i="24"/>
  <c r="L61" i="24" s="1"/>
  <c r="N61" i="24" s="1"/>
  <c r="K50" i="24"/>
  <c r="L50" i="24" s="1"/>
  <c r="N50" i="24" s="1"/>
  <c r="J50" i="24"/>
  <c r="K42" i="24"/>
  <c r="L42" i="24" s="1"/>
  <c r="N42" i="24" s="1"/>
  <c r="J42" i="24"/>
  <c r="K60" i="24"/>
  <c r="L60" i="24" s="1"/>
  <c r="N60" i="24" s="1"/>
  <c r="J60" i="24"/>
  <c r="J20" i="24"/>
  <c r="K20" i="24"/>
  <c r="L20" i="24" s="1"/>
  <c r="N20" i="24" s="1"/>
  <c r="K46" i="24"/>
  <c r="L46" i="24" s="1"/>
  <c r="N46" i="24" s="1"/>
  <c r="J46" i="24"/>
  <c r="K56" i="24"/>
  <c r="L56" i="24" s="1"/>
  <c r="N56" i="24" s="1"/>
  <c r="J56" i="24"/>
  <c r="K44" i="24"/>
  <c r="L44" i="24" s="1"/>
  <c r="N44" i="24" s="1"/>
  <c r="J44" i="24"/>
  <c r="K23" i="24"/>
  <c r="L23" i="24" s="1"/>
  <c r="N23" i="24" s="1"/>
  <c r="J23" i="24"/>
  <c r="K43" i="24"/>
  <c r="L43" i="24" s="1"/>
  <c r="N43" i="24" s="1"/>
  <c r="J43" i="24"/>
  <c r="K36" i="24"/>
  <c r="L36" i="24" s="1"/>
  <c r="N36" i="24" s="1"/>
  <c r="J36" i="24"/>
  <c r="K27" i="24"/>
  <c r="L27" i="24" s="1"/>
  <c r="N27" i="24" s="1"/>
  <c r="J27" i="24"/>
  <c r="K34" i="24"/>
  <c r="L34" i="24" s="1"/>
  <c r="N34" i="24" s="1"/>
  <c r="J34" i="24"/>
  <c r="J33" i="24"/>
  <c r="K33" i="24"/>
  <c r="L33" i="24" s="1"/>
  <c r="N33" i="24" s="1"/>
  <c r="J49" i="24"/>
  <c r="K49" i="24"/>
  <c r="L49" i="24" s="1"/>
  <c r="N49" i="24" s="1"/>
  <c r="J31" i="24"/>
  <c r="K31" i="24"/>
  <c r="L31" i="24" s="1"/>
  <c r="N31" i="24" s="1"/>
  <c r="K37" i="24"/>
  <c r="L37" i="24" s="1"/>
  <c r="N37" i="24" s="1"/>
  <c r="J37" i="24"/>
  <c r="J62" i="24"/>
  <c r="K62" i="24"/>
  <c r="L62" i="24" s="1"/>
  <c r="N62" i="24" s="1"/>
  <c r="J32" i="24"/>
  <c r="K32" i="24"/>
  <c r="L32" i="24" s="1"/>
  <c r="N32" i="24" s="1"/>
  <c r="M75" i="24" l="1"/>
  <c r="AC2" i="3" l="1"/>
  <c r="AC4" i="3" s="1"/>
  <c r="AC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<sst xmlns="http://schemas.openxmlformats.org/spreadsheetml/2006/main" count="4439" uniqueCount="814">
  <si>
    <t>Vigência</t>
  </si>
  <si>
    <t>Versão</t>
  </si>
  <si>
    <t>Valor total do pedido</t>
  </si>
  <si>
    <t>ID do Pedido</t>
  </si>
  <si>
    <t>ID do Cliente</t>
  </si>
  <si>
    <t>ID do Vendedor</t>
  </si>
  <si>
    <t>Frete</t>
  </si>
  <si>
    <t>Condição de Pagamento</t>
  </si>
  <si>
    <t>A prazo</t>
  </si>
  <si>
    <t>Desconto à vista</t>
  </si>
  <si>
    <t>Desconto Cartão de Crédito</t>
  </si>
  <si>
    <t>Desconto Frete FOB</t>
  </si>
  <si>
    <t xml:space="preserve">Multiplicador </t>
  </si>
  <si>
    <t>Forma de Pagamento</t>
  </si>
  <si>
    <t>Boleto</t>
  </si>
  <si>
    <t>Prazo de Pagamento</t>
  </si>
  <si>
    <t>Margem Bruta Original (%)</t>
  </si>
  <si>
    <t>Margem Bruta (%)</t>
  </si>
  <si>
    <t>Resultado Bruto (R$)</t>
  </si>
  <si>
    <t>Status</t>
  </si>
  <si>
    <t>Informações do Produto</t>
  </si>
  <si>
    <t>Dados Financeiros</t>
  </si>
  <si>
    <t>Desconto por volume</t>
  </si>
  <si>
    <t>Dados do Pedido</t>
  </si>
  <si>
    <t>Cód. SKU</t>
  </si>
  <si>
    <t>Cód. Prod.</t>
  </si>
  <si>
    <t>Nome</t>
  </si>
  <si>
    <t>Sabor/Cor</t>
  </si>
  <si>
    <t>Embalagem</t>
  </si>
  <si>
    <t>Volume</t>
  </si>
  <si>
    <t>Custo</t>
  </si>
  <si>
    <t>Sugerido</t>
  </si>
  <si>
    <t>Mkup</t>
  </si>
  <si>
    <t>Desc</t>
  </si>
  <si>
    <t>Preço</t>
  </si>
  <si>
    <t>Preço Efet.</t>
  </si>
  <si>
    <t>Negociação</t>
  </si>
  <si>
    <t>Qtd.</t>
  </si>
  <si>
    <t>Bonif.</t>
  </si>
  <si>
    <t>✓</t>
  </si>
  <si>
    <t>Rec. Máx.</t>
  </si>
  <si>
    <t>Rec. Orig.</t>
  </si>
  <si>
    <t>Dif.</t>
  </si>
  <si>
    <t>Verba</t>
  </si>
  <si>
    <t>Custo Orig.</t>
  </si>
  <si>
    <t>MB Orig.</t>
  </si>
  <si>
    <t>Total Sug.</t>
  </si>
  <si>
    <t>Receita</t>
  </si>
  <si>
    <t>Imposto</t>
  </si>
  <si>
    <t>Logistica</t>
  </si>
  <si>
    <t>Comissão</t>
  </si>
  <si>
    <t>Deduções</t>
  </si>
  <si>
    <t>Rec. Líq.</t>
  </si>
  <si>
    <t>Lucro Bruto</t>
  </si>
  <si>
    <t>MB</t>
  </si>
  <si>
    <t>Preço efet. Mín</t>
  </si>
  <si>
    <t>Cx.</t>
  </si>
  <si>
    <t>MC</t>
  </si>
  <si>
    <t>PPOWPFABC0900</t>
  </si>
  <si>
    <t>Fresh Whey</t>
  </si>
  <si>
    <t>Abacaxi e Coco</t>
  </si>
  <si>
    <t>Pote</t>
  </si>
  <si>
    <t>PPOWPFCBA0900</t>
  </si>
  <si>
    <t>Chocolate Belga e Avelã</t>
  </si>
  <si>
    <t>PPOWPFCPA0900</t>
  </si>
  <si>
    <t>Chocolate e Pasta de Amendoim</t>
  </si>
  <si>
    <t>PPOWPFFRV0900</t>
  </si>
  <si>
    <t>Frutas Vermelhas</t>
  </si>
  <si>
    <t>PPOFVGBAU0520</t>
  </si>
  <si>
    <t>Fresh Vegan</t>
  </si>
  <si>
    <t>Baunilha</t>
  </si>
  <si>
    <t>PPOFVGCAC0520</t>
  </si>
  <si>
    <t>Cacau</t>
  </si>
  <si>
    <t>PPOFVGMOR0520</t>
  </si>
  <si>
    <t>Morango</t>
  </si>
  <si>
    <t>Abacaxi</t>
  </si>
  <si>
    <t>Limão</t>
  </si>
  <si>
    <t>PPOVTCLAR0200</t>
  </si>
  <si>
    <t>Vitamina C (Quali-C)</t>
  </si>
  <si>
    <t>Laranja</t>
  </si>
  <si>
    <t>Sem Sabor</t>
  </si>
  <si>
    <t>PCPB21SSB0100</t>
  </si>
  <si>
    <t>BCAA 3500</t>
  </si>
  <si>
    <t>PPOB41ABA0200</t>
  </si>
  <si>
    <t>BCAA Powder</t>
  </si>
  <si>
    <t>PPOB41LAR0200</t>
  </si>
  <si>
    <t>PPOB41LIM0200</t>
  </si>
  <si>
    <t>PCPBNCSSB0060</t>
  </si>
  <si>
    <t>Control Original</t>
  </si>
  <si>
    <t>PCPBNNSSB0060</t>
  </si>
  <si>
    <t>Control Night</t>
  </si>
  <si>
    <t>PCPBNSSSB0060</t>
  </si>
  <si>
    <t>Supercut</t>
  </si>
  <si>
    <t>PCPCAFSSB0090</t>
  </si>
  <si>
    <t>Cafeína</t>
  </si>
  <si>
    <t>PPOENKABA1000</t>
  </si>
  <si>
    <t>EnergyKick</t>
  </si>
  <si>
    <t>PPOENKLAR1000</t>
  </si>
  <si>
    <t>PPOENKLIM1000</t>
  </si>
  <si>
    <t>PPOENKMEL1000</t>
  </si>
  <si>
    <t>Melancia</t>
  </si>
  <si>
    <t>PPOENKMAC1000</t>
  </si>
  <si>
    <t>Maçã Verde</t>
  </si>
  <si>
    <t>PPOENCABA1000</t>
  </si>
  <si>
    <t>EnergyKick Caffeine</t>
  </si>
  <si>
    <t>PPOENCLAR1000</t>
  </si>
  <si>
    <t>PPOENCLIM1000</t>
  </si>
  <si>
    <t>PCPFISSSB0120</t>
  </si>
  <si>
    <t>Fish Oil</t>
  </si>
  <si>
    <t>PPOGLUNAT0300</t>
  </si>
  <si>
    <t>Glutamina</t>
  </si>
  <si>
    <t>PPOHDLLAR1000</t>
  </si>
  <si>
    <t>Hydrolite</t>
  </si>
  <si>
    <t>PPOHDLLIM1000</t>
  </si>
  <si>
    <t>PCPMVTSSB0090</t>
  </si>
  <si>
    <t>Multivitamínico</t>
  </si>
  <si>
    <t>PPOPALNAT0400</t>
  </si>
  <si>
    <t>Palatinose™</t>
  </si>
  <si>
    <t>Coco</t>
  </si>
  <si>
    <t>PPORC4ABA1000</t>
  </si>
  <si>
    <t>Recharge 4:1</t>
  </si>
  <si>
    <t>PPORC4COC1000</t>
  </si>
  <si>
    <t>Whey Protein Concentrado (10 und.)</t>
  </si>
  <si>
    <t>Sachê</t>
  </si>
  <si>
    <t>Cappuccino</t>
  </si>
  <si>
    <t>Chocolate</t>
  </si>
  <si>
    <t>Cookies</t>
  </si>
  <si>
    <t>PPOWPCBAU0900</t>
  </si>
  <si>
    <t>Whey Protein Concentrado</t>
  </si>
  <si>
    <t>PPOWPCCHO0900</t>
  </si>
  <si>
    <t>PPOWPCMOR0900</t>
  </si>
  <si>
    <t>PPOWPCCKI0900</t>
  </si>
  <si>
    <t>PPOWPCCOC0900</t>
  </si>
  <si>
    <t>PPOWPCCAP0900</t>
  </si>
  <si>
    <t>RPOWPCBAU1800</t>
  </si>
  <si>
    <t>Pouch</t>
  </si>
  <si>
    <t>RPOWPCCHO1800</t>
  </si>
  <si>
    <t>RPOWPCMOR1800</t>
  </si>
  <si>
    <t>RPOWPCCKI1800</t>
  </si>
  <si>
    <t>RPOWPCCOC1800</t>
  </si>
  <si>
    <t>RPOWPCCAP1800</t>
  </si>
  <si>
    <t>PPOWPIBAU0900</t>
  </si>
  <si>
    <t>Whey Protein Isolado</t>
  </si>
  <si>
    <t>PPOWPICHO0900</t>
  </si>
  <si>
    <t>PPOWPIMOR0900</t>
  </si>
  <si>
    <t>PPOWPICOC0900</t>
  </si>
  <si>
    <t>PPOWPICAP0900</t>
  </si>
  <si>
    <t>RPOWPIBAU1800</t>
  </si>
  <si>
    <t>RPOWPICHO1800</t>
  </si>
  <si>
    <t>RPOWPIMOR1800</t>
  </si>
  <si>
    <t>RPOWPI</t>
  </si>
  <si>
    <t>RPOWPICOC1800</t>
  </si>
  <si>
    <t>RPOWPICAP1800</t>
  </si>
  <si>
    <t>PPOWPNBAU0900</t>
  </si>
  <si>
    <t>PPOWPNCHO0900</t>
  </si>
  <si>
    <t>PPOWPHBAU0900</t>
  </si>
  <si>
    <t>Whey Protein Hydro</t>
  </si>
  <si>
    <t>PPOWPHCHO0900</t>
  </si>
  <si>
    <t>-</t>
  </si>
  <si>
    <t>XACGALFUM1875</t>
  </si>
  <si>
    <t>Mini Galão</t>
  </si>
  <si>
    <t>Fumê</t>
  </si>
  <si>
    <t>Unissex</t>
  </si>
  <si>
    <t>XACCOQFUM0800</t>
  </si>
  <si>
    <t>Coqueteleira DUX</t>
  </si>
  <si>
    <t>XACSQZPRB0800</t>
  </si>
  <si>
    <t>Squeeze automático</t>
  </si>
  <si>
    <t>Prata</t>
  </si>
  <si>
    <t>XACSQZPTB0800</t>
  </si>
  <si>
    <t>Preto</t>
  </si>
  <si>
    <t>Condição</t>
  </si>
  <si>
    <t>Forma</t>
  </si>
  <si>
    <t>A vista</t>
  </si>
  <si>
    <t>CC</t>
  </si>
  <si>
    <t>A VISTA</t>
  </si>
  <si>
    <t>CARTÃO</t>
  </si>
  <si>
    <t>CIF</t>
  </si>
  <si>
    <t>C. Crédito</t>
  </si>
  <si>
    <t>FOB</t>
  </si>
  <si>
    <t>À vista</t>
  </si>
  <si>
    <t>30/45</t>
  </si>
  <si>
    <t>INT 45</t>
  </si>
  <si>
    <t>30/40/50/60</t>
  </si>
  <si>
    <t>30/45/60</t>
  </si>
  <si>
    <t>30/60</t>
  </si>
  <si>
    <t>INT 45/60</t>
  </si>
  <si>
    <t>30/40/50/60/70</t>
  </si>
  <si>
    <t>30/45/60/75</t>
  </si>
  <si>
    <t>30/40/50/60/70/80/90</t>
  </si>
  <si>
    <t>30/45/60/75/90</t>
  </si>
  <si>
    <t>30/60/90</t>
  </si>
  <si>
    <t>30/40/50/60/70/80/90/100</t>
  </si>
  <si>
    <t>30/45/60/75/90/105</t>
  </si>
  <si>
    <t>INT 45/60/75/90/105</t>
  </si>
  <si>
    <t>30/40/50/60/70/80/90/100/110/120</t>
  </si>
  <si>
    <t>30/45/60/75/90/105/120</t>
  </si>
  <si>
    <t>30/60/90/120</t>
  </si>
  <si>
    <t>Standard</t>
  </si>
  <si>
    <t>Premium</t>
  </si>
  <si>
    <t>Commodity</t>
  </si>
  <si>
    <t>Peso</t>
  </si>
  <si>
    <t>PPOGLUNAT0100</t>
  </si>
  <si>
    <t>A</t>
  </si>
  <si>
    <t>C</t>
  </si>
  <si>
    <t>B</t>
  </si>
  <si>
    <t>Verba final</t>
  </si>
  <si>
    <t>Verba preço</t>
  </si>
  <si>
    <t>Verba classif</t>
  </si>
  <si>
    <t>Subtração</t>
  </si>
  <si>
    <t>Fresh Whey (10 und.)</t>
  </si>
  <si>
    <t>Fresh Vegan (10 und.)</t>
  </si>
  <si>
    <t>Preço ref</t>
  </si>
  <si>
    <t>Dif real</t>
  </si>
  <si>
    <t>Classe</t>
  </si>
  <si>
    <t>v3</t>
  </si>
  <si>
    <t>30000119</t>
  </si>
  <si>
    <t>PPOGLU1</t>
  </si>
  <si>
    <t>PPOGLU3</t>
  </si>
  <si>
    <t>Categoria</t>
  </si>
  <si>
    <t>Vegan Omega</t>
  </si>
  <si>
    <t>Modelo</t>
  </si>
  <si>
    <t>PPOEN</t>
  </si>
  <si>
    <t>30000144</t>
  </si>
  <si>
    <t>PPOWPC</t>
  </si>
  <si>
    <t>30000140</t>
  </si>
  <si>
    <t>PPOWPI</t>
  </si>
  <si>
    <t>Whey Protein Isolado           (10 und.)</t>
  </si>
  <si>
    <t>Whey Protein Isolado            All Natural</t>
  </si>
  <si>
    <t>30000152</t>
  </si>
  <si>
    <t>MULTI30</t>
  </si>
  <si>
    <t>30000143</t>
  </si>
  <si>
    <t>RPOWPC</t>
  </si>
  <si>
    <t>30000139</t>
  </si>
  <si>
    <t>Pre Workout</t>
  </si>
  <si>
    <t>Pre Workout Pro</t>
  </si>
  <si>
    <t>Pink Lemonade</t>
  </si>
  <si>
    <t>Frutas Verdes</t>
  </si>
  <si>
    <t>Pre Workout Original</t>
  </si>
  <si>
    <t>30000154</t>
  </si>
  <si>
    <t>FreshWhey450</t>
  </si>
  <si>
    <t>30000155</t>
  </si>
  <si>
    <t>30000156</t>
  </si>
  <si>
    <t>30000157</t>
  </si>
  <si>
    <t>14/21/28/35</t>
  </si>
  <si>
    <t>30000117</t>
  </si>
  <si>
    <t>30000133</t>
  </si>
  <si>
    <t>30000134</t>
  </si>
  <si>
    <t>30000082</t>
  </si>
  <si>
    <t>sachefreshwhey</t>
  </si>
  <si>
    <t>30000107</t>
  </si>
  <si>
    <t>30000108</t>
  </si>
  <si>
    <t>30000109</t>
  </si>
  <si>
    <t>sachefreshvegan</t>
  </si>
  <si>
    <t>sachewpc</t>
  </si>
  <si>
    <t>30000113</t>
  </si>
  <si>
    <t>30000114</t>
  </si>
  <si>
    <t>30000116</t>
  </si>
  <si>
    <t>30000115</t>
  </si>
  <si>
    <t>30000141</t>
  </si>
  <si>
    <t>sachewpi</t>
  </si>
  <si>
    <t>30000094</t>
  </si>
  <si>
    <t>30000095</t>
  </si>
  <si>
    <t>30000118</t>
  </si>
  <si>
    <t>30000123</t>
  </si>
  <si>
    <t>30000096</t>
  </si>
  <si>
    <t>30000189</t>
  </si>
  <si>
    <t>PPOHDL</t>
  </si>
  <si>
    <t>31000006</t>
  </si>
  <si>
    <t>UHT15G</t>
  </si>
  <si>
    <t>UHT</t>
  </si>
  <si>
    <t>31000007</t>
  </si>
  <si>
    <t>Doce de Leite</t>
  </si>
  <si>
    <t>31000008</t>
  </si>
  <si>
    <t>31000009</t>
  </si>
  <si>
    <t>Chocolate Branco</t>
  </si>
  <si>
    <t>Maracujá</t>
  </si>
  <si>
    <t>Vitamina de Frutas</t>
  </si>
  <si>
    <t>30000160</t>
  </si>
  <si>
    <t>30000161</t>
  </si>
  <si>
    <t>30000162</t>
  </si>
  <si>
    <t>30000170</t>
  </si>
  <si>
    <t>30000167</t>
  </si>
  <si>
    <t>30000171</t>
  </si>
  <si>
    <t>100g</t>
  </si>
  <si>
    <t>300g</t>
  </si>
  <si>
    <t>30000177</t>
  </si>
  <si>
    <t>sachêekick</t>
  </si>
  <si>
    <t>EnergyKick (10 unid.)</t>
  </si>
  <si>
    <t>30000179</t>
  </si>
  <si>
    <t>30000178</t>
  </si>
  <si>
    <t>30000175</t>
  </si>
  <si>
    <t>30000176</t>
  </si>
  <si>
    <t>EnergyKick Caff (10 unid.)</t>
  </si>
  <si>
    <t>Açaí</t>
  </si>
  <si>
    <t>30000159</t>
  </si>
  <si>
    <t>30000169</t>
  </si>
  <si>
    <t>45/55/65/75/85/95/105/115</t>
  </si>
  <si>
    <t>30000211</t>
  </si>
  <si>
    <t>30000212</t>
  </si>
  <si>
    <t>30000213</t>
  </si>
  <si>
    <t>30000214</t>
  </si>
  <si>
    <t>WPC450</t>
  </si>
  <si>
    <t>30000215</t>
  </si>
  <si>
    <t>30000216</t>
  </si>
  <si>
    <t>30000217</t>
  </si>
  <si>
    <t>30000218</t>
  </si>
  <si>
    <t>WPI450</t>
  </si>
  <si>
    <t>Coqueteleiras</t>
  </si>
  <si>
    <t>NOVO/REATIVAÇÃO</t>
  </si>
  <si>
    <t>30000233</t>
  </si>
  <si>
    <t>30000229</t>
  </si>
  <si>
    <t>30000223</t>
  </si>
  <si>
    <t>Butter Cookies</t>
  </si>
  <si>
    <t>Creatina Monohidratada</t>
  </si>
  <si>
    <t>30000256</t>
  </si>
  <si>
    <t>30000255</t>
  </si>
  <si>
    <t>Mono100</t>
  </si>
  <si>
    <t>Mono300</t>
  </si>
  <si>
    <t>30000241</t>
  </si>
  <si>
    <t>collsache</t>
  </si>
  <si>
    <t>Collagen (10 unidades)</t>
  </si>
  <si>
    <t>Cranberry</t>
  </si>
  <si>
    <t>11g</t>
  </si>
  <si>
    <t>30000242</t>
  </si>
  <si>
    <t>Maçã</t>
  </si>
  <si>
    <t>30000243</t>
  </si>
  <si>
    <t>Neutro</t>
  </si>
  <si>
    <t>10g</t>
  </si>
  <si>
    <t>30000244</t>
  </si>
  <si>
    <t>Tangerina</t>
  </si>
  <si>
    <t>30000237</t>
  </si>
  <si>
    <t>collpote</t>
  </si>
  <si>
    <t>Collagen</t>
  </si>
  <si>
    <t>330g</t>
  </si>
  <si>
    <t>30000238</t>
  </si>
  <si>
    <t>30000239</t>
  </si>
  <si>
    <t>315g</t>
  </si>
  <si>
    <t>30000240</t>
  </si>
  <si>
    <t>30000248</t>
  </si>
  <si>
    <t>colladvsache</t>
  </si>
  <si>
    <t>Collagen Advanced (10 unidades)</t>
  </si>
  <si>
    <t>Cranberry e Pitaya</t>
  </si>
  <si>
    <t>18g</t>
  </si>
  <si>
    <t>30000250</t>
  </si>
  <si>
    <t>30000249</t>
  </si>
  <si>
    <t>Dark Berries</t>
  </si>
  <si>
    <t>30000245</t>
  </si>
  <si>
    <t>colladvpote</t>
  </si>
  <si>
    <t>Collagen Advanced</t>
  </si>
  <si>
    <t>540g</t>
  </si>
  <si>
    <t>30000246</t>
  </si>
  <si>
    <t>30000247</t>
  </si>
  <si>
    <t>30000265</t>
  </si>
  <si>
    <t>Hair Gro</t>
  </si>
  <si>
    <t>60 cápsulas</t>
  </si>
  <si>
    <t>30000267</t>
  </si>
  <si>
    <t>obeauty</t>
  </si>
  <si>
    <t>Ômega Beauty</t>
  </si>
  <si>
    <t>gro</t>
  </si>
  <si>
    <t>Whey Protein Shake</t>
  </si>
  <si>
    <t>15/30</t>
  </si>
  <si>
    <t>45/60/75</t>
  </si>
  <si>
    <t xml:space="preserve">INT 45/60/75/90 </t>
  </si>
  <si>
    <t>CASHBACK</t>
  </si>
  <si>
    <t xml:space="preserve"> </t>
  </si>
  <si>
    <t>Vendedor</t>
  </si>
  <si>
    <t>PPOCRENAT0300</t>
  </si>
  <si>
    <t>PPOCRE3</t>
  </si>
  <si>
    <t>Creatina Creapure</t>
  </si>
  <si>
    <t>PPOCRE1</t>
  </si>
  <si>
    <t>PPOCRENAT0100</t>
  </si>
  <si>
    <t>411113044</t>
  </si>
  <si>
    <t>28g</t>
  </si>
  <si>
    <t>411127044</t>
  </si>
  <si>
    <t>30/40/50</t>
  </si>
  <si>
    <t>30000232</t>
  </si>
  <si>
    <t>Banoffee</t>
  </si>
  <si>
    <t>420514018</t>
  </si>
  <si>
    <t>420514036</t>
  </si>
  <si>
    <t>PPORC4</t>
  </si>
  <si>
    <t>430213032</t>
  </si>
  <si>
    <t>430213036</t>
  </si>
  <si>
    <t>430213047</t>
  </si>
  <si>
    <t>430213005</t>
  </si>
  <si>
    <t>PPOWPF</t>
  </si>
  <si>
    <t>411604029</t>
  </si>
  <si>
    <t>411604042</t>
  </si>
  <si>
    <t>411604056</t>
  </si>
  <si>
    <t>411604057</t>
  </si>
  <si>
    <t>Mango Twist</t>
  </si>
  <si>
    <t>411517001</t>
  </si>
  <si>
    <t>CAFE30</t>
  </si>
  <si>
    <t>SPORT NUTRITION</t>
  </si>
  <si>
    <t>HIGH PERFORMANCE</t>
  </si>
  <si>
    <t>HEALTH &amp; WELLNESS</t>
  </si>
  <si>
    <t>SKIN &amp; BODY</t>
  </si>
  <si>
    <t>BU's</t>
  </si>
  <si>
    <t>R$</t>
  </si>
  <si>
    <t>%</t>
  </si>
  <si>
    <t>TOTAL PEDIDO</t>
  </si>
  <si>
    <t>COMBOS NO PEDIDO</t>
  </si>
  <si>
    <t>Intra Workout</t>
  </si>
  <si>
    <t>Aminobuilder</t>
  </si>
  <si>
    <t>411834059</t>
  </si>
  <si>
    <t>411834058</t>
  </si>
  <si>
    <t>411834060</t>
  </si>
  <si>
    <t>Limonada</t>
  </si>
  <si>
    <t>Framboesa com Morango</t>
  </si>
  <si>
    <t>Água de Coco</t>
  </si>
  <si>
    <t>411708061</t>
  </si>
  <si>
    <t>411708029</t>
  </si>
  <si>
    <t>411708054</t>
  </si>
  <si>
    <t>Uva</t>
  </si>
  <si>
    <t>Frutas Amarelas</t>
  </si>
  <si>
    <t>400g</t>
  </si>
  <si>
    <t>Intra</t>
  </si>
  <si>
    <t>Amino</t>
  </si>
  <si>
    <t>410727020</t>
  </si>
  <si>
    <t>410727027</t>
  </si>
  <si>
    <t>410709020</t>
  </si>
  <si>
    <t>410709027</t>
  </si>
  <si>
    <t>410713020</t>
  </si>
  <si>
    <t>410713027</t>
  </si>
  <si>
    <t>410722020</t>
  </si>
  <si>
    <t>410722027</t>
  </si>
  <si>
    <t>BAUNILHA</t>
  </si>
  <si>
    <t>CAPPUCCINO</t>
  </si>
  <si>
    <t>CHOCOLATE</t>
  </si>
  <si>
    <t>COCO</t>
  </si>
  <si>
    <t>COOKIES</t>
  </si>
  <si>
    <t>MORANGO</t>
  </si>
  <si>
    <t>BANOFFEE</t>
  </si>
  <si>
    <t>CHOCOLATE BRANCO</t>
  </si>
  <si>
    <t>DOCE DE LEITE</t>
  </si>
  <si>
    <t>460135072</t>
  </si>
  <si>
    <t>Proteinbar</t>
  </si>
  <si>
    <t>Protein Bar (12 und.)</t>
  </si>
  <si>
    <t>Chocolate e Coco</t>
  </si>
  <si>
    <t>Barra</t>
  </si>
  <si>
    <t>60g</t>
  </si>
  <si>
    <t>460135069</t>
  </si>
  <si>
    <t>Chocolate Branco e Frutas Vermelhas</t>
  </si>
  <si>
    <t>460135019</t>
  </si>
  <si>
    <t>Chocolate e Avelã</t>
  </si>
  <si>
    <t>420612028</t>
  </si>
  <si>
    <t>420612054</t>
  </si>
  <si>
    <t>420612055</t>
  </si>
  <si>
    <t>Frutas Roxas</t>
  </si>
  <si>
    <t>propolis</t>
  </si>
  <si>
    <t>Própolis Verde</t>
  </si>
  <si>
    <t>430317001</t>
  </si>
  <si>
    <t>FRUTAS VERMELHAS</t>
  </si>
  <si>
    <t>energygel</t>
  </si>
  <si>
    <t>Display Energy Gel</t>
  </si>
  <si>
    <t>Caramelo</t>
  </si>
  <si>
    <t>Jabuticaba</t>
  </si>
  <si>
    <t>Caramelo com Cafeína</t>
  </si>
  <si>
    <t>Jabuticaba com Cafeína</t>
  </si>
  <si>
    <t>Maracujá com Cafeína</t>
  </si>
  <si>
    <t>Tangerina com Cafeína</t>
  </si>
  <si>
    <t>Capim Limão</t>
  </si>
  <si>
    <t>450206074</t>
  </si>
  <si>
    <t>450227074</t>
  </si>
  <si>
    <t>Proteína Sabores</t>
  </si>
  <si>
    <t>600g</t>
  </si>
  <si>
    <t>Salted Caramel</t>
  </si>
  <si>
    <t>Sem sabor</t>
  </si>
  <si>
    <t>Nutritional Yeast</t>
  </si>
  <si>
    <t>Barra de Proteína (display 12 unid)</t>
  </si>
  <si>
    <t>Display Barra de Proteína</t>
  </si>
  <si>
    <t>Chocolate Belga</t>
  </si>
  <si>
    <t>45g</t>
  </si>
  <si>
    <t>Cookies &amp; Cream</t>
  </si>
  <si>
    <t>Morango &amp; Chocolate Branco</t>
  </si>
  <si>
    <t>Pasta Amendoim</t>
  </si>
  <si>
    <t>Cookies 'N' Cream</t>
  </si>
  <si>
    <t>Integral</t>
  </si>
  <si>
    <t>Pasta Castanha</t>
  </si>
  <si>
    <t>DUX</t>
  </si>
  <si>
    <t>EAT</t>
  </si>
  <si>
    <t>TOTAL</t>
  </si>
  <si>
    <t>se Dux &gt; 1999</t>
  </si>
  <si>
    <t>aprovado</t>
  </si>
  <si>
    <t>se Dux &gt; 1499 e Eat = 0</t>
  </si>
  <si>
    <t>se Dux &lt; 1499 e Eat = 0</t>
  </si>
  <si>
    <t>reprovado</t>
  </si>
  <si>
    <t>se Dux &gt; 1499 e Eat &lt; 499</t>
  </si>
  <si>
    <t>Eat Clean</t>
  </si>
  <si>
    <t>Total</t>
  </si>
  <si>
    <t>0117898966827669</t>
  </si>
  <si>
    <t>0117898966827676</t>
  </si>
  <si>
    <t>0117898966827683</t>
  </si>
  <si>
    <t>431201001</t>
  </si>
  <si>
    <t>431204001</t>
  </si>
  <si>
    <t>CREAVITALIS100</t>
  </si>
  <si>
    <t>CREAVITALIS300</t>
  </si>
  <si>
    <t>431009001</t>
  </si>
  <si>
    <t>431042003</t>
  </si>
  <si>
    <t>431042029</t>
  </si>
  <si>
    <t>431109001</t>
  </si>
  <si>
    <t>431141003</t>
  </si>
  <si>
    <t>Multicollagenp</t>
  </si>
  <si>
    <t>Bodycollagenp</t>
  </si>
  <si>
    <t>Abacaxi com Hortelã</t>
  </si>
  <si>
    <t>Multi Collagen</t>
  </si>
  <si>
    <t>Body Collagen</t>
  </si>
  <si>
    <t>EAT CLEAN</t>
  </si>
  <si>
    <t>COMBOS DUX</t>
  </si>
  <si>
    <t>Creatina Crealive - Creavitalis</t>
  </si>
  <si>
    <t>Vendedor V1</t>
  </si>
  <si>
    <t>FOOD SUPPLEMENTS</t>
  </si>
  <si>
    <t>Beta Alanina</t>
  </si>
  <si>
    <t>412043001</t>
  </si>
  <si>
    <t>BETAALANINA</t>
  </si>
  <si>
    <t>411127020</t>
  </si>
  <si>
    <t>411127027</t>
  </si>
  <si>
    <t>411109020</t>
  </si>
  <si>
    <t>411109027</t>
  </si>
  <si>
    <t>411113020</t>
  </si>
  <si>
    <t>411113027</t>
  </si>
  <si>
    <t>411122020</t>
  </si>
  <si>
    <t>411122027</t>
  </si>
  <si>
    <t>COMBOWPCPWO</t>
  </si>
  <si>
    <t>PINK LEMONADE</t>
  </si>
  <si>
    <t>MAÇÃ VERDE</t>
  </si>
  <si>
    <t>MANGO TWIST</t>
  </si>
  <si>
    <t>BANO</t>
  </si>
  <si>
    <t>Chob</t>
  </si>
  <si>
    <t>MAR</t>
  </si>
  <si>
    <t>Escolha o Gel</t>
  </si>
  <si>
    <t>CAR</t>
  </si>
  <si>
    <t>JAB</t>
  </si>
  <si>
    <t>Preço mínimo final negociável</t>
  </si>
  <si>
    <t>BODYSHOP</t>
  </si>
  <si>
    <t>CANAL VERDE</t>
  </si>
  <si>
    <t xml:space="preserve">OUTROS ESPECIALIZADO </t>
  </si>
  <si>
    <t>E-COMMERCE ESPECIALIZADO</t>
  </si>
  <si>
    <t>Região</t>
  </si>
  <si>
    <t>Norte/Nordeste</t>
  </si>
  <si>
    <t>Centro Oeste</t>
  </si>
  <si>
    <t>Sul/Sudeste</t>
  </si>
  <si>
    <t>Contas Nacionais</t>
  </si>
  <si>
    <t>Tipo de cliente</t>
  </si>
  <si>
    <t>Escolha o Tipo de cliente</t>
  </si>
  <si>
    <t>Escolha a Região</t>
  </si>
  <si>
    <t>Verba do pedido</t>
  </si>
  <si>
    <t>Bônus DZ13</t>
  </si>
  <si>
    <t>válido</t>
  </si>
  <si>
    <t>Beijinho</t>
  </si>
  <si>
    <t>460135068</t>
  </si>
  <si>
    <t>Chocolate e Amendoim</t>
  </si>
  <si>
    <t>460135070</t>
  </si>
  <si>
    <t>TINO</t>
  </si>
  <si>
    <t>Tino</t>
  </si>
  <si>
    <t>COMBOWPCMONO</t>
  </si>
  <si>
    <t>Escolha a UF</t>
  </si>
  <si>
    <t>MVA</t>
  </si>
  <si>
    <t>ALÍQUOTA INTERNA</t>
  </si>
  <si>
    <t>ALÍQUOTA INTERESTADUAL</t>
  </si>
  <si>
    <t>IPI</t>
  </si>
  <si>
    <t>AL</t>
  </si>
  <si>
    <t>AP</t>
  </si>
  <si>
    <t>DF</t>
  </si>
  <si>
    <t>MG</t>
  </si>
  <si>
    <t>MT</t>
  </si>
  <si>
    <t>RJ</t>
  </si>
  <si>
    <t>SP</t>
  </si>
  <si>
    <t>PLANILHA DE CÁLCULO DE SUBSTITUIÇÃO TRIBUTÁRIA DO ICMS</t>
  </si>
  <si>
    <t>INFORMAR/ALTERAR ALÍQUOTA DE ICMS</t>
  </si>
  <si>
    <t>ALÍQUOTA DE ICMS INTERNA</t>
  </si>
  <si>
    <t>ALÍQUOTA DE ICMS INTERESTADUAL</t>
  </si>
  <si>
    <t>PRODUTOS</t>
  </si>
  <si>
    <t>VALOR TOTAL PRODUTO</t>
  </si>
  <si>
    <t>FRETE</t>
  </si>
  <si>
    <t>VALOR DO IPI (R$)</t>
  </si>
  <si>
    <t>OUTRAS DESPESAS ACESSÓRIAS</t>
  </si>
  <si>
    <t>DESCONTOS</t>
  </si>
  <si>
    <t>R$ /  TOTAL 
(B+C+D+E-F)</t>
  </si>
  <si>
    <t>MVA (%)</t>
  </si>
  <si>
    <t>MVA R$
(G * H)</t>
  </si>
  <si>
    <t>BASE CALCULO SUBST TRIB
(G + I)</t>
  </si>
  <si>
    <t>ALÍQUOTA DE ICMS INTERNA
(%)</t>
  </si>
  <si>
    <t>ALÍQUOTA DE ICMS INTERESTADUAL 
(%)</t>
  </si>
  <si>
    <t>VALOR SUBUST. TRIBUTÁRIA
(K - L)</t>
  </si>
  <si>
    <r>
      <t>TOTAL DO ICMS ST</t>
    </r>
    <r>
      <rPr>
        <b/>
        <sz val="18"/>
        <color indexed="8"/>
        <rFont val="Calibri"/>
        <family val="2"/>
        <scheme val="minor"/>
      </rPr>
      <t xml:space="preserve">         &gt;&gt;&gt;&gt;&gt;&gt;&gt;&gt;&gt;&gt;&gt;&gt;&gt;&gt;&gt;&gt;&gt;&gt;&gt;&gt;&gt;&gt;&gt;&gt;&gt;&gt;&gt;&gt;&gt;&gt;&gt;&gt;&gt;&gt;&gt;&gt;&gt;&gt;&gt;&gt;&gt;&gt;&gt;&gt;&gt;&gt;&gt;&gt;</t>
    </r>
  </si>
  <si>
    <t>431317001</t>
  </si>
  <si>
    <t>Q1030</t>
  </si>
  <si>
    <t>Coenzima Q10</t>
  </si>
  <si>
    <t>431318001</t>
  </si>
  <si>
    <t>Q1060</t>
  </si>
  <si>
    <t>Café com Leite</t>
  </si>
  <si>
    <t>Caramelo Salgado</t>
  </si>
  <si>
    <t>410727079</t>
  </si>
  <si>
    <t>410709079</t>
  </si>
  <si>
    <t>410713079</t>
  </si>
  <si>
    <t>Pistache</t>
  </si>
  <si>
    <t>Pasta de Pistache 300g</t>
  </si>
  <si>
    <t>Pasta de Avelã com Cacau 300g</t>
  </si>
  <si>
    <t>Pasta de Macadâmia 300g</t>
  </si>
  <si>
    <t>Pasta de Amêndoas 300g</t>
  </si>
  <si>
    <t>431448032</t>
  </si>
  <si>
    <t>430718001</t>
  </si>
  <si>
    <t>430716001</t>
  </si>
  <si>
    <t>20ml</t>
  </si>
  <si>
    <t>120 cápsulas</t>
  </si>
  <si>
    <t>Vitamina D3 + K2</t>
  </si>
  <si>
    <t>Vitamina D3</t>
  </si>
  <si>
    <t>Vitamina D3 - Mini caps</t>
  </si>
  <si>
    <t>Frasco</t>
  </si>
  <si>
    <t>431517001</t>
  </si>
  <si>
    <t>430917001</t>
  </si>
  <si>
    <t>430918001</t>
  </si>
  <si>
    <t>Complexo B</t>
  </si>
  <si>
    <t>Cúrcuma Bio</t>
  </si>
  <si>
    <t>Doce De Leite</t>
  </si>
  <si>
    <t>COMBO WPC 900+ MONO 300G</t>
  </si>
  <si>
    <t>COMBOWPCMONOBAUBau</t>
  </si>
  <si>
    <t>COMBOWPCMONOCHOCho</t>
  </si>
  <si>
    <t>COMBOWPCMONOMORMor</t>
  </si>
  <si>
    <t>COMBOWPCMONOCOOCoo</t>
  </si>
  <si>
    <t>COMBOWPCMONOCOCCoc</t>
  </si>
  <si>
    <t>COMBOWPCMONOCAPCap</t>
  </si>
  <si>
    <t>COMBOWPCMONOSEMSem</t>
  </si>
  <si>
    <t>COMBOWPCMONOBUTBut</t>
  </si>
  <si>
    <t>COMBOWPCMONOBANOBan</t>
  </si>
  <si>
    <t>COMBOWPCMONOCHOBCho</t>
  </si>
  <si>
    <t>COMBOWPCMONODOCDoc</t>
  </si>
  <si>
    <t>COMBOWPCMONOCARCar</t>
  </si>
  <si>
    <t>COMBO WPC 900+ CAFEÍNA90</t>
  </si>
  <si>
    <t>COMBOWPCCAFE90BAU</t>
  </si>
  <si>
    <t>COMBOWPCCAFE90CHO</t>
  </si>
  <si>
    <t>COMBOWPCCAFE90MOR</t>
  </si>
  <si>
    <t>COMBOWPCCAFE90COO</t>
  </si>
  <si>
    <t>COMBOWPCCAFE90COC</t>
  </si>
  <si>
    <t>COMBOWPCCAFE90CAP</t>
  </si>
  <si>
    <t>COMBOWPCCAFE90SEM</t>
  </si>
  <si>
    <t>COMBOWPCCAFE90BUT</t>
  </si>
  <si>
    <t>COMBOWPCCAFE90BANO</t>
  </si>
  <si>
    <t>COMBOWPCCAFE90CHOB</t>
  </si>
  <si>
    <t>COMBOWPCCAFE90DOC</t>
  </si>
  <si>
    <t>COMBOWPCCAFE90CAR</t>
  </si>
  <si>
    <t>COMBOWPCCAFE90</t>
  </si>
  <si>
    <t>COMBO PASTA DE AMENDOIM + MONO300</t>
  </si>
  <si>
    <t>MONO+PAMENDOIMSal</t>
  </si>
  <si>
    <t>COMBOMONO+PA</t>
  </si>
  <si>
    <t>MONO+PAMENDOIMCho</t>
  </si>
  <si>
    <t>MONO+PAMENDOIMCoo</t>
  </si>
  <si>
    <t>MONO+PAMENDOIMInt</t>
  </si>
  <si>
    <t>MONO+PCASTANHACho</t>
  </si>
  <si>
    <t>MONO+PCASTANHACoo</t>
  </si>
  <si>
    <t>MONO+PCASTANHADoc</t>
  </si>
  <si>
    <t>MONO+PCASTANHAInt</t>
  </si>
  <si>
    <t>MONO+PCASTANHASal</t>
  </si>
  <si>
    <t>MONO+PCASTANHA</t>
  </si>
  <si>
    <t>COMBO PASTA DE CASTANHA + MONO300</t>
  </si>
  <si>
    <t>COMBO 2x WPC 450 + CREAPURE 300g</t>
  </si>
  <si>
    <t>COMBOWPC450CREABAN</t>
  </si>
  <si>
    <t>COMBOWPC450CREABAU</t>
  </si>
  <si>
    <t>COMBOWPC450CREABUT</t>
  </si>
  <si>
    <t>COMBOWPC450CREACAR</t>
  </si>
  <si>
    <t>COMBOWPC450CREACHO</t>
  </si>
  <si>
    <t>COMBOWPC450CREACHOB</t>
  </si>
  <si>
    <t>COMBOWPC450CREACOC</t>
  </si>
  <si>
    <t>COMBOWPC450CREACOO</t>
  </si>
  <si>
    <t>COMBOWPC450CREADOC</t>
  </si>
  <si>
    <t>COMBOWPC450CREA</t>
  </si>
  <si>
    <t>COMBOWPIMONO</t>
  </si>
  <si>
    <t>NEUTRO</t>
  </si>
  <si>
    <t>COMBO WPI 900g + CREATINA MONO 300g</t>
  </si>
  <si>
    <t>COMBOWPIMONONEU</t>
  </si>
  <si>
    <t>COMBOWPIMONOMOR</t>
  </si>
  <si>
    <t>COMBOWPIMONOCOO</t>
  </si>
  <si>
    <t>COMBOWPIMONOCOC</t>
  </si>
  <si>
    <t>COMBOWPIMONOCAP</t>
  </si>
  <si>
    <t>COMBOWPIMONOBAU</t>
  </si>
  <si>
    <t>COMBOWPIMONOCHB</t>
  </si>
  <si>
    <t>COMBOWPIMONODOC</t>
  </si>
  <si>
    <t>Creatina Eat</t>
  </si>
  <si>
    <t>Melancia com Morango</t>
  </si>
  <si>
    <t>Blue Lemonade</t>
  </si>
  <si>
    <t>Pasta Monodoses</t>
  </si>
  <si>
    <t>30g</t>
  </si>
  <si>
    <t>Pasta Monodose Amendoim (10 unid.)</t>
  </si>
  <si>
    <t>Pasta Monodose de Pistache (10 unid.)</t>
  </si>
  <si>
    <t>Pasta Monodose Castanha de Caju (10 unid.)</t>
  </si>
  <si>
    <t>Pasta de Pistache</t>
  </si>
  <si>
    <t>Pasta de Macadâmia</t>
  </si>
  <si>
    <t>Banana</t>
  </si>
  <si>
    <t>Bananinha com Paçoca</t>
  </si>
  <si>
    <t>Berries</t>
  </si>
  <si>
    <t>Cacau Nibs</t>
  </si>
  <si>
    <t>Morango com Choc Branco</t>
  </si>
  <si>
    <t xml:space="preserve">Pasta Castanha </t>
  </si>
  <si>
    <t>Vitamina B12</t>
  </si>
  <si>
    <t>Morango e Limão</t>
  </si>
  <si>
    <t>Melatonina</t>
  </si>
  <si>
    <t xml:space="preserve">Pasta de Avelã </t>
  </si>
  <si>
    <t>COMBO WPI 900g + MULTI 90 CAPS</t>
  </si>
  <si>
    <t>COMBOWPIMULTNEU</t>
  </si>
  <si>
    <t>COMBOWPIMULTMOR</t>
  </si>
  <si>
    <t>COMBOWPIMULTCOO</t>
  </si>
  <si>
    <t>COMBOWPIMULTCOC</t>
  </si>
  <si>
    <t>COMBOWPIMULTCAP</t>
  </si>
  <si>
    <t>COMBOWPIMULTBAU</t>
  </si>
  <si>
    <t>COMBOWPIMULTCHOB</t>
  </si>
  <si>
    <t>COMBOWPIMULTDOC</t>
  </si>
  <si>
    <t>COMBOWPIMONOCHO</t>
  </si>
  <si>
    <t>COMBOWPIMULT</t>
  </si>
  <si>
    <t>COMBOWPIMULTCHO</t>
  </si>
  <si>
    <t>COMBOWPC1800MULTI</t>
  </si>
  <si>
    <t>BANANA</t>
  </si>
  <si>
    <t>COMBO WPC POUCH + MULTI90</t>
  </si>
  <si>
    <t>COMBOWPC1800MULTINEUMUL</t>
  </si>
  <si>
    <t>COMBOWPC1800MULTIMORMUL</t>
  </si>
  <si>
    <t>COMBOWPC1800MULTICOOMUL</t>
  </si>
  <si>
    <t>COMBOWPC1800MULTICOCMUL</t>
  </si>
  <si>
    <t>COMBOWPC1800MULTICHOMUL</t>
  </si>
  <si>
    <t>COMBOWPC1800MULTICAPMUL</t>
  </si>
  <si>
    <t>COMBOWPC1800MULTIBAUMUL</t>
  </si>
  <si>
    <t>COMBOWPC1800MULTIBANMUL</t>
  </si>
  <si>
    <t>COMBOWPC1800MULTIBANOMUL</t>
  </si>
  <si>
    <t>COMBOWPC1800MULTICHOBMUL</t>
  </si>
  <si>
    <t>COMBOWPC1800MULTIDOCMUL</t>
  </si>
  <si>
    <t>Pre Workout Original Stim Free</t>
  </si>
  <si>
    <t>Mag-3 Complex</t>
  </si>
  <si>
    <t>Pistache e Chocolate Branco</t>
  </si>
  <si>
    <t>Tangerina e Hibisco</t>
  </si>
  <si>
    <t>30 Cápsulas</t>
  </si>
  <si>
    <t>60 Cápsulas</t>
  </si>
  <si>
    <t>Nac Pro</t>
  </si>
  <si>
    <t>Collagen II Mini Caps</t>
  </si>
  <si>
    <t>450g</t>
  </si>
  <si>
    <t>Pigment Clear</t>
  </si>
  <si>
    <t>Torta de Limão</t>
  </si>
  <si>
    <t>Mini Protein Bar unidade</t>
  </si>
  <si>
    <t>CORPO E MENTE</t>
  </si>
  <si>
    <t>SNACKS PROTEICOS</t>
  </si>
  <si>
    <t>ALTA PERFORMANCE</t>
  </si>
  <si>
    <t>PELE E BELEZA</t>
  </si>
  <si>
    <t>ESPORTE E FITNESS</t>
  </si>
  <si>
    <t>Brigadeiro de Pistache</t>
  </si>
  <si>
    <t>Churros</t>
  </si>
  <si>
    <t>Romeu e Julieta</t>
  </si>
  <si>
    <t>710ml</t>
  </si>
  <si>
    <t>Branca</t>
  </si>
  <si>
    <t>Coqueteleira Strada</t>
  </si>
  <si>
    <t>Preta</t>
  </si>
  <si>
    <t>Guaraná</t>
  </si>
  <si>
    <t>Guaraná com Cafeína</t>
  </si>
  <si>
    <t>Neutro com Cafeína</t>
  </si>
  <si>
    <t>Multinutrientes Mulher</t>
  </si>
  <si>
    <t>Prímula Care</t>
  </si>
  <si>
    <t>Creatina Monohidratada - 6 UNIDADES</t>
  </si>
  <si>
    <t>Creatina Monohidratada - 4 UNIDADES</t>
  </si>
  <si>
    <t>Glutamina - 6 UNIDADES</t>
  </si>
  <si>
    <t>Protein Brownie</t>
  </si>
  <si>
    <t>270g</t>
  </si>
  <si>
    <t>Fior Di Latte e Especiarias</t>
  </si>
  <si>
    <t>Fior Di Latte e Limão Siciliano</t>
  </si>
  <si>
    <t>Smoothie</t>
  </si>
  <si>
    <t>Dark Cookies</t>
  </si>
  <si>
    <t>900g</t>
  </si>
  <si>
    <t>Speculoos</t>
  </si>
  <si>
    <t>Matcha Latte</t>
  </si>
  <si>
    <t>White Mocha</t>
  </si>
  <si>
    <t>codigo_produto</t>
  </si>
  <si>
    <t>grupo_remuneracao_variavel</t>
  </si>
  <si>
    <t>BARRAS</t>
  </si>
  <si>
    <t>CREATINAS</t>
  </si>
  <si>
    <t>OUTROS</t>
  </si>
  <si>
    <t>SACHES</t>
  </si>
  <si>
    <t>SHAKES</t>
  </si>
  <si>
    <t>VITAMINAS</t>
  </si>
  <si>
    <t>Família</t>
  </si>
  <si>
    <t>Tabela</t>
  </si>
  <si>
    <t>Cód, SKU</t>
  </si>
  <si>
    <t>Cafeína - 6 unidades</t>
  </si>
  <si>
    <t>Fish Oil - 6 unidades</t>
  </si>
  <si>
    <t>Proteína Sabores (4 unid.)</t>
  </si>
  <si>
    <t>Display Barra Frutas (12 unid.)</t>
  </si>
  <si>
    <t>Display Barra de Proteína (12 unid.)</t>
  </si>
  <si>
    <t>Energy Gel (10 unid.)</t>
  </si>
  <si>
    <t>Multivitamínico - 6 unidades</t>
  </si>
  <si>
    <t>Gaba</t>
  </si>
  <si>
    <t>Preço Unit.</t>
  </si>
  <si>
    <t>405g</t>
  </si>
  <si>
    <t>Laranja e Beterraba</t>
  </si>
  <si>
    <t>Limão e Beterraba</t>
  </si>
  <si>
    <t>Nitra Beet</t>
  </si>
  <si>
    <t xml:space="preserve">ULTRA VITAMINICO SPORT </t>
  </si>
  <si>
    <t>CREATINA MONOHIDRATADA DC</t>
  </si>
  <si>
    <t>SUPER WHEY PROTEIN DC 810G - APPLE PIE</t>
  </si>
  <si>
    <t>APPLE PIE</t>
  </si>
  <si>
    <t>810g</t>
  </si>
  <si>
    <t>SUPER WHEY PROTEIN DC 810G - CHOCOLATE MINT</t>
  </si>
  <si>
    <t>CHOCOLATE MINT</t>
  </si>
  <si>
    <t>SUPER WHEY PROTEIN DC 810G - DARK CHOCOLATE</t>
  </si>
  <si>
    <t>DARK CHOCOLATE</t>
  </si>
  <si>
    <t>SUPER WHEY PROTEIN DC 810G - GOLDEN TRIPLE</t>
  </si>
  <si>
    <t>GOLDEN TRIPLE</t>
  </si>
  <si>
    <t>SUPER WHEY PROTEIN DC 810G - STRAWBERRY MILK-SHAKE</t>
  </si>
  <si>
    <t>STRAWBERRY MILK-SHAKE</t>
  </si>
  <si>
    <t>SUPER WHEY PROTEIN DC SACHE 4 CX - APPLE PIE</t>
  </si>
  <si>
    <t>SUPER WHEY PROTEIN DC SACHE 4 CX - CHOCOLATE MINT</t>
  </si>
  <si>
    <t>SUPER WHEY PROTEIN DC SACHE 4 CX - GOLDEN TRIPLE</t>
  </si>
  <si>
    <t>SUPER WHEY PROTEIN DC SACHE 4 CX - STRAWBERRY MILK-SHAKE</t>
  </si>
  <si>
    <t xml:space="preserve">SQUEEZE DC </t>
  </si>
  <si>
    <t>AZUL</t>
  </si>
  <si>
    <t>1000 ml</t>
  </si>
  <si>
    <t>PRETA</t>
  </si>
  <si>
    <t>VERMELHA</t>
  </si>
  <si>
    <t xml:space="preserve">COQUETELEIRA DC </t>
  </si>
  <si>
    <t>850 ml</t>
  </si>
  <si>
    <t>FARMACIAS ESP.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</si>
</sst>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&quot;R$&quot;#,##0.00_);[Red]\(&quot;R$&quot;#,##0.00\)"/>
    <numFmt numFmtId="166" formatCode="_(&quot;R$&quot;* #,##0.00_);_(&quot;R$&quot;* \(#,##0.00\);_(&quot;R$&quot;* &quot;-&quot;??_);_(@_)"/>
    <numFmt numFmtId="167" formatCode="0.00&quot;x&quot;"/>
    <numFmt numFmtId="168" formatCode="[$-416]mmmm\-yy"/>
    <numFmt numFmtId="169" formatCode="[$R$-416]#,##0.00;[Red]\-[$R$-416]#,##0.00"/>
    <numFmt numFmtId="170" formatCode="#.00&quot;x&quot;"/>
    <numFmt numFmtId="171" formatCode="0.0000"/>
    <numFmt numFmtId="172" formatCode="0.0%"/>
    <numFmt numFmtId="173" formatCode="&quot;R$&quot;\ #,##0.00"/>
    <numFmt numFmtId="174" formatCode="##\ &quot;unds.&quot;"/>
    <numFmt numFmtId="175" formatCode="#,###&quot;g&quot;"/>
    <numFmt numFmtId="176" formatCode="#&quot;g&quot;"/>
    <numFmt numFmtId="177" formatCode="#\ &quot;cápsulas&quot;"/>
    <numFmt numFmtId="178" formatCode="#&quot;ml&quot;"/>
    <numFmt numFmtId="179" formatCode="#&quot;x&quot;"/>
    <numFmt numFmtId="180" formatCode="#,##0.000"/>
    <numFmt numFmtId="181" formatCode="0.000"/>
    <numFmt numFmtId="182" formatCode="0.00000"/>
    <numFmt numFmtId="183" formatCode="&quot;R$&quot;\ #,##0"/>
    <numFmt numFmtId="184" formatCode="0.0"/>
    <numFmt numFmtId="185" formatCode="&quot;R$&quot;\ #,##0.000;[Red]&quot;R$&quot;\ #,##0.000"/>
    <numFmt numFmtId="186" formatCode="&quot;R$&quot;\ #,##0.00;[Red]&quot;R$&quot;\ #,##0.00"/>
    <numFmt numFmtId="187" formatCode="_(&quot;R$ &quot;* #,##0.00_);_(&quot;R$ &quot;* \(#,##0.00\);_(&quot;R$ &quot;* &quot;-&quot;??_);_(@_)"/>
  </numFmts>
  <fonts count="133">
    <font>
      <sz val="8"/>
      <color theme="1"/>
      <name val="Arial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Shentox"/>
    </font>
    <font>
      <b/>
      <sz val="10"/>
      <color theme="1"/>
      <name val="Shentox"/>
    </font>
    <font>
      <sz val="8"/>
      <color theme="1"/>
      <name val="Shentox"/>
    </font>
    <font>
      <sz val="8"/>
      <color theme="2"/>
      <name val="Shentox"/>
    </font>
    <font>
      <b/>
      <sz val="10"/>
      <color rgb="FF39363D"/>
      <name val="Shentox"/>
    </font>
    <font>
      <b/>
      <sz val="10"/>
      <color rgb="FFB7DF0C"/>
      <name val="Shentox"/>
    </font>
    <font>
      <b/>
      <sz val="8"/>
      <color theme="1"/>
      <name val="Shentox"/>
    </font>
    <font>
      <b/>
      <sz val="10"/>
      <color theme="8" tint="0.79998168889431442"/>
      <name val="Shentox"/>
    </font>
    <font>
      <b/>
      <sz val="10"/>
      <color rgb="FFB7E7E0"/>
      <name val="Shentox"/>
    </font>
    <font>
      <sz val="10"/>
      <color rgb="FFB7E7E0"/>
      <name val="Shentox"/>
    </font>
    <font>
      <b/>
      <sz val="10"/>
      <color theme="1" tint="0.249977111117893"/>
      <name val="Shentox"/>
    </font>
    <font>
      <sz val="10"/>
      <color theme="1" tint="0.249977111117893"/>
      <name val="Shentox"/>
    </font>
    <font>
      <b/>
      <sz val="9"/>
      <color theme="1" tint="0.249977111117893"/>
      <name val="Shentox"/>
    </font>
    <font>
      <sz val="8"/>
      <color theme="1" tint="0.249977111117893"/>
      <name val="Shentox"/>
    </font>
    <font>
      <sz val="10"/>
      <color theme="0"/>
      <name val="Shentox"/>
    </font>
    <font>
      <sz val="1"/>
      <color theme="1" tint="0.249977111117893"/>
      <name val="Shentox"/>
    </font>
    <font>
      <sz val="1"/>
      <color theme="1" tint="0.249977111117893"/>
      <name val="Calibri"/>
      <family val="2"/>
      <scheme val="major"/>
    </font>
    <font>
      <sz val="1"/>
      <color theme="1"/>
      <name val="Calibri"/>
      <family val="2"/>
    </font>
    <font>
      <sz val="1"/>
      <color theme="1"/>
      <name val="Shentox"/>
    </font>
    <font>
      <b/>
      <sz val="1"/>
      <color rgb="FFB7E7E0"/>
      <name val="Shentox"/>
    </font>
    <font>
      <sz val="1"/>
      <color theme="1"/>
      <name val="Arial"/>
      <family val="2"/>
    </font>
    <font>
      <sz val="10"/>
      <name val="Shentox"/>
    </font>
    <font>
      <sz val="8"/>
      <name val="Arial"/>
      <family val="2"/>
    </font>
    <font>
      <sz val="8"/>
      <color rgb="FFFF0000"/>
      <name val="Arial"/>
      <family val="2"/>
    </font>
    <font>
      <sz val="1"/>
      <name val="Shentox"/>
    </font>
    <font>
      <sz val="10"/>
      <color theme="1"/>
      <name val="Arial"/>
      <family val="2"/>
    </font>
    <font>
      <sz val="9"/>
      <color theme="1"/>
      <name val="Shentox"/>
    </font>
    <font>
      <sz val="12"/>
      <color rgb="FF000000"/>
      <name val="Shentox"/>
    </font>
    <font>
      <sz val="14"/>
      <color theme="1"/>
      <name val="Shentox"/>
    </font>
    <font>
      <sz val="10"/>
      <color rgb="FFFF0000"/>
      <name val="Shentox"/>
    </font>
    <font>
      <sz val="10"/>
      <color theme="3" tint="0.14999847407452621"/>
      <name val="Calibri"/>
      <family val="2"/>
    </font>
    <font>
      <b/>
      <sz val="10"/>
      <color theme="0"/>
      <name val="Shentox"/>
    </font>
    <font>
      <sz val="9"/>
      <color theme="1"/>
      <name val="Calibri"/>
      <family val="2"/>
    </font>
    <font>
      <b/>
      <sz val="9"/>
      <color rgb="FFB7E7E0"/>
      <name val="Shentox"/>
    </font>
    <font>
      <sz val="9"/>
      <color theme="0"/>
      <name val="Shentox"/>
    </font>
    <font>
      <sz val="9"/>
      <color theme="1"/>
      <name val="Arial"/>
      <family val="2"/>
    </font>
    <font>
      <b/>
      <sz val="10"/>
      <color theme="0" tint="-0.34998626667073579"/>
      <name val="Shentox"/>
    </font>
    <font>
      <sz val="8"/>
      <name val="Shentox"/>
    </font>
    <font>
      <sz val="8"/>
      <color theme="0"/>
      <name val="Shentox"/>
    </font>
    <font>
      <sz val="1"/>
      <color rgb="FFFF0000"/>
      <name val="Arial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  <font>
      <b/>
      <sz val="10"/>
      <color rgb="FFC00000"/>
      <name val="Shentox"/>
    </font>
    <font>
      <sz val="10"/>
      <color rgb="FFC00000"/>
      <name val="Shentox"/>
    </font>
    <font>
      <b/>
      <sz val="1"/>
      <color theme="1" tint="0.249977111117893"/>
      <name val="Shentox"/>
    </font>
    <font>
      <b/>
      <sz val="8"/>
      <color theme="1" tint="0.249977111117893"/>
      <name val="Shentox"/>
    </font>
    <font>
      <b/>
      <sz val="10"/>
      <color theme="1" tint="0.249977111117893"/>
      <name val="Calibri"/>
      <family val="2"/>
    </font>
    <font>
      <b/>
      <sz val="8"/>
      <color theme="1" tint="0.249977111117893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8"/>
      <color theme="0" tint="-4.9989318521683403E-2"/>
      <name val="Arial"/>
      <family val="2"/>
    </font>
    <font>
      <sz val="11"/>
      <color theme="0" tint="-4.9989318521683403E-2"/>
      <name val="Shentox"/>
    </font>
    <font>
      <b/>
      <sz val="11"/>
      <color theme="0" tint="-4.9989318521683403E-2"/>
      <name val="Shentox"/>
    </font>
    <font>
      <sz val="1"/>
      <color rgb="FFC00000"/>
      <name val="Shentox"/>
    </font>
    <font>
      <sz val="8"/>
      <color rgb="FFC00000"/>
      <name val="Shentox"/>
    </font>
    <font>
      <sz val="10"/>
      <color rgb="FFC00000"/>
      <name val="Calibri"/>
      <family val="2"/>
    </font>
    <font>
      <sz val="8"/>
      <color rgb="FFC00000"/>
      <name val="Arial"/>
      <family val="2"/>
    </font>
    <font>
      <sz val="10"/>
      <color rgb="FFC00000"/>
      <name val="Arial"/>
      <family val="2"/>
    </font>
    <font>
      <sz val="8"/>
      <color theme="1" tint="0.249977111117893"/>
      <name val="Arial"/>
      <family val="2"/>
    </font>
    <font>
      <sz val="12"/>
      <color theme="1" tint="0.249977111117893"/>
      <name val="Arial"/>
      <family val="2"/>
    </font>
    <font>
      <sz val="9"/>
      <color theme="1" tint="0.249977111117893"/>
      <name val="Arial"/>
      <family val="2"/>
    </font>
    <font>
      <sz val="10"/>
      <color theme="1" tint="0.249977111117893"/>
      <name val="Arial"/>
      <family val="2"/>
    </font>
    <font>
      <sz val="9"/>
      <color theme="1" tint="0.249977111117893"/>
      <name val="Shentox"/>
    </font>
    <font>
      <sz val="9"/>
      <color rgb="FFC00000"/>
      <name val="Shentox"/>
    </font>
    <font>
      <sz val="11"/>
      <name val="Calibri"/>
      <family val="2"/>
    </font>
    <font>
      <b/>
      <sz val="10"/>
      <name val="Shentox"/>
    </font>
    <font>
      <b/>
      <sz val="8"/>
      <color rgb="FFFF0000"/>
      <name val="Shentox"/>
    </font>
    <font>
      <sz val="12"/>
      <color theme="1"/>
      <name val="Shentox"/>
    </font>
    <font>
      <sz val="11"/>
      <color theme="1" tint="0.249977111117893"/>
      <name val="Arial"/>
      <family val="2"/>
    </font>
    <font>
      <b/>
      <sz val="10"/>
      <color theme="1" tint="0.34998626667073579"/>
      <name val="Shentox"/>
    </font>
    <font>
      <sz val="10"/>
      <color theme="1" tint="0.34998626667073579"/>
      <name val="Shentox"/>
    </font>
    <font>
      <b/>
      <sz val="11"/>
      <color theme="1"/>
      <name val="Shentox"/>
    </font>
    <font>
      <b/>
      <sz val="12"/>
      <name val="Shentox"/>
    </font>
    <font>
      <sz val="11"/>
      <color rgb="FF92D050"/>
      <name val="Shentox"/>
    </font>
    <font>
      <sz val="11"/>
      <color theme="9" tint="0.59999389629810485"/>
      <name val="Shentox"/>
    </font>
    <font>
      <sz val="11"/>
      <color rgb="FFFFFF99"/>
      <name val="Shentox"/>
    </font>
    <font>
      <sz val="11"/>
      <color theme="7" tint="0.59999389629810485"/>
      <name val="Shentox"/>
    </font>
    <font>
      <sz val="11"/>
      <color rgb="FFFFC7CE"/>
      <name val="Shentox"/>
    </font>
    <font>
      <sz val="11"/>
      <color rgb="FF8BD9CE"/>
      <name val="Shentox"/>
    </font>
    <font>
      <sz val="11"/>
      <color theme="0" tint="-4.9989318521683403E-2"/>
      <name val="Arial"/>
      <family val="2"/>
    </font>
    <font>
      <b/>
      <sz val="10"/>
      <color rgb="FFC00000"/>
      <name val="Calibri"/>
      <family val="2"/>
    </font>
    <font>
      <b/>
      <sz val="8"/>
      <color rgb="FFC00000"/>
      <name val="Arial"/>
      <family val="2"/>
    </font>
    <font>
      <sz val="12"/>
      <color theme="1"/>
      <name val="Calibri"/>
      <family val="2"/>
    </font>
    <font>
      <b/>
      <sz val="12"/>
      <color theme="1"/>
      <name val="Shentox"/>
    </font>
    <font>
      <b/>
      <sz val="12"/>
      <color rgb="FFB7E7E0"/>
      <name val="Shentox"/>
    </font>
    <font>
      <b/>
      <sz val="11"/>
      <color theme="1" tint="0.249977111117893"/>
      <name val="Arial"/>
      <family val="2"/>
    </font>
    <font>
      <sz val="11"/>
      <color rgb="FFC00000"/>
      <name val="Arial"/>
      <family val="2"/>
    </font>
    <font>
      <b/>
      <sz val="12"/>
      <color theme="1" tint="0.249977111117893"/>
      <name val="Arial"/>
      <family val="2"/>
    </font>
    <font>
      <sz val="12"/>
      <color rgb="FFC00000"/>
      <name val="Arial"/>
      <family val="2"/>
    </font>
    <font>
      <b/>
      <sz val="12"/>
      <color rgb="FF002060"/>
      <name val="Shentox"/>
    </font>
    <font>
      <sz val="12"/>
      <color theme="1"/>
      <name val="Shentox 7"/>
    </font>
    <font>
      <sz val="12"/>
      <color theme="1"/>
      <name val="Calibri"/>
      <family val="2"/>
      <scheme val="minor"/>
    </font>
    <font>
      <sz val="11"/>
      <color theme="1"/>
      <name val="Shentox"/>
    </font>
    <font>
      <b/>
      <sz val="11"/>
      <color theme="0"/>
      <name val="Shentox 7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8"/>
      <color indexed="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Barlow"/>
    </font>
    <font>
      <sz val="11"/>
      <color theme="1"/>
      <name val="Barlow"/>
    </font>
    <font>
      <sz val="10"/>
      <color theme="1"/>
      <name val="Barlow"/>
    </font>
    <font>
      <sz val="10"/>
      <color theme="3" tint="0.14999847407452621"/>
      <name val="Barlow"/>
    </font>
    <font>
      <b/>
      <sz val="10"/>
      <color theme="1" tint="0.249977111117893"/>
      <name val="Barlow"/>
    </font>
    <font>
      <b/>
      <sz val="11"/>
      <name val="Barlow"/>
    </font>
    <font>
      <sz val="10"/>
      <color theme="1" tint="0.249977111117893"/>
      <name val="Barlow"/>
    </font>
    <font>
      <b/>
      <sz val="10"/>
      <name val="Barlow"/>
    </font>
    <font>
      <sz val="10"/>
      <color rgb="FFFF0000"/>
      <name val="Barlow"/>
    </font>
    <font>
      <b/>
      <sz val="11"/>
      <color theme="1"/>
      <name val="Barlow"/>
    </font>
    <font>
      <sz val="10"/>
      <color theme="0"/>
      <name val="Barlow"/>
    </font>
    <font>
      <b/>
      <sz val="10"/>
      <color rgb="FFFF0000"/>
      <name val="Barlow"/>
    </font>
    <font>
      <b/>
      <sz val="11"/>
      <color rgb="FF39363D"/>
      <name val="Barlow"/>
    </font>
    <font>
      <b/>
      <sz val="11"/>
      <color theme="8" tint="0.79998168889431442"/>
      <name val="Barlow"/>
    </font>
    <font>
      <b/>
      <sz val="10"/>
      <color theme="1" tint="0.34998626667073579"/>
      <name val="Barlow"/>
    </font>
    <font>
      <sz val="10"/>
      <color theme="1" tint="0.34998626667073579"/>
      <name val="Barlow"/>
    </font>
    <font>
      <sz val="10"/>
      <color theme="2"/>
      <name val="Barlow"/>
    </font>
    <font>
      <b/>
      <sz val="11"/>
      <color theme="1" tint="0.249977111117893"/>
      <name val="Barlow"/>
    </font>
    <font>
      <b/>
      <sz val="11"/>
      <color rgb="FFB7E7E0"/>
      <name val="Barlow"/>
    </font>
    <font>
      <sz val="10"/>
      <name val="Barlow"/>
    </font>
    <font>
      <sz val="11"/>
      <name val="Barlow"/>
    </font>
  </fonts>
  <fills count="57">
    <fill>
      <patternFill patternType="none"/>
    </fill>
    <fill>
      <patternFill patternType="gray125"/>
    </fill>
    <fill>
      <patternFill patternType="solid">
        <fgColor rgb="FF262626"/>
        <bgColor rgb="FF262626"/>
      </patternFill>
    </fill>
    <fill>
      <patternFill patternType="solid">
        <fgColor rgb="FFFFF2CC"/>
        <bgColor rgb="FFFFF2CC"/>
      </patternFill>
    </fill>
    <fill>
      <patternFill patternType="solid">
        <fgColor rgb="FFC55A11"/>
        <bgColor rgb="FFC55A11"/>
      </patternFill>
    </fill>
    <fill>
      <patternFill patternType="solid">
        <fgColor rgb="FF3F3F3F"/>
        <bgColor rgb="FF3F3F3F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rgb="FF3F3F3F"/>
      </patternFill>
    </fill>
    <fill>
      <patternFill patternType="solid">
        <fgColor theme="9" tint="0.79998168889431442"/>
        <bgColor rgb="FFFFE598"/>
      </patternFill>
    </fill>
    <fill>
      <patternFill patternType="solid">
        <fgColor theme="2" tint="-4.9989318521683403E-2"/>
        <bgColor rgb="FFFFF2CC"/>
      </patternFill>
    </fill>
    <fill>
      <patternFill patternType="solid">
        <fgColor rgb="FFB7E7E0"/>
        <bgColor rgb="FFB7DF0C"/>
      </patternFill>
    </fill>
    <fill>
      <patternFill patternType="solid">
        <fgColor rgb="FFB7E7E0"/>
        <bgColor rgb="FFC55A11"/>
      </patternFill>
    </fill>
    <fill>
      <patternFill patternType="solid">
        <fgColor rgb="FFB7E7E0"/>
        <bgColor indexed="64"/>
      </patternFill>
    </fill>
    <fill>
      <patternFill patternType="solid">
        <fgColor rgb="FFB7E7E0"/>
        <bgColor rgb="FFB4C6E7"/>
      </patternFill>
    </fill>
    <fill>
      <patternFill patternType="solid">
        <fgColor rgb="FFC6ECE7"/>
        <bgColor rgb="FFB4C6E7"/>
      </patternFill>
    </fill>
    <fill>
      <patternFill patternType="solid">
        <fgColor rgb="FFC6ECE7"/>
        <bgColor indexed="64"/>
      </patternFill>
    </fill>
    <fill>
      <patternFill patternType="solid">
        <fgColor rgb="FFC6ECE7"/>
        <bgColor rgb="FFFFF2CC"/>
      </patternFill>
    </fill>
    <fill>
      <patternFill patternType="solid">
        <fgColor theme="5"/>
        <bgColor rgb="FF3F3F3F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rgb="FF87FF6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EBAB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FFF2CC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2CC"/>
      </patternFill>
    </fill>
    <fill>
      <patternFill patternType="solid">
        <fgColor rgb="FF00824D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35"/>
      </patternFill>
    </fill>
    <fill>
      <patternFill patternType="solid">
        <fgColor theme="0" tint="-0.14999847407452621"/>
        <bgColor indexed="49"/>
      </patternFill>
    </fill>
    <fill>
      <patternFill patternType="solid">
        <fgColor theme="0" tint="-0.14999847407452621"/>
        <bgColor indexed="43"/>
      </patternFill>
    </fill>
    <fill>
      <patternFill patternType="solid">
        <fgColor theme="0" tint="-0.14999847407452621"/>
        <bgColor indexed="3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35"/>
      </patternFill>
    </fill>
    <fill>
      <patternFill patternType="solid">
        <fgColor theme="0"/>
        <bgColor indexed="49"/>
      </patternFill>
    </fill>
    <fill>
      <patternFill patternType="solid">
        <fgColor theme="0"/>
        <bgColor indexed="43"/>
      </patternFill>
    </fill>
    <fill>
      <patternFill patternType="solid">
        <fgColor theme="0"/>
        <bgColor indexed="34"/>
      </patternFill>
    </fill>
    <fill>
      <patternFill patternType="solid">
        <fgColor theme="8" tint="0.59999389629810485"/>
        <bgColor indexed="53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7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 style="medium">
        <color rgb="FF000000"/>
      </right>
      <top style="dotted">
        <color rgb="FF000000"/>
      </top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rgb="FF000000"/>
      </left>
      <right/>
      <top/>
      <bottom style="dotted">
        <color indexed="64"/>
      </bottom>
      <diagonal/>
    </border>
    <border>
      <left style="medium">
        <color rgb="FF000000"/>
      </left>
      <right/>
      <top style="dotted">
        <color indexed="64"/>
      </top>
      <bottom/>
      <diagonal/>
    </border>
    <border>
      <left style="medium">
        <color rgb="FF000000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/>
      <top style="dotted">
        <color rgb="FF000000"/>
      </top>
      <bottom style="dotted">
        <color indexed="64"/>
      </bottom>
      <diagonal/>
    </border>
    <border>
      <left/>
      <right style="medium">
        <color theme="1" tint="0.34998626667073579"/>
      </right>
      <top/>
      <bottom style="dotted">
        <color rgb="FF000000"/>
      </bottom>
      <diagonal/>
    </border>
    <border>
      <left/>
      <right style="medium">
        <color theme="1" tint="0.34998626667073579"/>
      </right>
      <top style="dotted">
        <color rgb="FF000000"/>
      </top>
      <bottom/>
      <diagonal/>
    </border>
    <border>
      <left/>
      <right style="medium">
        <color theme="1" tint="0.34998626667073579"/>
      </right>
      <top/>
      <bottom/>
      <diagonal/>
    </border>
    <border>
      <left/>
      <right style="medium">
        <color theme="1" tint="0.34998626667073579"/>
      </right>
      <top style="dotted">
        <color rgb="FF000000"/>
      </top>
      <bottom style="dotted">
        <color rgb="FF000000"/>
      </bottom>
      <diagonal/>
    </border>
    <border>
      <left style="medium">
        <color theme="1" tint="0.34998626667073579"/>
      </left>
      <right/>
      <top/>
      <bottom/>
      <diagonal/>
    </border>
    <border>
      <left/>
      <right style="medium">
        <color theme="1" tint="0.34998626667073579"/>
      </right>
      <top style="dotted">
        <color rgb="FF000000"/>
      </top>
      <bottom style="dotted">
        <color indexed="64"/>
      </bottom>
      <diagonal/>
    </border>
    <border>
      <left/>
      <right style="medium">
        <color theme="1" tint="0.34998626667073579"/>
      </right>
      <top style="dotted">
        <color indexed="64"/>
      </top>
      <bottom/>
      <diagonal/>
    </border>
    <border>
      <left/>
      <right/>
      <top/>
      <bottom style="medium">
        <color theme="1" tint="0.34998626667073579"/>
      </bottom>
      <diagonal/>
    </border>
    <border>
      <left style="medium">
        <color rgb="FF000000"/>
      </left>
      <right/>
      <top/>
      <bottom style="medium">
        <color theme="1" tint="0.34998626667073579"/>
      </bottom>
      <diagonal/>
    </border>
    <border>
      <left/>
      <right style="medium">
        <color rgb="FF000000"/>
      </right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/>
      <diagonal/>
    </border>
    <border>
      <left style="medium">
        <color theme="1" tint="0.34998626667073579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 style="thin">
        <color rgb="FF000000"/>
      </top>
      <bottom/>
      <diagonal/>
    </border>
    <border>
      <left style="medium">
        <color theme="1" tint="0.34998626667073579"/>
      </left>
      <right/>
      <top style="medium">
        <color theme="1" tint="0.34998626667073579"/>
      </top>
      <bottom/>
      <diagonal/>
    </border>
    <border>
      <left style="medium">
        <color rgb="FF000000"/>
      </left>
      <right/>
      <top style="medium">
        <color theme="1" tint="0.34998626667073579"/>
      </top>
      <bottom/>
      <diagonal/>
    </border>
    <border>
      <left/>
      <right style="medium">
        <color rgb="FF000000"/>
      </right>
      <top style="medium">
        <color theme="1" tint="0.34998626667073579"/>
      </top>
      <bottom/>
      <diagonal/>
    </border>
    <border>
      <left/>
      <right/>
      <top style="medium">
        <color theme="1" tint="0.34998626667073579"/>
      </top>
      <bottom style="medium">
        <color rgb="FF000000"/>
      </bottom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/>
      <bottom style="dotted">
        <color rgb="FF000000"/>
      </bottom>
      <diagonal/>
    </border>
    <border>
      <left style="medium">
        <color theme="1" tint="0.34998626667073579"/>
      </left>
      <right/>
      <top style="dotted">
        <color rgb="FF000000"/>
      </top>
      <bottom/>
      <diagonal/>
    </border>
    <border>
      <left style="medium">
        <color theme="1" tint="0.34998626667073579"/>
      </left>
      <right/>
      <top style="dotted">
        <color rgb="FF000000"/>
      </top>
      <bottom style="dotted">
        <color rgb="FF000000"/>
      </bottom>
      <diagonal/>
    </border>
    <border>
      <left style="medium">
        <color theme="1" tint="0.34998626667073579"/>
      </left>
      <right/>
      <top style="dotted">
        <color rgb="FF000000"/>
      </top>
      <bottom style="dotted">
        <color indexed="64"/>
      </bottom>
      <diagonal/>
    </border>
    <border>
      <left style="medium">
        <color theme="1" tint="0.34998626667073579"/>
      </left>
      <right/>
      <top style="dotted">
        <color indexed="64"/>
      </top>
      <bottom/>
      <diagonal/>
    </border>
    <border>
      <left style="medium">
        <color theme="1" tint="0.34998626667073579"/>
      </left>
      <right/>
      <top/>
      <bottom style="dotted">
        <color indexed="64"/>
      </bottom>
      <diagonal/>
    </border>
    <border>
      <left/>
      <right style="medium">
        <color theme="1" tint="0.34998626667073579"/>
      </right>
      <top/>
      <bottom style="dotted">
        <color indexed="64"/>
      </bottom>
      <diagonal/>
    </border>
    <border>
      <left/>
      <right style="medium">
        <color theme="1" tint="0.34998626667073579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theme="1" tint="0.34998626667073579"/>
      </top>
      <bottom style="dotted">
        <color rgb="FF000000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dotted">
        <color rgb="FF000000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dotted">
        <color rgb="FF000000"/>
      </bottom>
      <diagonal/>
    </border>
    <border>
      <left/>
      <right/>
      <top style="medium">
        <color theme="1" tint="0.34998626667073579"/>
      </top>
      <bottom style="dotted">
        <color indexed="64"/>
      </bottom>
      <diagonal/>
    </border>
    <border>
      <left style="medium">
        <color rgb="FF000000"/>
      </left>
      <right/>
      <top style="medium">
        <color theme="1" tint="0.34998626667073579"/>
      </top>
      <bottom style="dotted">
        <color indexed="64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dotted">
        <color indexed="64"/>
      </bottom>
      <diagonal/>
    </border>
    <border>
      <left/>
      <right style="medium">
        <color rgb="FF000000"/>
      </right>
      <top style="medium">
        <color theme="1" tint="0.34998626667073579"/>
      </top>
      <bottom style="dotted">
        <color rgb="FF000000"/>
      </bottom>
      <diagonal/>
    </border>
    <border>
      <left/>
      <right/>
      <top style="dotted">
        <color rgb="FF000000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dotted">
        <color rgb="FF000000"/>
      </top>
      <bottom style="medium">
        <color theme="1" tint="0.34998626667073579"/>
      </bottom>
      <diagonal/>
    </border>
    <border>
      <left style="medium">
        <color theme="1" tint="0.34998626667073579"/>
      </left>
      <right/>
      <top style="dotted">
        <color rgb="FF000000"/>
      </top>
      <bottom style="medium">
        <color theme="1" tint="0.34998626667073579"/>
      </bottom>
      <diagonal/>
    </border>
    <border>
      <left/>
      <right/>
      <top style="dotted">
        <color indexed="64"/>
      </top>
      <bottom style="medium">
        <color theme="1" tint="0.34998626667073579"/>
      </bottom>
      <diagonal/>
    </border>
    <border>
      <left style="medium">
        <color rgb="FF000000"/>
      </left>
      <right/>
      <top style="dotted">
        <color indexed="64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dotted">
        <color indexed="64"/>
      </top>
      <bottom style="medium">
        <color theme="1" tint="0.34998626667073579"/>
      </bottom>
      <diagonal/>
    </border>
    <border>
      <left/>
      <right style="medium">
        <color rgb="FF000000"/>
      </right>
      <top style="dotted">
        <color rgb="FF000000"/>
      </top>
      <bottom style="medium">
        <color theme="1" tint="0.34998626667073579"/>
      </bottom>
      <diagonal/>
    </border>
    <border>
      <left style="medium">
        <color theme="1" tint="0.249977111117893"/>
      </left>
      <right/>
      <top style="medium">
        <color theme="1" tint="0.249977111117893"/>
      </top>
      <bottom/>
      <diagonal/>
    </border>
    <border>
      <left/>
      <right/>
      <top style="medium">
        <color theme="1" tint="0.249977111117893"/>
      </top>
      <bottom/>
      <diagonal/>
    </border>
    <border>
      <left/>
      <right style="medium">
        <color theme="1" tint="0.249977111117893"/>
      </right>
      <top style="medium">
        <color theme="1" tint="0.249977111117893"/>
      </top>
      <bottom/>
      <diagonal/>
    </border>
    <border>
      <left style="medium">
        <color theme="1" tint="0.249977111117893"/>
      </left>
      <right/>
      <top/>
      <bottom/>
      <diagonal/>
    </border>
    <border>
      <left/>
      <right style="medium">
        <color theme="1" tint="0.249977111117893"/>
      </right>
      <top/>
      <bottom/>
      <diagonal/>
    </border>
    <border>
      <left style="medium">
        <color theme="1" tint="0.249977111117893"/>
      </left>
      <right/>
      <top/>
      <bottom style="medium">
        <color theme="1" tint="0.249977111117893"/>
      </bottom>
      <diagonal/>
    </border>
    <border>
      <left/>
      <right/>
      <top/>
      <bottom style="medium">
        <color theme="1" tint="0.249977111117893"/>
      </bottom>
      <diagonal/>
    </border>
    <border>
      <left/>
      <right style="medium">
        <color theme="1" tint="0.249977111117893"/>
      </right>
      <top/>
      <bottom style="medium">
        <color theme="1" tint="0.249977111117893"/>
      </bottom>
      <diagonal/>
    </border>
    <border>
      <left style="medium">
        <color theme="1" tint="0.34998626667073579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theme="1" tint="0.34998626667073579"/>
      </right>
      <top/>
      <bottom style="dotted">
        <color theme="1" tint="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1" tint="0.34998626667073579"/>
      </left>
      <right/>
      <top style="medium">
        <color theme="1" tint="0.249977111117893"/>
      </top>
      <bottom/>
      <diagonal/>
    </border>
    <border>
      <left/>
      <right style="medium">
        <color theme="1" tint="0.34998626667073579"/>
      </right>
      <top style="medium">
        <color theme="1" tint="0.249977111117893"/>
      </top>
      <bottom/>
      <diagonal/>
    </border>
    <border>
      <left style="medium">
        <color theme="1" tint="0.249977111117893"/>
      </left>
      <right/>
      <top style="dotted">
        <color rgb="FF000000"/>
      </top>
      <bottom/>
      <diagonal/>
    </border>
    <border>
      <left style="medium">
        <color theme="1" tint="0.249977111117893"/>
      </left>
      <right/>
      <top/>
      <bottom style="dotted">
        <color rgb="FF000000"/>
      </bottom>
      <diagonal/>
    </border>
    <border>
      <left style="medium">
        <color theme="1" tint="0.249977111117893"/>
      </left>
      <right/>
      <top/>
      <bottom style="dotted">
        <color indexed="64"/>
      </bottom>
      <diagonal/>
    </border>
    <border>
      <left/>
      <right/>
      <top/>
      <bottom style="dotted">
        <color theme="1" tint="0.34998626667073579"/>
      </bottom>
      <diagonal/>
    </border>
    <border>
      <left style="medium">
        <color rgb="FF000000"/>
      </left>
      <right/>
      <top/>
      <bottom style="dotted">
        <color theme="1" tint="0.34998626667073579"/>
      </bottom>
      <diagonal/>
    </border>
    <border>
      <left/>
      <right style="medium">
        <color rgb="FF000000"/>
      </right>
      <top/>
      <bottom style="dotted">
        <color indexed="64"/>
      </bottom>
      <diagonal/>
    </border>
    <border>
      <left/>
      <right/>
      <top style="medium">
        <color theme="1" tint="0.34998626667073579"/>
      </top>
      <bottom style="thin">
        <color indexed="64"/>
      </bottom>
      <diagonal/>
    </border>
    <border>
      <left style="medium">
        <color rgb="FF000000"/>
      </left>
      <right/>
      <top style="medium">
        <color theme="1" tint="0.34998626667073579"/>
      </top>
      <bottom style="thin">
        <color indexed="64"/>
      </bottom>
      <diagonal/>
    </border>
    <border>
      <left/>
      <right style="medium">
        <color rgb="FF000000"/>
      </right>
      <top style="medium">
        <color theme="1" tint="0.34998626667073579"/>
      </top>
      <bottom style="thin">
        <color indexed="64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dotted">
        <color indexed="64"/>
      </bottom>
      <diagonal/>
    </border>
    <border>
      <left style="medium">
        <color theme="1" tint="0.249977111117893"/>
      </left>
      <right/>
      <top style="dotted">
        <color rgb="FF000000"/>
      </top>
      <bottom style="medium">
        <color theme="1" tint="0.249977111117893"/>
      </bottom>
      <diagonal/>
    </border>
    <border>
      <left/>
      <right/>
      <top style="dotted">
        <color rgb="FF000000"/>
      </top>
      <bottom style="medium">
        <color theme="1" tint="0.249977111117893"/>
      </bottom>
      <diagonal/>
    </border>
    <border>
      <left style="medium">
        <color theme="1" tint="0.34998626667073579"/>
      </left>
      <right/>
      <top style="dotted">
        <color rgb="FF000000"/>
      </top>
      <bottom style="medium">
        <color theme="1" tint="0.249977111117893"/>
      </bottom>
      <diagonal/>
    </border>
    <border>
      <left/>
      <right style="medium">
        <color theme="1" tint="0.34998626667073579"/>
      </right>
      <top style="dotted">
        <color rgb="FF000000"/>
      </top>
      <bottom style="medium">
        <color theme="1" tint="0.249977111117893"/>
      </bottom>
      <diagonal/>
    </border>
    <border>
      <left/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/>
      <right style="medium">
        <color rgb="FF000000"/>
      </right>
      <top style="medium">
        <color theme="1" tint="0.34998626667073579"/>
      </top>
      <bottom style="dotted">
        <color indexed="64"/>
      </bottom>
      <diagonal/>
    </border>
    <border>
      <left style="medium">
        <color theme="1" tint="0.249977111117893"/>
      </left>
      <right style="medium">
        <color theme="1" tint="0.34998626667073579"/>
      </right>
      <top style="medium">
        <color theme="1" tint="0.249977111117893"/>
      </top>
      <bottom/>
      <diagonal/>
    </border>
    <border>
      <left style="medium">
        <color rgb="FF000000"/>
      </left>
      <right/>
      <top style="medium">
        <color theme="1" tint="0.249977111117893"/>
      </top>
      <bottom/>
      <diagonal/>
    </border>
    <border>
      <left/>
      <right style="medium">
        <color rgb="FF000000"/>
      </right>
      <top style="medium">
        <color theme="1" tint="0.249977111117893"/>
      </top>
      <bottom/>
      <diagonal/>
    </border>
    <border>
      <left style="medium">
        <color theme="1" tint="0.249977111117893"/>
      </left>
      <right style="medium">
        <color theme="1" tint="0.34998626667073579"/>
      </right>
      <top/>
      <bottom/>
      <diagonal/>
    </border>
    <border>
      <left style="medium">
        <color theme="1" tint="0.249977111117893"/>
      </left>
      <right style="medium">
        <color theme="1" tint="0.34998626667073579"/>
      </right>
      <top/>
      <bottom style="medium">
        <color theme="1" tint="0.249977111117893"/>
      </bottom>
      <diagonal/>
    </border>
    <border>
      <left style="medium">
        <color theme="1" tint="0.34998626667073579"/>
      </left>
      <right/>
      <top/>
      <bottom style="medium">
        <color theme="1" tint="0.249977111117893"/>
      </bottom>
      <diagonal/>
    </border>
    <border>
      <left/>
      <right style="medium">
        <color theme="1" tint="0.34998626667073579"/>
      </right>
      <top/>
      <bottom style="medium">
        <color theme="1" tint="0.249977111117893"/>
      </bottom>
      <diagonal/>
    </border>
    <border>
      <left style="medium">
        <color rgb="FF000000"/>
      </left>
      <right/>
      <top/>
      <bottom style="medium">
        <color theme="1" tint="0.249977111117893"/>
      </bottom>
      <diagonal/>
    </border>
    <border>
      <left/>
      <right style="medium">
        <color rgb="FF000000"/>
      </right>
      <top/>
      <bottom style="medium">
        <color theme="1" tint="0.249977111117893"/>
      </bottom>
      <diagonal/>
    </border>
    <border>
      <left/>
      <right style="medium">
        <color theme="1" tint="0.249977111117893"/>
      </right>
      <top/>
      <bottom style="dotted">
        <color rgb="FF000000"/>
      </bottom>
      <diagonal/>
    </border>
    <border>
      <left style="medium">
        <color theme="1" tint="0.249977111117893"/>
      </left>
      <right style="medium">
        <color theme="1" tint="0.249977111117893"/>
      </right>
      <top/>
      <bottom/>
      <diagonal/>
    </border>
    <border>
      <left style="medium">
        <color theme="1" tint="0.34998626667073579"/>
      </left>
      <right style="thin">
        <color indexed="64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 style="thin">
        <color indexed="64"/>
      </right>
      <top/>
      <bottom/>
      <diagonal/>
    </border>
    <border>
      <left/>
      <right style="medium">
        <color theme="1" tint="0.34998626667073579"/>
      </right>
      <top style="dashed">
        <color theme="1" tint="0.249977111117893"/>
      </top>
      <bottom style="dotted">
        <color indexed="64"/>
      </bottom>
      <diagonal/>
    </border>
    <border>
      <left style="medium">
        <color theme="1" tint="0.34998626667073579"/>
      </left>
      <right/>
      <top style="dashed">
        <color theme="1" tint="0.249977111117893"/>
      </top>
      <bottom style="dotted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 style="medium">
        <color theme="1" tint="0.249977111117893"/>
      </top>
      <bottom style="dotted">
        <color rgb="FF000000"/>
      </bottom>
      <diagonal/>
    </border>
    <border>
      <left/>
      <right style="medium">
        <color rgb="FF000000"/>
      </right>
      <top style="medium">
        <color theme="1" tint="0.249977111117893"/>
      </top>
      <bottom style="dotted">
        <color rgb="FF000000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medium">
        <color theme="1" tint="0.249977111117893"/>
      </bottom>
      <diagonal/>
    </border>
    <border>
      <left/>
      <right/>
      <top style="medium">
        <color theme="1" tint="0.34998626667073579"/>
      </top>
      <bottom style="medium">
        <color theme="1" tint="0.249977111117893"/>
      </bottom>
      <diagonal/>
    </border>
    <border>
      <left/>
      <right style="medium">
        <color rgb="FF000000"/>
      </right>
      <top style="medium">
        <color theme="1" tint="0.34998626667073579"/>
      </top>
      <bottom style="medium">
        <color theme="1" tint="0.249977111117893"/>
      </bottom>
      <diagonal/>
    </border>
    <border>
      <left style="medium">
        <color theme="1" tint="0.249977111117893"/>
      </left>
      <right style="medium">
        <color theme="1" tint="0.249977111117893"/>
      </right>
      <top style="medium">
        <color theme="1" tint="0.249977111117893"/>
      </top>
      <bottom style="dotted">
        <color rgb="FF000000"/>
      </bottom>
      <diagonal/>
    </border>
    <border>
      <left style="medium">
        <color theme="1" tint="0.249977111117893"/>
      </left>
      <right style="medium">
        <color theme="1" tint="0.249977111117893"/>
      </right>
      <top/>
      <bottom style="dotted">
        <color rgb="FF000000"/>
      </bottom>
      <diagonal/>
    </border>
    <border>
      <left style="medium">
        <color theme="1" tint="0.249977111117893"/>
      </left>
      <right style="medium">
        <color theme="1" tint="0.249977111117893"/>
      </right>
      <top style="dotted">
        <color rgb="FF000000"/>
      </top>
      <bottom/>
      <diagonal/>
    </border>
    <border>
      <left style="medium">
        <color theme="1" tint="0.249977111117893"/>
      </left>
      <right style="medium">
        <color theme="1" tint="0.249977111117893"/>
      </right>
      <top style="medium">
        <color theme="1" tint="0.34998626667073579"/>
      </top>
      <bottom style="dotted">
        <color rgb="FF000000"/>
      </bottom>
      <diagonal/>
    </border>
    <border>
      <left style="medium">
        <color theme="1" tint="0.249977111117893"/>
      </left>
      <right style="medium">
        <color theme="1" tint="0.249977111117893"/>
      </right>
      <top style="dotted">
        <color rgb="FF000000"/>
      </top>
      <bottom style="dotted">
        <color rgb="FF000000"/>
      </bottom>
      <diagonal/>
    </border>
    <border>
      <left style="medium">
        <color theme="1" tint="0.249977111117893"/>
      </left>
      <right style="medium">
        <color theme="1" tint="0.249977111117893"/>
      </right>
      <top style="dotted">
        <color rgb="FF000000"/>
      </top>
      <bottom style="medium">
        <color theme="1" tint="0.34998626667073579"/>
      </bottom>
      <diagonal/>
    </border>
    <border>
      <left style="medium">
        <color theme="1" tint="0.249977111117893"/>
      </left>
      <right style="medium">
        <color theme="1" tint="0.249977111117893"/>
      </right>
      <top/>
      <bottom style="medium">
        <color theme="1" tint="0.34998626667073579"/>
      </bottom>
      <diagonal/>
    </border>
    <border>
      <left style="medium">
        <color theme="1" tint="0.249977111117893"/>
      </left>
      <right style="medium">
        <color theme="1" tint="0.249977111117893"/>
      </right>
      <top style="medium">
        <color theme="1" tint="0.34998626667073579"/>
      </top>
      <bottom style="dotted">
        <color indexed="64"/>
      </bottom>
      <diagonal/>
    </border>
    <border>
      <left style="medium">
        <color theme="1" tint="0.249977111117893"/>
      </left>
      <right style="medium">
        <color theme="1" tint="0.249977111117893"/>
      </right>
      <top/>
      <bottom style="dotted">
        <color indexed="64"/>
      </bottom>
      <diagonal/>
    </border>
    <border>
      <left style="medium">
        <color theme="1" tint="0.249977111117893"/>
      </left>
      <right style="medium">
        <color theme="1" tint="0.249977111117893"/>
      </right>
      <top style="dotted">
        <color indexed="64"/>
      </top>
      <bottom/>
      <diagonal/>
    </border>
    <border>
      <left style="medium">
        <color theme="1" tint="0.249977111117893"/>
      </left>
      <right style="medium">
        <color theme="1" tint="0.249977111117893"/>
      </right>
      <top style="dotted">
        <color indexed="64"/>
      </top>
      <bottom style="dotted">
        <color indexed="64"/>
      </bottom>
      <diagonal/>
    </border>
    <border>
      <left style="medium">
        <color theme="1" tint="0.249977111117893"/>
      </left>
      <right style="medium">
        <color theme="1" tint="0.249977111117893"/>
      </right>
      <top style="medium">
        <color theme="1" tint="0.249977111117893"/>
      </top>
      <bottom/>
      <diagonal/>
    </border>
    <border>
      <left style="medium">
        <color theme="1" tint="0.249977111117893"/>
      </left>
      <right style="medium">
        <color theme="1" tint="0.249977111117893"/>
      </right>
      <top/>
      <bottom style="medium">
        <color theme="1" tint="0.249977111117893"/>
      </bottom>
      <diagonal/>
    </border>
    <border>
      <left style="medium">
        <color theme="1" tint="0.34998626667073579"/>
      </left>
      <right/>
      <top/>
      <bottom style="dotted">
        <color theme="1" tint="0.249977111117893"/>
      </bottom>
      <diagonal/>
    </border>
    <border>
      <left/>
      <right/>
      <top/>
      <bottom style="dotted">
        <color theme="1" tint="0.249977111117893"/>
      </bottom>
      <diagonal/>
    </border>
    <border>
      <left style="medium">
        <color rgb="FF000000"/>
      </left>
      <right/>
      <top/>
      <bottom style="dotted">
        <color theme="1" tint="0.249977111117893"/>
      </bottom>
      <diagonal/>
    </border>
    <border>
      <left/>
      <right style="medium">
        <color theme="1" tint="0.34998626667073579"/>
      </right>
      <top/>
      <bottom style="dotted">
        <color theme="1" tint="0.249977111117893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 tint="0.34998626667073579"/>
      </left>
      <right/>
      <top/>
      <bottom style="dotted">
        <color theme="1" tint="0.34998626667073579"/>
      </bottom>
      <diagonal/>
    </border>
    <border>
      <left/>
      <right style="medium">
        <color rgb="FF000000"/>
      </right>
      <top/>
      <bottom style="dotted">
        <color theme="1" tint="0.34998626667073579"/>
      </bottom>
      <diagonal/>
    </border>
    <border>
      <left style="medium">
        <color theme="1" tint="0.249977111117893"/>
      </left>
      <right style="medium">
        <color theme="1" tint="0.249977111117893"/>
      </right>
      <top/>
      <bottom style="dotted">
        <color theme="1" tint="0.34998626667073579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dotted">
        <color theme="1" tint="0.34998626667073579"/>
      </bottom>
      <diagonal/>
    </border>
    <border>
      <left/>
      <right/>
      <top style="medium">
        <color theme="1" tint="0.34998626667073579"/>
      </top>
      <bottom style="dotted">
        <color theme="1" tint="0.34998626667073579"/>
      </bottom>
      <diagonal/>
    </border>
    <border>
      <left/>
      <right style="medium">
        <color rgb="FF000000"/>
      </right>
      <top style="medium">
        <color theme="1" tint="0.34998626667073579"/>
      </top>
      <bottom style="dotted">
        <color theme="1" tint="0.34998626667073579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medium">
        <color rgb="FF00824D"/>
      </left>
      <right/>
      <top/>
      <bottom style="dotted">
        <color rgb="FF000000"/>
      </bottom>
      <diagonal/>
    </border>
    <border>
      <left/>
      <right style="medium">
        <color rgb="FF00824D"/>
      </right>
      <top/>
      <bottom style="dotted">
        <color rgb="FF000000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theme="1" tint="0.24997711111789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theme="1" tint="0.249977111117893"/>
      </left>
      <right style="thin">
        <color rgb="FFBFBFBF"/>
      </right>
      <top/>
      <bottom style="thin">
        <color rgb="FFBFBFBF"/>
      </bottom>
      <diagonal/>
    </border>
    <border>
      <left/>
      <right style="medium">
        <color rgb="FF000000"/>
      </right>
      <top style="dotted">
        <color indexed="64"/>
      </top>
      <bottom/>
      <diagonal/>
    </border>
    <border>
      <left/>
      <right style="medium">
        <color theme="1" tint="0.34998626667073579"/>
      </right>
      <top style="medium">
        <color indexed="64"/>
      </top>
      <bottom/>
      <diagonal/>
    </border>
    <border>
      <left style="medium">
        <color theme="1" tint="0.34998626667073579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theme="1" tint="0.249977111117893"/>
      </left>
      <right style="medium">
        <color theme="1" tint="0.249977111117893"/>
      </right>
      <top style="medium">
        <color indexed="64"/>
      </top>
      <bottom/>
      <diagonal/>
    </border>
    <border>
      <left style="medium">
        <color theme="1" tint="0.34998626667073579"/>
      </left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theme="1" tint="0.34998626667073579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theme="1" tint="0.249977111117893"/>
      </left>
      <right style="medium">
        <color theme="1" tint="0.249977111117893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1" tint="0.34998626667073579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theme="1" tint="0.34998626667073579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theme="1" tint="0.249977111117893"/>
      </left>
      <right style="medium">
        <color theme="1" tint="0.249977111117893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rgb="FF000000"/>
      </bottom>
      <diagonal/>
    </border>
    <border>
      <left/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/>
      <top style="medium">
        <color indexed="64"/>
      </top>
      <bottom style="thin">
        <color rgb="FFBFBFBF"/>
      </bottom>
      <diagonal/>
    </border>
    <border>
      <left style="medium">
        <color rgb="FF00824D"/>
      </left>
      <right/>
      <top style="medium">
        <color indexed="64"/>
      </top>
      <bottom style="dotted">
        <color rgb="FF000000"/>
      </bottom>
      <diagonal/>
    </border>
    <border>
      <left/>
      <right style="medium">
        <color rgb="FF00824D"/>
      </right>
      <top style="medium">
        <color indexed="64"/>
      </top>
      <bottom style="dotted">
        <color rgb="FF000000"/>
      </bottom>
      <diagonal/>
    </border>
    <border>
      <left style="medium">
        <color theme="1" tint="0.34998626667073579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/>
      <top style="thin">
        <color rgb="FFBFBFBF"/>
      </top>
      <bottom style="medium">
        <color indexed="64"/>
      </bottom>
      <diagonal/>
    </border>
    <border>
      <left style="medium">
        <color rgb="FF00824D"/>
      </left>
      <right/>
      <top/>
      <bottom style="medium">
        <color indexed="64"/>
      </bottom>
      <diagonal/>
    </border>
    <border>
      <left/>
      <right style="medium">
        <color rgb="FF00824D"/>
      </right>
      <top/>
      <bottom style="medium">
        <color indexed="64"/>
      </bottom>
      <diagonal/>
    </border>
    <border>
      <left style="medium">
        <color rgb="FF00824D"/>
      </left>
      <right/>
      <top style="dotted">
        <color rgb="FF000000"/>
      </top>
      <bottom style="medium">
        <color indexed="64"/>
      </bottom>
      <diagonal/>
    </border>
    <border>
      <left/>
      <right/>
      <top style="dotted">
        <color rgb="FF000000"/>
      </top>
      <bottom style="medium">
        <color indexed="64"/>
      </bottom>
      <diagonal/>
    </border>
    <border>
      <left style="medium">
        <color theme="1" tint="0.34998626667073579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rgb="FFBFBFBF"/>
      </right>
      <top style="medium">
        <color indexed="64"/>
      </top>
      <bottom style="medium">
        <color indexed="64"/>
      </bottom>
      <diagonal/>
    </border>
    <border>
      <left style="medium">
        <color rgb="FF00824D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824D"/>
      </right>
      <top style="medium">
        <color indexed="64"/>
      </top>
      <bottom style="medium">
        <color indexed="64"/>
      </bottom>
      <diagonal/>
    </border>
    <border>
      <left style="medium">
        <color theme="1" tint="0.249977111117893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medium">
        <color theme="1" tint="0.249977111117893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theme="1" tint="0.34998626667073579"/>
      </bottom>
      <diagonal/>
    </border>
    <border>
      <left/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 style="medium">
        <color theme="1" tint="0.249977111117893"/>
      </left>
      <right style="medium">
        <color theme="1" tint="0.249977111117893"/>
      </right>
      <top style="medium">
        <color indexed="64"/>
      </top>
      <bottom style="dotted">
        <color indexed="64"/>
      </bottom>
      <diagonal/>
    </border>
    <border>
      <left/>
      <right style="medium">
        <color rgb="FF000000"/>
      </right>
      <top style="medium">
        <color indexed="64"/>
      </top>
      <bottom style="dotted">
        <color rgb="FF000000"/>
      </bottom>
      <diagonal/>
    </border>
    <border>
      <left/>
      <right style="medium">
        <color theme="1" tint="0.34998626667073579"/>
      </right>
      <top style="medium">
        <color indexed="64"/>
      </top>
      <bottom style="dotted">
        <color indexed="64"/>
      </bottom>
      <diagonal/>
    </border>
    <border>
      <left style="medium">
        <color theme="1" tint="0.34998626667073579"/>
      </left>
      <right/>
      <top style="dotted">
        <color rgb="FF000000"/>
      </top>
      <bottom style="medium">
        <color indexed="64"/>
      </bottom>
      <diagonal/>
    </border>
    <border>
      <left/>
      <right style="medium">
        <color theme="1" tint="0.34998626667073579"/>
      </right>
      <top style="dotted">
        <color rgb="FF000000"/>
      </top>
      <bottom style="medium">
        <color indexed="64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medium">
        <color indexed="64"/>
      </bottom>
      <diagonal/>
    </border>
    <border>
      <left/>
      <right/>
      <top style="medium">
        <color theme="1" tint="0.34998626667073579"/>
      </top>
      <bottom style="medium">
        <color indexed="64"/>
      </bottom>
      <diagonal/>
    </border>
    <border>
      <left/>
      <right style="medium">
        <color rgb="FF000000"/>
      </right>
      <top style="medium">
        <color theme="1" tint="0.34998626667073579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rgb="FF000000"/>
      </right>
      <top style="dotted">
        <color rgb="FF000000"/>
      </top>
      <bottom style="medium">
        <color indexed="64"/>
      </bottom>
      <diagonal/>
    </border>
    <border>
      <left/>
      <right style="medium">
        <color theme="1" tint="0.34998626667073579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rgb="FF000000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rgb="FF000000"/>
      </right>
      <top style="dotted">
        <color indexed="64"/>
      </top>
      <bottom style="medium">
        <color indexed="64"/>
      </bottom>
      <diagonal/>
    </border>
    <border>
      <left style="medium">
        <color theme="1" tint="0.249977111117893"/>
      </left>
      <right style="medium">
        <color theme="1" tint="0.249977111117893"/>
      </right>
      <top style="dotted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theme="1" tint="0.34998626667073579"/>
      </left>
      <right/>
      <top style="medium">
        <color theme="1" tint="0.249977111117893"/>
      </top>
      <bottom style="medium">
        <color theme="1" tint="0.34998626667073579"/>
      </bottom>
      <diagonal/>
    </border>
    <border>
      <left/>
      <right/>
      <top style="medium">
        <color theme="1" tint="0.249977111117893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medium">
        <color theme="1" tint="0.249977111117893"/>
      </top>
      <bottom style="medium">
        <color theme="1" tint="0.34998626667073579"/>
      </bottom>
      <diagonal/>
    </border>
    <border>
      <left/>
      <right style="medium">
        <color theme="1" tint="0.249977111117893"/>
      </right>
      <top style="medium">
        <color theme="1" tint="0.249977111117893"/>
      </top>
      <bottom style="medium">
        <color theme="1" tint="0.34998626667073579"/>
      </bottom>
      <diagonal/>
    </border>
    <border>
      <left style="medium">
        <color theme="1" tint="0.249977111117893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249977111117893"/>
      </left>
      <right style="medium">
        <color theme="1" tint="0.34998626667073579"/>
      </right>
      <top style="medium">
        <color indexed="64"/>
      </top>
      <bottom/>
      <diagonal/>
    </border>
    <border>
      <left style="medium">
        <color theme="1" tint="0.249977111117893"/>
      </left>
      <right style="medium">
        <color theme="1" tint="0.34998626667073579"/>
      </right>
      <top/>
      <bottom style="medium">
        <color indexed="64"/>
      </bottom>
      <diagonal/>
    </border>
    <border>
      <left style="medium">
        <color theme="1" tint="0.249977111117893"/>
      </left>
      <right style="medium">
        <color theme="1" tint="0.34998626667073579"/>
      </right>
      <top style="medium">
        <color indexed="64"/>
      </top>
      <bottom style="medium">
        <color indexed="64"/>
      </bottom>
      <diagonal/>
    </border>
    <border>
      <left style="medium">
        <color theme="1" tint="0.249977111117893"/>
      </left>
      <right style="medium">
        <color theme="1" tint="0.34998626667073579"/>
      </right>
      <top style="medium">
        <color theme="1" tint="0.34998626667073579"/>
      </top>
      <bottom/>
      <diagonal/>
    </border>
    <border>
      <left style="thin">
        <color rgb="FF000000"/>
      </left>
      <right/>
      <top style="medium">
        <color theme="1" tint="0.34998626667073579"/>
      </top>
      <bottom/>
      <diagonal/>
    </border>
    <border>
      <left style="thin">
        <color rgb="FF000000"/>
      </left>
      <right/>
      <top/>
      <bottom style="medium">
        <color theme="1" tint="0.34998626667073579"/>
      </bottom>
      <diagonal/>
    </border>
    <border>
      <left style="medium">
        <color indexed="64"/>
      </left>
      <right style="medium">
        <color theme="1" tint="0.249977111117893"/>
      </right>
      <top style="medium">
        <color theme="1" tint="0.34998626667073579"/>
      </top>
      <bottom/>
      <diagonal/>
    </border>
    <border>
      <left/>
      <right style="medium">
        <color indexed="64"/>
      </right>
      <top style="medium">
        <color theme="1" tint="0.34998626667073579"/>
      </top>
      <bottom/>
      <diagonal/>
    </border>
    <border>
      <left style="medium">
        <color indexed="64"/>
      </left>
      <right style="medium">
        <color theme="1" tint="0.249977111117893"/>
      </right>
      <top/>
      <bottom style="medium">
        <color theme="1" tint="0.34998626667073579"/>
      </bottom>
      <diagonal/>
    </border>
    <border>
      <left/>
      <right style="medium">
        <color indexed="64"/>
      </right>
      <top/>
      <bottom style="medium">
        <color theme="1" tint="0.34998626667073579"/>
      </bottom>
      <diagonal/>
    </border>
    <border>
      <left style="medium">
        <color indexed="64"/>
      </left>
      <right style="medium">
        <color theme="1" tint="0.249977111117893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theme="1" tint="0.249977111117893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theme="1" tint="0.249977111117893"/>
      </right>
      <top/>
      <bottom style="medium">
        <color indexed="64"/>
      </bottom>
      <diagonal/>
    </border>
    <border>
      <left/>
      <right style="medium">
        <color indexed="64"/>
      </right>
      <top style="dotted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theme="1" tint="0.249977111117893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 tint="0.249977111117893"/>
      </right>
      <top/>
      <bottom style="dotted">
        <color indexed="64"/>
      </bottom>
      <diagonal/>
    </border>
    <border>
      <left style="medium">
        <color indexed="64"/>
      </left>
      <right style="medium">
        <color theme="1" tint="0.249977111117893"/>
      </right>
      <top style="dotted">
        <color indexed="64"/>
      </top>
      <bottom/>
      <diagonal/>
    </border>
    <border>
      <left style="medium">
        <color indexed="64"/>
      </left>
      <right style="medium">
        <color theme="1" tint="0.249977111117893"/>
      </right>
      <top/>
      <bottom style="dotted">
        <color rgb="FF000000"/>
      </bottom>
      <diagonal/>
    </border>
    <border>
      <left/>
      <right style="medium">
        <color indexed="64"/>
      </right>
      <top style="medium">
        <color theme="1" tint="0.34998626667073579"/>
      </top>
      <bottom style="dotted">
        <color rgb="FF000000"/>
      </bottom>
      <diagonal/>
    </border>
    <border>
      <left style="medium">
        <color indexed="64"/>
      </left>
      <right style="medium">
        <color theme="1" tint="0.249977111117893"/>
      </right>
      <top style="dotted">
        <color rgb="FF000000"/>
      </top>
      <bottom/>
      <diagonal/>
    </border>
    <border>
      <left style="medium">
        <color indexed="64"/>
      </left>
      <right style="medium">
        <color theme="1" tint="0.249977111117893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theme="1" tint="0.249977111117893"/>
      </right>
      <top/>
      <bottom/>
      <diagonal/>
    </border>
    <border>
      <left style="medium">
        <color indexed="64"/>
      </left>
      <right style="medium">
        <color theme="1" tint="0.249977111117893"/>
      </right>
      <top/>
      <bottom style="dotted">
        <color theme="1" tint="0.34998626667073579"/>
      </bottom>
      <diagonal/>
    </border>
    <border>
      <left/>
      <right style="medium">
        <color indexed="64"/>
      </right>
      <top/>
      <bottom style="dotted">
        <color theme="1" tint="0.34998626667073579"/>
      </bottom>
      <diagonal/>
    </border>
    <border>
      <left style="medium">
        <color indexed="64"/>
      </left>
      <right style="medium">
        <color theme="1" tint="0.249977111117893"/>
      </right>
      <top style="medium">
        <color theme="1" tint="0.249977111117893"/>
      </top>
      <bottom/>
      <diagonal/>
    </border>
    <border>
      <left/>
      <right style="medium">
        <color indexed="64"/>
      </right>
      <top style="medium">
        <color theme="1" tint="0.249977111117893"/>
      </top>
      <bottom/>
      <diagonal/>
    </border>
    <border>
      <left style="medium">
        <color indexed="64"/>
      </left>
      <right style="medium">
        <color theme="1" tint="0.249977111117893"/>
      </right>
      <top/>
      <bottom style="medium">
        <color theme="1" tint="0.249977111117893"/>
      </bottom>
      <diagonal/>
    </border>
    <border>
      <left/>
      <right style="medium">
        <color indexed="64"/>
      </right>
      <top/>
      <bottom style="medium">
        <color theme="1" tint="0.249977111117893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rgb="FF000000"/>
      </top>
      <bottom style="medium">
        <color theme="1" tint="0.34998626667073579"/>
      </bottom>
      <diagonal/>
    </border>
    <border>
      <left/>
      <right style="medium">
        <color indexed="64"/>
      </right>
      <top style="dotted">
        <color rgb="FF000000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rgb="FF000000"/>
      </top>
      <bottom style="medium">
        <color theme="1" tint="0.249977111117893"/>
      </bottom>
      <diagonal/>
    </border>
    <border>
      <left/>
      <right style="medium">
        <color indexed="64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indexed="64"/>
      </left>
      <right style="medium">
        <color theme="1" tint="0.249977111117893"/>
      </right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theme="1" tint="0.249977111117893"/>
      </right>
      <top style="dotted">
        <color rgb="FF000000"/>
      </top>
      <bottom style="medium">
        <color indexed="64"/>
      </bottom>
      <diagonal/>
    </border>
    <border>
      <left style="medium">
        <color theme="1" tint="0.249977111117893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0.249977111117893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theme="1" tint="0.249977111117893"/>
      </left>
      <right/>
      <top/>
      <bottom style="thin">
        <color indexed="64"/>
      </bottom>
      <diagonal/>
    </border>
    <border>
      <left style="medium">
        <color theme="1" tint="0.34998626667073579"/>
      </left>
      <right/>
      <top/>
      <bottom style="thin">
        <color indexed="64"/>
      </bottom>
      <diagonal/>
    </border>
    <border>
      <left/>
      <right style="medium">
        <color theme="1" tint="0.34998626667073579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824D"/>
      </left>
      <right/>
      <top/>
      <bottom/>
      <diagonal/>
    </border>
    <border>
      <left/>
      <right style="medium">
        <color rgb="FF00824D"/>
      </right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medium">
        <color rgb="FF00824D"/>
      </left>
      <right/>
      <top style="medium">
        <color indexed="64"/>
      </top>
      <bottom/>
      <diagonal/>
    </border>
    <border>
      <left/>
      <right style="medium">
        <color theme="1" tint="0.249977111117893"/>
      </right>
      <top/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theme="1" tint="0.249977111117893"/>
      </left>
      <right style="medium">
        <color indexed="64"/>
      </right>
      <top/>
      <bottom/>
      <diagonal/>
    </border>
    <border>
      <left style="medium">
        <color theme="1" tint="0.249977111117893"/>
      </left>
      <right style="medium">
        <color theme="1" tint="0.249977111117893"/>
      </right>
      <top style="medium">
        <color theme="1" tint="0.249977111117893"/>
      </top>
      <bottom style="medium">
        <color theme="1" tint="0.249977111117893"/>
      </bottom>
      <diagonal/>
    </border>
    <border>
      <left style="medium">
        <color theme="1" tint="0.249977111117893"/>
      </left>
      <right style="medium">
        <color theme="1" tint="0.249977111117893"/>
      </right>
      <top style="medium">
        <color theme="1" tint="0.34998626667073579"/>
      </top>
      <bottom/>
      <diagonal/>
    </border>
    <border>
      <left/>
      <right style="medium">
        <color theme="1" tint="0.249977111117893"/>
      </right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theme="1" tint="0.14999847407452621"/>
      </left>
      <right style="medium">
        <color theme="1" tint="0.249977111117893"/>
      </right>
      <top style="medium">
        <color theme="1" tint="0.14999847407452621"/>
      </top>
      <bottom/>
      <diagonal/>
    </border>
    <border>
      <left/>
      <right/>
      <top style="medium">
        <color theme="1" tint="0.14999847407452621"/>
      </top>
      <bottom/>
      <diagonal/>
    </border>
    <border>
      <left/>
      <right style="medium">
        <color theme="1" tint="0.34998626667073579"/>
      </right>
      <top style="medium">
        <color theme="1" tint="0.14999847407452621"/>
      </top>
      <bottom/>
      <diagonal/>
    </border>
    <border>
      <left style="medium">
        <color theme="1" tint="0.249977111117893"/>
      </left>
      <right style="medium">
        <color theme="1" tint="0.249977111117893"/>
      </right>
      <top style="medium">
        <color theme="1" tint="0.14999847407452621"/>
      </top>
      <bottom/>
      <diagonal/>
    </border>
    <border>
      <left style="medium">
        <color theme="1" tint="0.14999847407452621"/>
      </left>
      <right style="medium">
        <color theme="1" tint="0.249977111117893"/>
      </right>
      <top/>
      <bottom/>
      <diagonal/>
    </border>
    <border>
      <left style="medium">
        <color theme="1" tint="0.249977111117893"/>
      </left>
      <right style="medium">
        <color theme="1" tint="0.249977111117893"/>
      </right>
      <top/>
      <bottom style="medium">
        <color theme="1" tint="0.14999847407452621"/>
      </bottom>
      <diagonal/>
    </border>
    <border>
      <left style="medium">
        <color theme="1" tint="0.34998626667073579"/>
      </left>
      <right style="thin">
        <color indexed="64"/>
      </right>
      <top/>
      <bottom style="medium">
        <color theme="1" tint="0.249977111117893"/>
      </bottom>
      <diagonal/>
    </border>
    <border>
      <left/>
      <right/>
      <top style="medium">
        <color theme="1" tint="0.249977111117893"/>
      </top>
      <bottom style="medium">
        <color theme="1" tint="0.249977111117893"/>
      </bottom>
      <diagonal/>
    </border>
    <border>
      <left style="medium">
        <color theme="1" tint="0.249977111117893"/>
      </left>
      <right style="medium">
        <color theme="1" tint="0.249977111117893"/>
      </right>
      <top/>
      <bottom style="dotted">
        <color theme="1" tint="0.14999847407452621"/>
      </bottom>
      <diagonal/>
    </border>
    <border>
      <left/>
      <right/>
      <top/>
      <bottom style="dotted">
        <color theme="1" tint="0.14999847407452621"/>
      </bottom>
      <diagonal/>
    </border>
    <border>
      <left style="medium">
        <color theme="1" tint="0.34998626667073579"/>
      </left>
      <right/>
      <top/>
      <bottom style="dotted">
        <color theme="1" tint="0.14999847407452621"/>
      </bottom>
      <diagonal/>
    </border>
    <border>
      <left/>
      <right style="medium">
        <color theme="1" tint="0.34998626667073579"/>
      </right>
      <top/>
      <bottom style="dotted">
        <color theme="1" tint="0.14999847407452621"/>
      </bottom>
      <diagonal/>
    </border>
    <border>
      <left style="medium">
        <color theme="1" tint="0.249977111117893"/>
      </left>
      <right style="medium">
        <color theme="1" tint="0.249977111117893"/>
      </right>
      <top style="dotted">
        <color theme="1" tint="0.14999847407452621"/>
      </top>
      <bottom/>
      <diagonal/>
    </border>
    <border>
      <left/>
      <right/>
      <top style="dotted">
        <color theme="1" tint="0.14999847407452621"/>
      </top>
      <bottom/>
      <diagonal/>
    </border>
    <border>
      <left style="medium">
        <color theme="1" tint="0.34998626667073579"/>
      </left>
      <right/>
      <top style="dotted">
        <color theme="1" tint="0.14999847407452621"/>
      </top>
      <bottom/>
      <diagonal/>
    </border>
    <border>
      <left/>
      <right style="medium">
        <color theme="1" tint="0.34998626667073579"/>
      </right>
      <top style="dotted">
        <color theme="1" tint="0.14999847407452621"/>
      </top>
      <bottom/>
      <diagonal/>
    </border>
    <border>
      <left style="medium">
        <color theme="1" tint="0.14999847407452621"/>
      </left>
      <right style="medium">
        <color theme="1" tint="0.249977111117893"/>
      </right>
      <top/>
      <bottom style="medium">
        <color theme="1" tint="0.14996795556505021"/>
      </bottom>
      <diagonal/>
    </border>
    <border>
      <left style="medium">
        <color theme="1" tint="0.249977111117893"/>
      </left>
      <right style="medium">
        <color theme="1" tint="0.249977111117893"/>
      </right>
      <top/>
      <bottom style="medium">
        <color theme="1" tint="0.14996795556505021"/>
      </bottom>
      <diagonal/>
    </border>
    <border>
      <left/>
      <right/>
      <top/>
      <bottom style="medium">
        <color theme="1" tint="0.14996795556505021"/>
      </bottom>
      <diagonal/>
    </border>
    <border>
      <left/>
      <right style="medium">
        <color theme="1" tint="0.34998626667073579"/>
      </right>
      <top/>
      <bottom style="medium">
        <color theme="1" tint="0.14996795556505021"/>
      </bottom>
      <diagonal/>
    </border>
    <border>
      <left style="medium">
        <color theme="1" tint="0.34998626667073579"/>
      </left>
      <right/>
      <top/>
      <bottom style="medium">
        <color theme="1" tint="0.14996795556505021"/>
      </bottom>
      <diagonal/>
    </border>
    <border>
      <left/>
      <right/>
      <top style="dotted">
        <color theme="1" tint="0.249977111117893"/>
      </top>
      <bottom/>
      <diagonal/>
    </border>
    <border>
      <left style="medium">
        <color theme="1" tint="0.34998626667073579"/>
      </left>
      <right/>
      <top style="dotted">
        <color theme="1" tint="0.249977111117893"/>
      </top>
      <bottom/>
      <diagonal/>
    </border>
    <border>
      <left style="medium">
        <color theme="1" tint="0.249977111117893"/>
      </left>
      <right style="medium">
        <color theme="1" tint="0.249977111117893"/>
      </right>
      <top/>
      <bottom style="dotted">
        <color theme="1" tint="0.249977111117893"/>
      </bottom>
      <diagonal/>
    </border>
    <border>
      <left style="medium">
        <color auto="1"/>
      </left>
      <right/>
      <top style="medium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theme="1" tint="0.249977111117893"/>
      </right>
      <top/>
      <bottom style="medium">
        <color indexed="64"/>
      </bottom>
      <diagonal/>
    </border>
    <border>
      <left/>
      <right style="medium">
        <color theme="1" tint="0.249977111117893"/>
      </right>
      <top/>
      <bottom style="dotted">
        <color theme="1" tint="0.34998626667073579"/>
      </bottom>
      <diagonal/>
    </border>
    <border>
      <left style="medium">
        <color theme="1" tint="0.34998626667073579"/>
      </left>
      <right/>
      <top style="dotted">
        <color theme="1" tint="0.34998626667073579"/>
      </top>
      <bottom/>
      <diagonal/>
    </border>
    <border>
      <left/>
      <right style="medium">
        <color theme="1" tint="0.249977111117893"/>
      </right>
      <top style="medium">
        <color theme="1" tint="0.249977111117893"/>
      </top>
      <bottom style="dotted">
        <color rgb="FF000000"/>
      </bottom>
      <diagonal/>
    </border>
    <border>
      <left/>
      <right style="medium">
        <color theme="1" tint="0.249977111117893"/>
      </right>
      <top style="dotted">
        <color rgb="FF000000"/>
      </top>
      <bottom style="dotted">
        <color rgb="FF000000"/>
      </bottom>
      <diagonal/>
    </border>
    <border>
      <left/>
      <right style="medium">
        <color theme="1" tint="0.249977111117893"/>
      </right>
      <top/>
      <bottom style="medium">
        <color theme="1" tint="0.34998626667073579"/>
      </bottom>
      <diagonal/>
    </border>
    <border>
      <left style="medium">
        <color theme="1" tint="0.34998626667073579"/>
      </left>
      <right/>
      <top style="medium">
        <color theme="1" tint="0.249977111117893"/>
      </top>
      <bottom style="medium">
        <color theme="1" tint="0.249977111117893"/>
      </bottom>
      <diagonal/>
    </border>
    <border>
      <left/>
      <right style="medium">
        <color theme="1" tint="0.34998626667073579"/>
      </right>
      <top style="medium">
        <color theme="1" tint="0.249977111117893"/>
      </top>
      <bottom style="medium">
        <color theme="1" tint="0.249977111117893"/>
      </bottom>
      <diagonal/>
    </border>
    <border>
      <left/>
      <right style="medium">
        <color theme="1" tint="0.249977111117893"/>
      </right>
      <top style="medium">
        <color theme="1" tint="0.34998626667073579"/>
      </top>
      <bottom/>
      <diagonal/>
    </border>
    <border>
      <left style="medium">
        <color theme="1" tint="0.249977111117893"/>
      </left>
      <right style="medium">
        <color theme="1" tint="0.249977111117893"/>
      </right>
      <top style="dotted">
        <color theme="1" tint="0.249977111117893"/>
      </top>
      <bottom/>
      <diagonal/>
    </border>
    <border>
      <left/>
      <right style="medium">
        <color theme="1" tint="0.34998626667073579"/>
      </right>
      <top style="dotted">
        <color theme="1" tint="0.249977111117893"/>
      </top>
      <bottom/>
      <diagonal/>
    </border>
    <border>
      <left style="medium">
        <color theme="1" tint="0.14999847407452621"/>
      </left>
      <right style="medium">
        <color theme="1" tint="0.249977111117893"/>
      </right>
      <top/>
      <bottom style="dotted">
        <color theme="1" tint="0.14996795556505021"/>
      </bottom>
      <diagonal/>
    </border>
    <border>
      <left style="medium">
        <color theme="1" tint="0.34998626667073579"/>
      </left>
      <right/>
      <top/>
      <bottom style="dotted">
        <color theme="1" tint="0.14996795556505021"/>
      </bottom>
      <diagonal/>
    </border>
    <border>
      <left/>
      <right/>
      <top/>
      <bottom style="dotted">
        <color theme="1" tint="0.14996795556505021"/>
      </bottom>
      <diagonal/>
    </border>
    <border>
      <left/>
      <right style="medium">
        <color theme="1" tint="0.34998626667073579"/>
      </right>
      <top/>
      <bottom style="dotted">
        <color theme="1" tint="0.14996795556505021"/>
      </bottom>
      <diagonal/>
    </border>
    <border>
      <left style="medium">
        <color theme="1" tint="0.14999847407452621"/>
      </left>
      <right style="medium">
        <color theme="1" tint="0.249977111117893"/>
      </right>
      <top style="dotted">
        <color theme="1" tint="0.14996795556505021"/>
      </top>
      <bottom/>
      <diagonal/>
    </border>
    <border>
      <left style="medium">
        <color theme="1" tint="0.34998626667073579"/>
      </left>
      <right/>
      <top style="dotted">
        <color theme="1" tint="0.14996795556505021"/>
      </top>
      <bottom/>
      <diagonal/>
    </border>
    <border>
      <left/>
      <right/>
      <top style="dotted">
        <color theme="1" tint="0.14996795556505021"/>
      </top>
      <bottom/>
      <diagonal/>
    </border>
    <border>
      <left/>
      <right style="medium">
        <color theme="1" tint="0.34998626667073579"/>
      </right>
      <top style="dotted">
        <color theme="1" tint="0.14996795556505021"/>
      </top>
      <bottom/>
      <diagonal/>
    </border>
    <border>
      <left/>
      <right style="medium">
        <color theme="1" tint="0.249977111117893"/>
      </right>
      <top style="dotted">
        <color theme="1" tint="0.14996795556505021"/>
      </top>
      <bottom/>
      <diagonal/>
    </border>
    <border>
      <left/>
      <right style="medium">
        <color theme="1" tint="0.249977111117893"/>
      </right>
      <top/>
      <bottom style="medium">
        <color theme="1" tint="0.14996795556505021"/>
      </bottom>
      <diagonal/>
    </border>
    <border>
      <left/>
      <right style="medium">
        <color theme="1" tint="0.249977111117893"/>
      </right>
      <top style="medium">
        <color theme="1" tint="0.14996795556505021"/>
      </top>
      <bottom/>
      <diagonal/>
    </border>
    <border>
      <left style="medium">
        <color theme="1" tint="0.34998626667073579"/>
      </left>
      <right/>
      <top style="medium">
        <color theme="1" tint="0.14996795556505021"/>
      </top>
      <bottom/>
      <diagonal/>
    </border>
    <border>
      <left/>
      <right style="medium">
        <color indexed="64"/>
      </right>
      <top style="dotted">
        <color theme="1" tint="0.34998626667073579"/>
      </top>
      <bottom/>
      <diagonal/>
    </border>
    <border>
      <left/>
      <right style="medium">
        <color theme="1" tint="0.249977111117893"/>
      </right>
      <top style="dotted">
        <color theme="1" tint="0.3499862666707357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theme="1" tint="0.249977111117893"/>
      </bottom>
      <diagonal/>
    </border>
    <border>
      <left style="medium">
        <color theme="1" tint="0.249977111117893"/>
      </left>
      <right style="medium">
        <color auto="1"/>
      </right>
      <top style="medium">
        <color indexed="64"/>
      </top>
      <bottom/>
      <diagonal/>
    </border>
    <border>
      <left style="medium">
        <color theme="1" tint="0.249977111117893"/>
      </left>
      <right style="medium">
        <color auto="1"/>
      </right>
      <top/>
      <bottom style="medium">
        <color auto="1"/>
      </bottom>
      <diagonal/>
    </border>
    <border>
      <left style="medium">
        <color theme="1" tint="0.249977111117893"/>
      </left>
      <right style="medium">
        <color theme="1" tint="0.249977111117893"/>
      </right>
      <top style="medium">
        <color theme="1" tint="0.34998626667073579"/>
      </top>
      <bottom style="dotted">
        <color theme="1" tint="0.249977111117893"/>
      </bottom>
      <diagonal/>
    </border>
    <border>
      <left style="medium">
        <color theme="1" tint="0.249977111117893"/>
      </left>
      <right/>
      <top style="medium">
        <color theme="1" tint="0.34998626667073579"/>
      </top>
      <bottom/>
      <diagonal/>
    </border>
    <border>
      <left style="medium">
        <color theme="1" tint="0.249977111117893"/>
      </left>
      <right/>
      <top/>
      <bottom style="dotted">
        <color theme="1" tint="0.249977111117893"/>
      </bottom>
      <diagonal/>
    </border>
    <border>
      <left style="medium">
        <color theme="1" tint="0.34998626667073579"/>
      </left>
      <right/>
      <top style="medium">
        <color theme="1" tint="0.249977111117893"/>
      </top>
      <bottom style="dotted">
        <color rgb="FF000000"/>
      </bottom>
      <diagonal/>
    </border>
    <border>
      <left/>
      <right style="medium">
        <color theme="1" tint="0.34998626667073579"/>
      </right>
      <top style="medium">
        <color theme="1" tint="0.249977111117893"/>
      </top>
      <bottom style="dotted">
        <color rgb="FF000000"/>
      </bottom>
      <diagonal/>
    </border>
    <border>
      <left/>
      <right style="medium">
        <color theme="1" tint="0.249977111117893"/>
      </right>
      <top style="medium">
        <color theme="1" tint="0.249977111117893"/>
      </top>
      <bottom style="dotted">
        <color indexed="64"/>
      </bottom>
      <diagonal/>
    </border>
    <border>
      <left style="medium">
        <color theme="1" tint="0.249977111117893"/>
      </left>
      <right/>
      <top style="dotted">
        <color theme="1" tint="0.249977111117893"/>
      </top>
      <bottom/>
      <diagonal/>
    </border>
    <border>
      <left/>
      <right style="medium">
        <color theme="1" tint="0.249977111117893"/>
      </right>
      <top/>
      <bottom style="dotted">
        <color theme="1" tint="0.14996795556505021"/>
      </bottom>
      <diagonal/>
    </border>
    <border>
      <left style="medium">
        <color theme="1" tint="0.249977111117893"/>
      </left>
      <right style="medium">
        <color theme="1" tint="0.249977111117893"/>
      </right>
      <top/>
      <bottom style="dotted">
        <color theme="1" tint="0.14996795556505021"/>
      </bottom>
      <diagonal/>
    </border>
    <border>
      <left style="medium">
        <color theme="1" tint="0.249977111117893"/>
      </left>
      <right/>
      <top style="dotted">
        <color theme="1" tint="0.249977111117893"/>
      </top>
      <bottom style="dotted">
        <color rgb="FF000000"/>
      </bottom>
      <diagonal/>
    </border>
    <border>
      <left/>
      <right/>
      <top style="dotted">
        <color theme="1" tint="0.249977111117893"/>
      </top>
      <bottom style="dotted">
        <color rgb="FF000000"/>
      </bottom>
      <diagonal/>
    </border>
    <border>
      <left/>
      <right style="medium">
        <color theme="1" tint="0.34998626667073579"/>
      </right>
      <top style="dotted">
        <color theme="1" tint="0.249977111117893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1" tint="0.249977111117893"/>
      </bottom>
      <diagonal/>
    </border>
    <border>
      <left style="medium">
        <color indexed="64"/>
      </left>
      <right/>
      <top/>
      <bottom style="medium">
        <color theme="1" tint="0.249977111117893"/>
      </bottom>
      <diagonal/>
    </border>
    <border>
      <left/>
      <right style="medium">
        <color indexed="64"/>
      </right>
      <top/>
      <bottom style="dotted">
        <color theme="1" tint="0.249977111117893"/>
      </bottom>
      <diagonal/>
    </border>
    <border>
      <left/>
      <right style="medium">
        <color indexed="64"/>
      </right>
      <top style="medium">
        <color theme="1" tint="0.249977111117893"/>
      </top>
      <bottom style="dotted">
        <color theme="1" tint="0.34998626667073579"/>
      </bottom>
      <diagonal/>
    </border>
    <border>
      <left/>
      <right style="medium">
        <color indexed="64"/>
      </right>
      <top style="dotted">
        <color theme="1" tint="0.34998626667073579"/>
      </top>
      <bottom style="dotted">
        <color theme="1" tint="0.34998626667073579"/>
      </bottom>
      <diagonal/>
    </border>
    <border>
      <left/>
      <right style="medium">
        <color indexed="64"/>
      </right>
      <top style="dotted">
        <color theme="1" tint="0.34998626667073579"/>
      </top>
      <bottom style="medium">
        <color theme="1" tint="0.249977111117893"/>
      </bottom>
      <diagonal/>
    </border>
    <border>
      <left/>
      <right style="medium">
        <color indexed="64"/>
      </right>
      <top style="dotted">
        <color theme="1" tint="0.249977111117893"/>
      </top>
      <bottom/>
      <diagonal/>
    </border>
    <border>
      <left/>
      <right style="medium">
        <color indexed="64"/>
      </right>
      <top style="medium">
        <color theme="1" tint="0.249977111117893"/>
      </top>
      <bottom style="medium">
        <color theme="1" tint="0.249977111117893"/>
      </bottom>
      <diagonal/>
    </border>
    <border>
      <left/>
      <right style="medium">
        <color indexed="64"/>
      </right>
      <top style="dotted">
        <color theme="1" tint="0.14996795556505021"/>
      </top>
      <bottom/>
      <diagonal/>
    </border>
    <border>
      <left/>
      <right style="medium">
        <color indexed="64"/>
      </right>
      <top/>
      <bottom style="medium">
        <color theme="1" tint="0.14996795556505021"/>
      </bottom>
      <diagonal/>
    </border>
    <border>
      <left/>
      <right style="medium">
        <color indexed="64"/>
      </right>
      <top style="medium">
        <color theme="1" tint="0.14996795556505021"/>
      </top>
      <bottom/>
      <diagonal/>
    </border>
    <border>
      <left/>
      <right style="medium">
        <color indexed="64"/>
      </right>
      <top/>
      <bottom style="dotted">
        <color theme="1" tint="0.14996795556505021"/>
      </bottom>
      <diagonal/>
    </border>
  </borders>
  <cellStyleXfs count="14">
    <xf numFmtId="0" fontId="0" fillId="0" borderId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1"/>
    <xf numFmtId="0" fontId="5" fillId="0" borderId="1"/>
    <xf numFmtId="0" fontId="5" fillId="0" borderId="1"/>
    <xf numFmtId="9" fontId="5" fillId="0" borderId="1" applyFont="0" applyFill="0" applyBorder="0" applyAlignment="0" applyProtection="0"/>
    <xf numFmtId="166" fontId="5" fillId="0" borderId="1" applyFont="0" applyFill="0" applyBorder="0" applyAlignment="0" applyProtection="0"/>
    <xf numFmtId="164" fontId="5" fillId="0" borderId="1" applyFont="0" applyFill="0" applyBorder="0" applyAlignment="0" applyProtection="0"/>
    <xf numFmtId="0" fontId="1" fillId="0" borderId="1"/>
    <xf numFmtId="43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44" fontId="1" fillId="0" borderId="1" applyFont="0" applyFill="0" applyBorder="0" applyAlignment="0" applyProtection="0"/>
  </cellStyleXfs>
  <cellXfs count="1903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67" fontId="2" fillId="2" borderId="1" xfId="0" applyNumberFormat="1" applyFont="1" applyFill="1" applyBorder="1"/>
    <xf numFmtId="1" fontId="2" fillId="2" borderId="1" xfId="0" applyNumberFormat="1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170" fontId="2" fillId="0" borderId="0" xfId="0" applyNumberFormat="1" applyFont="1"/>
    <xf numFmtId="167" fontId="2" fillId="0" borderId="0" xfId="0" applyNumberFormat="1" applyFont="1"/>
    <xf numFmtId="1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167" fontId="7" fillId="2" borderId="1" xfId="0" applyNumberFormat="1" applyFont="1" applyFill="1" applyBorder="1"/>
    <xf numFmtId="1" fontId="7" fillId="2" borderId="1" xfId="0" applyNumberFormat="1" applyFont="1" applyFill="1" applyBorder="1"/>
    <xf numFmtId="0" fontId="9" fillId="0" borderId="0" xfId="0" applyFont="1"/>
    <xf numFmtId="17" fontId="10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center"/>
    </xf>
    <xf numFmtId="1" fontId="7" fillId="0" borderId="0" xfId="0" applyNumberFormat="1" applyFont="1"/>
    <xf numFmtId="10" fontId="7" fillId="0" borderId="0" xfId="0" applyNumberFormat="1" applyFont="1"/>
    <xf numFmtId="9" fontId="7" fillId="0" borderId="0" xfId="0" applyNumberFormat="1" applyFont="1"/>
    <xf numFmtId="2" fontId="7" fillId="0" borderId="0" xfId="0" applyNumberFormat="1" applyFont="1"/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1" fontId="7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" fontId="7" fillId="0" borderId="0" xfId="0" applyNumberFormat="1" applyFont="1" applyAlignment="1">
      <alignment horizontal="center" vertical="center"/>
    </xf>
    <xf numFmtId="0" fontId="12" fillId="5" borderId="9" xfId="0" applyFont="1" applyFill="1" applyBorder="1" applyAlignment="1">
      <alignment vertical="center"/>
    </xf>
    <xf numFmtId="0" fontId="12" fillId="5" borderId="9" xfId="0" applyFont="1" applyFill="1" applyBorder="1" applyAlignment="1">
      <alignment horizontal="center" vertical="center" wrapText="1"/>
    </xf>
    <xf numFmtId="173" fontId="7" fillId="0" borderId="10" xfId="0" applyNumberFormat="1" applyFont="1" applyBorder="1" applyAlignment="1">
      <alignment horizontal="center" vertical="center"/>
    </xf>
    <xf numFmtId="180" fontId="7" fillId="0" borderId="0" xfId="0" applyNumberFormat="1" applyFont="1"/>
    <xf numFmtId="1" fontId="8" fillId="0" borderId="0" xfId="0" applyNumberFormat="1" applyFont="1" applyAlignment="1">
      <alignment horizontal="center" vertical="center" wrapText="1"/>
    </xf>
    <xf numFmtId="173" fontId="7" fillId="0" borderId="5" xfId="0" applyNumberFormat="1" applyFont="1" applyBorder="1" applyAlignment="1">
      <alignment horizontal="center" vertical="center"/>
    </xf>
    <xf numFmtId="181" fontId="7" fillId="0" borderId="0" xfId="0" applyNumberFormat="1" applyFont="1"/>
    <xf numFmtId="182" fontId="7" fillId="0" borderId="0" xfId="0" applyNumberFormat="1" applyFont="1"/>
    <xf numFmtId="0" fontId="12" fillId="5" borderId="28" xfId="0" applyFont="1" applyFill="1" applyBorder="1" applyAlignment="1">
      <alignment vertical="center"/>
    </xf>
    <xf numFmtId="0" fontId="12" fillId="5" borderId="28" xfId="0" applyFont="1" applyFill="1" applyBorder="1" applyAlignment="1">
      <alignment horizontal="center" vertical="center" wrapText="1"/>
    </xf>
    <xf numFmtId="173" fontId="7" fillId="0" borderId="19" xfId="0" applyNumberFormat="1" applyFont="1" applyBorder="1" applyAlignment="1">
      <alignment horizontal="center" vertical="center"/>
    </xf>
    <xf numFmtId="173" fontId="7" fillId="0" borderId="13" xfId="0" applyNumberFormat="1" applyFont="1" applyBorder="1" applyAlignment="1">
      <alignment horizontal="center" vertical="center"/>
    </xf>
    <xf numFmtId="173" fontId="7" fillId="0" borderId="20" xfId="0" applyNumberFormat="1" applyFont="1" applyBorder="1" applyAlignment="1">
      <alignment horizontal="center" vertical="center"/>
    </xf>
    <xf numFmtId="173" fontId="7" fillId="0" borderId="15" xfId="0" applyNumberFormat="1" applyFont="1" applyBorder="1" applyAlignment="1">
      <alignment horizontal="center" vertical="center"/>
    </xf>
    <xf numFmtId="173" fontId="7" fillId="0" borderId="27" xfId="0" applyNumberFormat="1" applyFont="1" applyBorder="1" applyAlignment="1">
      <alignment horizontal="center" vertical="center"/>
    </xf>
    <xf numFmtId="173" fontId="7" fillId="0" borderId="18" xfId="0" applyNumberFormat="1" applyFont="1" applyBorder="1" applyAlignment="1">
      <alignment horizontal="center" vertical="center"/>
    </xf>
    <xf numFmtId="2" fontId="0" fillId="0" borderId="0" xfId="0" applyNumberFormat="1"/>
    <xf numFmtId="0" fontId="3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49" fontId="15" fillId="5" borderId="39" xfId="0" applyNumberFormat="1" applyFont="1" applyFill="1" applyBorder="1" applyAlignment="1">
      <alignment horizontal="center" vertical="center"/>
    </xf>
    <xf numFmtId="0" fontId="15" fillId="5" borderId="39" xfId="0" applyFont="1" applyFill="1" applyBorder="1" applyAlignment="1">
      <alignment horizontal="center" vertical="center"/>
    </xf>
    <xf numFmtId="170" fontId="15" fillId="5" borderId="39" xfId="0" applyNumberFormat="1" applyFont="1" applyFill="1" applyBorder="1" applyAlignment="1">
      <alignment horizontal="center" vertical="center"/>
    </xf>
    <xf numFmtId="174" fontId="15" fillId="5" borderId="39" xfId="0" applyNumberFormat="1" applyFont="1" applyFill="1" applyBorder="1" applyAlignment="1">
      <alignment horizontal="center" vertical="center"/>
    </xf>
    <xf numFmtId="167" fontId="15" fillId="5" borderId="39" xfId="0" applyNumberFormat="1" applyFont="1" applyFill="1" applyBorder="1" applyAlignment="1">
      <alignment horizontal="center" vertical="center"/>
    </xf>
    <xf numFmtId="167" fontId="15" fillId="12" borderId="40" xfId="0" applyNumberFormat="1" applyFont="1" applyFill="1" applyBorder="1" applyAlignment="1">
      <alignment horizontal="center" vertical="center"/>
    </xf>
    <xf numFmtId="0" fontId="15" fillId="5" borderId="41" xfId="0" applyFont="1" applyFill="1" applyBorder="1" applyAlignment="1">
      <alignment horizontal="center" vertical="center"/>
    </xf>
    <xf numFmtId="10" fontId="15" fillId="5" borderId="39" xfId="0" applyNumberFormat="1" applyFont="1" applyFill="1" applyBorder="1" applyAlignment="1">
      <alignment horizontal="center" vertical="center"/>
    </xf>
    <xf numFmtId="3" fontId="15" fillId="5" borderId="39" xfId="0" applyNumberFormat="1" applyFont="1" applyFill="1" applyBorder="1" applyAlignment="1">
      <alignment horizontal="center" vertical="center"/>
    </xf>
    <xf numFmtId="10" fontId="15" fillId="5" borderId="41" xfId="0" applyNumberFormat="1" applyFont="1" applyFill="1" applyBorder="1" applyAlignment="1">
      <alignment horizontal="center" vertical="center"/>
    </xf>
    <xf numFmtId="0" fontId="14" fillId="5" borderId="47" xfId="0" applyFont="1" applyFill="1" applyBorder="1" applyAlignment="1">
      <alignment vertical="center"/>
    </xf>
    <xf numFmtId="0" fontId="14" fillId="5" borderId="39" xfId="0" applyFont="1" applyFill="1" applyBorder="1" applyAlignment="1">
      <alignment horizontal="center" vertical="center"/>
    </xf>
    <xf numFmtId="49" fontId="15" fillId="5" borderId="48" xfId="0" applyNumberFormat="1" applyFont="1" applyFill="1" applyBorder="1" applyAlignment="1">
      <alignment vertical="center"/>
    </xf>
    <xf numFmtId="49" fontId="15" fillId="5" borderId="43" xfId="0" applyNumberFormat="1" applyFont="1" applyFill="1" applyBorder="1" applyAlignment="1">
      <alignment horizontal="center" vertical="center"/>
    </xf>
    <xf numFmtId="0" fontId="15" fillId="5" borderId="43" xfId="0" applyFont="1" applyFill="1" applyBorder="1" applyAlignment="1">
      <alignment vertical="center"/>
    </xf>
    <xf numFmtId="170" fontId="15" fillId="5" borderId="43" xfId="0" applyNumberFormat="1" applyFont="1" applyFill="1" applyBorder="1" applyAlignment="1">
      <alignment vertical="center"/>
    </xf>
    <xf numFmtId="183" fontId="15" fillId="5" borderId="43" xfId="0" applyNumberFormat="1" applyFont="1" applyFill="1" applyBorder="1" applyAlignment="1">
      <alignment horizontal="center" vertical="center"/>
    </xf>
    <xf numFmtId="167" fontId="15" fillId="5" borderId="43" xfId="0" applyNumberFormat="1" applyFont="1" applyFill="1" applyBorder="1" applyAlignment="1">
      <alignment vertical="center"/>
    </xf>
    <xf numFmtId="1" fontId="15" fillId="5" borderId="43" xfId="0" applyNumberFormat="1" applyFont="1" applyFill="1" applyBorder="1" applyAlignment="1">
      <alignment vertical="center" wrapText="1"/>
    </xf>
    <xf numFmtId="167" fontId="15" fillId="12" borderId="49" xfId="0" applyNumberFormat="1" applyFont="1" applyFill="1" applyBorder="1" applyAlignment="1">
      <alignment vertical="center"/>
    </xf>
    <xf numFmtId="0" fontId="15" fillId="12" borderId="43" xfId="0" applyFont="1" applyFill="1" applyBorder="1" applyAlignment="1">
      <alignment vertical="center"/>
    </xf>
    <xf numFmtId="0" fontId="15" fillId="12" borderId="50" xfId="0" applyFont="1" applyFill="1" applyBorder="1" applyAlignment="1">
      <alignment vertical="center"/>
    </xf>
    <xf numFmtId="0" fontId="15" fillId="12" borderId="51" xfId="0" applyFont="1" applyFill="1" applyBorder="1" applyAlignment="1">
      <alignment vertical="center"/>
    </xf>
    <xf numFmtId="10" fontId="15" fillId="12" borderId="51" xfId="0" applyNumberFormat="1" applyFont="1" applyFill="1" applyBorder="1" applyAlignment="1">
      <alignment vertical="center"/>
    </xf>
    <xf numFmtId="10" fontId="15" fillId="12" borderId="43" xfId="0" applyNumberFormat="1" applyFont="1" applyFill="1" applyBorder="1" applyAlignment="1">
      <alignment vertical="center"/>
    </xf>
    <xf numFmtId="10" fontId="15" fillId="12" borderId="50" xfId="0" applyNumberFormat="1" applyFont="1" applyFill="1" applyBorder="1" applyAlignment="1">
      <alignment vertical="center"/>
    </xf>
    <xf numFmtId="49" fontId="15" fillId="5" borderId="52" xfId="0" applyNumberFormat="1" applyFont="1" applyFill="1" applyBorder="1" applyAlignment="1">
      <alignment horizontal="center" vertical="center"/>
    </xf>
    <xf numFmtId="49" fontId="15" fillId="5" borderId="53" xfId="0" applyNumberFormat="1" applyFont="1" applyFill="1" applyBorder="1" applyAlignment="1">
      <alignment vertical="center"/>
    </xf>
    <xf numFmtId="49" fontId="15" fillId="5" borderId="42" xfId="0" applyNumberFormat="1" applyFont="1" applyFill="1" applyBorder="1" applyAlignment="1">
      <alignment horizontal="center" vertical="center"/>
    </xf>
    <xf numFmtId="0" fontId="15" fillId="5" borderId="48" xfId="0" applyFont="1" applyFill="1" applyBorder="1" applyAlignment="1">
      <alignment vertical="center"/>
    </xf>
    <xf numFmtId="0" fontId="15" fillId="5" borderId="52" xfId="0" applyFont="1" applyFill="1" applyBorder="1" applyAlignment="1">
      <alignment horizontal="center" vertical="center"/>
    </xf>
    <xf numFmtId="174" fontId="15" fillId="5" borderId="42" xfId="0" applyNumberFormat="1" applyFont="1" applyFill="1" applyBorder="1" applyAlignment="1">
      <alignment horizontal="center" vertical="center"/>
    </xf>
    <xf numFmtId="10" fontId="15" fillId="5" borderId="53" xfId="0" applyNumberFormat="1" applyFont="1" applyFill="1" applyBorder="1" applyAlignment="1">
      <alignment vertical="center"/>
    </xf>
    <xf numFmtId="10" fontId="15" fillId="5" borderId="42" xfId="0" applyNumberFormat="1" applyFont="1" applyFill="1" applyBorder="1" applyAlignment="1">
      <alignment horizontal="center" vertical="center"/>
    </xf>
    <xf numFmtId="167" fontId="15" fillId="5" borderId="48" xfId="0" applyNumberFormat="1" applyFont="1" applyFill="1" applyBorder="1" applyAlignment="1">
      <alignment vertical="center"/>
    </xf>
    <xf numFmtId="167" fontId="15" fillId="5" borderId="52" xfId="0" applyNumberFormat="1" applyFont="1" applyFill="1" applyBorder="1" applyAlignment="1">
      <alignment horizontal="center" vertical="center"/>
    </xf>
    <xf numFmtId="169" fontId="17" fillId="0" borderId="4" xfId="0" applyNumberFormat="1" applyFont="1" applyBorder="1" applyAlignment="1">
      <alignment horizontal="center" vertical="center"/>
    </xf>
    <xf numFmtId="169" fontId="18" fillId="0" borderId="4" xfId="0" applyNumberFormat="1" applyFont="1" applyBorder="1" applyAlignment="1">
      <alignment horizontal="center" vertical="center"/>
    </xf>
    <xf numFmtId="2" fontId="18" fillId="0" borderId="4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vertical="center"/>
    </xf>
    <xf numFmtId="0" fontId="17" fillId="0" borderId="7" xfId="0" applyFont="1" applyBorder="1" applyAlignment="1">
      <alignment vertical="center"/>
    </xf>
    <xf numFmtId="49" fontId="18" fillId="0" borderId="11" xfId="0" applyNumberFormat="1" applyFont="1" applyBorder="1" applyAlignment="1">
      <alignment horizontal="left" vertical="center"/>
    </xf>
    <xf numFmtId="40" fontId="18" fillId="0" borderId="54" xfId="0" applyNumberFormat="1" applyFont="1" applyBorder="1" applyAlignment="1">
      <alignment horizontal="center" vertical="center"/>
    </xf>
    <xf numFmtId="170" fontId="18" fillId="0" borderId="11" xfId="0" applyNumberFormat="1" applyFont="1" applyBorder="1" applyAlignment="1">
      <alignment horizontal="center" vertical="center"/>
    </xf>
    <xf numFmtId="172" fontId="18" fillId="0" borderId="11" xfId="0" applyNumberFormat="1" applyFont="1" applyBorder="1" applyAlignment="1">
      <alignment horizontal="center" vertical="center"/>
    </xf>
    <xf numFmtId="40" fontId="17" fillId="0" borderId="11" xfId="0" applyNumberFormat="1" applyFont="1" applyBorder="1" applyAlignment="1">
      <alignment horizontal="center" vertical="center"/>
    </xf>
    <xf numFmtId="40" fontId="17" fillId="0" borderId="32" xfId="0" applyNumberFormat="1" applyFont="1" applyBorder="1" applyAlignment="1">
      <alignment horizontal="center" vertical="center"/>
    </xf>
    <xf numFmtId="165" fontId="18" fillId="18" borderId="54" xfId="0" applyNumberFormat="1" applyFont="1" applyFill="1" applyBorder="1" applyAlignment="1">
      <alignment horizontal="center" vertical="center"/>
    </xf>
    <xf numFmtId="165" fontId="18" fillId="19" borderId="11" xfId="0" applyNumberFormat="1" applyFont="1" applyFill="1" applyBorder="1" applyAlignment="1">
      <alignment horizontal="center" vertical="center"/>
    </xf>
    <xf numFmtId="165" fontId="18" fillId="6" borderId="24" xfId="0" applyNumberFormat="1" applyFont="1" applyFill="1" applyBorder="1" applyAlignment="1">
      <alignment horizontal="center" vertical="center"/>
    </xf>
    <xf numFmtId="4" fontId="18" fillId="0" borderId="11" xfId="0" applyNumberFormat="1" applyFont="1" applyBorder="1" applyAlignment="1">
      <alignment horizontal="center" vertical="center"/>
    </xf>
    <xf numFmtId="4" fontId="18" fillId="0" borderId="10" xfId="0" applyNumberFormat="1" applyFont="1" applyBorder="1" applyAlignment="1">
      <alignment horizontal="center" vertical="center"/>
    </xf>
    <xf numFmtId="9" fontId="18" fillId="0" borderId="11" xfId="0" applyNumberFormat="1" applyFont="1" applyBorder="1" applyAlignment="1">
      <alignment horizontal="center" vertical="center"/>
    </xf>
    <xf numFmtId="165" fontId="18" fillId="0" borderId="11" xfId="0" applyNumberFormat="1" applyFont="1" applyBorder="1" applyAlignment="1">
      <alignment horizontal="center" vertical="center"/>
    </xf>
    <xf numFmtId="1" fontId="18" fillId="0" borderId="32" xfId="0" applyNumberFormat="1" applyFont="1" applyBorder="1" applyAlignment="1">
      <alignment horizontal="center" vertical="center"/>
    </xf>
    <xf numFmtId="9" fontId="18" fillId="0" borderId="10" xfId="0" applyNumberFormat="1" applyFont="1" applyBorder="1" applyAlignment="1">
      <alignment horizontal="center" vertical="center"/>
    </xf>
    <xf numFmtId="0" fontId="18" fillId="0" borderId="1" xfId="0" applyFont="1" applyBorder="1"/>
    <xf numFmtId="165" fontId="18" fillId="18" borderId="56" xfId="0" applyNumberFormat="1" applyFont="1" applyFill="1" applyBorder="1" applyAlignment="1">
      <alignment horizontal="center" vertical="center"/>
    </xf>
    <xf numFmtId="165" fontId="18" fillId="19" borderId="14" xfId="0" applyNumberFormat="1" applyFont="1" applyFill="1" applyBorder="1" applyAlignment="1">
      <alignment horizontal="center" vertical="center"/>
    </xf>
    <xf numFmtId="165" fontId="18" fillId="6" borderId="26" xfId="0" applyNumberFormat="1" applyFont="1" applyFill="1" applyBorder="1" applyAlignment="1">
      <alignment horizontal="center" vertical="center"/>
    </xf>
    <xf numFmtId="49" fontId="18" fillId="0" borderId="12" xfId="0" applyNumberFormat="1" applyFont="1" applyBorder="1" applyAlignment="1">
      <alignment horizontal="left" vertical="center"/>
    </xf>
    <xf numFmtId="40" fontId="18" fillId="0" borderId="55" xfId="0" applyNumberFormat="1" applyFont="1" applyBorder="1" applyAlignment="1">
      <alignment horizontal="center" vertical="center"/>
    </xf>
    <xf numFmtId="170" fontId="18" fillId="0" borderId="12" xfId="0" applyNumberFormat="1" applyFont="1" applyBorder="1" applyAlignment="1">
      <alignment horizontal="center" vertical="center"/>
    </xf>
    <xf numFmtId="172" fontId="18" fillId="0" borderId="12" xfId="0" applyNumberFormat="1" applyFont="1" applyBorder="1" applyAlignment="1">
      <alignment horizontal="center" vertical="center"/>
    </xf>
    <xf numFmtId="40" fontId="17" fillId="0" borderId="12" xfId="0" applyNumberFormat="1" applyFont="1" applyBorder="1" applyAlignment="1">
      <alignment horizontal="center" vertical="center"/>
    </xf>
    <xf numFmtId="40" fontId="17" fillId="0" borderId="33" xfId="0" applyNumberFormat="1" applyFont="1" applyBorder="1" applyAlignment="1">
      <alignment horizontal="center" vertical="center"/>
    </xf>
    <xf numFmtId="165" fontId="18" fillId="18" borderId="55" xfId="0" applyNumberFormat="1" applyFont="1" applyFill="1" applyBorder="1" applyAlignment="1">
      <alignment horizontal="center" vertical="center"/>
    </xf>
    <xf numFmtId="165" fontId="18" fillId="19" borderId="12" xfId="0" applyNumberFormat="1" applyFont="1" applyFill="1" applyBorder="1" applyAlignment="1">
      <alignment horizontal="center" vertical="center"/>
    </xf>
    <xf numFmtId="165" fontId="18" fillId="6" borderId="6" xfId="0" applyNumberFormat="1" applyFont="1" applyFill="1" applyBorder="1" applyAlignment="1">
      <alignment horizontal="center" vertical="center"/>
    </xf>
    <xf numFmtId="4" fontId="18" fillId="0" borderId="12" xfId="0" applyNumberFormat="1" applyFont="1" applyBorder="1" applyAlignment="1">
      <alignment horizontal="center" vertical="center"/>
    </xf>
    <xf numFmtId="4" fontId="18" fillId="0" borderId="13" xfId="0" applyNumberFormat="1" applyFont="1" applyBorder="1" applyAlignment="1">
      <alignment horizontal="center" vertical="center"/>
    </xf>
    <xf numFmtId="9" fontId="18" fillId="0" borderId="12" xfId="0" applyNumberFormat="1" applyFont="1" applyBorder="1" applyAlignment="1">
      <alignment horizontal="center" vertical="center"/>
    </xf>
    <xf numFmtId="165" fontId="18" fillId="0" borderId="12" xfId="0" applyNumberFormat="1" applyFont="1" applyBorder="1" applyAlignment="1">
      <alignment horizontal="center" vertical="center"/>
    </xf>
    <xf numFmtId="1" fontId="18" fillId="0" borderId="33" xfId="0" applyNumberFormat="1" applyFont="1" applyBorder="1" applyAlignment="1">
      <alignment horizontal="center" vertical="center"/>
    </xf>
    <xf numFmtId="9" fontId="18" fillId="0" borderId="13" xfId="0" applyNumberFormat="1" applyFont="1" applyBorder="1" applyAlignment="1">
      <alignment horizontal="center" vertical="center"/>
    </xf>
    <xf numFmtId="40" fontId="18" fillId="0" borderId="36" xfId="0" applyNumberFormat="1" applyFont="1" applyBorder="1" applyAlignment="1">
      <alignment horizontal="center" vertical="center"/>
    </xf>
    <xf numFmtId="170" fontId="18" fillId="0" borderId="1" xfId="0" applyNumberFormat="1" applyFont="1" applyBorder="1" applyAlignment="1">
      <alignment horizontal="center" vertical="center"/>
    </xf>
    <xf numFmtId="172" fontId="18" fillId="0" borderId="1" xfId="0" applyNumberFormat="1" applyFont="1" applyBorder="1" applyAlignment="1">
      <alignment horizontal="center" vertical="center"/>
    </xf>
    <xf numFmtId="40" fontId="17" fillId="0" borderId="1" xfId="0" applyNumberFormat="1" applyFont="1" applyBorder="1" applyAlignment="1">
      <alignment horizontal="center" vertical="center"/>
    </xf>
    <xf numFmtId="40" fontId="17" fillId="0" borderId="34" xfId="0" applyNumberFormat="1" applyFont="1" applyBorder="1" applyAlignment="1">
      <alignment horizontal="center" vertical="center"/>
    </xf>
    <xf numFmtId="165" fontId="18" fillId="18" borderId="36" xfId="0" applyNumberFormat="1" applyFont="1" applyFill="1" applyBorder="1" applyAlignment="1">
      <alignment horizontal="center" vertical="center"/>
    </xf>
    <xf numFmtId="165" fontId="18" fillId="19" borderId="1" xfId="0" applyNumberFormat="1" applyFont="1" applyFill="1" applyBorder="1" applyAlignment="1">
      <alignment horizontal="center" vertical="center"/>
    </xf>
    <xf numFmtId="4" fontId="18" fillId="0" borderId="1" xfId="0" applyNumberFormat="1" applyFont="1" applyBorder="1" applyAlignment="1">
      <alignment horizontal="center" vertical="center"/>
    </xf>
    <xf numFmtId="4" fontId="18" fillId="0" borderId="5" xfId="0" applyNumberFormat="1" applyFont="1" applyBorder="1" applyAlignment="1">
      <alignment horizontal="center" vertical="center"/>
    </xf>
    <xf numFmtId="9" fontId="18" fillId="0" borderId="1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left" vertical="center"/>
    </xf>
    <xf numFmtId="49" fontId="18" fillId="0" borderId="14" xfId="0" applyNumberFormat="1" applyFont="1" applyBorder="1" applyAlignment="1">
      <alignment horizontal="left" vertical="center"/>
    </xf>
    <xf numFmtId="40" fontId="18" fillId="0" borderId="56" xfId="0" applyNumberFormat="1" applyFont="1" applyBorder="1" applyAlignment="1">
      <alignment horizontal="center" vertical="center"/>
    </xf>
    <xf numFmtId="170" fontId="18" fillId="0" borderId="14" xfId="0" applyNumberFormat="1" applyFont="1" applyBorder="1" applyAlignment="1">
      <alignment horizontal="center" vertical="center"/>
    </xf>
    <xf numFmtId="172" fontId="18" fillId="0" borderId="14" xfId="0" applyNumberFormat="1" applyFont="1" applyBorder="1" applyAlignment="1">
      <alignment horizontal="center" vertical="center"/>
    </xf>
    <xf numFmtId="40" fontId="17" fillId="0" borderId="14" xfId="0" applyNumberFormat="1" applyFont="1" applyBorder="1" applyAlignment="1">
      <alignment horizontal="center" vertical="center"/>
    </xf>
    <xf numFmtId="40" fontId="17" fillId="0" borderId="35" xfId="0" applyNumberFormat="1" applyFont="1" applyBorder="1" applyAlignment="1">
      <alignment horizontal="center" vertical="center"/>
    </xf>
    <xf numFmtId="4" fontId="18" fillId="0" borderId="14" xfId="0" applyNumberFormat="1" applyFont="1" applyBorder="1" applyAlignment="1">
      <alignment horizontal="center" vertical="center"/>
    </xf>
    <xf numFmtId="4" fontId="18" fillId="0" borderId="15" xfId="0" applyNumberFormat="1" applyFont="1" applyBorder="1" applyAlignment="1">
      <alignment horizontal="center" vertical="center"/>
    </xf>
    <xf numFmtId="9" fontId="18" fillId="0" borderId="14" xfId="0" applyNumberFormat="1" applyFont="1" applyBorder="1" applyAlignment="1">
      <alignment horizontal="center" vertical="center"/>
    </xf>
    <xf numFmtId="165" fontId="18" fillId="0" borderId="14" xfId="0" applyNumberFormat="1" applyFont="1" applyBorder="1" applyAlignment="1">
      <alignment horizontal="center" vertical="center"/>
    </xf>
    <xf numFmtId="165" fontId="18" fillId="6" borderId="25" xfId="0" applyNumberFormat="1" applyFont="1" applyFill="1" applyBorder="1" applyAlignment="1">
      <alignment horizontal="center" vertical="center"/>
    </xf>
    <xf numFmtId="165" fontId="18" fillId="19" borderId="21" xfId="0" applyNumberFormat="1" applyFont="1" applyFill="1" applyBorder="1" applyAlignment="1">
      <alignment horizontal="center" vertical="center"/>
    </xf>
    <xf numFmtId="4" fontId="18" fillId="0" borderId="29" xfId="0" applyNumberFormat="1" applyFont="1" applyBorder="1" applyAlignment="1">
      <alignment horizontal="center" vertical="center"/>
    </xf>
    <xf numFmtId="4" fontId="18" fillId="0" borderId="30" xfId="0" applyNumberFormat="1" applyFont="1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/>
    </xf>
    <xf numFmtId="165" fontId="18" fillId="0" borderId="29" xfId="0" applyNumberFormat="1" applyFont="1" applyBorder="1" applyAlignment="1">
      <alignment horizontal="center" vertical="center"/>
    </xf>
    <xf numFmtId="0" fontId="18" fillId="0" borderId="29" xfId="0" applyFont="1" applyBorder="1"/>
    <xf numFmtId="49" fontId="18" fillId="0" borderId="23" xfId="0" applyNumberFormat="1" applyFont="1" applyBorder="1" applyAlignment="1">
      <alignment horizontal="left" vertical="center"/>
    </xf>
    <xf numFmtId="40" fontId="18" fillId="0" borderId="58" xfId="0" applyNumberFormat="1" applyFont="1" applyBorder="1" applyAlignment="1">
      <alignment horizontal="center" vertical="center"/>
    </xf>
    <xf numFmtId="170" fontId="18" fillId="0" borderId="23" xfId="0" applyNumberFormat="1" applyFont="1" applyBorder="1" applyAlignment="1">
      <alignment horizontal="center" vertical="center"/>
    </xf>
    <xf numFmtId="172" fontId="18" fillId="0" borderId="23" xfId="0" applyNumberFormat="1" applyFont="1" applyBorder="1" applyAlignment="1">
      <alignment horizontal="center" vertical="center"/>
    </xf>
    <xf numFmtId="40" fontId="17" fillId="0" borderId="23" xfId="0" applyNumberFormat="1" applyFont="1" applyBorder="1" applyAlignment="1">
      <alignment horizontal="center" vertical="center"/>
    </xf>
    <xf numFmtId="40" fontId="17" fillId="0" borderId="38" xfId="0" applyNumberFormat="1" applyFont="1" applyBorder="1" applyAlignment="1">
      <alignment horizontal="center" vertical="center"/>
    </xf>
    <xf numFmtId="165" fontId="18" fillId="18" borderId="58" xfId="0" applyNumberFormat="1" applyFont="1" applyFill="1" applyBorder="1" applyAlignment="1">
      <alignment horizontal="center" vertical="center"/>
    </xf>
    <xf numFmtId="165" fontId="18" fillId="6" borderId="23" xfId="0" applyNumberFormat="1" applyFont="1" applyFill="1" applyBorder="1" applyAlignment="1">
      <alignment horizontal="center" vertical="center"/>
    </xf>
    <xf numFmtId="4" fontId="18" fillId="0" borderId="23" xfId="0" applyNumberFormat="1" applyFont="1" applyBorder="1" applyAlignment="1">
      <alignment horizontal="center" vertical="center"/>
    </xf>
    <xf numFmtId="9" fontId="18" fillId="0" borderId="23" xfId="0" applyNumberFormat="1" applyFont="1" applyBorder="1" applyAlignment="1">
      <alignment horizontal="center" vertical="center"/>
    </xf>
    <xf numFmtId="165" fontId="18" fillId="0" borderId="23" xfId="0" applyNumberFormat="1" applyFont="1" applyBorder="1" applyAlignment="1">
      <alignment horizontal="center" vertical="center"/>
    </xf>
    <xf numFmtId="0" fontId="18" fillId="0" borderId="23" xfId="0" applyFont="1" applyBorder="1"/>
    <xf numFmtId="1" fontId="18" fillId="3" borderId="1" xfId="0" applyNumberFormat="1" applyFont="1" applyFill="1" applyBorder="1" applyAlignment="1">
      <alignment horizontal="center" vertical="center"/>
    </xf>
    <xf numFmtId="1" fontId="18" fillId="3" borderId="21" xfId="0" applyNumberFormat="1" applyFont="1" applyFill="1" applyBorder="1" applyAlignment="1">
      <alignment horizontal="center" vertical="center"/>
    </xf>
    <xf numFmtId="49" fontId="18" fillId="0" borderId="39" xfId="0" applyNumberFormat="1" applyFont="1" applyBorder="1" applyAlignment="1">
      <alignment horizontal="left" vertical="center"/>
    </xf>
    <xf numFmtId="40" fontId="18" fillId="0" borderId="52" xfId="0" applyNumberFormat="1" applyFont="1" applyBorder="1" applyAlignment="1">
      <alignment horizontal="center" vertical="center"/>
    </xf>
    <xf numFmtId="170" fontId="18" fillId="0" borderId="39" xfId="0" applyNumberFormat="1" applyFont="1" applyBorder="1" applyAlignment="1">
      <alignment horizontal="center" vertical="center"/>
    </xf>
    <xf numFmtId="172" fontId="18" fillId="0" borderId="39" xfId="0" applyNumberFormat="1" applyFont="1" applyBorder="1" applyAlignment="1">
      <alignment horizontal="center" vertical="center"/>
    </xf>
    <xf numFmtId="40" fontId="17" fillId="0" borderId="39" xfId="0" applyNumberFormat="1" applyFont="1" applyBorder="1" applyAlignment="1">
      <alignment horizontal="center" vertical="center"/>
    </xf>
    <xf numFmtId="40" fontId="17" fillId="0" borderId="42" xfId="0" applyNumberFormat="1" applyFont="1" applyBorder="1" applyAlignment="1">
      <alignment horizontal="center" vertical="center"/>
    </xf>
    <xf numFmtId="165" fontId="18" fillId="18" borderId="52" xfId="0" applyNumberFormat="1" applyFont="1" applyFill="1" applyBorder="1" applyAlignment="1">
      <alignment horizontal="center" vertical="center"/>
    </xf>
    <xf numFmtId="165" fontId="18" fillId="19" borderId="39" xfId="0" applyNumberFormat="1" applyFont="1" applyFill="1" applyBorder="1" applyAlignment="1">
      <alignment horizontal="center" vertical="center"/>
    </xf>
    <xf numFmtId="165" fontId="18" fillId="6" borderId="40" xfId="0" applyNumberFormat="1" applyFont="1" applyFill="1" applyBorder="1" applyAlignment="1">
      <alignment horizontal="center" vertical="center"/>
    </xf>
    <xf numFmtId="4" fontId="18" fillId="0" borderId="39" xfId="0" applyNumberFormat="1" applyFont="1" applyBorder="1" applyAlignment="1">
      <alignment horizontal="center" vertical="center"/>
    </xf>
    <xf numFmtId="4" fontId="18" fillId="0" borderId="41" xfId="0" applyNumberFormat="1" applyFont="1" applyBorder="1" applyAlignment="1">
      <alignment horizontal="center" vertical="center"/>
    </xf>
    <xf numFmtId="9" fontId="18" fillId="0" borderId="39" xfId="0" applyNumberFormat="1" applyFont="1" applyBorder="1" applyAlignment="1">
      <alignment horizontal="center" vertical="center"/>
    </xf>
    <xf numFmtId="165" fontId="18" fillId="0" borderId="39" xfId="0" applyNumberFormat="1" applyFont="1" applyBorder="1" applyAlignment="1">
      <alignment horizontal="center" vertical="center"/>
    </xf>
    <xf numFmtId="0" fontId="18" fillId="0" borderId="39" xfId="0" applyFont="1" applyBorder="1"/>
    <xf numFmtId="49" fontId="18" fillId="0" borderId="62" xfId="0" applyNumberFormat="1" applyFont="1" applyBorder="1" applyAlignment="1">
      <alignment horizontal="left" vertical="center"/>
    </xf>
    <xf numFmtId="40" fontId="18" fillId="0" borderId="63" xfId="0" applyNumberFormat="1" applyFont="1" applyBorder="1" applyAlignment="1">
      <alignment horizontal="center" vertical="center"/>
    </xf>
    <xf numFmtId="170" fontId="18" fillId="0" borderId="62" xfId="0" applyNumberFormat="1" applyFont="1" applyBorder="1" applyAlignment="1">
      <alignment horizontal="center" vertical="center"/>
    </xf>
    <xf numFmtId="172" fontId="18" fillId="0" borderId="62" xfId="0" applyNumberFormat="1" applyFont="1" applyBorder="1" applyAlignment="1">
      <alignment horizontal="center" vertical="center"/>
    </xf>
    <xf numFmtId="40" fontId="17" fillId="0" borderId="62" xfId="0" applyNumberFormat="1" applyFont="1" applyBorder="1" applyAlignment="1">
      <alignment horizontal="center" vertical="center"/>
    </xf>
    <xf numFmtId="40" fontId="17" fillId="0" borderId="64" xfId="0" applyNumberFormat="1" applyFont="1" applyBorder="1" applyAlignment="1">
      <alignment horizontal="center" vertical="center"/>
    </xf>
    <xf numFmtId="165" fontId="18" fillId="18" borderId="63" xfId="0" applyNumberFormat="1" applyFont="1" applyFill="1" applyBorder="1" applyAlignment="1">
      <alignment horizontal="center" vertical="center"/>
    </xf>
    <xf numFmtId="165" fontId="18" fillId="19" borderId="62" xfId="0" applyNumberFormat="1" applyFont="1" applyFill="1" applyBorder="1" applyAlignment="1">
      <alignment horizontal="center" vertical="center"/>
    </xf>
    <xf numFmtId="165" fontId="18" fillId="6" borderId="66" xfId="0" applyNumberFormat="1" applyFont="1" applyFill="1" applyBorder="1" applyAlignment="1">
      <alignment horizontal="center" vertical="center"/>
    </xf>
    <xf numFmtId="4" fontId="18" fillId="0" borderId="62" xfId="0" applyNumberFormat="1" applyFont="1" applyBorder="1" applyAlignment="1">
      <alignment horizontal="center" vertical="center"/>
    </xf>
    <xf numFmtId="4" fontId="18" fillId="0" borderId="68" xfId="0" applyNumberFormat="1" applyFont="1" applyBorder="1" applyAlignment="1">
      <alignment horizontal="center" vertical="center"/>
    </xf>
    <xf numFmtId="9" fontId="18" fillId="0" borderId="62" xfId="0" applyNumberFormat="1" applyFont="1" applyBorder="1" applyAlignment="1">
      <alignment horizontal="center" vertical="center"/>
    </xf>
    <xf numFmtId="165" fontId="18" fillId="0" borderId="62" xfId="0" applyNumberFormat="1" applyFont="1" applyBorder="1" applyAlignment="1">
      <alignment horizontal="center" vertical="center"/>
    </xf>
    <xf numFmtId="9" fontId="18" fillId="0" borderId="68" xfId="0" applyNumberFormat="1" applyFont="1" applyBorder="1" applyAlignment="1">
      <alignment horizontal="center" vertical="center"/>
    </xf>
    <xf numFmtId="0" fontId="18" fillId="0" borderId="43" xfId="0" applyFont="1" applyBorder="1"/>
    <xf numFmtId="49" fontId="18" fillId="0" borderId="69" xfId="0" applyNumberFormat="1" applyFont="1" applyBorder="1" applyAlignment="1">
      <alignment horizontal="left" vertical="center"/>
    </xf>
    <xf numFmtId="1" fontId="18" fillId="0" borderId="53" xfId="0" applyNumberFormat="1" applyFont="1" applyBorder="1" applyAlignment="1">
      <alignment horizontal="center" vertical="center"/>
    </xf>
    <xf numFmtId="40" fontId="18" fillId="0" borderId="71" xfId="0" applyNumberFormat="1" applyFont="1" applyBorder="1" applyAlignment="1">
      <alignment horizontal="center" vertical="center"/>
    </xf>
    <xf numFmtId="170" fontId="18" fillId="0" borderId="69" xfId="0" applyNumberFormat="1" applyFont="1" applyBorder="1" applyAlignment="1">
      <alignment horizontal="center" vertical="center"/>
    </xf>
    <xf numFmtId="172" fontId="18" fillId="0" borderId="69" xfId="0" applyNumberFormat="1" applyFont="1" applyBorder="1" applyAlignment="1">
      <alignment horizontal="center" vertical="center"/>
    </xf>
    <xf numFmtId="40" fontId="17" fillId="0" borderId="69" xfId="0" applyNumberFormat="1" applyFont="1" applyBorder="1" applyAlignment="1">
      <alignment horizontal="center" vertical="center"/>
    </xf>
    <xf numFmtId="40" fontId="17" fillId="0" borderId="70" xfId="0" applyNumberFormat="1" applyFont="1" applyBorder="1" applyAlignment="1">
      <alignment horizontal="center" vertical="center"/>
    </xf>
    <xf numFmtId="165" fontId="18" fillId="18" borderId="71" xfId="0" applyNumberFormat="1" applyFont="1" applyFill="1" applyBorder="1" applyAlignment="1">
      <alignment horizontal="center" vertical="center"/>
    </xf>
    <xf numFmtId="165" fontId="18" fillId="19" borderId="69" xfId="0" applyNumberFormat="1" applyFont="1" applyFill="1" applyBorder="1" applyAlignment="1">
      <alignment horizontal="center" vertical="center"/>
    </xf>
    <xf numFmtId="165" fontId="18" fillId="6" borderId="73" xfId="0" applyNumberFormat="1" applyFont="1" applyFill="1" applyBorder="1" applyAlignment="1">
      <alignment horizontal="center" vertical="center"/>
    </xf>
    <xf numFmtId="4" fontId="18" fillId="0" borderId="69" xfId="0" applyNumberFormat="1" applyFont="1" applyBorder="1" applyAlignment="1">
      <alignment horizontal="center" vertical="center"/>
    </xf>
    <xf numFmtId="4" fontId="18" fillId="0" borderId="75" xfId="0" applyNumberFormat="1" applyFont="1" applyBorder="1" applyAlignment="1">
      <alignment horizontal="center" vertical="center"/>
    </xf>
    <xf numFmtId="9" fontId="18" fillId="0" borderId="69" xfId="0" applyNumberFormat="1" applyFont="1" applyBorder="1" applyAlignment="1">
      <alignment horizontal="center" vertical="center"/>
    </xf>
    <xf numFmtId="165" fontId="18" fillId="0" borderId="69" xfId="0" applyNumberFormat="1" applyFont="1" applyBorder="1" applyAlignment="1">
      <alignment horizontal="center" vertical="center"/>
    </xf>
    <xf numFmtId="9" fontId="18" fillId="0" borderId="43" xfId="0" applyNumberFormat="1" applyFont="1" applyBorder="1" applyAlignment="1">
      <alignment horizontal="center" vertical="center"/>
    </xf>
    <xf numFmtId="1" fontId="22" fillId="3" borderId="67" xfId="0" applyNumberFormat="1" applyFont="1" applyFill="1" applyBorder="1" applyAlignment="1">
      <alignment horizontal="center" vertical="center"/>
    </xf>
    <xf numFmtId="1" fontId="23" fillId="3" borderId="67" xfId="0" applyNumberFormat="1" applyFont="1" applyFill="1" applyBorder="1" applyAlignment="1">
      <alignment horizontal="center" vertical="center"/>
    </xf>
    <xf numFmtId="1" fontId="24" fillId="2" borderId="1" xfId="0" applyNumberFormat="1" applyFont="1" applyFill="1" applyBorder="1"/>
    <xf numFmtId="1" fontId="25" fillId="2" borderId="1" xfId="0" applyNumberFormat="1" applyFont="1" applyFill="1" applyBorder="1"/>
    <xf numFmtId="1" fontId="25" fillId="0" borderId="0" xfId="0" applyNumberFormat="1" applyFont="1"/>
    <xf numFmtId="1" fontId="26" fillId="5" borderId="53" xfId="0" applyNumberFormat="1" applyFont="1" applyFill="1" applyBorder="1" applyAlignment="1">
      <alignment vertical="center" wrapText="1"/>
    </xf>
    <xf numFmtId="1" fontId="26" fillId="5" borderId="42" xfId="0" applyNumberFormat="1" applyFont="1" applyFill="1" applyBorder="1" applyAlignment="1">
      <alignment horizontal="center" vertical="center"/>
    </xf>
    <xf numFmtId="1" fontId="22" fillId="3" borderId="61" xfId="0" applyNumberFormat="1" applyFont="1" applyFill="1" applyBorder="1" applyAlignment="1">
      <alignment horizontal="center" vertical="center"/>
    </xf>
    <xf numFmtId="1" fontId="22" fillId="3" borderId="34" xfId="0" applyNumberFormat="1" applyFont="1" applyFill="1" applyBorder="1" applyAlignment="1">
      <alignment horizontal="center" vertical="center"/>
    </xf>
    <xf numFmtId="1" fontId="22" fillId="3" borderId="60" xfId="0" applyNumberFormat="1" applyFont="1" applyFill="1" applyBorder="1" applyAlignment="1">
      <alignment horizontal="center" vertical="center"/>
    </xf>
    <xf numFmtId="1" fontId="22" fillId="3" borderId="42" xfId="0" applyNumberFormat="1" applyFont="1" applyFill="1" applyBorder="1" applyAlignment="1">
      <alignment horizontal="center" vertical="center"/>
    </xf>
    <xf numFmtId="1" fontId="22" fillId="3" borderId="64" xfId="0" applyNumberFormat="1" applyFont="1" applyFill="1" applyBorder="1" applyAlignment="1">
      <alignment horizontal="center" vertical="center"/>
    </xf>
    <xf numFmtId="1" fontId="22" fillId="3" borderId="32" xfId="0" applyNumberFormat="1" applyFont="1" applyFill="1" applyBorder="1" applyAlignment="1">
      <alignment horizontal="center" vertical="center"/>
    </xf>
    <xf numFmtId="1" fontId="22" fillId="3" borderId="74" xfId="0" applyNumberFormat="1" applyFont="1" applyFill="1" applyBorder="1" applyAlignment="1">
      <alignment horizontal="center" vertical="center"/>
    </xf>
    <xf numFmtId="1" fontId="22" fillId="3" borderId="33" xfId="0" applyNumberFormat="1" applyFont="1" applyFill="1" applyBorder="1" applyAlignment="1">
      <alignment horizontal="center" vertical="center"/>
    </xf>
    <xf numFmtId="1" fontId="22" fillId="3" borderId="38" xfId="0" applyNumberFormat="1" applyFont="1" applyFill="1" applyBorder="1" applyAlignment="1">
      <alignment horizontal="center" vertical="center"/>
    </xf>
    <xf numFmtId="1" fontId="27" fillId="0" borderId="1" xfId="0" applyNumberFormat="1" applyFont="1" applyBorder="1"/>
    <xf numFmtId="1" fontId="24" fillId="0" borderId="0" xfId="0" applyNumberFormat="1" applyFont="1"/>
    <xf numFmtId="1" fontId="27" fillId="0" borderId="0" xfId="0" applyNumberFormat="1" applyFont="1"/>
    <xf numFmtId="49" fontId="15" fillId="5" borderId="39" xfId="0" applyNumberFormat="1" applyFont="1" applyFill="1" applyBorder="1" applyAlignment="1">
      <alignment horizontal="center" vertical="center" wrapText="1"/>
    </xf>
    <xf numFmtId="173" fontId="2" fillId="0" borderId="1" xfId="0" quotePrefix="1" applyNumberFormat="1" applyFont="1" applyBorder="1" applyAlignment="1">
      <alignment horizontal="left" vertical="center"/>
    </xf>
    <xf numFmtId="40" fontId="18" fillId="0" borderId="62" xfId="0" applyNumberFormat="1" applyFont="1" applyBorder="1" applyAlignment="1">
      <alignment horizontal="center" vertical="center"/>
    </xf>
    <xf numFmtId="40" fontId="18" fillId="0" borderId="11" xfId="0" applyNumberFormat="1" applyFont="1" applyBorder="1" applyAlignment="1">
      <alignment horizontal="center" vertical="center"/>
    </xf>
    <xf numFmtId="40" fontId="18" fillId="0" borderId="12" xfId="0" applyNumberFormat="1" applyFont="1" applyBorder="1" applyAlignment="1">
      <alignment horizontal="center" vertical="center"/>
    </xf>
    <xf numFmtId="40" fontId="18" fillId="0" borderId="39" xfId="0" applyNumberFormat="1" applyFont="1" applyBorder="1" applyAlignment="1">
      <alignment horizontal="center" vertical="center"/>
    </xf>
    <xf numFmtId="40" fontId="18" fillId="0" borderId="1" xfId="0" applyNumberFormat="1" applyFont="1" applyBorder="1" applyAlignment="1">
      <alignment horizontal="center" vertical="center"/>
    </xf>
    <xf numFmtId="40" fontId="18" fillId="0" borderId="14" xfId="0" applyNumberFormat="1" applyFont="1" applyBorder="1" applyAlignment="1">
      <alignment horizontal="center" vertical="center"/>
    </xf>
    <xf numFmtId="40" fontId="18" fillId="0" borderId="69" xfId="0" applyNumberFormat="1" applyFont="1" applyBorder="1" applyAlignment="1">
      <alignment horizontal="center" vertical="center"/>
    </xf>
    <xf numFmtId="40" fontId="18" fillId="0" borderId="23" xfId="0" applyNumberFormat="1" applyFont="1" applyBorder="1" applyAlignment="1">
      <alignment horizontal="center" vertical="center"/>
    </xf>
    <xf numFmtId="174" fontId="17" fillId="5" borderId="39" xfId="0" applyNumberFormat="1" applyFont="1" applyFill="1" applyBorder="1" applyAlignment="1">
      <alignment horizontal="center" vertical="center"/>
    </xf>
    <xf numFmtId="165" fontId="18" fillId="18" borderId="8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14" fillId="5" borderId="47" xfId="0" applyFont="1" applyFill="1" applyBorder="1" applyAlignment="1">
      <alignment horizontal="left" vertical="center"/>
    </xf>
    <xf numFmtId="0" fontId="14" fillId="5" borderId="39" xfId="0" applyFont="1" applyFill="1" applyBorder="1" applyAlignment="1">
      <alignment horizontal="left" vertical="center"/>
    </xf>
    <xf numFmtId="49" fontId="18" fillId="0" borderId="62" xfId="0" quotePrefix="1" applyNumberFormat="1" applyFont="1" applyBorder="1" applyAlignment="1">
      <alignment horizontal="left" vertical="center"/>
    </xf>
    <xf numFmtId="49" fontId="18" fillId="0" borderId="11" xfId="0" quotePrefix="1" applyNumberFormat="1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8" fillId="24" borderId="0" xfId="0" applyFont="1" applyFill="1" applyAlignment="1">
      <alignment vertical="center"/>
    </xf>
    <xf numFmtId="170" fontId="18" fillId="24" borderId="62" xfId="0" applyNumberFormat="1" applyFont="1" applyFill="1" applyBorder="1" applyAlignment="1">
      <alignment horizontal="center" vertical="center"/>
    </xf>
    <xf numFmtId="0" fontId="16" fillId="23" borderId="43" xfId="0" applyFont="1" applyFill="1" applyBorder="1"/>
    <xf numFmtId="0" fontId="16" fillId="23" borderId="39" xfId="0" applyFont="1" applyFill="1" applyBorder="1"/>
    <xf numFmtId="183" fontId="17" fillId="5" borderId="53" xfId="0" applyNumberFormat="1" applyFont="1" applyFill="1" applyBorder="1" applyAlignment="1">
      <alignment horizontal="center" vertical="center"/>
    </xf>
    <xf numFmtId="1" fontId="18" fillId="3" borderId="22" xfId="0" applyNumberFormat="1" applyFont="1" applyFill="1" applyBorder="1" applyAlignment="1">
      <alignment horizontal="center" vertical="center"/>
    </xf>
    <xf numFmtId="167" fontId="28" fillId="0" borderId="0" xfId="0" applyNumberFormat="1" applyFont="1"/>
    <xf numFmtId="0" fontId="28" fillId="0" borderId="0" xfId="0" applyFont="1"/>
    <xf numFmtId="167" fontId="28" fillId="0" borderId="0" xfId="0" applyNumberFormat="1" applyFont="1" applyAlignment="1">
      <alignment vertical="center"/>
    </xf>
    <xf numFmtId="1" fontId="28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4" fontId="28" fillId="0" borderId="1" xfId="0" applyNumberFormat="1" applyFont="1" applyBorder="1" applyAlignment="1">
      <alignment horizontal="center" vertical="center"/>
    </xf>
    <xf numFmtId="181" fontId="0" fillId="0" borderId="0" xfId="0" applyNumberFormat="1" applyAlignment="1">
      <alignment vertical="center"/>
    </xf>
    <xf numFmtId="186" fontId="32" fillId="0" borderId="0" xfId="0" applyNumberFormat="1" applyFont="1"/>
    <xf numFmtId="0" fontId="30" fillId="0" borderId="0" xfId="0" applyFont="1" applyAlignment="1">
      <alignment horizontal="left" vertical="center"/>
    </xf>
    <xf numFmtId="165" fontId="18" fillId="18" borderId="59" xfId="0" applyNumberFormat="1" applyFont="1" applyFill="1" applyBorder="1" applyAlignment="1">
      <alignment horizontal="center" vertical="center"/>
    </xf>
    <xf numFmtId="4" fontId="18" fillId="0" borderId="21" xfId="0" applyNumberFormat="1" applyFont="1" applyBorder="1" applyAlignment="1">
      <alignment horizontal="center" vertical="center"/>
    </xf>
    <xf numFmtId="9" fontId="18" fillId="0" borderId="21" xfId="0" applyNumberFormat="1" applyFont="1" applyBorder="1" applyAlignment="1">
      <alignment horizontal="center" vertical="center"/>
    </xf>
    <xf numFmtId="0" fontId="18" fillId="0" borderId="21" xfId="0" applyFont="1" applyBorder="1"/>
    <xf numFmtId="40" fontId="17" fillId="0" borderId="21" xfId="0" applyNumberFormat="1" applyFont="1" applyBorder="1" applyAlignment="1">
      <alignment horizontal="center" vertical="center"/>
    </xf>
    <xf numFmtId="49" fontId="18" fillId="24" borderId="1" xfId="0" applyNumberFormat="1" applyFont="1" applyFill="1" applyBorder="1" applyAlignment="1">
      <alignment horizontal="left" vertical="center"/>
    </xf>
    <xf numFmtId="1" fontId="32" fillId="0" borderId="0" xfId="0" applyNumberFormat="1" applyFont="1"/>
    <xf numFmtId="185" fontId="0" fillId="0" borderId="0" xfId="0" applyNumberFormat="1"/>
    <xf numFmtId="1" fontId="7" fillId="28" borderId="0" xfId="0" applyNumberFormat="1" applyFont="1" applyFill="1" applyAlignment="1">
      <alignment horizontal="center"/>
    </xf>
    <xf numFmtId="185" fontId="7" fillId="28" borderId="0" xfId="0" applyNumberFormat="1" applyFont="1" applyFill="1"/>
    <xf numFmtId="186" fontId="7" fillId="28" borderId="0" xfId="0" applyNumberFormat="1" applyFont="1" applyFill="1"/>
    <xf numFmtId="2" fontId="7" fillId="28" borderId="0" xfId="0" applyNumberFormat="1" applyFont="1" applyFill="1"/>
    <xf numFmtId="0" fontId="7" fillId="28" borderId="0" xfId="0" applyFont="1" applyFill="1"/>
    <xf numFmtId="1" fontId="7" fillId="28" borderId="0" xfId="0" applyNumberFormat="1" applyFont="1" applyFill="1"/>
    <xf numFmtId="181" fontId="7" fillId="28" borderId="0" xfId="0" applyNumberFormat="1" applyFont="1" applyFill="1"/>
    <xf numFmtId="184" fontId="7" fillId="28" borderId="0" xfId="0" applyNumberFormat="1" applyFont="1" applyFill="1"/>
    <xf numFmtId="4" fontId="18" fillId="0" borderId="95" xfId="0" applyNumberFormat="1" applyFont="1" applyBorder="1" applyAlignment="1">
      <alignment horizontal="center" vertical="center"/>
    </xf>
    <xf numFmtId="165" fontId="18" fillId="0" borderId="21" xfId="0" applyNumberFormat="1" applyFont="1" applyBorder="1" applyAlignment="1">
      <alignment horizontal="center" vertical="center"/>
    </xf>
    <xf numFmtId="165" fontId="18" fillId="6" borderId="97" xfId="0" applyNumberFormat="1" applyFont="1" applyFill="1" applyBorder="1" applyAlignment="1">
      <alignment horizontal="center" vertical="center"/>
    </xf>
    <xf numFmtId="4" fontId="18" fillId="0" borderId="96" xfId="0" applyNumberFormat="1" applyFont="1" applyBorder="1" applyAlignment="1">
      <alignment horizontal="center" vertical="center"/>
    </xf>
    <xf numFmtId="4" fontId="18" fillId="0" borderId="98" xfId="0" applyNumberFormat="1" applyFont="1" applyBorder="1" applyAlignment="1">
      <alignment horizontal="center" vertical="center"/>
    </xf>
    <xf numFmtId="9" fontId="18" fillId="0" borderId="96" xfId="0" applyNumberFormat="1" applyFont="1" applyBorder="1" applyAlignment="1">
      <alignment horizontal="center" vertical="center"/>
    </xf>
    <xf numFmtId="165" fontId="18" fillId="0" borderId="96" xfId="0" applyNumberFormat="1" applyFont="1" applyBorder="1" applyAlignment="1">
      <alignment horizontal="center" vertical="center"/>
    </xf>
    <xf numFmtId="0" fontId="18" fillId="0" borderId="96" xfId="0" applyFont="1" applyBorder="1"/>
    <xf numFmtId="165" fontId="18" fillId="19" borderId="22" xfId="0" applyNumberFormat="1" applyFont="1" applyFill="1" applyBorder="1" applyAlignment="1">
      <alignment horizontal="center" vertical="center"/>
    </xf>
    <xf numFmtId="49" fontId="18" fillId="0" borderId="76" xfId="0" applyNumberFormat="1" applyFont="1" applyBorder="1" applyAlignment="1">
      <alignment horizontal="center" vertical="center"/>
    </xf>
    <xf numFmtId="49" fontId="18" fillId="0" borderId="77" xfId="0" applyNumberFormat="1" applyFont="1" applyBorder="1" applyAlignment="1">
      <alignment horizontal="left" vertical="center"/>
    </xf>
    <xf numFmtId="49" fontId="18" fillId="0" borderId="90" xfId="0" applyNumberFormat="1" applyFont="1" applyBorder="1" applyAlignment="1">
      <alignment horizontal="center" vertical="center"/>
    </xf>
    <xf numFmtId="49" fontId="18" fillId="0" borderId="100" xfId="0" applyNumberFormat="1" applyFont="1" applyBorder="1" applyAlignment="1">
      <alignment horizontal="center" vertical="center"/>
    </xf>
    <xf numFmtId="49" fontId="18" fillId="0" borderId="101" xfId="0" applyNumberFormat="1" applyFont="1" applyBorder="1" applyAlignment="1">
      <alignment horizontal="left" vertical="center"/>
    </xf>
    <xf numFmtId="49" fontId="18" fillId="0" borderId="79" xfId="0" applyNumberFormat="1" applyFont="1" applyBorder="1" applyAlignment="1">
      <alignment horizontal="center" vertical="center"/>
    </xf>
    <xf numFmtId="40" fontId="17" fillId="0" borderId="22" xfId="0" applyNumberFormat="1" applyFont="1" applyBorder="1" applyAlignment="1">
      <alignment horizontal="center" vertical="center"/>
    </xf>
    <xf numFmtId="40" fontId="17" fillId="0" borderId="61" xfId="0" applyNumberFormat="1" applyFont="1" applyBorder="1" applyAlignment="1">
      <alignment horizontal="center" vertical="center"/>
    </xf>
    <xf numFmtId="4" fontId="18" fillId="0" borderId="22" xfId="0" applyNumberFormat="1" applyFont="1" applyBorder="1" applyAlignment="1">
      <alignment horizontal="center" vertical="center"/>
    </xf>
    <xf numFmtId="4" fontId="18" fillId="0" borderId="104" xfId="0" applyNumberFormat="1" applyFont="1" applyBorder="1" applyAlignment="1">
      <alignment horizontal="center" vertical="center"/>
    </xf>
    <xf numFmtId="9" fontId="18" fillId="0" borderId="22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8" fillId="0" borderId="22" xfId="0" applyFont="1" applyBorder="1"/>
    <xf numFmtId="40" fontId="17" fillId="0" borderId="65" xfId="0" applyNumberFormat="1" applyFont="1" applyBorder="1" applyAlignment="1">
      <alignment horizontal="center" vertical="center"/>
    </xf>
    <xf numFmtId="40" fontId="17" fillId="0" borderId="67" xfId="0" applyNumberFormat="1" applyFont="1" applyBorder="1" applyAlignment="1">
      <alignment horizontal="center" vertical="center"/>
    </xf>
    <xf numFmtId="165" fontId="18" fillId="18" borderId="99" xfId="0" applyNumberFormat="1" applyFont="1" applyFill="1" applyBorder="1" applyAlignment="1">
      <alignment horizontal="center" vertical="center"/>
    </xf>
    <xf numFmtId="165" fontId="18" fillId="19" borderId="65" xfId="0" applyNumberFormat="1" applyFont="1" applyFill="1" applyBorder="1" applyAlignment="1">
      <alignment horizontal="center" vertical="center"/>
    </xf>
    <xf numFmtId="4" fontId="18" fillId="0" borderId="65" xfId="0" applyNumberFormat="1" applyFont="1" applyBorder="1" applyAlignment="1">
      <alignment horizontal="center" vertical="center"/>
    </xf>
    <xf numFmtId="4" fontId="18" fillId="0" borderId="105" xfId="0" applyNumberFormat="1" applyFont="1" applyBorder="1" applyAlignment="1">
      <alignment horizontal="center" vertical="center"/>
    </xf>
    <xf numFmtId="9" fontId="18" fillId="0" borderId="65" xfId="0" applyNumberFormat="1" applyFont="1" applyBorder="1" applyAlignment="1">
      <alignment horizontal="center" vertical="center"/>
    </xf>
    <xf numFmtId="165" fontId="18" fillId="0" borderId="65" xfId="0" applyNumberFormat="1" applyFont="1" applyBorder="1" applyAlignment="1">
      <alignment horizontal="center" vertical="center"/>
    </xf>
    <xf numFmtId="0" fontId="18" fillId="0" borderId="65" xfId="0" applyFont="1" applyBorder="1"/>
    <xf numFmtId="40" fontId="17" fillId="0" borderId="60" xfId="0" applyNumberFormat="1" applyFont="1" applyBorder="1" applyAlignment="1">
      <alignment horizontal="center" vertical="center"/>
    </xf>
    <xf numFmtId="40" fontId="18" fillId="0" borderId="88" xfId="0" applyNumberFormat="1" applyFont="1" applyBorder="1" applyAlignment="1">
      <alignment horizontal="center" vertical="center"/>
    </xf>
    <xf numFmtId="170" fontId="18" fillId="0" borderId="77" xfId="0" applyNumberFormat="1" applyFont="1" applyBorder="1" applyAlignment="1">
      <alignment horizontal="center" vertical="center"/>
    </xf>
    <xf numFmtId="172" fontId="18" fillId="0" borderId="77" xfId="0" applyNumberFormat="1" applyFont="1" applyBorder="1" applyAlignment="1">
      <alignment horizontal="center" vertical="center"/>
    </xf>
    <xf numFmtId="40" fontId="18" fillId="0" borderId="77" xfId="0" applyNumberFormat="1" applyFont="1" applyBorder="1" applyAlignment="1">
      <alignment horizontal="center" vertical="center"/>
    </xf>
    <xf numFmtId="40" fontId="17" fillId="0" borderId="77" xfId="0" applyNumberFormat="1" applyFont="1" applyBorder="1" applyAlignment="1">
      <alignment horizontal="center" vertical="center"/>
    </xf>
    <xf numFmtId="165" fontId="18" fillId="18" borderId="88" xfId="0" applyNumberFormat="1" applyFont="1" applyFill="1" applyBorder="1" applyAlignment="1">
      <alignment horizontal="center" vertical="center"/>
    </xf>
    <xf numFmtId="165" fontId="18" fillId="19" borderId="77" xfId="0" applyNumberFormat="1" applyFont="1" applyFill="1" applyBorder="1" applyAlignment="1">
      <alignment horizontal="center" vertical="center"/>
    </xf>
    <xf numFmtId="165" fontId="18" fillId="6" borderId="107" xfId="0" applyNumberFormat="1" applyFont="1" applyFill="1" applyBorder="1" applyAlignment="1">
      <alignment horizontal="center" vertical="center"/>
    </xf>
    <xf numFmtId="1" fontId="22" fillId="3" borderId="89" xfId="0" applyNumberFormat="1" applyFont="1" applyFill="1" applyBorder="1" applyAlignment="1">
      <alignment horizontal="center" vertical="center"/>
    </xf>
    <xf numFmtId="4" fontId="18" fillId="0" borderId="77" xfId="0" applyNumberFormat="1" applyFont="1" applyBorder="1" applyAlignment="1">
      <alignment horizontal="center" vertical="center"/>
    </xf>
    <xf numFmtId="4" fontId="18" fillId="0" borderId="108" xfId="0" applyNumberFormat="1" applyFont="1" applyBorder="1" applyAlignment="1">
      <alignment horizontal="center" vertical="center"/>
    </xf>
    <xf numFmtId="9" fontId="18" fillId="0" borderId="77" xfId="0" applyNumberFormat="1" applyFont="1" applyBorder="1" applyAlignment="1">
      <alignment horizontal="center" vertical="center"/>
    </xf>
    <xf numFmtId="165" fontId="18" fillId="0" borderId="77" xfId="0" applyNumberFormat="1" applyFont="1" applyBorder="1" applyAlignment="1">
      <alignment horizontal="center" vertical="center"/>
    </xf>
    <xf numFmtId="0" fontId="18" fillId="0" borderId="77" xfId="0" applyFont="1" applyBorder="1"/>
    <xf numFmtId="49" fontId="18" fillId="0" borderId="82" xfId="0" applyNumberFormat="1" applyFont="1" applyBorder="1" applyAlignment="1">
      <alignment horizontal="left" vertical="center"/>
    </xf>
    <xf numFmtId="40" fontId="18" fillId="0" borderId="111" xfId="0" applyNumberFormat="1" applyFont="1" applyBorder="1" applyAlignment="1">
      <alignment horizontal="center" vertical="center"/>
    </xf>
    <xf numFmtId="170" fontId="18" fillId="0" borderId="82" xfId="0" applyNumberFormat="1" applyFont="1" applyBorder="1" applyAlignment="1">
      <alignment horizontal="center" vertical="center"/>
    </xf>
    <xf numFmtId="172" fontId="18" fillId="0" borderId="82" xfId="0" applyNumberFormat="1" applyFont="1" applyBorder="1" applyAlignment="1">
      <alignment horizontal="center" vertical="center"/>
    </xf>
    <xf numFmtId="40" fontId="18" fillId="0" borderId="82" xfId="0" applyNumberFormat="1" applyFont="1" applyBorder="1" applyAlignment="1">
      <alignment horizontal="center" vertical="center"/>
    </xf>
    <xf numFmtId="40" fontId="17" fillId="0" borderId="82" xfId="0" applyNumberFormat="1" applyFont="1" applyBorder="1" applyAlignment="1">
      <alignment horizontal="center" vertical="center"/>
    </xf>
    <xf numFmtId="40" fontId="17" fillId="0" borderId="112" xfId="0" applyNumberFormat="1" applyFont="1" applyBorder="1" applyAlignment="1">
      <alignment horizontal="center" vertical="center"/>
    </xf>
    <xf numFmtId="165" fontId="18" fillId="18" borderId="111" xfId="0" applyNumberFormat="1" applyFont="1" applyFill="1" applyBorder="1" applyAlignment="1">
      <alignment horizontal="center" vertical="center"/>
    </xf>
    <xf numFmtId="165" fontId="18" fillId="19" borderId="82" xfId="0" applyNumberFormat="1" applyFont="1" applyFill="1" applyBorder="1" applyAlignment="1">
      <alignment horizontal="center" vertical="center"/>
    </xf>
    <xf numFmtId="165" fontId="18" fillId="6" borderId="113" xfId="0" applyNumberFormat="1" applyFont="1" applyFill="1" applyBorder="1" applyAlignment="1">
      <alignment horizontal="center" vertical="center"/>
    </xf>
    <xf numFmtId="1" fontId="22" fillId="3" borderId="112" xfId="0" applyNumberFormat="1" applyFont="1" applyFill="1" applyBorder="1" applyAlignment="1">
      <alignment horizontal="center" vertical="center"/>
    </xf>
    <xf numFmtId="4" fontId="18" fillId="0" borderId="82" xfId="0" applyNumberFormat="1" applyFont="1" applyBorder="1" applyAlignment="1">
      <alignment horizontal="center" vertical="center"/>
    </xf>
    <xf numFmtId="4" fontId="18" fillId="0" borderId="114" xfId="0" applyNumberFormat="1" applyFont="1" applyBorder="1" applyAlignment="1">
      <alignment horizontal="center" vertical="center"/>
    </xf>
    <xf numFmtId="9" fontId="18" fillId="0" borderId="82" xfId="0" applyNumberFormat="1" applyFont="1" applyBorder="1" applyAlignment="1">
      <alignment horizontal="center" vertical="center"/>
    </xf>
    <xf numFmtId="165" fontId="18" fillId="0" borderId="82" xfId="0" applyNumberFormat="1" applyFont="1" applyBorder="1" applyAlignment="1">
      <alignment horizontal="center" vertical="center"/>
    </xf>
    <xf numFmtId="0" fontId="18" fillId="0" borderId="82" xfId="0" applyFont="1" applyBorder="1"/>
    <xf numFmtId="0" fontId="13" fillId="0" borderId="0" xfId="0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0" fontId="13" fillId="0" borderId="0" xfId="0" applyNumberFormat="1" applyFont="1" applyAlignment="1">
      <alignment horizontal="center"/>
    </xf>
    <xf numFmtId="49" fontId="13" fillId="0" borderId="0" xfId="0" applyNumberFormat="1" applyFont="1" applyAlignment="1">
      <alignment horizontal="center"/>
    </xf>
    <xf numFmtId="179" fontId="9" fillId="0" borderId="16" xfId="0" applyNumberFormat="1" applyFont="1" applyBorder="1" applyAlignment="1">
      <alignment horizontal="center"/>
    </xf>
    <xf numFmtId="9" fontId="9" fillId="0" borderId="0" xfId="0" applyNumberFormat="1" applyFont="1" applyAlignment="1">
      <alignment horizontal="center"/>
    </xf>
    <xf numFmtId="179" fontId="9" fillId="0" borderId="17" xfId="0" applyNumberFormat="1" applyFont="1" applyBorder="1" applyAlignment="1">
      <alignment horizontal="center"/>
    </xf>
    <xf numFmtId="9" fontId="9" fillId="9" borderId="0" xfId="0" applyNumberFormat="1" applyFont="1" applyFill="1" applyAlignment="1">
      <alignment horizontal="center"/>
    </xf>
    <xf numFmtId="0" fontId="34" fillId="0" borderId="0" xfId="0" applyFont="1" applyAlignment="1">
      <alignment horizontal="center" vertical="center"/>
    </xf>
    <xf numFmtId="10" fontId="34" fillId="0" borderId="0" xfId="0" applyNumberFormat="1" applyFont="1" applyAlignment="1">
      <alignment horizontal="center" vertical="center"/>
    </xf>
    <xf numFmtId="0" fontId="9" fillId="0" borderId="0" xfId="0" quotePrefix="1" applyFont="1" applyAlignment="1">
      <alignment horizontal="left"/>
    </xf>
    <xf numFmtId="9" fontId="34" fillId="0" borderId="0" xfId="0" applyNumberFormat="1" applyFont="1" applyAlignment="1">
      <alignment horizontal="center" vertical="center"/>
    </xf>
    <xf numFmtId="3" fontId="35" fillId="0" borderId="0" xfId="0" applyNumberFormat="1" applyFont="1"/>
    <xf numFmtId="10" fontId="15" fillId="5" borderId="117" xfId="0" applyNumberFormat="1" applyFont="1" applyFill="1" applyBorder="1" applyAlignment="1">
      <alignment vertical="center"/>
    </xf>
    <xf numFmtId="0" fontId="0" fillId="0" borderId="79" xfId="0" applyBorder="1"/>
    <xf numFmtId="186" fontId="32" fillId="0" borderId="79" xfId="0" applyNumberFormat="1" applyFont="1" applyBorder="1"/>
    <xf numFmtId="0" fontId="17" fillId="30" borderId="36" xfId="0" applyFont="1" applyFill="1" applyBorder="1" applyAlignment="1">
      <alignment horizontal="left" vertical="center" wrapText="1"/>
    </xf>
    <xf numFmtId="0" fontId="18" fillId="30" borderId="1" xfId="0" applyFont="1" applyFill="1" applyBorder="1" applyAlignment="1">
      <alignment horizontal="center" vertical="center" wrapText="1"/>
    </xf>
    <xf numFmtId="0" fontId="18" fillId="30" borderId="1" xfId="0" applyFont="1" applyFill="1" applyBorder="1" applyAlignment="1">
      <alignment horizontal="center" vertical="center"/>
    </xf>
    <xf numFmtId="176" fontId="18" fillId="30" borderId="34" xfId="0" applyNumberFormat="1" applyFont="1" applyFill="1" applyBorder="1" applyAlignment="1">
      <alignment horizontal="center" vertical="center"/>
    </xf>
    <xf numFmtId="175" fontId="18" fillId="30" borderId="34" xfId="0" applyNumberFormat="1" applyFont="1" applyFill="1" applyBorder="1" applyAlignment="1">
      <alignment horizontal="center" vertical="center"/>
    </xf>
    <xf numFmtId="0" fontId="17" fillId="30" borderId="54" xfId="0" applyFont="1" applyFill="1" applyBorder="1" applyAlignment="1">
      <alignment horizontal="left" vertical="center" wrapText="1"/>
    </xf>
    <xf numFmtId="0" fontId="18" fillId="30" borderId="11" xfId="0" applyFont="1" applyFill="1" applyBorder="1" applyAlignment="1">
      <alignment horizontal="center" vertical="center" wrapText="1"/>
    </xf>
    <xf numFmtId="0" fontId="18" fillId="30" borderId="11" xfId="0" applyFont="1" applyFill="1" applyBorder="1" applyAlignment="1">
      <alignment horizontal="center" vertical="center"/>
    </xf>
    <xf numFmtId="175" fontId="18" fillId="30" borderId="32" xfId="0" applyNumberFormat="1" applyFont="1" applyFill="1" applyBorder="1" applyAlignment="1">
      <alignment horizontal="center" vertical="center"/>
    </xf>
    <xf numFmtId="0" fontId="17" fillId="30" borderId="55" xfId="0" applyFont="1" applyFill="1" applyBorder="1" applyAlignment="1">
      <alignment horizontal="left" vertical="center" wrapText="1"/>
    </xf>
    <xf numFmtId="0" fontId="18" fillId="30" borderId="12" xfId="0" applyFont="1" applyFill="1" applyBorder="1" applyAlignment="1">
      <alignment horizontal="center" vertical="center" wrapText="1"/>
    </xf>
    <xf numFmtId="0" fontId="18" fillId="30" borderId="12" xfId="0" applyFont="1" applyFill="1" applyBorder="1" applyAlignment="1">
      <alignment horizontal="center" vertical="center"/>
    </xf>
    <xf numFmtId="175" fontId="18" fillId="30" borderId="33" xfId="0" applyNumberFormat="1" applyFont="1" applyFill="1" applyBorder="1" applyAlignment="1">
      <alignment horizontal="center" vertical="center"/>
    </xf>
    <xf numFmtId="176" fontId="18" fillId="30" borderId="33" xfId="0" applyNumberFormat="1" applyFont="1" applyFill="1" applyBorder="1" applyAlignment="1">
      <alignment horizontal="center" vertical="center"/>
    </xf>
    <xf numFmtId="0" fontId="17" fillId="30" borderId="56" xfId="0" applyFont="1" applyFill="1" applyBorder="1" applyAlignment="1">
      <alignment horizontal="left" vertical="center" wrapText="1"/>
    </xf>
    <xf numFmtId="0" fontId="18" fillId="30" borderId="14" xfId="0" applyFont="1" applyFill="1" applyBorder="1" applyAlignment="1">
      <alignment horizontal="center" vertical="center" wrapText="1"/>
    </xf>
    <xf numFmtId="0" fontId="18" fillId="30" borderId="14" xfId="0" applyFont="1" applyFill="1" applyBorder="1" applyAlignment="1">
      <alignment horizontal="center" vertical="center"/>
    </xf>
    <xf numFmtId="175" fontId="18" fillId="30" borderId="35" xfId="0" applyNumberFormat="1" applyFont="1" applyFill="1" applyBorder="1" applyAlignment="1">
      <alignment horizontal="center" vertical="center"/>
    </xf>
    <xf numFmtId="0" fontId="17" fillId="30" borderId="71" xfId="0" applyFont="1" applyFill="1" applyBorder="1" applyAlignment="1">
      <alignment horizontal="left" vertical="center" wrapText="1"/>
    </xf>
    <xf numFmtId="0" fontId="18" fillId="30" borderId="69" xfId="0" applyFont="1" applyFill="1" applyBorder="1" applyAlignment="1">
      <alignment horizontal="center" vertical="center" wrapText="1"/>
    </xf>
    <xf numFmtId="0" fontId="18" fillId="30" borderId="69" xfId="0" applyFont="1" applyFill="1" applyBorder="1" applyAlignment="1">
      <alignment horizontal="center" vertical="center"/>
    </xf>
    <xf numFmtId="177" fontId="18" fillId="30" borderId="70" xfId="0" applyNumberFormat="1" applyFont="1" applyFill="1" applyBorder="1" applyAlignment="1">
      <alignment horizontal="center" vertical="center"/>
    </xf>
    <xf numFmtId="0" fontId="17" fillId="30" borderId="63" xfId="0" applyFont="1" applyFill="1" applyBorder="1" applyAlignment="1">
      <alignment horizontal="left" vertical="center" wrapText="1"/>
    </xf>
    <xf numFmtId="0" fontId="18" fillId="30" borderId="62" xfId="0" applyFont="1" applyFill="1" applyBorder="1" applyAlignment="1">
      <alignment horizontal="center" vertical="center" wrapText="1"/>
    </xf>
    <xf numFmtId="0" fontId="18" fillId="30" borderId="62" xfId="0" applyFont="1" applyFill="1" applyBorder="1" applyAlignment="1">
      <alignment horizontal="center" vertical="center"/>
    </xf>
    <xf numFmtId="177" fontId="18" fillId="30" borderId="64" xfId="0" applyNumberFormat="1" applyFont="1" applyFill="1" applyBorder="1" applyAlignment="1">
      <alignment horizontal="center" vertical="center"/>
    </xf>
    <xf numFmtId="177" fontId="18" fillId="30" borderId="35" xfId="0" applyNumberFormat="1" applyFont="1" applyFill="1" applyBorder="1" applyAlignment="1">
      <alignment horizontal="center" vertical="center"/>
    </xf>
    <xf numFmtId="40" fontId="18" fillId="0" borderId="102" xfId="0" applyNumberFormat="1" applyFont="1" applyBorder="1" applyAlignment="1">
      <alignment horizontal="center" vertical="center"/>
    </xf>
    <xf numFmtId="170" fontId="18" fillId="0" borderId="101" xfId="0" applyNumberFormat="1" applyFont="1" applyBorder="1" applyAlignment="1">
      <alignment horizontal="center" vertical="center"/>
    </xf>
    <xf numFmtId="172" fontId="18" fillId="0" borderId="101" xfId="0" applyNumberFormat="1" applyFont="1" applyBorder="1" applyAlignment="1">
      <alignment horizontal="center" vertical="center"/>
    </xf>
    <xf numFmtId="40" fontId="18" fillId="0" borderId="101" xfId="0" applyNumberFormat="1" applyFont="1" applyBorder="1" applyAlignment="1">
      <alignment horizontal="center" vertical="center"/>
    </xf>
    <xf numFmtId="0" fontId="17" fillId="27" borderId="54" xfId="0" applyFont="1" applyFill="1" applyBorder="1" applyAlignment="1">
      <alignment horizontal="left" vertical="center" wrapText="1"/>
    </xf>
    <xf numFmtId="0" fontId="18" fillId="27" borderId="11" xfId="0" applyFont="1" applyFill="1" applyBorder="1" applyAlignment="1">
      <alignment horizontal="center" vertical="center" wrapText="1"/>
    </xf>
    <xf numFmtId="0" fontId="18" fillId="27" borderId="11" xfId="0" applyFont="1" applyFill="1" applyBorder="1" applyAlignment="1">
      <alignment horizontal="center" vertical="center"/>
    </xf>
    <xf numFmtId="175" fontId="18" fillId="27" borderId="32" xfId="0" applyNumberFormat="1" applyFont="1" applyFill="1" applyBorder="1" applyAlignment="1">
      <alignment horizontal="center" vertical="center"/>
    </xf>
    <xf numFmtId="0" fontId="17" fillId="27" borderId="58" xfId="0" applyFont="1" applyFill="1" applyBorder="1" applyAlignment="1">
      <alignment horizontal="left" vertical="center" wrapText="1"/>
    </xf>
    <xf numFmtId="0" fontId="18" fillId="27" borderId="23" xfId="0" applyFont="1" applyFill="1" applyBorder="1" applyAlignment="1">
      <alignment horizontal="center" vertical="center" wrapText="1"/>
    </xf>
    <xf numFmtId="0" fontId="18" fillId="27" borderId="23" xfId="0" applyFont="1" applyFill="1" applyBorder="1" applyAlignment="1">
      <alignment horizontal="center" vertical="center"/>
    </xf>
    <xf numFmtId="177" fontId="18" fillId="27" borderId="38" xfId="0" applyNumberFormat="1" applyFont="1" applyFill="1" applyBorder="1" applyAlignment="1">
      <alignment horizontal="center" vertical="center"/>
    </xf>
    <xf numFmtId="0" fontId="17" fillId="27" borderId="56" xfId="0" applyFont="1" applyFill="1" applyBorder="1" applyAlignment="1">
      <alignment horizontal="left" vertical="center" wrapText="1"/>
    </xf>
    <xf numFmtId="0" fontId="18" fillId="27" borderId="14" xfId="0" applyFont="1" applyFill="1" applyBorder="1" applyAlignment="1">
      <alignment horizontal="center" vertical="center" wrapText="1"/>
    </xf>
    <xf numFmtId="0" fontId="18" fillId="27" borderId="14" xfId="0" applyFont="1" applyFill="1" applyBorder="1" applyAlignment="1">
      <alignment horizontal="center" vertical="center"/>
    </xf>
    <xf numFmtId="177" fontId="18" fillId="27" borderId="35" xfId="0" applyNumberFormat="1" applyFont="1" applyFill="1" applyBorder="1" applyAlignment="1">
      <alignment horizontal="center" vertical="center"/>
    </xf>
    <xf numFmtId="0" fontId="17" fillId="27" borderId="55" xfId="0" applyFont="1" applyFill="1" applyBorder="1" applyAlignment="1">
      <alignment horizontal="left" vertical="center" wrapText="1"/>
    </xf>
    <xf numFmtId="0" fontId="18" fillId="27" borderId="12" xfId="0" applyFont="1" applyFill="1" applyBorder="1" applyAlignment="1">
      <alignment horizontal="center" vertical="center" wrapText="1"/>
    </xf>
    <xf numFmtId="0" fontId="18" fillId="27" borderId="12" xfId="0" applyFont="1" applyFill="1" applyBorder="1" applyAlignment="1">
      <alignment horizontal="center" vertical="center"/>
    </xf>
    <xf numFmtId="177" fontId="18" fillId="27" borderId="32" xfId="0" applyNumberFormat="1" applyFont="1" applyFill="1" applyBorder="1" applyAlignment="1">
      <alignment horizontal="center" vertical="center"/>
    </xf>
    <xf numFmtId="0" fontId="17" fillId="27" borderId="71" xfId="0" applyFont="1" applyFill="1" applyBorder="1" applyAlignment="1">
      <alignment horizontal="left" vertical="center" wrapText="1"/>
    </xf>
    <xf numFmtId="0" fontId="18" fillId="27" borderId="69" xfId="0" applyFont="1" applyFill="1" applyBorder="1" applyAlignment="1">
      <alignment horizontal="center" vertical="center" wrapText="1"/>
    </xf>
    <xf numFmtId="0" fontId="18" fillId="27" borderId="69" xfId="0" applyFont="1" applyFill="1" applyBorder="1" applyAlignment="1">
      <alignment horizontal="center" vertical="center"/>
    </xf>
    <xf numFmtId="177" fontId="18" fillId="27" borderId="70" xfId="0" applyNumberFormat="1" applyFont="1" applyFill="1" applyBorder="1" applyAlignment="1">
      <alignment horizontal="center" vertical="center"/>
    </xf>
    <xf numFmtId="0" fontId="17" fillId="27" borderId="36" xfId="0" applyFont="1" applyFill="1" applyBorder="1" applyAlignment="1">
      <alignment horizontal="left" vertical="center" wrapText="1"/>
    </xf>
    <xf numFmtId="0" fontId="18" fillId="27" borderId="1" xfId="0" applyFont="1" applyFill="1" applyBorder="1" applyAlignment="1">
      <alignment horizontal="center" vertical="center" wrapText="1"/>
    </xf>
    <xf numFmtId="0" fontId="18" fillId="27" borderId="1" xfId="0" applyFont="1" applyFill="1" applyBorder="1" applyAlignment="1">
      <alignment horizontal="center" vertical="center"/>
    </xf>
    <xf numFmtId="176" fontId="18" fillId="27" borderId="34" xfId="0" applyNumberFormat="1" applyFont="1" applyFill="1" applyBorder="1" applyAlignment="1">
      <alignment horizontal="center" vertical="center"/>
    </xf>
    <xf numFmtId="175" fontId="18" fillId="27" borderId="34" xfId="0" applyNumberFormat="1" applyFont="1" applyFill="1" applyBorder="1" applyAlignment="1">
      <alignment horizontal="center" vertical="center"/>
    </xf>
    <xf numFmtId="176" fontId="18" fillId="27" borderId="33" xfId="0" applyNumberFormat="1" applyFont="1" applyFill="1" applyBorder="1" applyAlignment="1">
      <alignment horizontal="center" vertical="center"/>
    </xf>
    <xf numFmtId="176" fontId="18" fillId="27" borderId="32" xfId="0" applyNumberFormat="1" applyFont="1" applyFill="1" applyBorder="1" applyAlignment="1">
      <alignment horizontal="center" vertical="center"/>
    </xf>
    <xf numFmtId="0" fontId="17" fillId="31" borderId="36" xfId="0" applyFont="1" applyFill="1" applyBorder="1" applyAlignment="1">
      <alignment horizontal="left" vertical="center" wrapText="1"/>
    </xf>
    <xf numFmtId="0" fontId="18" fillId="31" borderId="1" xfId="0" applyFont="1" applyFill="1" applyBorder="1" applyAlignment="1">
      <alignment horizontal="center" vertical="center" wrapText="1"/>
    </xf>
    <xf numFmtId="0" fontId="18" fillId="31" borderId="1" xfId="0" applyFont="1" applyFill="1" applyBorder="1" applyAlignment="1">
      <alignment horizontal="center" vertical="center"/>
    </xf>
    <xf numFmtId="175" fontId="18" fillId="31" borderId="34" xfId="0" applyNumberFormat="1" applyFont="1" applyFill="1" applyBorder="1" applyAlignment="1">
      <alignment horizontal="center" vertical="center"/>
    </xf>
    <xf numFmtId="0" fontId="17" fillId="31" borderId="55" xfId="0" applyFont="1" applyFill="1" applyBorder="1" applyAlignment="1">
      <alignment horizontal="left" vertical="center" wrapText="1"/>
    </xf>
    <xf numFmtId="0" fontId="18" fillId="31" borderId="12" xfId="0" applyFont="1" applyFill="1" applyBorder="1" applyAlignment="1">
      <alignment horizontal="center" vertical="center" wrapText="1"/>
    </xf>
    <xf numFmtId="0" fontId="18" fillId="31" borderId="12" xfId="0" applyFont="1" applyFill="1" applyBorder="1" applyAlignment="1">
      <alignment horizontal="center" vertical="center"/>
    </xf>
    <xf numFmtId="175" fontId="18" fillId="31" borderId="33" xfId="0" applyNumberFormat="1" applyFont="1" applyFill="1" applyBorder="1" applyAlignment="1">
      <alignment horizontal="center" vertical="center"/>
    </xf>
    <xf numFmtId="0" fontId="17" fillId="31" borderId="52" xfId="0" applyFont="1" applyFill="1" applyBorder="1" applyAlignment="1">
      <alignment horizontal="left" vertical="center" wrapText="1"/>
    </xf>
    <xf numFmtId="0" fontId="18" fillId="31" borderId="39" xfId="0" applyFont="1" applyFill="1" applyBorder="1" applyAlignment="1">
      <alignment horizontal="center" vertical="center" wrapText="1"/>
    </xf>
    <xf numFmtId="0" fontId="18" fillId="31" borderId="39" xfId="0" applyFont="1" applyFill="1" applyBorder="1" applyAlignment="1">
      <alignment horizontal="center" vertical="center"/>
    </xf>
    <xf numFmtId="175" fontId="18" fillId="31" borderId="42" xfId="0" applyNumberFormat="1" applyFont="1" applyFill="1" applyBorder="1" applyAlignment="1">
      <alignment horizontal="center" vertical="center"/>
    </xf>
    <xf numFmtId="0" fontId="17" fillId="32" borderId="88" xfId="0" applyFont="1" applyFill="1" applyBorder="1" applyAlignment="1">
      <alignment horizontal="left" vertical="center" wrapText="1"/>
    </xf>
    <xf numFmtId="0" fontId="18" fillId="32" borderId="77" xfId="0" applyFont="1" applyFill="1" applyBorder="1" applyAlignment="1">
      <alignment horizontal="center" vertical="center" wrapText="1"/>
    </xf>
    <xf numFmtId="0" fontId="18" fillId="32" borderId="77" xfId="0" applyFont="1" applyFill="1" applyBorder="1" applyAlignment="1">
      <alignment horizontal="center" vertical="center"/>
    </xf>
    <xf numFmtId="177" fontId="18" fillId="32" borderId="89" xfId="0" applyNumberFormat="1" applyFont="1" applyFill="1" applyBorder="1" applyAlignment="1">
      <alignment horizontal="center" vertical="center"/>
    </xf>
    <xf numFmtId="0" fontId="17" fillId="32" borderId="55" xfId="0" applyFont="1" applyFill="1" applyBorder="1" applyAlignment="1">
      <alignment horizontal="left" vertical="center" wrapText="1"/>
    </xf>
    <xf numFmtId="0" fontId="18" fillId="32" borderId="12" xfId="0" applyFont="1" applyFill="1" applyBorder="1" applyAlignment="1">
      <alignment horizontal="center" vertical="center" wrapText="1"/>
    </xf>
    <xf numFmtId="0" fontId="18" fillId="32" borderId="12" xfId="0" applyFont="1" applyFill="1" applyBorder="1" applyAlignment="1">
      <alignment horizontal="center" vertical="center"/>
    </xf>
    <xf numFmtId="177" fontId="18" fillId="32" borderId="33" xfId="0" applyNumberFormat="1" applyFont="1" applyFill="1" applyBorder="1" applyAlignment="1">
      <alignment horizontal="center" vertical="center"/>
    </xf>
    <xf numFmtId="0" fontId="17" fillId="32" borderId="102" xfId="0" applyFont="1" applyFill="1" applyBorder="1" applyAlignment="1">
      <alignment horizontal="left" vertical="center" wrapText="1"/>
    </xf>
    <xf numFmtId="0" fontId="18" fillId="32" borderId="101" xfId="0" applyFont="1" applyFill="1" applyBorder="1" applyAlignment="1">
      <alignment horizontal="center" vertical="center" wrapText="1"/>
    </xf>
    <xf numFmtId="0" fontId="18" fillId="32" borderId="101" xfId="0" applyFont="1" applyFill="1" applyBorder="1" applyAlignment="1">
      <alignment horizontal="center" vertical="center"/>
    </xf>
    <xf numFmtId="177" fontId="18" fillId="32" borderId="103" xfId="0" applyNumberFormat="1" applyFont="1" applyFill="1" applyBorder="1" applyAlignment="1">
      <alignment horizontal="center" vertical="center"/>
    </xf>
    <xf numFmtId="0" fontId="17" fillId="32" borderId="36" xfId="0" applyFont="1" applyFill="1" applyBorder="1" applyAlignment="1">
      <alignment horizontal="left" vertical="center" wrapText="1"/>
    </xf>
    <xf numFmtId="0" fontId="18" fillId="32" borderId="1" xfId="0" applyFont="1" applyFill="1" applyBorder="1" applyAlignment="1">
      <alignment horizontal="center" vertical="center" wrapText="1"/>
    </xf>
    <xf numFmtId="0" fontId="18" fillId="32" borderId="1" xfId="0" applyFont="1" applyFill="1" applyBorder="1" applyAlignment="1">
      <alignment horizontal="center" vertical="center"/>
    </xf>
    <xf numFmtId="177" fontId="18" fillId="32" borderId="34" xfId="0" applyNumberFormat="1" applyFont="1" applyFill="1" applyBorder="1" applyAlignment="1">
      <alignment horizontal="center" vertical="center"/>
    </xf>
    <xf numFmtId="178" fontId="18" fillId="30" borderId="64" xfId="0" applyNumberFormat="1" applyFont="1" applyFill="1" applyBorder="1" applyAlignment="1">
      <alignment horizontal="center" vertical="center"/>
    </xf>
    <xf numFmtId="178" fontId="18" fillId="30" borderId="32" xfId="0" applyNumberFormat="1" applyFont="1" applyFill="1" applyBorder="1" applyAlignment="1">
      <alignment horizontal="center" vertical="center"/>
    </xf>
    <xf numFmtId="178" fontId="18" fillId="30" borderId="33" xfId="0" applyNumberFormat="1" applyFont="1" applyFill="1" applyBorder="1" applyAlignment="1">
      <alignment horizontal="center" vertical="center"/>
    </xf>
    <xf numFmtId="169" fontId="17" fillId="0" borderId="5" xfId="0" applyNumberFormat="1" applyFont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/>
    </xf>
    <xf numFmtId="1" fontId="22" fillId="3" borderId="119" xfId="0" applyNumberFormat="1" applyFont="1" applyFill="1" applyBorder="1" applyAlignment="1">
      <alignment horizontal="center" vertical="center"/>
    </xf>
    <xf numFmtId="0" fontId="0" fillId="29" borderId="0" xfId="0" applyFill="1"/>
    <xf numFmtId="0" fontId="39" fillId="2" borderId="1" xfId="0" applyFont="1" applyFill="1" applyBorder="1"/>
    <xf numFmtId="0" fontId="33" fillId="2" borderId="1" xfId="0" applyFont="1" applyFill="1" applyBorder="1"/>
    <xf numFmtId="0" fontId="33" fillId="0" borderId="0" xfId="0" applyFont="1"/>
    <xf numFmtId="1" fontId="33" fillId="0" borderId="0" xfId="0" applyNumberFormat="1" applyFont="1"/>
    <xf numFmtId="0" fontId="42" fillId="0" borderId="0" xfId="0" applyFont="1"/>
    <xf numFmtId="2" fontId="42" fillId="0" borderId="0" xfId="0" applyNumberFormat="1" applyFont="1"/>
    <xf numFmtId="183" fontId="38" fillId="12" borderId="43" xfId="0" applyNumberFormat="1" applyFont="1" applyFill="1" applyBorder="1" applyAlignment="1">
      <alignment horizontal="center" vertical="center"/>
    </xf>
    <xf numFmtId="174" fontId="38" fillId="12" borderId="39" xfId="0" applyNumberFormat="1" applyFont="1" applyFill="1" applyBorder="1" applyAlignment="1">
      <alignment horizontal="center" vertical="center"/>
    </xf>
    <xf numFmtId="40" fontId="43" fillId="0" borderId="62" xfId="0" applyNumberFormat="1" applyFont="1" applyBorder="1" applyAlignment="1">
      <alignment horizontal="center" vertical="center"/>
    </xf>
    <xf numFmtId="40" fontId="43" fillId="0" borderId="11" xfId="0" applyNumberFormat="1" applyFont="1" applyBorder="1" applyAlignment="1">
      <alignment horizontal="center" vertical="center"/>
    </xf>
    <xf numFmtId="40" fontId="43" fillId="0" borderId="12" xfId="0" applyNumberFormat="1" applyFont="1" applyBorder="1" applyAlignment="1">
      <alignment horizontal="center" vertical="center"/>
    </xf>
    <xf numFmtId="40" fontId="43" fillId="0" borderId="1" xfId="0" applyNumberFormat="1" applyFont="1" applyBorder="1" applyAlignment="1">
      <alignment horizontal="center" vertical="center"/>
    </xf>
    <xf numFmtId="40" fontId="43" fillId="0" borderId="14" xfId="0" applyNumberFormat="1" applyFont="1" applyBorder="1" applyAlignment="1">
      <alignment horizontal="center" vertical="center"/>
    </xf>
    <xf numFmtId="40" fontId="43" fillId="0" borderId="69" xfId="0" applyNumberFormat="1" applyFont="1" applyBorder="1" applyAlignment="1">
      <alignment horizontal="center" vertical="center"/>
    </xf>
    <xf numFmtId="40" fontId="43" fillId="0" borderId="39" xfId="0" applyNumberFormat="1" applyFont="1" applyBorder="1" applyAlignment="1">
      <alignment horizontal="center" vertical="center"/>
    </xf>
    <xf numFmtId="40" fontId="43" fillId="0" borderId="23" xfId="0" applyNumberFormat="1" applyFont="1" applyBorder="1" applyAlignment="1">
      <alignment horizontal="center" vertical="center"/>
    </xf>
    <xf numFmtId="40" fontId="43" fillId="0" borderId="65" xfId="0" applyNumberFormat="1" applyFont="1" applyBorder="1" applyAlignment="1">
      <alignment horizontal="center" vertical="center"/>
    </xf>
    <xf numFmtId="40" fontId="43" fillId="0" borderId="22" xfId="0" applyNumberFormat="1" applyFont="1" applyBorder="1" applyAlignment="1">
      <alignment horizontal="center" vertical="center"/>
    </xf>
    <xf numFmtId="40" fontId="43" fillId="0" borderId="21" xfId="0" applyNumberFormat="1" applyFont="1" applyBorder="1" applyAlignment="1">
      <alignment horizontal="center" vertical="center"/>
    </xf>
    <xf numFmtId="40" fontId="43" fillId="0" borderId="77" xfId="0" applyNumberFormat="1" applyFont="1" applyBorder="1" applyAlignment="1">
      <alignment horizontal="center" vertical="center"/>
    </xf>
    <xf numFmtId="40" fontId="43" fillId="0" borderId="82" xfId="0" applyNumberFormat="1" applyFont="1" applyBorder="1" applyAlignment="1">
      <alignment horizontal="center" vertical="center"/>
    </xf>
    <xf numFmtId="0" fontId="19" fillId="26" borderId="8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/>
    </xf>
    <xf numFmtId="0" fontId="44" fillId="0" borderId="0" xfId="0" applyFont="1"/>
    <xf numFmtId="49" fontId="44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left"/>
    </xf>
    <xf numFmtId="49" fontId="45" fillId="0" borderId="0" xfId="0" applyNumberFormat="1" applyFont="1" applyAlignment="1">
      <alignment horizontal="center"/>
    </xf>
    <xf numFmtId="2" fontId="28" fillId="0" borderId="0" xfId="0" applyNumberFormat="1" applyFont="1" applyAlignment="1">
      <alignment horizontal="center" vertical="center"/>
    </xf>
    <xf numFmtId="165" fontId="17" fillId="13" borderId="14" xfId="0" applyNumberFormat="1" applyFont="1" applyFill="1" applyBorder="1" applyAlignment="1">
      <alignment horizontal="center" vertical="center"/>
    </xf>
    <xf numFmtId="0" fontId="30" fillId="0" borderId="0" xfId="0" applyFont="1"/>
    <xf numFmtId="1" fontId="46" fillId="0" borderId="0" xfId="0" applyNumberFormat="1" applyFont="1"/>
    <xf numFmtId="0" fontId="30" fillId="0" borderId="0" xfId="0" applyFont="1" applyAlignment="1">
      <alignment vertical="center"/>
    </xf>
    <xf numFmtId="0" fontId="48" fillId="24" borderId="0" xfId="0" applyFont="1" applyFill="1"/>
    <xf numFmtId="0" fontId="48" fillId="0" borderId="0" xfId="0" applyFont="1"/>
    <xf numFmtId="186" fontId="47" fillId="0" borderId="0" xfId="0" applyNumberFormat="1" applyFont="1" applyAlignment="1">
      <alignment vertical="center"/>
    </xf>
    <xf numFmtId="181" fontId="28" fillId="0" borderId="0" xfId="0" applyNumberFormat="1" applyFont="1" applyAlignment="1">
      <alignment horizontal="center" vertical="center"/>
    </xf>
    <xf numFmtId="9" fontId="18" fillId="21" borderId="5" xfId="0" applyNumberFormat="1" applyFont="1" applyFill="1" applyBorder="1" applyAlignment="1">
      <alignment horizontal="center" vertical="center"/>
    </xf>
    <xf numFmtId="10" fontId="18" fillId="21" borderId="5" xfId="0" applyNumberFormat="1" applyFont="1" applyFill="1" applyBorder="1" applyAlignment="1">
      <alignment horizontal="center" vertical="center"/>
    </xf>
    <xf numFmtId="171" fontId="18" fillId="20" borderId="4" xfId="0" applyNumberFormat="1" applyFont="1" applyFill="1" applyBorder="1" applyAlignment="1">
      <alignment horizontal="center" vertical="center"/>
    </xf>
    <xf numFmtId="165" fontId="18" fillId="6" borderId="94" xfId="0" applyNumberFormat="1" applyFont="1" applyFill="1" applyBorder="1" applyAlignment="1">
      <alignment horizontal="center" vertical="center"/>
    </xf>
    <xf numFmtId="1" fontId="22" fillId="3" borderId="85" xfId="0" applyNumberFormat="1" applyFont="1" applyFill="1" applyBorder="1" applyAlignment="1">
      <alignment horizontal="center" vertical="center"/>
    </xf>
    <xf numFmtId="165" fontId="18" fillId="6" borderId="1" xfId="0" applyNumberFormat="1" applyFont="1" applyFill="1" applyBorder="1" applyAlignment="1">
      <alignment horizontal="center" vertical="center"/>
    </xf>
    <xf numFmtId="0" fontId="17" fillId="32" borderId="44" xfId="0" applyFont="1" applyFill="1" applyBorder="1" applyAlignment="1">
      <alignment horizontal="left" vertical="center" wrapText="1"/>
    </xf>
    <xf numFmtId="0" fontId="18" fillId="32" borderId="45" xfId="0" applyFont="1" applyFill="1" applyBorder="1" applyAlignment="1">
      <alignment horizontal="center" vertical="center" wrapText="1"/>
    </xf>
    <xf numFmtId="0" fontId="18" fillId="32" borderId="45" xfId="0" applyFont="1" applyFill="1" applyBorder="1" applyAlignment="1">
      <alignment horizontal="center" vertical="center"/>
    </xf>
    <xf numFmtId="177" fontId="18" fillId="32" borderId="46" xfId="0" applyNumberFormat="1" applyFont="1" applyFill="1" applyBorder="1" applyAlignment="1">
      <alignment horizontal="center" vertical="center"/>
    </xf>
    <xf numFmtId="40" fontId="18" fillId="0" borderId="44" xfId="0" applyNumberFormat="1" applyFont="1" applyBorder="1" applyAlignment="1">
      <alignment horizontal="center" vertical="center"/>
    </xf>
    <xf numFmtId="170" fontId="18" fillId="0" borderId="45" xfId="0" applyNumberFormat="1" applyFont="1" applyBorder="1" applyAlignment="1">
      <alignment horizontal="center" vertical="center"/>
    </xf>
    <xf numFmtId="172" fontId="18" fillId="0" borderId="45" xfId="0" applyNumberFormat="1" applyFont="1" applyBorder="1" applyAlignment="1">
      <alignment horizontal="center" vertical="center"/>
    </xf>
    <xf numFmtId="40" fontId="18" fillId="0" borderId="45" xfId="0" applyNumberFormat="1" applyFont="1" applyBorder="1" applyAlignment="1">
      <alignment horizontal="center" vertical="center"/>
    </xf>
    <xf numFmtId="40" fontId="43" fillId="0" borderId="45" xfId="0" applyNumberFormat="1" applyFont="1" applyBorder="1" applyAlignment="1">
      <alignment horizontal="center" vertical="center"/>
    </xf>
    <xf numFmtId="40" fontId="17" fillId="0" borderId="45" xfId="0" applyNumberFormat="1" applyFont="1" applyBorder="1" applyAlignment="1">
      <alignment horizontal="center" vertical="center"/>
    </xf>
    <xf numFmtId="40" fontId="17" fillId="0" borderId="46" xfId="0" applyNumberFormat="1" applyFont="1" applyBorder="1" applyAlignment="1">
      <alignment horizontal="center" vertical="center"/>
    </xf>
    <xf numFmtId="165" fontId="18" fillId="18" borderId="44" xfId="0" applyNumberFormat="1" applyFont="1" applyFill="1" applyBorder="1" applyAlignment="1">
      <alignment horizontal="center" vertical="center"/>
    </xf>
    <xf numFmtId="165" fontId="18" fillId="19" borderId="45" xfId="0" applyNumberFormat="1" applyFont="1" applyFill="1" applyBorder="1" applyAlignment="1">
      <alignment horizontal="center" vertical="center"/>
    </xf>
    <xf numFmtId="165" fontId="18" fillId="6" borderId="123" xfId="0" applyNumberFormat="1" applyFont="1" applyFill="1" applyBorder="1" applyAlignment="1">
      <alignment horizontal="center" vertical="center"/>
    </xf>
    <xf numFmtId="1" fontId="22" fillId="3" borderId="46" xfId="0" applyNumberFormat="1" applyFont="1" applyFill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9" fontId="18" fillId="0" borderId="50" xfId="0" applyNumberFormat="1" applyFont="1" applyBorder="1" applyAlignment="1">
      <alignment horizontal="center" vertical="center"/>
    </xf>
    <xf numFmtId="1" fontId="18" fillId="0" borderId="89" xfId="0" applyNumberFormat="1" applyFont="1" applyBorder="1" applyAlignment="1">
      <alignment horizontal="center" vertical="center"/>
    </xf>
    <xf numFmtId="9" fontId="18" fillId="0" borderId="124" xfId="0" applyNumberFormat="1" applyFont="1" applyBorder="1" applyAlignment="1">
      <alignment horizontal="center" vertical="center"/>
    </xf>
    <xf numFmtId="9" fontId="18" fillId="0" borderId="125" xfId="0" applyNumberFormat="1" applyFont="1" applyBorder="1" applyAlignment="1">
      <alignment horizontal="center" vertical="center"/>
    </xf>
    <xf numFmtId="49" fontId="17" fillId="0" borderId="109" xfId="0" applyNumberFormat="1" applyFont="1" applyBorder="1" applyAlignment="1">
      <alignment vertical="top" wrapText="1"/>
    </xf>
    <xf numFmtId="0" fontId="17" fillId="27" borderId="111" xfId="0" applyFont="1" applyFill="1" applyBorder="1" applyAlignment="1">
      <alignment horizontal="left" vertical="center" wrapText="1"/>
    </xf>
    <xf numFmtId="0" fontId="18" fillId="27" borderId="82" xfId="0" applyFont="1" applyFill="1" applyBorder="1" applyAlignment="1">
      <alignment horizontal="center" vertical="center" wrapText="1"/>
    </xf>
    <xf numFmtId="0" fontId="18" fillId="27" borderId="82" xfId="0" applyFont="1" applyFill="1" applyBorder="1" applyAlignment="1">
      <alignment horizontal="center" vertical="center"/>
    </xf>
    <xf numFmtId="1" fontId="18" fillId="0" borderId="126" xfId="0" applyNumberFormat="1" applyFont="1" applyBorder="1" applyAlignment="1">
      <alignment horizontal="center" vertical="center"/>
    </xf>
    <xf numFmtId="9" fontId="18" fillId="0" borderId="127" xfId="0" applyNumberFormat="1" applyFont="1" applyBorder="1" applyAlignment="1">
      <alignment horizontal="center" vertical="center"/>
    </xf>
    <xf numFmtId="9" fontId="18" fillId="0" borderId="128" xfId="0" applyNumberFormat="1" applyFont="1" applyBorder="1" applyAlignment="1">
      <alignment horizontal="center" vertical="center"/>
    </xf>
    <xf numFmtId="176" fontId="18" fillId="27" borderId="112" xfId="0" applyNumberFormat="1" applyFont="1" applyFill="1" applyBorder="1" applyAlignment="1">
      <alignment horizontal="center" vertical="center"/>
    </xf>
    <xf numFmtId="3" fontId="15" fillId="5" borderId="118" xfId="0" applyNumberFormat="1" applyFont="1" applyFill="1" applyBorder="1" applyAlignment="1">
      <alignment horizontal="center" vertical="center"/>
    </xf>
    <xf numFmtId="3" fontId="18" fillId="0" borderId="129" xfId="0" applyNumberFormat="1" applyFont="1" applyBorder="1" applyAlignment="1">
      <alignment horizontal="center" vertical="center"/>
    </xf>
    <xf numFmtId="3" fontId="18" fillId="0" borderId="130" xfId="0" applyNumberFormat="1" applyFont="1" applyBorder="1" applyAlignment="1">
      <alignment horizontal="center" vertical="center"/>
    </xf>
    <xf numFmtId="3" fontId="18" fillId="0" borderId="131" xfId="0" applyNumberFormat="1" applyFont="1" applyBorder="1" applyAlignment="1">
      <alignment horizontal="center" vertical="center"/>
    </xf>
    <xf numFmtId="3" fontId="18" fillId="0" borderId="132" xfId="0" applyNumberFormat="1" applyFont="1" applyBorder="1" applyAlignment="1">
      <alignment horizontal="center" vertical="center"/>
    </xf>
    <xf numFmtId="3" fontId="18" fillId="0" borderId="116" xfId="0" applyNumberFormat="1" applyFont="1" applyBorder="1" applyAlignment="1">
      <alignment horizontal="center" vertical="center"/>
    </xf>
    <xf numFmtId="3" fontId="18" fillId="0" borderId="133" xfId="0" applyNumberFormat="1" applyFont="1" applyBorder="1" applyAlignment="1">
      <alignment horizontal="center" vertical="center"/>
    </xf>
    <xf numFmtId="3" fontId="18" fillId="0" borderId="134" xfId="0" applyNumberFormat="1" applyFont="1" applyBorder="1" applyAlignment="1">
      <alignment horizontal="center" vertical="center"/>
    </xf>
    <xf numFmtId="3" fontId="18" fillId="0" borderId="135" xfId="0" applyNumberFormat="1" applyFont="1" applyBorder="1" applyAlignment="1">
      <alignment horizontal="center" vertical="center"/>
    </xf>
    <xf numFmtId="3" fontId="18" fillId="0" borderId="136" xfId="0" applyNumberFormat="1" applyFont="1" applyBorder="1" applyAlignment="1">
      <alignment horizontal="center" vertical="center"/>
    </xf>
    <xf numFmtId="3" fontId="18" fillId="0" borderId="137" xfId="0" applyNumberFormat="1" applyFont="1" applyBorder="1" applyAlignment="1">
      <alignment horizontal="center" vertical="center"/>
    </xf>
    <xf numFmtId="3" fontId="18" fillId="0" borderId="138" xfId="0" applyNumberFormat="1" applyFont="1" applyBorder="1" applyAlignment="1">
      <alignment horizontal="center" vertical="center"/>
    </xf>
    <xf numFmtId="3" fontId="18" fillId="0" borderId="139" xfId="0" applyNumberFormat="1" applyFont="1" applyBorder="1" applyAlignment="1">
      <alignment horizontal="center" vertical="center"/>
    </xf>
    <xf numFmtId="3" fontId="18" fillId="0" borderId="140" xfId="0" applyNumberFormat="1" applyFont="1" applyBorder="1" applyAlignment="1">
      <alignment horizontal="center" vertical="center"/>
    </xf>
    <xf numFmtId="3" fontId="18" fillId="0" borderId="141" xfId="0" applyNumberFormat="1" applyFont="1" applyBorder="1" applyAlignment="1">
      <alignment horizontal="center" vertical="center"/>
    </xf>
    <xf numFmtId="0" fontId="49" fillId="30" borderId="36" xfId="0" applyFont="1" applyFill="1" applyBorder="1" applyAlignment="1">
      <alignment horizontal="left" vertical="center" wrapText="1"/>
    </xf>
    <xf numFmtId="175" fontId="50" fillId="30" borderId="34" xfId="0" applyNumberFormat="1" applyFont="1" applyFill="1" applyBorder="1" applyAlignment="1">
      <alignment horizontal="center" vertical="center"/>
    </xf>
    <xf numFmtId="40" fontId="50" fillId="0" borderId="36" xfId="0" applyNumberFormat="1" applyFont="1" applyBorder="1" applyAlignment="1">
      <alignment horizontal="center" vertical="center"/>
    </xf>
    <xf numFmtId="170" fontId="50" fillId="0" borderId="1" xfId="0" applyNumberFormat="1" applyFont="1" applyBorder="1" applyAlignment="1">
      <alignment horizontal="center" vertical="center"/>
    </xf>
    <xf numFmtId="172" fontId="50" fillId="0" borderId="1" xfId="0" applyNumberFormat="1" applyFont="1" applyBorder="1" applyAlignment="1">
      <alignment horizontal="center" vertical="center"/>
    </xf>
    <xf numFmtId="40" fontId="50" fillId="0" borderId="1" xfId="0" applyNumberFormat="1" applyFont="1" applyBorder="1" applyAlignment="1">
      <alignment horizontal="center" vertical="center"/>
    </xf>
    <xf numFmtId="40" fontId="49" fillId="0" borderId="1" xfId="0" applyNumberFormat="1" applyFont="1" applyBorder="1" applyAlignment="1">
      <alignment horizontal="center" vertical="center"/>
    </xf>
    <xf numFmtId="0" fontId="49" fillId="30" borderId="59" xfId="0" applyFont="1" applyFill="1" applyBorder="1" applyAlignment="1">
      <alignment horizontal="left" vertical="center" wrapText="1"/>
    </xf>
    <xf numFmtId="40" fontId="49" fillId="0" borderId="21" xfId="0" applyNumberFormat="1" applyFont="1" applyBorder="1" applyAlignment="1">
      <alignment horizontal="center" vertical="center"/>
    </xf>
    <xf numFmtId="2" fontId="7" fillId="0" borderId="10" xfId="1" applyNumberFormat="1" applyFont="1" applyBorder="1" applyAlignment="1" applyProtection="1">
      <alignment horizontal="center" vertical="center"/>
    </xf>
    <xf numFmtId="0" fontId="17" fillId="27" borderId="57" xfId="0" applyFont="1" applyFill="1" applyBorder="1" applyAlignment="1">
      <alignment horizontal="left" vertical="center" wrapText="1"/>
    </xf>
    <xf numFmtId="0" fontId="18" fillId="27" borderId="31" xfId="0" applyFont="1" applyFill="1" applyBorder="1" applyAlignment="1">
      <alignment horizontal="center" vertical="center" wrapText="1"/>
    </xf>
    <xf numFmtId="0" fontId="18" fillId="27" borderId="31" xfId="0" applyFont="1" applyFill="1" applyBorder="1" applyAlignment="1">
      <alignment horizontal="center" vertical="center"/>
    </xf>
    <xf numFmtId="177" fontId="18" fillId="27" borderId="37" xfId="0" applyNumberFormat="1" applyFont="1" applyFill="1" applyBorder="1" applyAlignment="1">
      <alignment horizontal="center" vertical="center"/>
    </xf>
    <xf numFmtId="40" fontId="18" fillId="0" borderId="57" xfId="0" applyNumberFormat="1" applyFont="1" applyBorder="1" applyAlignment="1">
      <alignment horizontal="center" vertical="center"/>
    </xf>
    <xf numFmtId="170" fontId="18" fillId="0" borderId="31" xfId="0" applyNumberFormat="1" applyFont="1" applyBorder="1" applyAlignment="1">
      <alignment horizontal="center" vertical="center"/>
    </xf>
    <xf numFmtId="172" fontId="18" fillId="0" borderId="31" xfId="0" applyNumberFormat="1" applyFont="1" applyBorder="1" applyAlignment="1">
      <alignment horizontal="center" vertical="center"/>
    </xf>
    <xf numFmtId="40" fontId="18" fillId="0" borderId="31" xfId="0" applyNumberFormat="1" applyFont="1" applyBorder="1" applyAlignment="1">
      <alignment horizontal="center" vertical="center"/>
    </xf>
    <xf numFmtId="40" fontId="43" fillId="0" borderId="31" xfId="0" applyNumberFormat="1" applyFont="1" applyBorder="1" applyAlignment="1">
      <alignment horizontal="center" vertical="center"/>
    </xf>
    <xf numFmtId="40" fontId="17" fillId="0" borderId="31" xfId="0" applyNumberFormat="1" applyFont="1" applyBorder="1" applyAlignment="1">
      <alignment horizontal="center" vertical="center"/>
    </xf>
    <xf numFmtId="40" fontId="17" fillId="0" borderId="37" xfId="0" applyNumberFormat="1" applyFont="1" applyBorder="1" applyAlignment="1">
      <alignment horizontal="center" vertical="center"/>
    </xf>
    <xf numFmtId="173" fontId="17" fillId="0" borderId="5" xfId="0" applyNumberFormat="1" applyFont="1" applyBorder="1" applyAlignment="1">
      <alignment horizontal="center" vertical="center"/>
    </xf>
    <xf numFmtId="173" fontId="17" fillId="0" borderId="18" xfId="0" applyNumberFormat="1" applyFont="1" applyBorder="1" applyAlignment="1">
      <alignment horizontal="center" vertical="center"/>
    </xf>
    <xf numFmtId="173" fontId="53" fillId="0" borderId="1" xfId="0" quotePrefix="1" applyNumberFormat="1" applyFont="1" applyBorder="1" applyAlignment="1">
      <alignment horizontal="left" vertical="center"/>
    </xf>
    <xf numFmtId="0" fontId="54" fillId="0" borderId="1" xfId="0" applyFont="1" applyBorder="1"/>
    <xf numFmtId="0" fontId="54" fillId="0" borderId="0" xfId="0" applyFont="1"/>
    <xf numFmtId="0" fontId="54" fillId="0" borderId="79" xfId="0" applyFont="1" applyBorder="1"/>
    <xf numFmtId="49" fontId="18" fillId="0" borderId="39" xfId="0" quotePrefix="1" applyNumberFormat="1" applyFont="1" applyBorder="1" applyAlignment="1">
      <alignment horizontal="left" vertical="center"/>
    </xf>
    <xf numFmtId="165" fontId="17" fillId="13" borderId="1" xfId="0" applyNumberFormat="1" applyFont="1" applyFill="1" applyBorder="1" applyAlignment="1">
      <alignment horizontal="center" vertical="center"/>
    </xf>
    <xf numFmtId="0" fontId="55" fillId="0" borderId="0" xfId="0" applyFont="1"/>
    <xf numFmtId="0" fontId="55" fillId="0" borderId="0" xfId="0" applyFont="1" applyAlignment="1">
      <alignment horizontal="center"/>
    </xf>
    <xf numFmtId="0" fontId="56" fillId="0" borderId="0" xfId="0" applyFont="1"/>
    <xf numFmtId="0" fontId="56" fillId="0" borderId="0" xfId="0" applyFont="1" applyAlignment="1">
      <alignment horizontal="center"/>
    </xf>
    <xf numFmtId="165" fontId="18" fillId="18" borderId="120" xfId="0" applyNumberFormat="1" applyFont="1" applyFill="1" applyBorder="1" applyAlignment="1">
      <alignment horizontal="center" vertical="center"/>
    </xf>
    <xf numFmtId="0" fontId="5" fillId="0" borderId="1" xfId="6"/>
    <xf numFmtId="0" fontId="58" fillId="34" borderId="1" xfId="6" applyFont="1" applyFill="1"/>
    <xf numFmtId="0" fontId="59" fillId="34" borderId="1" xfId="6" applyFont="1" applyFill="1"/>
    <xf numFmtId="0" fontId="60" fillId="34" borderId="1" xfId="6" applyFont="1" applyFill="1" applyAlignment="1">
      <alignment horizontal="center"/>
    </xf>
    <xf numFmtId="9" fontId="59" fillId="34" borderId="1" xfId="7" applyFont="1" applyFill="1" applyAlignment="1">
      <alignment horizontal="center"/>
    </xf>
    <xf numFmtId="165" fontId="18" fillId="18" borderId="57" xfId="0" applyNumberFormat="1" applyFont="1" applyFill="1" applyBorder="1" applyAlignment="1">
      <alignment horizontal="center" vertical="center"/>
    </xf>
    <xf numFmtId="165" fontId="18" fillId="19" borderId="31" xfId="0" applyNumberFormat="1" applyFont="1" applyFill="1" applyBorder="1" applyAlignment="1">
      <alignment horizontal="center" vertical="center"/>
    </xf>
    <xf numFmtId="0" fontId="17" fillId="30" borderId="59" xfId="0" applyFont="1" applyFill="1" applyBorder="1" applyAlignment="1">
      <alignment horizontal="left" vertical="center" wrapText="1"/>
    </xf>
    <xf numFmtId="0" fontId="18" fillId="30" borderId="21" xfId="0" applyFont="1" applyFill="1" applyBorder="1" applyAlignment="1">
      <alignment horizontal="center" vertical="center" wrapText="1"/>
    </xf>
    <xf numFmtId="0" fontId="18" fillId="30" borderId="21" xfId="0" applyFont="1" applyFill="1" applyBorder="1" applyAlignment="1">
      <alignment horizontal="center" vertical="center"/>
    </xf>
    <xf numFmtId="175" fontId="18" fillId="30" borderId="60" xfId="0" applyNumberFormat="1" applyFont="1" applyFill="1" applyBorder="1" applyAlignment="1">
      <alignment horizontal="center" vertical="center"/>
    </xf>
    <xf numFmtId="40" fontId="18" fillId="0" borderId="59" xfId="0" applyNumberFormat="1" applyFont="1" applyBorder="1" applyAlignment="1">
      <alignment horizontal="center" vertical="center"/>
    </xf>
    <xf numFmtId="170" fontId="18" fillId="0" borderId="21" xfId="0" applyNumberFormat="1" applyFont="1" applyBorder="1" applyAlignment="1">
      <alignment horizontal="center" vertical="center"/>
    </xf>
    <xf numFmtId="172" fontId="18" fillId="0" borderId="21" xfId="0" applyNumberFormat="1" applyFont="1" applyBorder="1" applyAlignment="1">
      <alignment horizontal="center" vertical="center"/>
    </xf>
    <xf numFmtId="40" fontId="18" fillId="0" borderId="21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9" fontId="18" fillId="0" borderId="105" xfId="0" applyNumberFormat="1" applyFont="1" applyBorder="1" applyAlignment="1">
      <alignment horizontal="center" vertical="center"/>
    </xf>
    <xf numFmtId="49" fontId="18" fillId="0" borderId="55" xfId="0" applyNumberFormat="1" applyFont="1" applyBorder="1" applyAlignment="1">
      <alignment horizontal="left" vertical="center"/>
    </xf>
    <xf numFmtId="49" fontId="18" fillId="0" borderId="36" xfId="0" applyNumberFormat="1" applyFont="1" applyBorder="1" applyAlignment="1">
      <alignment horizontal="left" vertical="center"/>
    </xf>
    <xf numFmtId="49" fontId="18" fillId="0" borderId="59" xfId="0" applyNumberFormat="1" applyFont="1" applyBorder="1" applyAlignment="1">
      <alignment horizontal="left" vertical="center"/>
    </xf>
    <xf numFmtId="49" fontId="18" fillId="0" borderId="21" xfId="0" applyNumberFormat="1" applyFont="1" applyBorder="1" applyAlignment="1">
      <alignment horizontal="left" vertical="center"/>
    </xf>
    <xf numFmtId="49" fontId="18" fillId="0" borderId="60" xfId="0" applyNumberFormat="1" applyFont="1" applyBorder="1" applyAlignment="1">
      <alignment horizontal="left" vertical="center"/>
    </xf>
    <xf numFmtId="40" fontId="17" fillId="24" borderId="1" xfId="0" applyNumberFormat="1" applyFont="1" applyFill="1" applyBorder="1" applyAlignment="1">
      <alignment horizontal="center" vertical="center"/>
    </xf>
    <xf numFmtId="40" fontId="17" fillId="24" borderId="34" xfId="0" applyNumberFormat="1" applyFont="1" applyFill="1" applyBorder="1" applyAlignment="1">
      <alignment horizontal="center" vertical="center"/>
    </xf>
    <xf numFmtId="40" fontId="17" fillId="24" borderId="21" xfId="0" applyNumberFormat="1" applyFont="1" applyFill="1" applyBorder="1" applyAlignment="1">
      <alignment horizontal="center" vertical="center"/>
    </xf>
    <xf numFmtId="40" fontId="17" fillId="24" borderId="60" xfId="0" applyNumberFormat="1" applyFont="1" applyFill="1" applyBorder="1" applyAlignment="1">
      <alignment horizontal="center" vertical="center"/>
    </xf>
    <xf numFmtId="49" fontId="50" fillId="0" borderId="1" xfId="0" applyNumberFormat="1" applyFont="1" applyBorder="1" applyAlignment="1">
      <alignment horizontal="left" vertical="center"/>
    </xf>
    <xf numFmtId="165" fontId="50" fillId="19" borderId="1" xfId="0" applyNumberFormat="1" applyFont="1" applyFill="1" applyBorder="1" applyAlignment="1">
      <alignment horizontal="center" vertical="center"/>
    </xf>
    <xf numFmtId="4" fontId="50" fillId="0" borderId="1" xfId="0" applyNumberFormat="1" applyFont="1" applyBorder="1" applyAlignment="1">
      <alignment horizontal="center" vertical="center"/>
    </xf>
    <xf numFmtId="4" fontId="50" fillId="0" borderId="5" xfId="0" applyNumberFormat="1" applyFont="1" applyBorder="1" applyAlignment="1">
      <alignment horizontal="center" vertical="center"/>
    </xf>
    <xf numFmtId="9" fontId="50" fillId="0" borderId="1" xfId="0" applyNumberFormat="1" applyFont="1" applyBorder="1" applyAlignment="1">
      <alignment horizontal="center" vertical="center"/>
    </xf>
    <xf numFmtId="165" fontId="50" fillId="0" borderId="1" xfId="0" applyNumberFormat="1" applyFont="1" applyBorder="1" applyAlignment="1">
      <alignment horizontal="center" vertical="center"/>
    </xf>
    <xf numFmtId="3" fontId="50" fillId="0" borderId="116" xfId="0" applyNumberFormat="1" applyFont="1" applyBorder="1" applyAlignment="1">
      <alignment horizontal="center" vertical="center"/>
    </xf>
    <xf numFmtId="1" fontId="50" fillId="0" borderId="53" xfId="0" applyNumberFormat="1" applyFont="1" applyBorder="1" applyAlignment="1">
      <alignment horizontal="center" vertical="center"/>
    </xf>
    <xf numFmtId="9" fontId="50" fillId="0" borderId="62" xfId="0" applyNumberFormat="1" applyFont="1" applyBorder="1" applyAlignment="1">
      <alignment horizontal="center" vertical="center"/>
    </xf>
    <xf numFmtId="9" fontId="50" fillId="0" borderId="68" xfId="0" applyNumberFormat="1" applyFont="1" applyBorder="1" applyAlignment="1">
      <alignment horizontal="center" vertical="center"/>
    </xf>
    <xf numFmtId="0" fontId="50" fillId="0" borderId="1" xfId="0" applyFont="1" applyBorder="1"/>
    <xf numFmtId="173" fontId="50" fillId="0" borderId="5" xfId="0" applyNumberFormat="1" applyFont="1" applyBorder="1" applyAlignment="1">
      <alignment horizontal="center" vertical="center"/>
    </xf>
    <xf numFmtId="173" fontId="50" fillId="0" borderId="18" xfId="0" applyNumberFormat="1" applyFont="1" applyBorder="1" applyAlignment="1">
      <alignment horizontal="center" vertical="center"/>
    </xf>
    <xf numFmtId="173" fontId="63" fillId="0" borderId="1" xfId="0" quotePrefix="1" applyNumberFormat="1" applyFont="1" applyBorder="1" applyAlignment="1">
      <alignment horizontal="left" vertical="center"/>
    </xf>
    <xf numFmtId="0" fontId="64" fillId="0" borderId="1" xfId="0" applyFont="1" applyBorder="1"/>
    <xf numFmtId="0" fontId="64" fillId="0" borderId="0" xfId="0" applyFont="1"/>
    <xf numFmtId="0" fontId="64" fillId="0" borderId="79" xfId="0" applyFont="1" applyBorder="1"/>
    <xf numFmtId="49" fontId="50" fillId="0" borderId="21" xfId="0" applyNumberFormat="1" applyFont="1" applyBorder="1" applyAlignment="1">
      <alignment horizontal="left" vertical="center"/>
    </xf>
    <xf numFmtId="175" fontId="50" fillId="30" borderId="60" xfId="0" applyNumberFormat="1" applyFont="1" applyFill="1" applyBorder="1" applyAlignment="1">
      <alignment horizontal="center" vertical="center"/>
    </xf>
    <xf numFmtId="170" fontId="50" fillId="0" borderId="21" xfId="0" applyNumberFormat="1" applyFont="1" applyBorder="1" applyAlignment="1">
      <alignment horizontal="center" vertical="center"/>
    </xf>
    <xf numFmtId="172" fontId="50" fillId="0" borderId="21" xfId="0" applyNumberFormat="1" applyFont="1" applyBorder="1" applyAlignment="1">
      <alignment horizontal="center" vertical="center"/>
    </xf>
    <xf numFmtId="165" fontId="50" fillId="6" borderId="6" xfId="0" applyNumberFormat="1" applyFont="1" applyFill="1" applyBorder="1" applyAlignment="1">
      <alignment horizontal="center" vertical="center"/>
    </xf>
    <xf numFmtId="1" fontId="61" fillId="3" borderId="34" xfId="0" applyNumberFormat="1" applyFont="1" applyFill="1" applyBorder="1" applyAlignment="1">
      <alignment horizontal="center" vertical="center"/>
    </xf>
    <xf numFmtId="0" fontId="17" fillId="27" borderId="79" xfId="0" applyFont="1" applyFill="1" applyBorder="1" applyAlignment="1">
      <alignment horizontal="left" vertical="center" wrapText="1"/>
    </xf>
    <xf numFmtId="0" fontId="17" fillId="27" borderId="91" xfId="0" applyFont="1" applyFill="1" applyBorder="1" applyAlignment="1">
      <alignment horizontal="left" vertical="center" wrapText="1"/>
    </xf>
    <xf numFmtId="0" fontId="17" fillId="27" borderId="90" xfId="0" applyFont="1" applyFill="1" applyBorder="1" applyAlignment="1">
      <alignment horizontal="left" vertical="center" wrapText="1"/>
    </xf>
    <xf numFmtId="0" fontId="17" fillId="27" borderId="81" xfId="0" applyFont="1" applyFill="1" applyBorder="1" applyAlignment="1">
      <alignment horizontal="left" vertical="center" wrapText="1"/>
    </xf>
    <xf numFmtId="175" fontId="18" fillId="27" borderId="112" xfId="0" applyNumberFormat="1" applyFont="1" applyFill="1" applyBorder="1" applyAlignment="1">
      <alignment horizontal="center" vertical="center"/>
    </xf>
    <xf numFmtId="1" fontId="18" fillId="3" borderId="82" xfId="0" applyNumberFormat="1" applyFont="1" applyFill="1" applyBorder="1" applyAlignment="1">
      <alignment horizontal="center" vertical="center"/>
    </xf>
    <xf numFmtId="165" fontId="17" fillId="6" borderId="144" xfId="0" applyNumberFormat="1" applyFont="1" applyFill="1" applyBorder="1" applyAlignment="1">
      <alignment horizontal="center" vertical="center"/>
    </xf>
    <xf numFmtId="1" fontId="51" fillId="3" borderId="145" xfId="0" applyNumberFormat="1" applyFont="1" applyFill="1" applyBorder="1" applyAlignment="1">
      <alignment horizontal="center" vertical="center"/>
    </xf>
    <xf numFmtId="4" fontId="17" fillId="0" borderId="1" xfId="0" applyNumberFormat="1" applyFont="1" applyBorder="1" applyAlignment="1">
      <alignment horizontal="center" vertical="center"/>
    </xf>
    <xf numFmtId="4" fontId="17" fillId="0" borderId="5" xfId="0" applyNumberFormat="1" applyFont="1" applyBorder="1" applyAlignment="1">
      <alignment horizontal="center" vertical="center"/>
    </xf>
    <xf numFmtId="9" fontId="17" fillId="0" borderId="1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0" fontId="50" fillId="30" borderId="1" xfId="0" applyFont="1" applyFill="1" applyBorder="1" applyAlignment="1">
      <alignment horizontal="center" vertical="center" wrapText="1"/>
    </xf>
    <xf numFmtId="0" fontId="50" fillId="30" borderId="21" xfId="0" applyFont="1" applyFill="1" applyBorder="1" applyAlignment="1">
      <alignment horizontal="center" vertical="center" wrapText="1"/>
    </xf>
    <xf numFmtId="165" fontId="18" fillId="18" borderId="142" xfId="0" applyNumberFormat="1" applyFont="1" applyFill="1" applyBorder="1" applyAlignment="1">
      <alignment horizontal="center" vertical="center"/>
    </xf>
    <xf numFmtId="165" fontId="18" fillId="19" borderId="143" xfId="0" applyNumberFormat="1" applyFont="1" applyFill="1" applyBorder="1" applyAlignment="1">
      <alignment horizontal="center" vertical="center"/>
    </xf>
    <xf numFmtId="49" fontId="18" fillId="0" borderId="122" xfId="0" applyNumberFormat="1" applyFont="1" applyBorder="1" applyAlignment="1">
      <alignment horizontal="left" vertical="center"/>
    </xf>
    <xf numFmtId="49" fontId="18" fillId="0" borderId="87" xfId="0" applyNumberFormat="1" applyFont="1" applyBorder="1" applyAlignment="1">
      <alignment horizontal="left" vertical="center"/>
    </xf>
    <xf numFmtId="49" fontId="18" fillId="0" borderId="18" xfId="0" applyNumberFormat="1" applyFont="1" applyBorder="1" applyAlignment="1">
      <alignment horizontal="left" vertical="center"/>
    </xf>
    <xf numFmtId="49" fontId="18" fillId="0" borderId="121" xfId="0" applyNumberFormat="1" applyFont="1" applyBorder="1" applyAlignment="1">
      <alignment horizontal="left" vertical="center"/>
    </xf>
    <xf numFmtId="49" fontId="18" fillId="0" borderId="146" xfId="0" applyNumberFormat="1" applyFont="1" applyBorder="1" applyAlignment="1">
      <alignment horizontal="left" vertical="center"/>
    </xf>
    <xf numFmtId="0" fontId="17" fillId="30" borderId="147" xfId="0" applyFont="1" applyFill="1" applyBorder="1" applyAlignment="1">
      <alignment horizontal="left" vertical="center" wrapText="1"/>
    </xf>
    <xf numFmtId="0" fontId="18" fillId="30" borderId="93" xfId="0" applyFont="1" applyFill="1" applyBorder="1" applyAlignment="1">
      <alignment horizontal="center" vertical="center" wrapText="1"/>
    </xf>
    <xf numFmtId="0" fontId="18" fillId="30" borderId="93" xfId="0" applyFont="1" applyFill="1" applyBorder="1" applyAlignment="1">
      <alignment horizontal="center" vertical="center"/>
    </xf>
    <xf numFmtId="176" fontId="18" fillId="30" borderId="85" xfId="0" applyNumberFormat="1" applyFont="1" applyFill="1" applyBorder="1" applyAlignment="1">
      <alignment horizontal="center" vertical="center"/>
    </xf>
    <xf numFmtId="40" fontId="18" fillId="0" borderId="147" xfId="0" applyNumberFormat="1" applyFont="1" applyBorder="1" applyAlignment="1">
      <alignment horizontal="center" vertical="center"/>
    </xf>
    <xf numFmtId="170" fontId="18" fillId="0" borderId="93" xfId="0" applyNumberFormat="1" applyFont="1" applyBorder="1" applyAlignment="1">
      <alignment horizontal="center" vertical="center"/>
    </xf>
    <xf numFmtId="172" fontId="18" fillId="0" borderId="93" xfId="0" applyNumberFormat="1" applyFont="1" applyBorder="1" applyAlignment="1">
      <alignment horizontal="center" vertical="center"/>
    </xf>
    <xf numFmtId="40" fontId="18" fillId="0" borderId="93" xfId="0" applyNumberFormat="1" applyFont="1" applyBorder="1" applyAlignment="1">
      <alignment horizontal="center" vertical="center"/>
    </xf>
    <xf numFmtId="40" fontId="43" fillId="0" borderId="93" xfId="0" applyNumberFormat="1" applyFont="1" applyBorder="1" applyAlignment="1">
      <alignment horizontal="center" vertical="center"/>
    </xf>
    <xf numFmtId="40" fontId="17" fillId="0" borderId="93" xfId="0" applyNumberFormat="1" applyFont="1" applyBorder="1" applyAlignment="1">
      <alignment horizontal="center" vertical="center"/>
    </xf>
    <xf numFmtId="40" fontId="17" fillId="0" borderId="85" xfId="0" applyNumberFormat="1" applyFont="1" applyBorder="1" applyAlignment="1">
      <alignment horizontal="center" vertical="center"/>
    </xf>
    <xf numFmtId="165" fontId="18" fillId="18" borderId="147" xfId="0" applyNumberFormat="1" applyFont="1" applyFill="1" applyBorder="1" applyAlignment="1">
      <alignment horizontal="center" vertical="center"/>
    </xf>
    <xf numFmtId="165" fontId="18" fillId="19" borderId="93" xfId="0" applyNumberFormat="1" applyFont="1" applyFill="1" applyBorder="1" applyAlignment="1">
      <alignment horizontal="center" vertical="center"/>
    </xf>
    <xf numFmtId="4" fontId="18" fillId="0" borderId="93" xfId="0" applyNumberFormat="1" applyFont="1" applyBorder="1" applyAlignment="1">
      <alignment horizontal="center" vertical="center"/>
    </xf>
    <xf numFmtId="4" fontId="18" fillId="0" borderId="148" xfId="0" applyNumberFormat="1" applyFont="1" applyBorder="1" applyAlignment="1">
      <alignment horizontal="center" vertical="center"/>
    </xf>
    <xf numFmtId="9" fontId="18" fillId="0" borderId="93" xfId="0" applyNumberFormat="1" applyFont="1" applyBorder="1" applyAlignment="1">
      <alignment horizontal="center" vertical="center"/>
    </xf>
    <xf numFmtId="165" fontId="18" fillId="0" borderId="93" xfId="0" applyNumberFormat="1" applyFont="1" applyBorder="1" applyAlignment="1">
      <alignment horizontal="center" vertical="center"/>
    </xf>
    <xf numFmtId="3" fontId="18" fillId="0" borderId="149" xfId="0" applyNumberFormat="1" applyFont="1" applyBorder="1" applyAlignment="1">
      <alignment horizontal="center" vertical="center"/>
    </xf>
    <xf numFmtId="1" fontId="18" fillId="0" borderId="150" xfId="0" applyNumberFormat="1" applyFont="1" applyBorder="1" applyAlignment="1">
      <alignment horizontal="center" vertical="center"/>
    </xf>
    <xf numFmtId="9" fontId="18" fillId="0" borderId="151" xfId="0" applyNumberFormat="1" applyFont="1" applyBorder="1" applyAlignment="1">
      <alignment horizontal="center" vertical="center"/>
    </xf>
    <xf numFmtId="9" fontId="18" fillId="0" borderId="152" xfId="0" applyNumberFormat="1" applyFont="1" applyBorder="1" applyAlignment="1">
      <alignment horizontal="center" vertical="center"/>
    </xf>
    <xf numFmtId="0" fontId="18" fillId="0" borderId="93" xfId="0" applyFont="1" applyBorder="1"/>
    <xf numFmtId="165" fontId="17" fillId="6" borderId="6" xfId="0" applyNumberFormat="1" applyFont="1" applyFill="1" applyBorder="1" applyAlignment="1">
      <alignment horizontal="center" vertical="center"/>
    </xf>
    <xf numFmtId="1" fontId="51" fillId="3" borderId="34" xfId="0" applyNumberFormat="1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 vertical="center" wrapText="1"/>
    </xf>
    <xf numFmtId="1" fontId="50" fillId="3" borderId="1" xfId="0" applyNumberFormat="1" applyFont="1" applyFill="1" applyBorder="1" applyAlignment="1">
      <alignment horizontal="center" vertical="center"/>
    </xf>
    <xf numFmtId="168" fontId="17" fillId="17" borderId="4" xfId="0" applyNumberFormat="1" applyFont="1" applyFill="1" applyBorder="1" applyAlignment="1">
      <alignment horizontal="center" vertical="center"/>
    </xf>
    <xf numFmtId="0" fontId="36" fillId="0" borderId="0" xfId="0" applyFont="1"/>
    <xf numFmtId="167" fontId="36" fillId="0" borderId="0" xfId="0" applyNumberFormat="1" applyFont="1"/>
    <xf numFmtId="10" fontId="36" fillId="0" borderId="0" xfId="0" applyNumberFormat="1" applyFont="1" applyAlignment="1">
      <alignment vertical="center"/>
    </xf>
    <xf numFmtId="167" fontId="36" fillId="0" borderId="0" xfId="0" applyNumberFormat="1" applyFont="1" applyAlignment="1">
      <alignment vertical="center"/>
    </xf>
    <xf numFmtId="173" fontId="74" fillId="0" borderId="0" xfId="0" applyNumberFormat="1" applyFont="1" applyAlignment="1">
      <alignment vertical="center"/>
    </xf>
    <xf numFmtId="1" fontId="36" fillId="0" borderId="0" xfId="0" applyNumberFormat="1" applyFont="1"/>
    <xf numFmtId="49" fontId="17" fillId="0" borderId="106" xfId="0" applyNumberFormat="1" applyFont="1" applyBorder="1" applyAlignment="1">
      <alignment vertical="top" wrapText="1"/>
    </xf>
    <xf numFmtId="0" fontId="17" fillId="31" borderId="88" xfId="0" applyFont="1" applyFill="1" applyBorder="1" applyAlignment="1">
      <alignment horizontal="left" vertical="center" wrapText="1"/>
    </xf>
    <xf numFmtId="0" fontId="18" fillId="31" borderId="77" xfId="0" applyFont="1" applyFill="1" applyBorder="1" applyAlignment="1">
      <alignment horizontal="center" vertical="center" wrapText="1"/>
    </xf>
    <xf numFmtId="0" fontId="18" fillId="31" borderId="77" xfId="0" applyFont="1" applyFill="1" applyBorder="1" applyAlignment="1">
      <alignment horizontal="center" vertical="center"/>
    </xf>
    <xf numFmtId="175" fontId="18" fillId="31" borderId="89" xfId="0" applyNumberFormat="1" applyFont="1" applyFill="1" applyBorder="1" applyAlignment="1">
      <alignment horizontal="center" vertical="center"/>
    </xf>
    <xf numFmtId="49" fontId="17" fillId="0" borderId="110" xfId="0" applyNumberFormat="1" applyFont="1" applyBorder="1" applyAlignment="1">
      <alignment vertical="top" wrapText="1"/>
    </xf>
    <xf numFmtId="0" fontId="17" fillId="31" borderId="111" xfId="0" applyFont="1" applyFill="1" applyBorder="1" applyAlignment="1">
      <alignment horizontal="left" vertical="center" wrapText="1"/>
    </xf>
    <xf numFmtId="0" fontId="18" fillId="31" borderId="82" xfId="0" applyFont="1" applyFill="1" applyBorder="1" applyAlignment="1">
      <alignment horizontal="center" vertical="center" wrapText="1"/>
    </xf>
    <xf numFmtId="0" fontId="18" fillId="31" borderId="82" xfId="0" applyFont="1" applyFill="1" applyBorder="1" applyAlignment="1">
      <alignment horizontal="center" vertical="center"/>
    </xf>
    <xf numFmtId="175" fontId="18" fillId="31" borderId="112" xfId="0" applyNumberFormat="1" applyFont="1" applyFill="1" applyBorder="1" applyAlignment="1">
      <alignment horizontal="center" vertical="center"/>
    </xf>
    <xf numFmtId="1" fontId="17" fillId="14" borderId="1" xfId="0" applyNumberFormat="1" applyFont="1" applyFill="1" applyBorder="1" applyAlignment="1">
      <alignment horizontal="center" vertical="center"/>
    </xf>
    <xf numFmtId="165" fontId="17" fillId="13" borderId="21" xfId="0" applyNumberFormat="1" applyFont="1" applyFill="1" applyBorder="1" applyAlignment="1">
      <alignment horizontal="center" vertical="center"/>
    </xf>
    <xf numFmtId="1" fontId="17" fillId="14" borderId="21" xfId="0" applyNumberFormat="1" applyFont="1" applyFill="1" applyBorder="1" applyAlignment="1">
      <alignment horizontal="center" vertical="center"/>
    </xf>
    <xf numFmtId="14" fontId="21" fillId="24" borderId="0" xfId="0" applyNumberFormat="1" applyFont="1" applyFill="1" applyAlignment="1">
      <alignment horizontal="center" vertical="center"/>
    </xf>
    <xf numFmtId="0" fontId="21" fillId="24" borderId="0" xfId="0" applyFont="1" applyFill="1" applyAlignment="1">
      <alignment horizontal="center" vertical="center"/>
    </xf>
    <xf numFmtId="1" fontId="76" fillId="35" borderId="153" xfId="6" applyNumberFormat="1" applyFont="1" applyFill="1" applyBorder="1" applyAlignment="1">
      <alignment horizontal="center" vertical="center"/>
    </xf>
    <xf numFmtId="1" fontId="76" fillId="35" borderId="154" xfId="6" applyNumberFormat="1" applyFont="1" applyFill="1" applyBorder="1" applyAlignment="1">
      <alignment horizontal="center" vertical="center"/>
    </xf>
    <xf numFmtId="0" fontId="77" fillId="24" borderId="155" xfId="6" applyFont="1" applyFill="1" applyBorder="1" applyAlignment="1">
      <alignment horizontal="left" vertical="center" wrapText="1"/>
    </xf>
    <xf numFmtId="0" fontId="78" fillId="24" borderId="11" xfId="6" applyFont="1" applyFill="1" applyBorder="1" applyAlignment="1">
      <alignment horizontal="center" vertical="center" wrapText="1"/>
    </xf>
    <xf numFmtId="0" fontId="78" fillId="24" borderId="11" xfId="6" applyFont="1" applyFill="1" applyBorder="1" applyAlignment="1">
      <alignment horizontal="center" vertical="center"/>
    </xf>
    <xf numFmtId="175" fontId="78" fillId="24" borderId="156" xfId="6" applyNumberFormat="1" applyFont="1" applyFill="1" applyBorder="1" applyAlignment="1">
      <alignment horizontal="center" vertical="center"/>
    </xf>
    <xf numFmtId="40" fontId="77" fillId="0" borderId="155" xfId="6" applyNumberFormat="1" applyFont="1" applyBorder="1" applyAlignment="1">
      <alignment horizontal="center" vertical="center"/>
    </xf>
    <xf numFmtId="170" fontId="78" fillId="0" borderId="11" xfId="6" applyNumberFormat="1" applyFont="1" applyBorder="1" applyAlignment="1">
      <alignment horizontal="center" vertical="center"/>
    </xf>
    <xf numFmtId="172" fontId="78" fillId="0" borderId="11" xfId="6" applyNumberFormat="1" applyFont="1" applyBorder="1" applyAlignment="1">
      <alignment horizontal="center" vertical="center"/>
    </xf>
    <xf numFmtId="40" fontId="77" fillId="0" borderId="11" xfId="6" applyNumberFormat="1" applyFont="1" applyBorder="1" applyAlignment="1">
      <alignment horizontal="center" vertical="center"/>
    </xf>
    <xf numFmtId="1" fontId="76" fillId="35" borderId="157" xfId="6" applyNumberFormat="1" applyFont="1" applyFill="1" applyBorder="1" applyAlignment="1">
      <alignment horizontal="center" vertical="center"/>
    </xf>
    <xf numFmtId="1" fontId="76" fillId="35" borderId="158" xfId="6" applyNumberFormat="1" applyFont="1" applyFill="1" applyBorder="1" applyAlignment="1">
      <alignment horizontal="center" vertical="center"/>
    </xf>
    <xf numFmtId="40" fontId="77" fillId="0" borderId="14" xfId="6" applyNumberFormat="1" applyFont="1" applyBorder="1" applyAlignment="1">
      <alignment horizontal="center" vertical="center"/>
    </xf>
    <xf numFmtId="178" fontId="78" fillId="24" borderId="156" xfId="6" applyNumberFormat="1" applyFont="1" applyFill="1" applyBorder="1" applyAlignment="1">
      <alignment horizontal="center" vertical="center"/>
    </xf>
    <xf numFmtId="1" fontId="76" fillId="35" borderId="159" xfId="6" applyNumberFormat="1" applyFont="1" applyFill="1" applyBorder="1" applyAlignment="1">
      <alignment horizontal="center" vertical="center"/>
    </xf>
    <xf numFmtId="1" fontId="76" fillId="35" borderId="160" xfId="6" applyNumberFormat="1" applyFont="1" applyFill="1" applyBorder="1" applyAlignment="1">
      <alignment horizontal="center" vertical="center"/>
    </xf>
    <xf numFmtId="0" fontId="13" fillId="0" borderId="0" xfId="0" applyFont="1"/>
    <xf numFmtId="0" fontId="13" fillId="7" borderId="0" xfId="0" applyFont="1" applyFill="1" applyAlignment="1">
      <alignment horizontal="right" vertical="center"/>
    </xf>
    <xf numFmtId="0" fontId="75" fillId="0" borderId="0" xfId="0" applyFont="1"/>
    <xf numFmtId="1" fontId="75" fillId="0" borderId="0" xfId="0" applyNumberFormat="1" applyFont="1"/>
    <xf numFmtId="10" fontId="75" fillId="0" borderId="0" xfId="0" applyNumberFormat="1" applyFont="1"/>
    <xf numFmtId="173" fontId="75" fillId="0" borderId="0" xfId="0" applyNumberFormat="1" applyFont="1"/>
    <xf numFmtId="0" fontId="75" fillId="8" borderId="0" xfId="0" applyFont="1" applyFill="1"/>
    <xf numFmtId="173" fontId="75" fillId="8" borderId="0" xfId="0" applyNumberFormat="1" applyFont="1" applyFill="1"/>
    <xf numFmtId="1" fontId="76" fillId="35" borderId="157" xfId="6" quotePrefix="1" applyNumberFormat="1" applyFont="1" applyFill="1" applyBorder="1" applyAlignment="1">
      <alignment horizontal="center" vertical="center"/>
    </xf>
    <xf numFmtId="4" fontId="7" fillId="0" borderId="0" xfId="0" applyNumberFormat="1" applyFont="1"/>
    <xf numFmtId="1" fontId="18" fillId="0" borderId="61" xfId="0" applyNumberFormat="1" applyFont="1" applyBorder="1" applyAlignment="1">
      <alignment horizontal="center" vertical="center"/>
    </xf>
    <xf numFmtId="9" fontId="18" fillId="0" borderId="104" xfId="0" applyNumberFormat="1" applyFont="1" applyBorder="1" applyAlignment="1">
      <alignment horizontal="center" vertical="center"/>
    </xf>
    <xf numFmtId="1" fontId="18" fillId="0" borderId="60" xfId="0" applyNumberFormat="1" applyFont="1" applyBorder="1" applyAlignment="1">
      <alignment horizontal="center" vertical="center"/>
    </xf>
    <xf numFmtId="9" fontId="18" fillId="0" borderId="95" xfId="0" applyNumberFormat="1" applyFont="1" applyBorder="1" applyAlignment="1">
      <alignment horizontal="center" vertical="center"/>
    </xf>
    <xf numFmtId="165" fontId="18" fillId="19" borderId="23" xfId="0" applyNumberFormat="1" applyFont="1" applyFill="1" applyBorder="1" applyAlignment="1">
      <alignment horizontal="center" vertical="center"/>
    </xf>
    <xf numFmtId="4" fontId="18" fillId="0" borderId="161" xfId="0" applyNumberFormat="1" applyFont="1" applyBorder="1" applyAlignment="1">
      <alignment horizontal="center" vertical="center"/>
    </xf>
    <xf numFmtId="1" fontId="18" fillId="0" borderId="38" xfId="0" applyNumberFormat="1" applyFont="1" applyBorder="1" applyAlignment="1">
      <alignment horizontal="center" vertical="center"/>
    </xf>
    <xf numFmtId="9" fontId="18" fillId="0" borderId="161" xfId="0" applyNumberFormat="1" applyFont="1" applyBorder="1" applyAlignment="1">
      <alignment horizontal="center" vertical="center"/>
    </xf>
    <xf numFmtId="1" fontId="18" fillId="3" borderId="23" xfId="0" applyNumberFormat="1" applyFont="1" applyFill="1" applyBorder="1" applyAlignment="1">
      <alignment horizontal="center" vertical="center"/>
    </xf>
    <xf numFmtId="165" fontId="17" fillId="13" borderId="22" xfId="0" applyNumberFormat="1" applyFont="1" applyFill="1" applyBorder="1" applyAlignment="1">
      <alignment horizontal="center" vertical="center"/>
    </xf>
    <xf numFmtId="165" fontId="17" fillId="13" borderId="23" xfId="0" applyNumberFormat="1" applyFont="1" applyFill="1" applyBorder="1" applyAlignment="1">
      <alignment horizontal="center" vertical="center"/>
    </xf>
    <xf numFmtId="165" fontId="18" fillId="18" borderId="163" xfId="0" applyNumberFormat="1" applyFont="1" applyFill="1" applyBorder="1" applyAlignment="1">
      <alignment horizontal="center" vertical="center"/>
    </xf>
    <xf numFmtId="165" fontId="18" fillId="19" borderId="122" xfId="0" applyNumberFormat="1" applyFont="1" applyFill="1" applyBorder="1" applyAlignment="1">
      <alignment horizontal="center" vertical="center"/>
    </xf>
    <xf numFmtId="4" fontId="18" fillId="0" borderId="122" xfId="0" applyNumberFormat="1" applyFont="1" applyBorder="1" applyAlignment="1">
      <alignment horizontal="center" vertical="center"/>
    </xf>
    <xf numFmtId="4" fontId="18" fillId="0" borderId="165" xfId="0" applyNumberFormat="1" applyFont="1" applyBorder="1" applyAlignment="1">
      <alignment horizontal="center" vertical="center"/>
    </xf>
    <xf numFmtId="9" fontId="18" fillId="0" borderId="122" xfId="0" applyNumberFormat="1" applyFont="1" applyBorder="1" applyAlignment="1">
      <alignment horizontal="center" vertical="center"/>
    </xf>
    <xf numFmtId="165" fontId="18" fillId="0" borderId="122" xfId="0" applyNumberFormat="1" applyFont="1" applyBorder="1" applyAlignment="1">
      <alignment horizontal="center" vertical="center"/>
    </xf>
    <xf numFmtId="3" fontId="18" fillId="0" borderId="166" xfId="0" applyNumberFormat="1" applyFont="1" applyBorder="1" applyAlignment="1">
      <alignment horizontal="center" vertical="center"/>
    </xf>
    <xf numFmtId="1" fontId="18" fillId="0" borderId="162" xfId="0" applyNumberFormat="1" applyFont="1" applyBorder="1" applyAlignment="1">
      <alignment horizontal="center" vertical="center"/>
    </xf>
    <xf numFmtId="9" fontId="18" fillId="0" borderId="165" xfId="0" applyNumberFormat="1" applyFont="1" applyBorder="1" applyAlignment="1">
      <alignment horizontal="center" vertical="center"/>
    </xf>
    <xf numFmtId="0" fontId="18" fillId="0" borderId="122" xfId="0" applyFont="1" applyBorder="1"/>
    <xf numFmtId="165" fontId="18" fillId="18" borderId="167" xfId="0" applyNumberFormat="1" applyFont="1" applyFill="1" applyBorder="1" applyAlignment="1">
      <alignment horizontal="center" vertical="center"/>
    </xf>
    <xf numFmtId="165" fontId="18" fillId="19" borderId="121" xfId="0" applyNumberFormat="1" applyFont="1" applyFill="1" applyBorder="1" applyAlignment="1">
      <alignment horizontal="center" vertical="center"/>
    </xf>
    <xf numFmtId="4" fontId="18" fillId="0" borderId="121" xfId="0" applyNumberFormat="1" applyFont="1" applyBorder="1" applyAlignment="1">
      <alignment horizontal="center" vertical="center"/>
    </xf>
    <xf numFmtId="4" fontId="18" fillId="0" borderId="170" xfId="0" applyNumberFormat="1" applyFont="1" applyBorder="1" applyAlignment="1">
      <alignment horizontal="center" vertical="center"/>
    </xf>
    <xf numFmtId="9" fontId="18" fillId="0" borderId="121" xfId="0" applyNumberFormat="1" applyFont="1" applyBorder="1" applyAlignment="1">
      <alignment horizontal="center" vertical="center"/>
    </xf>
    <xf numFmtId="165" fontId="18" fillId="0" borderId="121" xfId="0" applyNumberFormat="1" applyFont="1" applyBorder="1" applyAlignment="1">
      <alignment horizontal="center" vertical="center"/>
    </xf>
    <xf numFmtId="3" fontId="18" fillId="0" borderId="171" xfId="0" applyNumberFormat="1" applyFont="1" applyBorder="1" applyAlignment="1">
      <alignment horizontal="center" vertical="center"/>
    </xf>
    <xf numFmtId="1" fontId="18" fillId="0" borderId="169" xfId="0" applyNumberFormat="1" applyFont="1" applyBorder="1" applyAlignment="1">
      <alignment horizontal="center" vertical="center"/>
    </xf>
    <xf numFmtId="9" fontId="18" fillId="0" borderId="170" xfId="0" applyNumberFormat="1" applyFont="1" applyBorder="1" applyAlignment="1">
      <alignment horizontal="center" vertical="center"/>
    </xf>
    <xf numFmtId="0" fontId="18" fillId="0" borderId="121" xfId="0" applyFont="1" applyBorder="1"/>
    <xf numFmtId="165" fontId="18" fillId="18" borderId="173" xfId="0" applyNumberFormat="1" applyFont="1" applyFill="1" applyBorder="1" applyAlignment="1">
      <alignment horizontal="center" vertical="center"/>
    </xf>
    <xf numFmtId="165" fontId="18" fillId="19" borderId="172" xfId="0" applyNumberFormat="1" applyFont="1" applyFill="1" applyBorder="1" applyAlignment="1">
      <alignment horizontal="center" vertical="center"/>
    </xf>
    <xf numFmtId="165" fontId="18" fillId="6" borderId="174" xfId="0" applyNumberFormat="1" applyFont="1" applyFill="1" applyBorder="1" applyAlignment="1">
      <alignment horizontal="center" vertical="center"/>
    </xf>
    <xf numFmtId="1" fontId="22" fillId="3" borderId="175" xfId="0" applyNumberFormat="1" applyFont="1" applyFill="1" applyBorder="1" applyAlignment="1">
      <alignment horizontal="center" vertical="center"/>
    </xf>
    <xf numFmtId="4" fontId="18" fillId="0" borderId="172" xfId="0" applyNumberFormat="1" applyFont="1" applyBorder="1" applyAlignment="1">
      <alignment horizontal="center" vertical="center"/>
    </xf>
    <xf numFmtId="4" fontId="18" fillId="0" borderId="176" xfId="0" applyNumberFormat="1" applyFont="1" applyBorder="1" applyAlignment="1">
      <alignment horizontal="center" vertical="center"/>
    </xf>
    <xf numFmtId="9" fontId="18" fillId="0" borderId="172" xfId="0" applyNumberFormat="1" applyFont="1" applyBorder="1" applyAlignment="1">
      <alignment horizontal="center" vertical="center"/>
    </xf>
    <xf numFmtId="165" fontId="18" fillId="0" borderId="172" xfId="0" applyNumberFormat="1" applyFont="1" applyBorder="1" applyAlignment="1">
      <alignment horizontal="center" vertical="center"/>
    </xf>
    <xf numFmtId="3" fontId="18" fillId="0" borderId="177" xfId="0" applyNumberFormat="1" applyFont="1" applyBorder="1" applyAlignment="1">
      <alignment horizontal="center" vertical="center"/>
    </xf>
    <xf numFmtId="1" fontId="18" fillId="0" borderId="175" xfId="0" applyNumberFormat="1" applyFont="1" applyBorder="1" applyAlignment="1">
      <alignment horizontal="center" vertical="center"/>
    </xf>
    <xf numFmtId="9" fontId="18" fillId="0" borderId="176" xfId="0" applyNumberFormat="1" applyFont="1" applyBorder="1" applyAlignment="1">
      <alignment horizontal="center" vertical="center"/>
    </xf>
    <xf numFmtId="0" fontId="18" fillId="0" borderId="172" xfId="0" applyFont="1" applyBorder="1"/>
    <xf numFmtId="40" fontId="77" fillId="0" borderId="178" xfId="6" applyNumberFormat="1" applyFont="1" applyBorder="1" applyAlignment="1">
      <alignment horizontal="center" vertical="center"/>
    </xf>
    <xf numFmtId="1" fontId="76" fillId="35" borderId="179" xfId="6" applyNumberFormat="1" applyFont="1" applyFill="1" applyBorder="1" applyAlignment="1">
      <alignment horizontal="center" vertical="center"/>
    </xf>
    <xf numFmtId="1" fontId="76" fillId="35" borderId="180" xfId="6" applyNumberFormat="1" applyFont="1" applyFill="1" applyBorder="1" applyAlignment="1">
      <alignment horizontal="center" vertical="center"/>
    </xf>
    <xf numFmtId="0" fontId="77" fillId="24" borderId="181" xfId="6" applyFont="1" applyFill="1" applyBorder="1" applyAlignment="1">
      <alignment horizontal="left" vertical="center" wrapText="1"/>
    </xf>
    <xf numFmtId="0" fontId="78" fillId="24" borderId="178" xfId="6" applyFont="1" applyFill="1" applyBorder="1" applyAlignment="1">
      <alignment horizontal="center" vertical="center" wrapText="1"/>
    </xf>
    <xf numFmtId="0" fontId="78" fillId="24" borderId="178" xfId="6" applyFont="1" applyFill="1" applyBorder="1" applyAlignment="1">
      <alignment horizontal="center" vertical="center"/>
    </xf>
    <xf numFmtId="175" fontId="78" fillId="24" borderId="182" xfId="6" applyNumberFormat="1" applyFont="1" applyFill="1" applyBorder="1" applyAlignment="1">
      <alignment horizontal="center" vertical="center"/>
    </xf>
    <xf numFmtId="40" fontId="77" fillId="0" borderId="181" xfId="6" applyNumberFormat="1" applyFont="1" applyBorder="1" applyAlignment="1">
      <alignment horizontal="center" vertical="center"/>
    </xf>
    <xf numFmtId="170" fontId="78" fillId="0" borderId="178" xfId="6" applyNumberFormat="1" applyFont="1" applyBorder="1" applyAlignment="1">
      <alignment horizontal="center" vertical="center"/>
    </xf>
    <xf numFmtId="172" fontId="78" fillId="0" borderId="178" xfId="6" applyNumberFormat="1" applyFont="1" applyBorder="1" applyAlignment="1">
      <alignment horizontal="center" vertical="center"/>
    </xf>
    <xf numFmtId="165" fontId="18" fillId="18" borderId="183" xfId="0" applyNumberFormat="1" applyFont="1" applyFill="1" applyBorder="1" applyAlignment="1">
      <alignment horizontal="center" vertical="center"/>
    </xf>
    <xf numFmtId="165" fontId="18" fillId="19" borderId="184" xfId="0" applyNumberFormat="1" applyFont="1" applyFill="1" applyBorder="1" applyAlignment="1">
      <alignment horizontal="center" vertical="center"/>
    </xf>
    <xf numFmtId="165" fontId="17" fillId="13" borderId="122" xfId="0" applyNumberFormat="1" applyFont="1" applyFill="1" applyBorder="1" applyAlignment="1">
      <alignment horizontal="center" vertical="center"/>
    </xf>
    <xf numFmtId="1" fontId="18" fillId="3" borderId="122" xfId="0" applyNumberFormat="1" applyFont="1" applyFill="1" applyBorder="1" applyAlignment="1">
      <alignment horizontal="center" vertical="center"/>
    </xf>
    <xf numFmtId="165" fontId="18" fillId="6" borderId="164" xfId="0" applyNumberFormat="1" applyFont="1" applyFill="1" applyBorder="1" applyAlignment="1">
      <alignment horizontal="center" vertical="center"/>
    </xf>
    <xf numFmtId="1" fontId="22" fillId="3" borderId="162" xfId="0" applyNumberFormat="1" applyFont="1" applyFill="1" applyBorder="1" applyAlignment="1">
      <alignment horizontal="center" vertical="center"/>
    </xf>
    <xf numFmtId="1" fontId="76" fillId="35" borderId="185" xfId="6" applyNumberFormat="1" applyFont="1" applyFill="1" applyBorder="1" applyAlignment="1">
      <alignment horizontal="center" vertical="center"/>
    </xf>
    <xf numFmtId="1" fontId="76" fillId="35" borderId="186" xfId="6" applyNumberFormat="1" applyFont="1" applyFill="1" applyBorder="1" applyAlignment="1">
      <alignment horizontal="center" vertical="center"/>
    </xf>
    <xf numFmtId="0" fontId="77" fillId="24" borderId="187" xfId="6" applyFont="1" applyFill="1" applyBorder="1" applyAlignment="1">
      <alignment horizontal="left" vertical="center" wrapText="1"/>
    </xf>
    <xf numFmtId="0" fontId="78" fillId="24" borderId="121" xfId="6" applyFont="1" applyFill="1" applyBorder="1" applyAlignment="1">
      <alignment horizontal="center" vertical="center" wrapText="1"/>
    </xf>
    <xf numFmtId="0" fontId="78" fillId="24" borderId="121" xfId="6" applyFont="1" applyFill="1" applyBorder="1" applyAlignment="1">
      <alignment horizontal="center" vertical="center"/>
    </xf>
    <xf numFmtId="175" fontId="78" fillId="24" borderId="188" xfId="6" applyNumberFormat="1" applyFont="1" applyFill="1" applyBorder="1" applyAlignment="1">
      <alignment horizontal="center" vertical="center"/>
    </xf>
    <xf numFmtId="40" fontId="77" fillId="0" borderId="189" xfId="6" applyNumberFormat="1" applyFont="1" applyBorder="1" applyAlignment="1">
      <alignment horizontal="center" vertical="center"/>
    </xf>
    <xf numFmtId="170" fontId="78" fillId="0" borderId="190" xfId="6" applyNumberFormat="1" applyFont="1" applyBorder="1" applyAlignment="1">
      <alignment horizontal="center" vertical="center"/>
    </xf>
    <xf numFmtId="172" fontId="78" fillId="0" borderId="190" xfId="6" applyNumberFormat="1" applyFont="1" applyBorder="1" applyAlignment="1">
      <alignment horizontal="center" vertical="center"/>
    </xf>
    <xf numFmtId="40" fontId="77" fillId="0" borderId="190" xfId="6" applyNumberFormat="1" applyFont="1" applyBorder="1" applyAlignment="1">
      <alignment horizontal="center" vertical="center"/>
    </xf>
    <xf numFmtId="165" fontId="18" fillId="18" borderId="191" xfId="0" applyNumberFormat="1" applyFont="1" applyFill="1" applyBorder="1" applyAlignment="1">
      <alignment horizontal="center" vertical="center"/>
    </xf>
    <xf numFmtId="165" fontId="17" fillId="13" borderId="121" xfId="0" applyNumberFormat="1" applyFont="1" applyFill="1" applyBorder="1" applyAlignment="1">
      <alignment horizontal="center" vertical="center"/>
    </xf>
    <xf numFmtId="1" fontId="18" fillId="3" borderId="121" xfId="0" applyNumberFormat="1" applyFont="1" applyFill="1" applyBorder="1" applyAlignment="1">
      <alignment horizontal="center" vertical="center"/>
    </xf>
    <xf numFmtId="165" fontId="18" fillId="6" borderId="168" xfId="0" applyNumberFormat="1" applyFont="1" applyFill="1" applyBorder="1" applyAlignment="1">
      <alignment horizontal="center" vertical="center"/>
    </xf>
    <xf numFmtId="1" fontId="22" fillId="3" borderId="169" xfId="0" applyNumberFormat="1" applyFont="1" applyFill="1" applyBorder="1" applyAlignment="1">
      <alignment horizontal="center" vertical="center"/>
    </xf>
    <xf numFmtId="1" fontId="76" fillId="35" borderId="192" xfId="6" applyNumberFormat="1" applyFont="1" applyFill="1" applyBorder="1" applyAlignment="1">
      <alignment horizontal="center" vertical="center"/>
    </xf>
    <xf numFmtId="0" fontId="17" fillId="24" borderId="193" xfId="6" applyFont="1" applyFill="1" applyBorder="1" applyAlignment="1">
      <alignment horizontal="left" vertical="center" wrapText="1"/>
    </xf>
    <xf numFmtId="0" fontId="77" fillId="24" borderId="193" xfId="6" applyFont="1" applyFill="1" applyBorder="1" applyAlignment="1">
      <alignment horizontal="left" vertical="center" wrapText="1"/>
    </xf>
    <xf numFmtId="0" fontId="78" fillId="24" borderId="172" xfId="6" applyFont="1" applyFill="1" applyBorder="1" applyAlignment="1">
      <alignment horizontal="center" vertical="center" wrapText="1"/>
    </xf>
    <xf numFmtId="0" fontId="78" fillId="24" borderId="172" xfId="6" applyFont="1" applyFill="1" applyBorder="1" applyAlignment="1">
      <alignment horizontal="center" vertical="center"/>
    </xf>
    <xf numFmtId="175" fontId="78" fillId="24" borderId="194" xfId="6" applyNumberFormat="1" applyFont="1" applyFill="1" applyBorder="1" applyAlignment="1">
      <alignment horizontal="center" vertical="center"/>
    </xf>
    <xf numFmtId="40" fontId="77" fillId="0" borderId="193" xfId="6" applyNumberFormat="1" applyFont="1" applyBorder="1" applyAlignment="1">
      <alignment horizontal="center" vertical="center"/>
    </xf>
    <xf numFmtId="170" fontId="78" fillId="0" borderId="172" xfId="6" applyNumberFormat="1" applyFont="1" applyBorder="1" applyAlignment="1">
      <alignment horizontal="center" vertical="center"/>
    </xf>
    <xf numFmtId="172" fontId="78" fillId="0" borderId="172" xfId="6" applyNumberFormat="1" applyFont="1" applyBorder="1" applyAlignment="1">
      <alignment horizontal="center" vertical="center"/>
    </xf>
    <xf numFmtId="40" fontId="77" fillId="0" borderId="172" xfId="6" applyNumberFormat="1" applyFont="1" applyBorder="1" applyAlignment="1">
      <alignment horizontal="center" vertical="center"/>
    </xf>
    <xf numFmtId="165" fontId="17" fillId="13" borderId="172" xfId="0" applyNumberFormat="1" applyFont="1" applyFill="1" applyBorder="1" applyAlignment="1">
      <alignment horizontal="center" vertical="center"/>
    </xf>
    <xf numFmtId="1" fontId="18" fillId="3" borderId="172" xfId="0" applyNumberFormat="1" applyFont="1" applyFill="1" applyBorder="1" applyAlignment="1">
      <alignment horizontal="center" vertical="center"/>
    </xf>
    <xf numFmtId="177" fontId="78" fillId="24" borderId="194" xfId="6" applyNumberFormat="1" applyFont="1" applyFill="1" applyBorder="1" applyAlignment="1">
      <alignment horizontal="center" vertical="center"/>
    </xf>
    <xf numFmtId="1" fontId="76" fillId="35" borderId="195" xfId="6" quotePrefix="1" applyNumberFormat="1" applyFont="1" applyFill="1" applyBorder="1" applyAlignment="1">
      <alignment horizontal="center" vertical="center"/>
    </xf>
    <xf numFmtId="178" fontId="78" fillId="24" borderId="182" xfId="6" applyNumberFormat="1" applyFont="1" applyFill="1" applyBorder="1" applyAlignment="1">
      <alignment horizontal="center" vertical="center"/>
    </xf>
    <xf numFmtId="1" fontId="76" fillId="35" borderId="185" xfId="6" quotePrefix="1" applyNumberFormat="1" applyFont="1" applyFill="1" applyBorder="1" applyAlignment="1">
      <alignment horizontal="center" vertical="center"/>
    </xf>
    <xf numFmtId="178" fontId="78" fillId="24" borderId="188" xfId="6" applyNumberFormat="1" applyFont="1" applyFill="1" applyBorder="1" applyAlignment="1">
      <alignment horizontal="center" vertical="center"/>
    </xf>
    <xf numFmtId="40" fontId="77" fillId="0" borderId="187" xfId="6" applyNumberFormat="1" applyFont="1" applyBorder="1" applyAlignment="1">
      <alignment horizontal="center" vertical="center"/>
    </xf>
    <xf numFmtId="170" fontId="78" fillId="0" borderId="121" xfId="6" applyNumberFormat="1" applyFont="1" applyBorder="1" applyAlignment="1">
      <alignment horizontal="center" vertical="center"/>
    </xf>
    <xf numFmtId="172" fontId="78" fillId="0" borderId="121" xfId="6" applyNumberFormat="1" applyFont="1" applyBorder="1" applyAlignment="1">
      <alignment horizontal="center" vertical="center"/>
    </xf>
    <xf numFmtId="40" fontId="77" fillId="0" borderId="121" xfId="6" applyNumberFormat="1" applyFont="1" applyBorder="1" applyAlignment="1">
      <alignment horizontal="center" vertical="center"/>
    </xf>
    <xf numFmtId="1" fontId="76" fillId="35" borderId="195" xfId="6" applyNumberFormat="1" applyFont="1" applyFill="1" applyBorder="1" applyAlignment="1">
      <alignment horizontal="center" vertical="center"/>
    </xf>
    <xf numFmtId="1" fontId="76" fillId="35" borderId="196" xfId="6" applyNumberFormat="1" applyFont="1" applyFill="1" applyBorder="1" applyAlignment="1">
      <alignment horizontal="center" vertical="center"/>
    </xf>
    <xf numFmtId="40" fontId="73" fillId="0" borderId="14" xfId="0" applyNumberFormat="1" applyFont="1" applyBorder="1" applyAlignment="1">
      <alignment horizontal="center" vertical="center"/>
    </xf>
    <xf numFmtId="4" fontId="18" fillId="0" borderId="184" xfId="0" applyNumberFormat="1" applyFont="1" applyBorder="1" applyAlignment="1">
      <alignment horizontal="center" vertical="center"/>
    </xf>
    <xf numFmtId="4" fontId="18" fillId="0" borderId="198" xfId="0" applyNumberFormat="1" applyFont="1" applyBorder="1" applyAlignment="1">
      <alignment horizontal="center" vertical="center"/>
    </xf>
    <xf numFmtId="9" fontId="18" fillId="0" borderId="184" xfId="0" applyNumberFormat="1" applyFont="1" applyBorder="1" applyAlignment="1">
      <alignment horizontal="center" vertical="center"/>
    </xf>
    <xf numFmtId="165" fontId="18" fillId="0" borderId="184" xfId="0" applyNumberFormat="1" applyFont="1" applyBorder="1" applyAlignment="1">
      <alignment horizontal="center" vertical="center"/>
    </xf>
    <xf numFmtId="3" fontId="18" fillId="0" borderId="199" xfId="0" applyNumberFormat="1" applyFont="1" applyBorder="1" applyAlignment="1">
      <alignment horizontal="center" vertical="center"/>
    </xf>
    <xf numFmtId="9" fontId="18" fillId="0" borderId="178" xfId="0" applyNumberFormat="1" applyFont="1" applyBorder="1" applyAlignment="1">
      <alignment horizontal="center" vertical="center"/>
    </xf>
    <xf numFmtId="9" fontId="18" fillId="0" borderId="200" xfId="0" applyNumberFormat="1" applyFont="1" applyBorder="1" applyAlignment="1">
      <alignment horizontal="center" vertical="center"/>
    </xf>
    <xf numFmtId="49" fontId="18" fillId="0" borderId="190" xfId="0" applyNumberFormat="1" applyFont="1" applyBorder="1" applyAlignment="1">
      <alignment horizontal="left" vertical="center"/>
    </xf>
    <xf numFmtId="40" fontId="18" fillId="0" borderId="202" xfId="0" applyNumberFormat="1" applyFont="1" applyBorder="1" applyAlignment="1">
      <alignment horizontal="center" vertical="center"/>
    </xf>
    <xf numFmtId="170" fontId="18" fillId="0" borderId="190" xfId="0" applyNumberFormat="1" applyFont="1" applyBorder="1" applyAlignment="1">
      <alignment horizontal="center" vertical="center"/>
    </xf>
    <xf numFmtId="172" fontId="18" fillId="0" borderId="190" xfId="0" applyNumberFormat="1" applyFont="1" applyBorder="1" applyAlignment="1">
      <alignment horizontal="center" vertical="center"/>
    </xf>
    <xf numFmtId="40" fontId="18" fillId="0" borderId="190" xfId="0" applyNumberFormat="1" applyFont="1" applyBorder="1" applyAlignment="1">
      <alignment horizontal="center" vertical="center"/>
    </xf>
    <xf numFmtId="40" fontId="43" fillId="0" borderId="121" xfId="0" applyNumberFormat="1" applyFont="1" applyBorder="1" applyAlignment="1">
      <alignment horizontal="center" vertical="center"/>
    </xf>
    <xf numFmtId="40" fontId="17" fillId="0" borderId="121" xfId="0" applyNumberFormat="1" applyFont="1" applyBorder="1" applyAlignment="1">
      <alignment horizontal="center" vertical="center"/>
    </xf>
    <xf numFmtId="40" fontId="17" fillId="0" borderId="169" xfId="0" applyNumberFormat="1" applyFont="1" applyBorder="1" applyAlignment="1">
      <alignment horizontal="center" vertical="center"/>
    </xf>
    <xf numFmtId="1" fontId="18" fillId="0" borderId="204" xfId="0" applyNumberFormat="1" applyFont="1" applyBorder="1" applyAlignment="1">
      <alignment horizontal="center" vertical="center"/>
    </xf>
    <xf numFmtId="9" fontId="18" fillId="0" borderId="205" xfId="0" applyNumberFormat="1" applyFont="1" applyBorder="1" applyAlignment="1">
      <alignment horizontal="center" vertical="center"/>
    </xf>
    <xf numFmtId="9" fontId="18" fillId="0" borderId="206" xfId="0" applyNumberFormat="1" applyFont="1" applyBorder="1" applyAlignment="1">
      <alignment horizontal="center" vertical="center"/>
    </xf>
    <xf numFmtId="40" fontId="18" fillId="0" borderId="167" xfId="0" applyNumberFormat="1" applyFont="1" applyBorder="1" applyAlignment="1">
      <alignment horizontal="center" vertical="center"/>
    </xf>
    <xf numFmtId="170" fontId="18" fillId="0" borderId="121" xfId="0" applyNumberFormat="1" applyFont="1" applyBorder="1" applyAlignment="1">
      <alignment horizontal="center" vertical="center"/>
    </xf>
    <xf numFmtId="172" fontId="18" fillId="0" borderId="121" xfId="0" applyNumberFormat="1" applyFont="1" applyBorder="1" applyAlignment="1">
      <alignment horizontal="center" vertical="center"/>
    </xf>
    <xf numFmtId="40" fontId="18" fillId="0" borderId="121" xfId="0" applyNumberFormat="1" applyFont="1" applyBorder="1" applyAlignment="1">
      <alignment horizontal="center" vertical="center"/>
    </xf>
    <xf numFmtId="40" fontId="18" fillId="0" borderId="163" xfId="0" applyNumberFormat="1" applyFont="1" applyBorder="1" applyAlignment="1">
      <alignment horizontal="center" vertical="center"/>
    </xf>
    <xf numFmtId="170" fontId="18" fillId="0" borderId="122" xfId="0" applyNumberFormat="1" applyFont="1" applyBorder="1" applyAlignment="1">
      <alignment horizontal="center" vertical="center"/>
    </xf>
    <xf numFmtId="172" fontId="18" fillId="0" borderId="122" xfId="0" applyNumberFormat="1" applyFont="1" applyBorder="1" applyAlignment="1">
      <alignment horizontal="center" vertical="center"/>
    </xf>
    <xf numFmtId="40" fontId="18" fillId="0" borderId="122" xfId="0" applyNumberFormat="1" applyFont="1" applyBorder="1" applyAlignment="1">
      <alignment horizontal="center" vertical="center"/>
    </xf>
    <xf numFmtId="40" fontId="43" fillId="0" borderId="122" xfId="0" applyNumberFormat="1" applyFont="1" applyBorder="1" applyAlignment="1">
      <alignment horizontal="center" vertical="center"/>
    </xf>
    <xf numFmtId="40" fontId="17" fillId="0" borderId="122" xfId="0" applyNumberFormat="1" applyFont="1" applyBorder="1" applyAlignment="1">
      <alignment horizontal="center" vertical="center"/>
    </xf>
    <xf numFmtId="40" fontId="43" fillId="0" borderId="184" xfId="0" applyNumberFormat="1" applyFont="1" applyBorder="1" applyAlignment="1">
      <alignment horizontal="center" vertical="center"/>
    </xf>
    <xf numFmtId="40" fontId="17" fillId="0" borderId="184" xfId="0" applyNumberFormat="1" applyFont="1" applyBorder="1" applyAlignment="1">
      <alignment horizontal="center" vertical="center"/>
    </xf>
    <xf numFmtId="40" fontId="17" fillId="0" borderId="201" xfId="0" applyNumberFormat="1" applyFont="1" applyBorder="1" applyAlignment="1">
      <alignment horizontal="center" vertical="center"/>
    </xf>
    <xf numFmtId="165" fontId="18" fillId="6" borderId="207" xfId="0" applyNumberFormat="1" applyFont="1" applyFill="1" applyBorder="1" applyAlignment="1">
      <alignment horizontal="center" vertical="center"/>
    </xf>
    <xf numFmtId="1" fontId="22" fillId="3" borderId="201" xfId="0" applyNumberFormat="1" applyFont="1" applyFill="1" applyBorder="1" applyAlignment="1">
      <alignment horizontal="center" vertical="center"/>
    </xf>
    <xf numFmtId="0" fontId="18" fillId="0" borderId="197" xfId="0" applyFont="1" applyBorder="1"/>
    <xf numFmtId="4" fontId="18" fillId="0" borderId="190" xfId="0" applyNumberFormat="1" applyFont="1" applyBorder="1" applyAlignment="1">
      <alignment horizontal="center" vertical="center"/>
    </xf>
    <xf numFmtId="4" fontId="18" fillId="0" borderId="208" xfId="0" applyNumberFormat="1" applyFont="1" applyBorder="1" applyAlignment="1">
      <alignment horizontal="center" vertical="center"/>
    </xf>
    <xf numFmtId="9" fontId="18" fillId="0" borderId="190" xfId="0" applyNumberFormat="1" applyFont="1" applyBorder="1" applyAlignment="1">
      <alignment horizontal="center" vertical="center"/>
    </xf>
    <xf numFmtId="165" fontId="18" fillId="0" borderId="190" xfId="0" applyNumberFormat="1" applyFont="1" applyBorder="1" applyAlignment="1">
      <alignment horizontal="center" vertical="center"/>
    </xf>
    <xf numFmtId="40" fontId="43" fillId="0" borderId="210" xfId="0" applyNumberFormat="1" applyFont="1" applyBorder="1" applyAlignment="1">
      <alignment horizontal="center" vertical="center"/>
    </xf>
    <xf numFmtId="40" fontId="17" fillId="0" borderId="210" xfId="0" applyNumberFormat="1" applyFont="1" applyBorder="1" applyAlignment="1">
      <alignment horizontal="center" vertical="center"/>
    </xf>
    <xf numFmtId="40" fontId="17" fillId="0" borderId="209" xfId="0" applyNumberFormat="1" applyFont="1" applyBorder="1" applyAlignment="1">
      <alignment horizontal="center" vertical="center"/>
    </xf>
    <xf numFmtId="165" fontId="18" fillId="19" borderId="210" xfId="0" applyNumberFormat="1" applyFont="1" applyFill="1" applyBorder="1" applyAlignment="1">
      <alignment horizontal="center" vertical="center"/>
    </xf>
    <xf numFmtId="165" fontId="18" fillId="6" borderId="211" xfId="0" applyNumberFormat="1" applyFont="1" applyFill="1" applyBorder="1" applyAlignment="1">
      <alignment horizontal="center" vertical="center"/>
    </xf>
    <xf numFmtId="1" fontId="22" fillId="3" borderId="209" xfId="0" applyNumberFormat="1" applyFont="1" applyFill="1" applyBorder="1" applyAlignment="1">
      <alignment horizontal="center" vertical="center"/>
    </xf>
    <xf numFmtId="4" fontId="18" fillId="0" borderId="210" xfId="0" applyNumberFormat="1" applyFont="1" applyBorder="1" applyAlignment="1">
      <alignment horizontal="center" vertical="center"/>
    </xf>
    <xf numFmtId="4" fontId="18" fillId="0" borderId="212" xfId="0" applyNumberFormat="1" applyFont="1" applyBorder="1" applyAlignment="1">
      <alignment horizontal="center" vertical="center"/>
    </xf>
    <xf numFmtId="9" fontId="18" fillId="0" borderId="210" xfId="0" applyNumberFormat="1" applyFont="1" applyBorder="1" applyAlignment="1">
      <alignment horizontal="center" vertical="center"/>
    </xf>
    <xf numFmtId="165" fontId="18" fillId="0" borderId="210" xfId="0" applyNumberFormat="1" applyFont="1" applyBorder="1" applyAlignment="1">
      <alignment horizontal="center" vertical="center"/>
    </xf>
    <xf numFmtId="3" fontId="18" fillId="0" borderId="213" xfId="0" applyNumberFormat="1" applyFont="1" applyBorder="1" applyAlignment="1">
      <alignment horizontal="center" vertical="center"/>
    </xf>
    <xf numFmtId="183" fontId="58" fillId="34" borderId="1" xfId="6" applyNumberFormat="1" applyFont="1" applyFill="1"/>
    <xf numFmtId="0" fontId="17" fillId="17" borderId="77" xfId="0" applyFont="1" applyFill="1" applyBorder="1" applyAlignment="1">
      <alignment horizontal="left" vertical="center" wrapText="1"/>
    </xf>
    <xf numFmtId="0" fontId="18" fillId="17" borderId="77" xfId="0" applyFont="1" applyFill="1" applyBorder="1" applyAlignment="1">
      <alignment horizontal="center" vertical="center"/>
    </xf>
    <xf numFmtId="178" fontId="18" fillId="17" borderId="89" xfId="0" applyNumberFormat="1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left" vertical="center" wrapText="1"/>
    </xf>
    <xf numFmtId="0" fontId="18" fillId="17" borderId="1" xfId="0" applyFont="1" applyFill="1" applyBorder="1" applyAlignment="1">
      <alignment horizontal="center" vertical="center" wrapText="1"/>
    </xf>
    <xf numFmtId="0" fontId="18" fillId="17" borderId="1" xfId="0" applyFont="1" applyFill="1" applyBorder="1" applyAlignment="1">
      <alignment horizontal="center" vertical="center"/>
    </xf>
    <xf numFmtId="178" fontId="18" fillId="17" borderId="34" xfId="0" applyNumberFormat="1" applyFont="1" applyFill="1" applyBorder="1" applyAlignment="1">
      <alignment horizontal="center" vertical="center"/>
    </xf>
    <xf numFmtId="0" fontId="17" fillId="17" borderId="122" xfId="0" applyFont="1" applyFill="1" applyBorder="1" applyAlignment="1">
      <alignment horizontal="left" vertical="center" wrapText="1"/>
    </xf>
    <xf numFmtId="0" fontId="18" fillId="17" borderId="122" xfId="0" applyFont="1" applyFill="1" applyBorder="1" applyAlignment="1">
      <alignment horizontal="center" vertical="center" wrapText="1"/>
    </xf>
    <xf numFmtId="0" fontId="18" fillId="17" borderId="122" xfId="0" applyFont="1" applyFill="1" applyBorder="1" applyAlignment="1">
      <alignment horizontal="center" vertical="center"/>
    </xf>
    <xf numFmtId="178" fontId="18" fillId="17" borderId="162" xfId="0" applyNumberFormat="1" applyFont="1" applyFill="1" applyBorder="1" applyAlignment="1">
      <alignment horizontal="center" vertical="center"/>
    </xf>
    <xf numFmtId="0" fontId="17" fillId="17" borderId="121" xfId="0" applyFont="1" applyFill="1" applyBorder="1" applyAlignment="1">
      <alignment horizontal="left" vertical="center" wrapText="1"/>
    </xf>
    <xf numFmtId="0" fontId="18" fillId="17" borderId="121" xfId="0" applyFont="1" applyFill="1" applyBorder="1" applyAlignment="1">
      <alignment horizontal="center" vertical="center" wrapText="1"/>
    </xf>
    <xf numFmtId="0" fontId="18" fillId="17" borderId="121" xfId="0" applyFont="1" applyFill="1" applyBorder="1" applyAlignment="1">
      <alignment horizontal="center" vertical="center"/>
    </xf>
    <xf numFmtId="178" fontId="18" fillId="17" borderId="169" xfId="0" applyNumberFormat="1" applyFont="1" applyFill="1" applyBorder="1" applyAlignment="1">
      <alignment horizontal="center" vertical="center"/>
    </xf>
    <xf numFmtId="0" fontId="58" fillId="34" borderId="1" xfId="6" applyFont="1" applyFill="1" applyAlignment="1">
      <alignment horizontal="center"/>
    </xf>
    <xf numFmtId="0" fontId="82" fillId="34" borderId="1" xfId="6" applyFont="1" applyFill="1" applyAlignment="1">
      <alignment horizontal="left"/>
    </xf>
    <xf numFmtId="183" fontId="82" fillId="34" borderId="1" xfId="6" applyNumberFormat="1" applyFont="1" applyFill="1" applyAlignment="1">
      <alignment horizontal="right"/>
    </xf>
    <xf numFmtId="0" fontId="81" fillId="34" borderId="1" xfId="6" applyFont="1" applyFill="1" applyAlignment="1">
      <alignment horizontal="left"/>
    </xf>
    <xf numFmtId="183" fontId="83" fillId="34" borderId="1" xfId="6" applyNumberFormat="1" applyFont="1" applyFill="1" applyAlignment="1">
      <alignment horizontal="right"/>
    </xf>
    <xf numFmtId="0" fontId="86" fillId="34" borderId="1" xfId="6" applyFont="1" applyFill="1" applyAlignment="1">
      <alignment horizontal="left"/>
    </xf>
    <xf numFmtId="183" fontId="84" fillId="34" borderId="1" xfId="6" applyNumberFormat="1" applyFont="1" applyFill="1" applyAlignment="1">
      <alignment horizontal="right"/>
    </xf>
    <xf numFmtId="0" fontId="83" fillId="34" borderId="1" xfId="6" applyFont="1" applyFill="1" applyAlignment="1">
      <alignment horizontal="left"/>
    </xf>
    <xf numFmtId="183" fontId="85" fillId="34" borderId="1" xfId="6" applyNumberFormat="1" applyFont="1" applyFill="1" applyAlignment="1">
      <alignment horizontal="right"/>
    </xf>
    <xf numFmtId="0" fontId="84" fillId="34" borderId="1" xfId="6" applyFont="1" applyFill="1" applyAlignment="1">
      <alignment horizontal="left"/>
    </xf>
    <xf numFmtId="183" fontId="86" fillId="34" borderId="1" xfId="6" applyNumberFormat="1" applyFont="1" applyFill="1" applyAlignment="1">
      <alignment horizontal="right"/>
    </xf>
    <xf numFmtId="0" fontId="85" fillId="34" borderId="1" xfId="6" applyFont="1" applyFill="1" applyAlignment="1">
      <alignment horizontal="left"/>
    </xf>
    <xf numFmtId="183" fontId="81" fillId="34" borderId="1" xfId="6" applyNumberFormat="1" applyFont="1" applyFill="1" applyAlignment="1">
      <alignment horizontal="right"/>
    </xf>
    <xf numFmtId="0" fontId="59" fillId="34" borderId="23" xfId="6" applyFont="1" applyFill="1" applyBorder="1" applyAlignment="1">
      <alignment horizontal="left"/>
    </xf>
    <xf numFmtId="183" fontId="59" fillId="34" borderId="23" xfId="8" applyNumberFormat="1" applyFont="1" applyFill="1" applyBorder="1" applyAlignment="1">
      <alignment horizontal="right"/>
    </xf>
    <xf numFmtId="9" fontId="59" fillId="34" borderId="23" xfId="7" applyFont="1" applyFill="1" applyBorder="1" applyAlignment="1">
      <alignment horizontal="center"/>
    </xf>
    <xf numFmtId="0" fontId="59" fillId="34" borderId="1" xfId="6" applyFont="1" applyFill="1" applyAlignment="1">
      <alignment horizontal="left"/>
    </xf>
    <xf numFmtId="183" fontId="59" fillId="34" borderId="1" xfId="8" applyNumberFormat="1" applyFont="1" applyFill="1" applyBorder="1" applyAlignment="1">
      <alignment horizontal="right"/>
    </xf>
    <xf numFmtId="9" fontId="59" fillId="34" borderId="1" xfId="7" applyFont="1" applyFill="1" applyBorder="1" applyAlignment="1">
      <alignment horizontal="center"/>
    </xf>
    <xf numFmtId="183" fontId="60" fillId="34" borderId="1" xfId="8" applyNumberFormat="1" applyFont="1" applyFill="1" applyBorder="1" applyAlignment="1">
      <alignment horizontal="right"/>
    </xf>
    <xf numFmtId="9" fontId="60" fillId="34" borderId="1" xfId="7" applyFont="1" applyFill="1" applyBorder="1" applyAlignment="1">
      <alignment horizontal="center"/>
    </xf>
    <xf numFmtId="0" fontId="87" fillId="34" borderId="1" xfId="6" applyFont="1" applyFill="1" applyAlignment="1">
      <alignment horizontal="left"/>
    </xf>
    <xf numFmtId="0" fontId="87" fillId="34" borderId="1" xfId="6" applyFont="1" applyFill="1" applyAlignment="1">
      <alignment horizontal="right"/>
    </xf>
    <xf numFmtId="0" fontId="87" fillId="34" borderId="1" xfId="6" applyFont="1" applyFill="1" applyAlignment="1">
      <alignment horizontal="center"/>
    </xf>
    <xf numFmtId="0" fontId="60" fillId="34" borderId="23" xfId="6" applyFont="1" applyFill="1" applyBorder="1" applyAlignment="1">
      <alignment horizontal="left"/>
    </xf>
    <xf numFmtId="183" fontId="60" fillId="34" borderId="23" xfId="8" applyNumberFormat="1" applyFont="1" applyFill="1" applyBorder="1" applyAlignment="1">
      <alignment horizontal="right"/>
    </xf>
    <xf numFmtId="9" fontId="60" fillId="34" borderId="23" xfId="7" applyFont="1" applyFill="1" applyBorder="1" applyAlignment="1">
      <alignment horizontal="center"/>
    </xf>
    <xf numFmtId="0" fontId="60" fillId="34" borderId="1" xfId="6" applyFont="1" applyFill="1" applyAlignment="1">
      <alignment horizontal="left"/>
    </xf>
    <xf numFmtId="0" fontId="88" fillId="2" borderId="1" xfId="0" applyFont="1" applyFill="1" applyBorder="1" applyAlignment="1">
      <alignment horizontal="center"/>
    </xf>
    <xf numFmtId="0" fontId="49" fillId="2" borderId="1" xfId="0" applyFont="1" applyFill="1" applyBorder="1" applyAlignment="1">
      <alignment horizontal="center"/>
    </xf>
    <xf numFmtId="0" fontId="89" fillId="0" borderId="0" xfId="0" applyFont="1"/>
    <xf numFmtId="0" fontId="49" fillId="0" borderId="0" xfId="0" applyFont="1" applyAlignment="1">
      <alignment horizontal="center"/>
    </xf>
    <xf numFmtId="1" fontId="49" fillId="0" borderId="0" xfId="0" applyNumberFormat="1" applyFont="1"/>
    <xf numFmtId="0" fontId="49" fillId="5" borderId="43" xfId="0" applyFont="1" applyFill="1" applyBorder="1" applyAlignment="1">
      <alignment vertical="center"/>
    </xf>
    <xf numFmtId="0" fontId="49" fillId="22" borderId="39" xfId="0" applyFont="1" applyFill="1" applyBorder="1" applyAlignment="1">
      <alignment horizontal="center" vertical="center"/>
    </xf>
    <xf numFmtId="40" fontId="49" fillId="0" borderId="178" xfId="6" applyNumberFormat="1" applyFont="1" applyBorder="1" applyAlignment="1">
      <alignment horizontal="center" vertical="center"/>
    </xf>
    <xf numFmtId="40" fontId="49" fillId="0" borderId="11" xfId="6" applyNumberFormat="1" applyFont="1" applyBorder="1" applyAlignment="1">
      <alignment horizontal="center" vertical="center"/>
    </xf>
    <xf numFmtId="40" fontId="49" fillId="0" borderId="121" xfId="6" applyNumberFormat="1" applyFont="1" applyBorder="1" applyAlignment="1">
      <alignment horizontal="center" vertical="center"/>
    </xf>
    <xf numFmtId="0" fontId="89" fillId="0" borderId="1" xfId="0" applyFont="1" applyBorder="1"/>
    <xf numFmtId="0" fontId="49" fillId="0" borderId="0" xfId="0" applyFont="1"/>
    <xf numFmtId="0" fontId="88" fillId="0" borderId="0" xfId="0" applyFont="1"/>
    <xf numFmtId="0" fontId="17" fillId="27" borderId="163" xfId="0" applyFont="1" applyFill="1" applyBorder="1" applyAlignment="1">
      <alignment horizontal="left" vertical="center" wrapText="1"/>
    </xf>
    <xf numFmtId="0" fontId="18" fillId="27" borderId="122" xfId="0" applyFont="1" applyFill="1" applyBorder="1" applyAlignment="1">
      <alignment horizontal="center" vertical="center"/>
    </xf>
    <xf numFmtId="176" fontId="18" fillId="27" borderId="162" xfId="0" applyNumberFormat="1" applyFont="1" applyFill="1" applyBorder="1" applyAlignment="1">
      <alignment horizontal="center" vertical="center"/>
    </xf>
    <xf numFmtId="0" fontId="17" fillId="27" borderId="202" xfId="0" applyFont="1" applyFill="1" applyBorder="1" applyAlignment="1">
      <alignment horizontal="left" vertical="center" wrapText="1"/>
    </xf>
    <xf numFmtId="0" fontId="18" fillId="27" borderId="190" xfId="0" applyFont="1" applyFill="1" applyBorder="1" applyAlignment="1">
      <alignment horizontal="center" vertical="center" wrapText="1"/>
    </xf>
    <xf numFmtId="0" fontId="18" fillId="27" borderId="190" xfId="0" applyFont="1" applyFill="1" applyBorder="1" applyAlignment="1">
      <alignment horizontal="center" vertical="center"/>
    </xf>
    <xf numFmtId="176" fontId="18" fillId="27" borderId="203" xfId="0" applyNumberFormat="1" applyFont="1" applyFill="1" applyBorder="1" applyAlignment="1">
      <alignment horizontal="center" vertical="center"/>
    </xf>
    <xf numFmtId="49" fontId="17" fillId="0" borderId="109" xfId="0" applyNumberFormat="1" applyFont="1" applyBorder="1" applyAlignment="1">
      <alignment horizontal="center" vertical="top" wrapText="1"/>
    </xf>
    <xf numFmtId="49" fontId="18" fillId="0" borderId="14" xfId="0" quotePrefix="1" applyNumberFormat="1" applyFont="1" applyBorder="1" applyAlignment="1">
      <alignment horizontal="left" vertical="center"/>
    </xf>
    <xf numFmtId="0" fontId="12" fillId="5" borderId="214" xfId="0" applyFont="1" applyFill="1" applyBorder="1" applyAlignment="1">
      <alignment vertical="center"/>
    </xf>
    <xf numFmtId="0" fontId="12" fillId="5" borderId="214" xfId="0" applyFont="1" applyFill="1" applyBorder="1" applyAlignment="1">
      <alignment horizontal="center" vertical="center"/>
    </xf>
    <xf numFmtId="0" fontId="11" fillId="4" borderId="77" xfId="0" applyFont="1" applyFill="1" applyBorder="1" applyAlignment="1">
      <alignment horizontal="left" vertical="center"/>
    </xf>
    <xf numFmtId="0" fontId="9" fillId="4" borderId="77" xfId="0" applyFont="1" applyFill="1" applyBorder="1"/>
    <xf numFmtId="0" fontId="49" fillId="16" borderId="216" xfId="0" applyFont="1" applyFill="1" applyBorder="1" applyAlignment="1">
      <alignment vertical="center"/>
    </xf>
    <xf numFmtId="167" fontId="17" fillId="15" borderId="216" xfId="0" applyNumberFormat="1" applyFont="1" applyFill="1" applyBorder="1" applyAlignment="1">
      <alignment vertical="center"/>
    </xf>
    <xf numFmtId="167" fontId="17" fillId="15" borderId="218" xfId="0" applyNumberFormat="1" applyFont="1" applyFill="1" applyBorder="1" applyAlignment="1">
      <alignment vertical="center"/>
    </xf>
    <xf numFmtId="0" fontId="16" fillId="23" borderId="77" xfId="0" applyFont="1" applyFill="1" applyBorder="1"/>
    <xf numFmtId="49" fontId="17" fillId="0" borderId="220" xfId="0" applyNumberFormat="1" applyFont="1" applyBorder="1" applyAlignment="1">
      <alignment vertical="top" wrapText="1"/>
    </xf>
    <xf numFmtId="49" fontId="17" fillId="0" borderId="221" xfId="0" applyNumberFormat="1" applyFont="1" applyBorder="1" applyAlignment="1">
      <alignment vertical="top" wrapText="1"/>
    </xf>
    <xf numFmtId="49" fontId="17" fillId="0" borderId="222" xfId="0" applyNumberFormat="1" applyFont="1" applyBorder="1" applyAlignment="1">
      <alignment vertical="top" wrapText="1"/>
    </xf>
    <xf numFmtId="49" fontId="17" fillId="24" borderId="223" xfId="0" quotePrefix="1" applyNumberFormat="1" applyFont="1" applyFill="1" applyBorder="1" applyAlignment="1">
      <alignment vertical="top" wrapText="1"/>
    </xf>
    <xf numFmtId="49" fontId="17" fillId="24" borderId="109" xfId="0" quotePrefix="1" applyNumberFormat="1" applyFont="1" applyFill="1" applyBorder="1" applyAlignment="1">
      <alignment vertical="top" wrapText="1"/>
    </xf>
    <xf numFmtId="49" fontId="17" fillId="0" borderId="223" xfId="0" applyNumberFormat="1" applyFont="1" applyBorder="1" applyAlignment="1">
      <alignment vertical="top" wrapText="1"/>
    </xf>
    <xf numFmtId="49" fontId="17" fillId="0" borderId="219" xfId="0" applyNumberFormat="1" applyFont="1" applyBorder="1" applyAlignment="1">
      <alignment vertical="top" wrapText="1"/>
    </xf>
    <xf numFmtId="49" fontId="17" fillId="0" borderId="166" xfId="0" applyNumberFormat="1" applyFont="1" applyBorder="1" applyAlignment="1">
      <alignment horizontal="center" vertical="top" wrapText="1"/>
    </xf>
    <xf numFmtId="49" fontId="17" fillId="0" borderId="116" xfId="0" applyNumberFormat="1" applyFont="1" applyBorder="1" applyAlignment="1">
      <alignment horizontal="center" vertical="top" wrapText="1"/>
    </xf>
    <xf numFmtId="49" fontId="17" fillId="0" borderId="171" xfId="0" applyNumberFormat="1" applyFont="1" applyBorder="1" applyAlignment="1">
      <alignment horizontal="center" vertical="top" wrapText="1"/>
    </xf>
    <xf numFmtId="49" fontId="17" fillId="0" borderId="220" xfId="0" applyNumberFormat="1" applyFont="1" applyBorder="1" applyAlignment="1">
      <alignment horizontal="center" vertical="top" wrapText="1"/>
    </xf>
    <xf numFmtId="49" fontId="17" fillId="0" borderId="221" xfId="0" applyNumberFormat="1" applyFont="1" applyBorder="1" applyAlignment="1">
      <alignment horizontal="center" vertical="top" wrapText="1"/>
    </xf>
    <xf numFmtId="0" fontId="17" fillId="30" borderId="111" xfId="0" applyFont="1" applyFill="1" applyBorder="1" applyAlignment="1">
      <alignment horizontal="left" vertical="center" wrapText="1"/>
    </xf>
    <xf numFmtId="0" fontId="18" fillId="30" borderId="82" xfId="0" applyFont="1" applyFill="1" applyBorder="1" applyAlignment="1">
      <alignment horizontal="center" vertical="center" wrapText="1"/>
    </xf>
    <xf numFmtId="0" fontId="18" fillId="30" borderId="82" xfId="0" applyFont="1" applyFill="1" applyBorder="1" applyAlignment="1">
      <alignment horizontal="center" vertical="center"/>
    </xf>
    <xf numFmtId="175" fontId="18" fillId="30" borderId="112" xfId="0" applyNumberFormat="1" applyFont="1" applyFill="1" applyBorder="1" applyAlignment="1">
      <alignment horizontal="center" vertical="center"/>
    </xf>
    <xf numFmtId="49" fontId="50" fillId="0" borderId="79" xfId="0" applyNumberFormat="1" applyFont="1" applyBorder="1" applyAlignment="1">
      <alignment horizontal="left" vertical="center"/>
    </xf>
    <xf numFmtId="49" fontId="50" fillId="0" borderId="92" xfId="0" applyNumberFormat="1" applyFont="1" applyBorder="1" applyAlignment="1">
      <alignment horizontal="left" vertical="center"/>
    </xf>
    <xf numFmtId="40" fontId="49" fillId="0" borderId="190" xfId="6" applyNumberFormat="1" applyFont="1" applyBorder="1" applyAlignment="1">
      <alignment horizontal="center" vertical="center"/>
    </xf>
    <xf numFmtId="40" fontId="49" fillId="0" borderId="172" xfId="6" applyNumberFormat="1" applyFont="1" applyBorder="1" applyAlignment="1">
      <alignment horizontal="center" vertical="center"/>
    </xf>
    <xf numFmtId="0" fontId="15" fillId="5" borderId="224" xfId="0" applyFont="1" applyFill="1" applyBorder="1" applyAlignment="1">
      <alignment vertical="center"/>
    </xf>
    <xf numFmtId="0" fontId="15" fillId="5" borderId="225" xfId="0" applyFont="1" applyFill="1" applyBorder="1" applyAlignment="1">
      <alignment horizontal="center" vertical="center"/>
    </xf>
    <xf numFmtId="9" fontId="18" fillId="0" borderId="31" xfId="0" applyNumberFormat="1" applyFont="1" applyBorder="1" applyAlignment="1">
      <alignment horizontal="center" vertical="center"/>
    </xf>
    <xf numFmtId="9" fontId="18" fillId="0" borderId="72" xfId="0" applyNumberFormat="1" applyFont="1" applyBorder="1" applyAlignment="1">
      <alignment horizontal="center" vertical="center"/>
    </xf>
    <xf numFmtId="0" fontId="40" fillId="5" borderId="226" xfId="0" applyFont="1" applyFill="1" applyBorder="1" applyAlignment="1">
      <alignment vertical="center"/>
    </xf>
    <xf numFmtId="0" fontId="9" fillId="0" borderId="1" xfId="0" applyFont="1" applyBorder="1"/>
    <xf numFmtId="173" fontId="32" fillId="29" borderId="1" xfId="0" applyNumberFormat="1" applyFont="1" applyFill="1" applyBorder="1"/>
    <xf numFmtId="0" fontId="56" fillId="0" borderId="1" xfId="0" applyFont="1" applyBorder="1"/>
    <xf numFmtId="0" fontId="56" fillId="0" borderId="1" xfId="0" applyFont="1" applyBorder="1" applyAlignment="1">
      <alignment horizontal="center"/>
    </xf>
    <xf numFmtId="0" fontId="55" fillId="0" borderId="1" xfId="0" applyFont="1" applyBorder="1" applyAlignment="1">
      <alignment horizontal="center"/>
    </xf>
    <xf numFmtId="0" fontId="40" fillId="5" borderId="228" xfId="0" applyFont="1" applyFill="1" applyBorder="1" applyAlignment="1">
      <alignment horizontal="center" vertical="center"/>
    </xf>
    <xf numFmtId="186" fontId="32" fillId="29" borderId="1" xfId="0" applyNumberFormat="1" applyFont="1" applyFill="1" applyBorder="1"/>
    <xf numFmtId="173" fontId="0" fillId="0" borderId="1" xfId="0" applyNumberFormat="1" applyBorder="1"/>
    <xf numFmtId="9" fontId="33" fillId="36" borderId="230" xfId="0" applyNumberFormat="1" applyFont="1" applyFill="1" applyBorder="1" applyAlignment="1">
      <alignment horizontal="center" vertical="center"/>
    </xf>
    <xf numFmtId="0" fontId="0" fillId="29" borderId="1" xfId="0" applyFill="1" applyBorder="1"/>
    <xf numFmtId="0" fontId="0" fillId="0" borderId="1" xfId="0" applyBorder="1" applyAlignment="1">
      <alignment vertical="center"/>
    </xf>
    <xf numFmtId="0" fontId="42" fillId="0" borderId="1" xfId="0" applyFont="1" applyBorder="1"/>
    <xf numFmtId="0" fontId="32" fillId="0" borderId="1" xfId="0" applyFont="1" applyBorder="1"/>
    <xf numFmtId="0" fontId="55" fillId="0" borderId="1" xfId="0" applyFont="1" applyBorder="1" applyAlignment="1">
      <alignment horizontal="center" vertical="center"/>
    </xf>
    <xf numFmtId="9" fontId="33" fillId="36" borderId="232" xfId="0" applyNumberFormat="1" applyFont="1" applyFill="1" applyBorder="1" applyAlignment="1">
      <alignment horizontal="center" vertical="center"/>
    </xf>
    <xf numFmtId="9" fontId="33" fillId="36" borderId="233" xfId="0" applyNumberFormat="1" applyFont="1" applyFill="1" applyBorder="1" applyAlignment="1">
      <alignment horizontal="center" vertical="center"/>
    </xf>
    <xf numFmtId="9" fontId="33" fillId="36" borderId="235" xfId="0" applyNumberFormat="1" applyFont="1" applyFill="1" applyBorder="1" applyAlignment="1">
      <alignment horizontal="center" vertical="center"/>
    </xf>
    <xf numFmtId="9" fontId="33" fillId="36" borderId="237" xfId="0" applyNumberFormat="1" applyFont="1" applyFill="1" applyBorder="1" applyAlignment="1">
      <alignment horizontal="center" vertical="center"/>
    </xf>
    <xf numFmtId="9" fontId="33" fillId="36" borderId="238" xfId="0" applyNumberFormat="1" applyFont="1" applyFill="1" applyBorder="1" applyAlignment="1">
      <alignment horizontal="center" vertical="center"/>
    </xf>
    <xf numFmtId="9" fontId="33" fillId="11" borderId="239" xfId="0" applyNumberFormat="1" applyFont="1" applyFill="1" applyBorder="1" applyAlignment="1">
      <alignment horizontal="center" vertical="center"/>
    </xf>
    <xf numFmtId="9" fontId="33" fillId="11" borderId="241" xfId="0" applyNumberFormat="1" applyFont="1" applyFill="1" applyBorder="1" applyAlignment="1">
      <alignment horizontal="center" vertical="center"/>
    </xf>
    <xf numFmtId="9" fontId="33" fillId="11" borderId="242" xfId="0" applyNumberFormat="1" applyFont="1" applyFill="1" applyBorder="1" applyAlignment="1">
      <alignment horizontal="center" vertical="center"/>
    </xf>
    <xf numFmtId="9" fontId="33" fillId="11" borderId="243" xfId="0" applyNumberFormat="1" applyFont="1" applyFill="1" applyBorder="1" applyAlignment="1">
      <alignment horizontal="center" vertical="center"/>
    </xf>
    <xf numFmtId="9" fontId="33" fillId="11" borderId="244" xfId="0" applyNumberFormat="1" applyFont="1" applyFill="1" applyBorder="1" applyAlignment="1">
      <alignment horizontal="center" vertical="center"/>
    </xf>
    <xf numFmtId="9" fontId="33" fillId="8" borderId="242" xfId="0" applyNumberFormat="1" applyFont="1" applyFill="1" applyBorder="1" applyAlignment="1">
      <alignment horizontal="center" vertical="center"/>
    </xf>
    <xf numFmtId="9" fontId="33" fillId="8" borderId="241" xfId="0" applyNumberFormat="1" applyFont="1" applyFill="1" applyBorder="1" applyAlignment="1">
      <alignment horizontal="center" vertical="center"/>
    </xf>
    <xf numFmtId="9" fontId="33" fillId="11" borderId="246" xfId="0" applyNumberFormat="1" applyFont="1" applyFill="1" applyBorder="1" applyAlignment="1">
      <alignment horizontal="center" vertical="center"/>
    </xf>
    <xf numFmtId="9" fontId="33" fillId="11" borderId="248" xfId="0" applyNumberFormat="1" applyFont="1" applyFill="1" applyBorder="1" applyAlignment="1">
      <alignment horizontal="center" vertical="center"/>
    </xf>
    <xf numFmtId="9" fontId="41" fillId="33" borderId="243" xfId="0" applyNumberFormat="1" applyFont="1" applyFill="1" applyBorder="1" applyAlignment="1">
      <alignment horizontal="center" vertical="center"/>
    </xf>
    <xf numFmtId="9" fontId="41" fillId="33" borderId="237" xfId="0" applyNumberFormat="1" applyFont="1" applyFill="1" applyBorder="1" applyAlignment="1">
      <alignment horizontal="center" vertical="center"/>
    </xf>
    <xf numFmtId="9" fontId="41" fillId="33" borderId="241" xfId="0" applyNumberFormat="1" applyFont="1" applyFill="1" applyBorder="1" applyAlignment="1">
      <alignment horizontal="center" vertical="center"/>
    </xf>
    <xf numFmtId="9" fontId="41" fillId="33" borderId="242" xfId="0" applyNumberFormat="1" applyFont="1" applyFill="1" applyBorder="1" applyAlignment="1">
      <alignment horizontal="center" vertical="center"/>
    </xf>
    <xf numFmtId="9" fontId="41" fillId="33" borderId="239" xfId="0" applyNumberFormat="1" applyFont="1" applyFill="1" applyBorder="1" applyAlignment="1">
      <alignment horizontal="center" vertical="center"/>
    </xf>
    <xf numFmtId="9" fontId="33" fillId="11" borderId="230" xfId="0" applyNumberFormat="1" applyFont="1" applyFill="1" applyBorder="1" applyAlignment="1">
      <alignment horizontal="center" vertical="center"/>
    </xf>
    <xf numFmtId="9" fontId="33" fillId="11" borderId="233" xfId="0" applyNumberFormat="1" applyFont="1" applyFill="1" applyBorder="1" applyAlignment="1">
      <alignment horizontal="center" vertical="center"/>
    </xf>
    <xf numFmtId="9" fontId="41" fillId="33" borderId="256" xfId="0" applyNumberFormat="1" applyFont="1" applyFill="1" applyBorder="1" applyAlignment="1">
      <alignment horizontal="center" vertical="center"/>
    </xf>
    <xf numFmtId="9" fontId="41" fillId="33" borderId="257" xfId="0" applyNumberFormat="1" applyFont="1" applyFill="1" applyBorder="1" applyAlignment="1">
      <alignment horizontal="center" vertical="center"/>
    </xf>
    <xf numFmtId="9" fontId="33" fillId="8" borderId="243" xfId="0" applyNumberFormat="1" applyFont="1" applyFill="1" applyBorder="1" applyAlignment="1">
      <alignment horizontal="center" vertical="center"/>
    </xf>
    <xf numFmtId="9" fontId="70" fillId="8" borderId="243" xfId="0" applyNumberFormat="1" applyFont="1" applyFill="1" applyBorder="1" applyAlignment="1">
      <alignment horizontal="center" vertical="center"/>
    </xf>
    <xf numFmtId="9" fontId="33" fillId="8" borderId="237" xfId="0" applyNumberFormat="1" applyFont="1" applyFill="1" applyBorder="1" applyAlignment="1">
      <alignment horizontal="center" vertical="center"/>
    </xf>
    <xf numFmtId="0" fontId="52" fillId="0" borderId="1" xfId="0" applyFont="1" applyBorder="1"/>
    <xf numFmtId="0" fontId="66" fillId="0" borderId="1" xfId="0" applyFont="1" applyBorder="1" applyAlignment="1">
      <alignment vertical="center"/>
    </xf>
    <xf numFmtId="0" fontId="67" fillId="0" borderId="1" xfId="0" applyFont="1" applyBorder="1"/>
    <xf numFmtId="0" fontId="68" fillId="0" borderId="1" xfId="0" applyFont="1" applyBorder="1"/>
    <xf numFmtId="0" fontId="69" fillId="0" borderId="1" xfId="0" applyFont="1" applyBorder="1"/>
    <xf numFmtId="9" fontId="33" fillId="8" borderId="238" xfId="0" applyNumberFormat="1" applyFont="1" applyFill="1" applyBorder="1" applyAlignment="1">
      <alignment horizontal="center" vertical="center"/>
    </xf>
    <xf numFmtId="0" fontId="55" fillId="0" borderId="1" xfId="0" applyFont="1" applyBorder="1"/>
    <xf numFmtId="9" fontId="71" fillId="8" borderId="243" xfId="0" applyNumberFormat="1" applyFont="1" applyFill="1" applyBorder="1" applyAlignment="1">
      <alignment horizontal="center" vertical="center"/>
    </xf>
    <xf numFmtId="0" fontId="62" fillId="0" borderId="1" xfId="0" applyFont="1" applyBorder="1"/>
    <xf numFmtId="0" fontId="72" fillId="0" borderId="1" xfId="0" applyFont="1" applyBorder="1"/>
    <xf numFmtId="0" fontId="57" fillId="0" borderId="1" xfId="0" applyFont="1" applyBorder="1"/>
    <xf numFmtId="0" fontId="65" fillId="0" borderId="1" xfId="0" applyFont="1" applyBorder="1"/>
    <xf numFmtId="2" fontId="7" fillId="0" borderId="170" xfId="1" applyNumberFormat="1" applyFont="1" applyBorder="1" applyAlignment="1" applyProtection="1">
      <alignment horizontal="center" vertical="center"/>
    </xf>
    <xf numFmtId="173" fontId="7" fillId="0" borderId="170" xfId="0" applyNumberFormat="1" applyFont="1" applyBorder="1" applyAlignment="1">
      <alignment horizontal="center" vertical="center"/>
    </xf>
    <xf numFmtId="173" fontId="7" fillId="0" borderId="146" xfId="0" applyNumberFormat="1" applyFont="1" applyBorder="1" applyAlignment="1">
      <alignment horizontal="center" vertical="center"/>
    </xf>
    <xf numFmtId="0" fontId="9" fillId="0" borderId="121" xfId="0" applyFont="1" applyBorder="1"/>
    <xf numFmtId="173" fontId="2" fillId="0" borderId="121" xfId="0" quotePrefix="1" applyNumberFormat="1" applyFont="1" applyBorder="1" applyAlignment="1">
      <alignment horizontal="left" vertical="center"/>
    </xf>
    <xf numFmtId="0" fontId="0" fillId="0" borderId="121" xfId="0" applyBorder="1"/>
    <xf numFmtId="0" fontId="0" fillId="29" borderId="121" xfId="0" applyFill="1" applyBorder="1"/>
    <xf numFmtId="0" fontId="0" fillId="0" borderId="258" xfId="0" applyBorder="1"/>
    <xf numFmtId="0" fontId="0" fillId="0" borderId="121" xfId="0" applyBorder="1" applyAlignment="1">
      <alignment vertical="center"/>
    </xf>
    <xf numFmtId="0" fontId="56" fillId="0" borderId="121" xfId="0" applyFont="1" applyBorder="1"/>
    <xf numFmtId="0" fontId="42" fillId="0" borderId="121" xfId="0" applyFont="1" applyBorder="1"/>
    <xf numFmtId="0" fontId="32" fillId="0" borderId="121" xfId="0" applyFont="1" applyBorder="1"/>
    <xf numFmtId="0" fontId="17" fillId="0" borderId="2" xfId="0" applyFont="1" applyBorder="1" applyAlignment="1">
      <alignment vertical="center"/>
    </xf>
    <xf numFmtId="168" fontId="18" fillId="0" borderId="5" xfId="0" applyNumberFormat="1" applyFont="1" applyBorder="1" applyAlignment="1">
      <alignment horizontal="center" vertical="center"/>
    </xf>
    <xf numFmtId="0" fontId="17" fillId="17" borderId="3" xfId="0" applyFont="1" applyFill="1" applyBorder="1" applyAlignment="1">
      <alignment vertical="center"/>
    </xf>
    <xf numFmtId="0" fontId="17" fillId="23" borderId="3" xfId="0" applyFont="1" applyFill="1" applyBorder="1" applyAlignment="1">
      <alignment vertical="center"/>
    </xf>
    <xf numFmtId="0" fontId="17" fillId="4" borderId="6" xfId="0" applyFont="1" applyFill="1" applyBorder="1" applyAlignment="1">
      <alignment vertical="center"/>
    </xf>
    <xf numFmtId="10" fontId="18" fillId="0" borderId="4" xfId="0" applyNumberFormat="1" applyFont="1" applyBorder="1" applyAlignment="1">
      <alignment horizontal="center" vertical="center"/>
    </xf>
    <xf numFmtId="165" fontId="49" fillId="13" borderId="1" xfId="0" applyNumberFormat="1" applyFont="1" applyFill="1" applyBorder="1" applyAlignment="1">
      <alignment horizontal="center" vertical="center"/>
    </xf>
    <xf numFmtId="0" fontId="90" fillId="2" borderId="1" xfId="0" applyFont="1" applyFill="1" applyBorder="1" applyAlignment="1">
      <alignment horizontal="center"/>
    </xf>
    <xf numFmtId="0" fontId="75" fillId="2" borderId="1" xfId="0" applyFont="1" applyFill="1" applyBorder="1" applyAlignment="1">
      <alignment horizontal="center"/>
    </xf>
    <xf numFmtId="0" fontId="75" fillId="0" borderId="0" xfId="0" applyFont="1" applyAlignment="1">
      <alignment vertical="center"/>
    </xf>
    <xf numFmtId="0" fontId="91" fillId="24" borderId="0" xfId="0" applyFont="1" applyFill="1" applyAlignment="1">
      <alignment vertical="center"/>
    </xf>
    <xf numFmtId="1" fontId="91" fillId="0" borderId="0" xfId="0" applyNumberFormat="1" applyFont="1" applyAlignment="1">
      <alignment horizontal="center" vertical="center"/>
    </xf>
    <xf numFmtId="40" fontId="80" fillId="0" borderId="231" xfId="6" applyNumberFormat="1" applyFont="1" applyBorder="1" applyAlignment="1">
      <alignment horizontal="center" vertical="center"/>
    </xf>
    <xf numFmtId="40" fontId="80" fillId="0" borderId="19" xfId="6" applyNumberFormat="1" applyFont="1" applyBorder="1" applyAlignment="1">
      <alignment horizontal="center" vertical="center"/>
    </xf>
    <xf numFmtId="40" fontId="80" fillId="0" borderId="234" xfId="6" applyNumberFormat="1" applyFont="1" applyBorder="1" applyAlignment="1">
      <alignment horizontal="center" vertical="center"/>
    </xf>
    <xf numFmtId="40" fontId="80" fillId="0" borderId="236" xfId="6" applyNumberFormat="1" applyFont="1" applyBorder="1" applyAlignment="1">
      <alignment horizontal="center" vertical="center"/>
    </xf>
    <xf numFmtId="40" fontId="80" fillId="0" borderId="27" xfId="6" applyNumberFormat="1" applyFont="1" applyBorder="1" applyAlignment="1">
      <alignment horizontal="center" vertical="center"/>
    </xf>
    <xf numFmtId="40" fontId="80" fillId="0" borderId="146" xfId="6" applyNumberFormat="1" applyFont="1" applyBorder="1" applyAlignment="1">
      <alignment horizontal="center" vertical="center"/>
    </xf>
    <xf numFmtId="40" fontId="80" fillId="0" borderId="240" xfId="0" applyNumberFormat="1" applyFont="1" applyBorder="1" applyAlignment="1">
      <alignment horizontal="center" vertical="center"/>
    </xf>
    <xf numFmtId="40" fontId="80" fillId="0" borderId="19" xfId="0" applyNumberFormat="1" applyFont="1" applyBorder="1" applyAlignment="1">
      <alignment horizontal="center" vertical="center"/>
    </xf>
    <xf numFmtId="40" fontId="80" fillId="0" borderId="20" xfId="0" applyNumberFormat="1" applyFont="1" applyBorder="1" applyAlignment="1">
      <alignment horizontal="center" vertical="center"/>
    </xf>
    <xf numFmtId="40" fontId="80" fillId="0" borderId="18" xfId="0" applyNumberFormat="1" applyFont="1" applyBorder="1" applyAlignment="1">
      <alignment horizontal="center" vertical="center"/>
    </xf>
    <xf numFmtId="40" fontId="80" fillId="0" borderId="245" xfId="0" applyNumberFormat="1" applyFont="1" applyBorder="1" applyAlignment="1">
      <alignment horizontal="center" vertical="center"/>
    </xf>
    <xf numFmtId="40" fontId="80" fillId="0" borderId="27" xfId="0" applyNumberFormat="1" applyFont="1" applyBorder="1" applyAlignment="1">
      <alignment horizontal="center" vertical="center"/>
    </xf>
    <xf numFmtId="40" fontId="80" fillId="0" borderId="247" xfId="0" applyNumberFormat="1" applyFont="1" applyBorder="1" applyAlignment="1">
      <alignment horizontal="center" vertical="center"/>
    </xf>
    <xf numFmtId="40" fontId="80" fillId="0" borderId="249" xfId="0" applyNumberFormat="1" applyFont="1" applyBorder="1" applyAlignment="1">
      <alignment horizontal="center" vertical="center"/>
    </xf>
    <xf numFmtId="40" fontId="80" fillId="0" borderId="229" xfId="0" applyNumberFormat="1" applyFont="1" applyBorder="1" applyAlignment="1">
      <alignment horizontal="center" vertical="center"/>
    </xf>
    <xf numFmtId="40" fontId="80" fillId="0" borderId="250" xfId="0" applyNumberFormat="1" applyFont="1" applyBorder="1" applyAlignment="1">
      <alignment horizontal="center" vertical="center"/>
    </xf>
    <xf numFmtId="40" fontId="80" fillId="0" borderId="251" xfId="0" applyNumberFormat="1" applyFont="1" applyBorder="1" applyAlignment="1">
      <alignment horizontal="center" vertical="center"/>
    </xf>
    <xf numFmtId="40" fontId="80" fillId="0" borderId="252" xfId="0" applyNumberFormat="1" applyFont="1" applyBorder="1" applyAlignment="1">
      <alignment horizontal="center" vertical="center"/>
    </xf>
    <xf numFmtId="40" fontId="80" fillId="0" borderId="253" xfId="0" applyNumberFormat="1" applyFont="1" applyBorder="1" applyAlignment="1">
      <alignment horizontal="center" vertical="center"/>
    </xf>
    <xf numFmtId="40" fontId="80" fillId="0" borderId="254" xfId="0" applyNumberFormat="1" applyFont="1" applyBorder="1" applyAlignment="1">
      <alignment horizontal="center" vertical="center"/>
    </xf>
    <xf numFmtId="40" fontId="80" fillId="0" borderId="255" xfId="0" applyNumberFormat="1" applyFont="1" applyBorder="1" applyAlignment="1">
      <alignment horizontal="center" vertical="center"/>
    </xf>
    <xf numFmtId="40" fontId="80" fillId="0" borderId="87" xfId="0" applyNumberFormat="1" applyFont="1" applyBorder="1" applyAlignment="1">
      <alignment horizontal="center" vertical="center"/>
    </xf>
    <xf numFmtId="40" fontId="80" fillId="0" borderId="234" xfId="0" applyNumberFormat="1" applyFont="1" applyBorder="1" applyAlignment="1">
      <alignment horizontal="center" vertical="center"/>
    </xf>
    <xf numFmtId="40" fontId="80" fillId="0" borderId="146" xfId="0" applyNumberFormat="1" applyFont="1" applyBorder="1" applyAlignment="1">
      <alignment horizontal="center" vertical="center"/>
    </xf>
    <xf numFmtId="0" fontId="90" fillId="0" borderId="0" xfId="0" applyFont="1"/>
    <xf numFmtId="0" fontId="56" fillId="0" borderId="0" xfId="0" applyFont="1" applyAlignment="1">
      <alignment horizontal="center" vertical="center"/>
    </xf>
    <xf numFmtId="164" fontId="0" fillId="29" borderId="0" xfId="1" applyFont="1" applyFill="1" applyAlignment="1" applyProtection="1"/>
    <xf numFmtId="0" fontId="17" fillId="7" borderId="3" xfId="0" applyFont="1" applyFill="1" applyBorder="1" applyAlignment="1">
      <alignment vertical="center"/>
    </xf>
    <xf numFmtId="1" fontId="18" fillId="38" borderId="5" xfId="0" applyNumberFormat="1" applyFont="1" applyFill="1" applyBorder="1" applyAlignment="1">
      <alignment horizontal="center" vertical="center"/>
    </xf>
    <xf numFmtId="3" fontId="73" fillId="0" borderId="0" xfId="1" applyNumberFormat="1" applyFont="1" applyAlignment="1" applyProtection="1">
      <alignment horizontal="center" vertical="center"/>
    </xf>
    <xf numFmtId="10" fontId="7" fillId="0" borderId="0" xfId="3" applyNumberFormat="1" applyFont="1" applyAlignment="1" applyProtection="1">
      <alignment vertical="center"/>
    </xf>
    <xf numFmtId="49" fontId="18" fillId="21" borderId="5" xfId="0" applyNumberFormat="1" applyFont="1" applyFill="1" applyBorder="1" applyAlignment="1">
      <alignment horizontal="center" vertical="center"/>
    </xf>
    <xf numFmtId="10" fontId="49" fillId="0" borderId="0" xfId="3" applyNumberFormat="1" applyFont="1" applyAlignment="1" applyProtection="1">
      <alignment vertical="center"/>
    </xf>
    <xf numFmtId="164" fontId="7" fillId="0" borderId="0" xfId="1" applyFont="1" applyAlignment="1" applyProtection="1">
      <alignment vertical="center"/>
    </xf>
    <xf numFmtId="164" fontId="75" fillId="0" borderId="0" xfId="1" applyFont="1" applyAlignment="1" applyProtection="1">
      <alignment vertical="center"/>
    </xf>
    <xf numFmtId="164" fontId="7" fillId="0" borderId="0" xfId="1" applyFont="1" applyFill="1" applyAlignment="1" applyProtection="1">
      <alignment vertical="center"/>
    </xf>
    <xf numFmtId="164" fontId="75" fillId="0" borderId="0" xfId="1" applyFont="1" applyFill="1" applyAlignment="1" applyProtection="1">
      <alignment vertical="center"/>
    </xf>
    <xf numFmtId="10" fontId="36" fillId="0" borderId="0" xfId="3" applyNumberFormat="1" applyFont="1" applyAlignment="1" applyProtection="1">
      <alignment vertical="center"/>
    </xf>
    <xf numFmtId="1" fontId="18" fillId="21" borderId="5" xfId="0" applyNumberFormat="1" applyFont="1" applyFill="1" applyBorder="1" applyAlignment="1">
      <alignment horizontal="center" vertical="center"/>
    </xf>
    <xf numFmtId="9" fontId="7" fillId="0" borderId="0" xfId="3" applyFont="1" applyProtection="1"/>
    <xf numFmtId="1" fontId="21" fillId="24" borderId="0" xfId="1" applyNumberFormat="1" applyFont="1" applyFill="1" applyAlignment="1" applyProtection="1">
      <alignment horizontal="center"/>
    </xf>
    <xf numFmtId="9" fontId="36" fillId="0" borderId="0" xfId="3" applyFont="1" applyProtection="1"/>
    <xf numFmtId="164" fontId="5" fillId="0" borderId="0" xfId="1" applyFont="1" applyAlignment="1" applyProtection="1"/>
    <xf numFmtId="1" fontId="56" fillId="0" borderId="0" xfId="1" applyNumberFormat="1" applyFont="1" applyAlignment="1" applyProtection="1">
      <alignment horizontal="center"/>
    </xf>
    <xf numFmtId="172" fontId="56" fillId="0" borderId="0" xfId="3" applyNumberFormat="1" applyFont="1" applyAlignment="1" applyProtection="1">
      <alignment horizontal="center"/>
    </xf>
    <xf numFmtId="9" fontId="17" fillId="0" borderId="4" xfId="3" applyFont="1" applyBorder="1" applyAlignment="1" applyProtection="1">
      <alignment horizontal="center" vertical="center"/>
    </xf>
    <xf numFmtId="9" fontId="7" fillId="0" borderId="0" xfId="3" applyFont="1" applyAlignment="1" applyProtection="1">
      <alignment vertical="center"/>
    </xf>
    <xf numFmtId="9" fontId="36" fillId="0" borderId="0" xfId="3" applyFont="1" applyAlignment="1" applyProtection="1">
      <alignment vertical="center"/>
    </xf>
    <xf numFmtId="2" fontId="8" fillId="0" borderId="0" xfId="0" applyNumberFormat="1" applyFont="1" applyAlignment="1">
      <alignment horizontal="center" vertical="center"/>
    </xf>
    <xf numFmtId="9" fontId="48" fillId="7" borderId="0" xfId="3" applyFont="1" applyFill="1" applyProtection="1"/>
    <xf numFmtId="9" fontId="15" fillId="15" borderId="216" xfId="3" applyFont="1" applyFill="1" applyBorder="1" applyAlignment="1" applyProtection="1">
      <alignment horizontal="center" vertical="center"/>
    </xf>
    <xf numFmtId="172" fontId="56" fillId="0" borderId="1" xfId="3" applyNumberFormat="1" applyFont="1" applyBorder="1" applyAlignment="1" applyProtection="1">
      <alignment horizontal="center"/>
    </xf>
    <xf numFmtId="1" fontId="17" fillId="14" borderId="122" xfId="0" applyNumberFormat="1" applyFont="1" applyFill="1" applyBorder="1" applyAlignment="1">
      <alignment horizontal="center" vertical="center"/>
    </xf>
    <xf numFmtId="1" fontId="17" fillId="14" borderId="22" xfId="0" applyNumberFormat="1" applyFont="1" applyFill="1" applyBorder="1" applyAlignment="1">
      <alignment horizontal="center" vertical="center"/>
    </xf>
    <xf numFmtId="1" fontId="17" fillId="14" borderId="121" xfId="0" applyNumberFormat="1" applyFont="1" applyFill="1" applyBorder="1" applyAlignment="1">
      <alignment horizontal="center" vertical="center"/>
    </xf>
    <xf numFmtId="1" fontId="17" fillId="14" borderId="172" xfId="0" applyNumberFormat="1" applyFont="1" applyFill="1" applyBorder="1" applyAlignment="1">
      <alignment horizontal="center" vertical="center"/>
    </xf>
    <xf numFmtId="1" fontId="17" fillId="14" borderId="23" xfId="0" applyNumberFormat="1" applyFont="1" applyFill="1" applyBorder="1" applyAlignment="1">
      <alignment horizontal="center" vertical="center"/>
    </xf>
    <xf numFmtId="165" fontId="17" fillId="13" borderId="62" xfId="0" applyNumberFormat="1" applyFont="1" applyFill="1" applyBorder="1" applyAlignment="1">
      <alignment horizontal="center" vertical="center"/>
    </xf>
    <xf numFmtId="1" fontId="17" fillId="14" borderId="65" xfId="0" applyNumberFormat="1" applyFont="1" applyFill="1" applyBorder="1" applyAlignment="1">
      <alignment horizontal="center" vertical="center"/>
    </xf>
    <xf numFmtId="1" fontId="18" fillId="3" borderId="65" xfId="0" applyNumberFormat="1" applyFont="1" applyFill="1" applyBorder="1" applyAlignment="1">
      <alignment horizontal="center" vertical="center"/>
    </xf>
    <xf numFmtId="165" fontId="17" fillId="13" borderId="11" xfId="0" applyNumberFormat="1" applyFont="1" applyFill="1" applyBorder="1" applyAlignment="1">
      <alignment horizontal="center" vertical="center"/>
    </xf>
    <xf numFmtId="165" fontId="17" fillId="13" borderId="12" xfId="0" applyNumberFormat="1" applyFont="1" applyFill="1" applyBorder="1" applyAlignment="1">
      <alignment horizontal="center" vertical="center"/>
    </xf>
    <xf numFmtId="165" fontId="17" fillId="13" borderId="93" xfId="0" applyNumberFormat="1" applyFont="1" applyFill="1" applyBorder="1" applyAlignment="1">
      <alignment horizontal="center" vertical="center"/>
    </xf>
    <xf numFmtId="1" fontId="17" fillId="14" borderId="93" xfId="0" applyNumberFormat="1" applyFont="1" applyFill="1" applyBorder="1" applyAlignment="1">
      <alignment horizontal="center" vertical="center"/>
    </xf>
    <xf numFmtId="1" fontId="18" fillId="3" borderId="93" xfId="0" applyNumberFormat="1" applyFont="1" applyFill="1" applyBorder="1" applyAlignment="1">
      <alignment horizontal="center" vertical="center"/>
    </xf>
    <xf numFmtId="165" fontId="17" fillId="13" borderId="77" xfId="0" applyNumberFormat="1" applyFont="1" applyFill="1" applyBorder="1" applyAlignment="1">
      <alignment horizontal="center" vertical="center"/>
    </xf>
    <xf numFmtId="1" fontId="17" fillId="14" borderId="77" xfId="0" applyNumberFormat="1" applyFont="1" applyFill="1" applyBorder="1" applyAlignment="1">
      <alignment horizontal="center" vertical="center"/>
    </xf>
    <xf numFmtId="1" fontId="18" fillId="3" borderId="77" xfId="0" applyNumberFormat="1" applyFont="1" applyFill="1" applyBorder="1" applyAlignment="1">
      <alignment horizontal="center" vertical="center"/>
    </xf>
    <xf numFmtId="165" fontId="17" fillId="13" borderId="82" xfId="0" applyNumberFormat="1" applyFont="1" applyFill="1" applyBorder="1" applyAlignment="1">
      <alignment horizontal="center" vertical="center"/>
    </xf>
    <xf numFmtId="1" fontId="17" fillId="14" borderId="82" xfId="0" applyNumberFormat="1" applyFont="1" applyFill="1" applyBorder="1" applyAlignment="1">
      <alignment horizontal="center" vertical="center"/>
    </xf>
    <xf numFmtId="165" fontId="17" fillId="13" borderId="39" xfId="0" applyNumberFormat="1" applyFont="1" applyFill="1" applyBorder="1" applyAlignment="1">
      <alignment horizontal="center" vertical="center"/>
    </xf>
    <xf numFmtId="1" fontId="17" fillId="14" borderId="39" xfId="0" applyNumberFormat="1" applyFont="1" applyFill="1" applyBorder="1" applyAlignment="1">
      <alignment horizontal="center" vertical="center"/>
    </xf>
    <xf numFmtId="1" fontId="18" fillId="3" borderId="39" xfId="0" applyNumberFormat="1" applyFont="1" applyFill="1" applyBorder="1" applyAlignment="1">
      <alignment horizontal="center" vertical="center"/>
    </xf>
    <xf numFmtId="165" fontId="17" fillId="13" borderId="69" xfId="0" applyNumberFormat="1" applyFont="1" applyFill="1" applyBorder="1" applyAlignment="1">
      <alignment horizontal="center" vertical="center"/>
    </xf>
    <xf numFmtId="1" fontId="17" fillId="14" borderId="72" xfId="0" applyNumberFormat="1" applyFont="1" applyFill="1" applyBorder="1" applyAlignment="1">
      <alignment horizontal="center" vertical="center"/>
    </xf>
    <xf numFmtId="1" fontId="18" fillId="3" borderId="72" xfId="0" applyNumberFormat="1" applyFont="1" applyFill="1" applyBorder="1" applyAlignment="1">
      <alignment horizontal="center" vertical="center"/>
    </xf>
    <xf numFmtId="165" fontId="17" fillId="13" borderId="65" xfId="0" applyNumberFormat="1" applyFont="1" applyFill="1" applyBorder="1" applyAlignment="1">
      <alignment horizontal="center" vertical="center"/>
    </xf>
    <xf numFmtId="165" fontId="17" fillId="13" borderId="45" xfId="0" applyNumberFormat="1" applyFont="1" applyFill="1" applyBorder="1" applyAlignment="1">
      <alignment horizontal="center" vertical="center"/>
    </xf>
    <xf numFmtId="1" fontId="17" fillId="14" borderId="45" xfId="0" applyNumberFormat="1" applyFont="1" applyFill="1" applyBorder="1" applyAlignment="1">
      <alignment horizontal="center" vertical="center"/>
    </xf>
    <xf numFmtId="1" fontId="18" fillId="3" borderId="45" xfId="0" applyNumberFormat="1" applyFont="1" applyFill="1" applyBorder="1" applyAlignment="1">
      <alignment horizontal="center" vertical="center"/>
    </xf>
    <xf numFmtId="165" fontId="17" fillId="13" borderId="184" xfId="0" applyNumberFormat="1" applyFont="1" applyFill="1" applyBorder="1" applyAlignment="1">
      <alignment horizontal="center" vertical="center"/>
    </xf>
    <xf numFmtId="1" fontId="17" fillId="14" borderId="184" xfId="0" applyNumberFormat="1" applyFont="1" applyFill="1" applyBorder="1" applyAlignment="1">
      <alignment horizontal="center" vertical="center"/>
    </xf>
    <xf numFmtId="1" fontId="18" fillId="3" borderId="184" xfId="0" applyNumberFormat="1" applyFont="1" applyFill="1" applyBorder="1" applyAlignment="1">
      <alignment horizontal="center" vertical="center"/>
    </xf>
    <xf numFmtId="165" fontId="17" fillId="13" borderId="210" xfId="0" applyNumberFormat="1" applyFont="1" applyFill="1" applyBorder="1" applyAlignment="1">
      <alignment horizontal="center" vertical="center"/>
    </xf>
    <xf numFmtId="1" fontId="17" fillId="14" borderId="210" xfId="0" applyNumberFormat="1" applyFont="1" applyFill="1" applyBorder="1" applyAlignment="1">
      <alignment horizontal="center" vertical="center"/>
    </xf>
    <xf numFmtId="1" fontId="18" fillId="3" borderId="210" xfId="0" applyNumberFormat="1" applyFont="1" applyFill="1" applyBorder="1" applyAlignment="1">
      <alignment horizontal="center" vertical="center"/>
    </xf>
    <xf numFmtId="1" fontId="17" fillId="3" borderId="1" xfId="0" applyNumberFormat="1" applyFont="1" applyFill="1" applyBorder="1" applyAlignment="1">
      <alignment horizontal="center" vertical="center"/>
    </xf>
    <xf numFmtId="2" fontId="17" fillId="0" borderId="10" xfId="1" applyNumberFormat="1" applyFont="1" applyBorder="1" applyAlignment="1" applyProtection="1">
      <alignment horizontal="center" vertical="center"/>
    </xf>
    <xf numFmtId="165" fontId="17" fillId="13" borderId="143" xfId="0" applyNumberFormat="1" applyFont="1" applyFill="1" applyBorder="1" applyAlignment="1">
      <alignment horizontal="center" vertical="center"/>
    </xf>
    <xf numFmtId="1" fontId="17" fillId="14" borderId="143" xfId="0" applyNumberFormat="1" applyFont="1" applyFill="1" applyBorder="1" applyAlignment="1">
      <alignment horizontal="center" vertical="center"/>
    </xf>
    <xf numFmtId="1" fontId="17" fillId="3" borderId="143" xfId="0" applyNumberFormat="1" applyFont="1" applyFill="1" applyBorder="1" applyAlignment="1">
      <alignment horizontal="center" vertical="center"/>
    </xf>
    <xf numFmtId="1" fontId="17" fillId="14" borderId="11" xfId="0" applyNumberFormat="1" applyFont="1" applyFill="1" applyBorder="1" applyAlignment="1">
      <alignment horizontal="center" vertical="center"/>
    </xf>
    <xf numFmtId="1" fontId="49" fillId="14" borderId="1" xfId="0" applyNumberFormat="1" applyFont="1" applyFill="1" applyBorder="1" applyAlignment="1">
      <alignment horizontal="center" vertical="center"/>
    </xf>
    <xf numFmtId="2" fontId="50" fillId="0" borderId="10" xfId="1" applyNumberFormat="1" applyFont="1" applyBorder="1" applyAlignment="1" applyProtection="1">
      <alignment horizontal="center" vertical="center"/>
    </xf>
    <xf numFmtId="173" fontId="8" fillId="0" borderId="0" xfId="2" applyNumberFormat="1" applyFont="1" applyAlignment="1" applyProtection="1">
      <alignment horizontal="center"/>
    </xf>
    <xf numFmtId="2" fontId="7" fillId="0" borderId="0" xfId="1" applyNumberFormat="1" applyFont="1" applyProtection="1"/>
    <xf numFmtId="1" fontId="0" fillId="0" borderId="0" xfId="0" applyNumberFormat="1"/>
    <xf numFmtId="0" fontId="17" fillId="0" borderId="6" xfId="0" applyFont="1" applyBorder="1" applyAlignment="1">
      <alignment vertical="center"/>
    </xf>
    <xf numFmtId="169" fontId="17" fillId="0" borderId="5" xfId="0" applyNumberFormat="1" applyFont="1" applyBorder="1" applyAlignment="1">
      <alignment horizontal="center" vertical="center"/>
    </xf>
    <xf numFmtId="40" fontId="38" fillId="0" borderId="178" xfId="6" applyNumberFormat="1" applyFont="1" applyBorder="1" applyAlignment="1">
      <alignment horizontal="center" vertical="center"/>
    </xf>
    <xf numFmtId="40" fontId="38" fillId="0" borderId="11" xfId="6" applyNumberFormat="1" applyFont="1" applyBorder="1" applyAlignment="1">
      <alignment horizontal="center" vertical="center"/>
    </xf>
    <xf numFmtId="40" fontId="38" fillId="0" borderId="121" xfId="6" applyNumberFormat="1" applyFont="1" applyBorder="1" applyAlignment="1">
      <alignment horizontal="center" vertical="center"/>
    </xf>
    <xf numFmtId="40" fontId="38" fillId="0" borderId="172" xfId="6" applyNumberFormat="1" applyFont="1" applyBorder="1" applyAlignment="1">
      <alignment horizontal="center" vertical="center"/>
    </xf>
    <xf numFmtId="40" fontId="38" fillId="24" borderId="62" xfId="0" applyNumberFormat="1" applyFont="1" applyFill="1" applyBorder="1" applyAlignment="1">
      <alignment horizontal="center" vertical="center"/>
    </xf>
    <xf numFmtId="40" fontId="38" fillId="24" borderId="11" xfId="0" applyNumberFormat="1" applyFont="1" applyFill="1" applyBorder="1" applyAlignment="1">
      <alignment horizontal="center" vertical="center"/>
    </xf>
    <xf numFmtId="40" fontId="38" fillId="24" borderId="12" xfId="0" applyNumberFormat="1" applyFont="1" applyFill="1" applyBorder="1" applyAlignment="1">
      <alignment horizontal="center" vertical="center"/>
    </xf>
    <xf numFmtId="40" fontId="38" fillId="24" borderId="1" xfId="0" applyNumberFormat="1" applyFont="1" applyFill="1" applyBorder="1" applyAlignment="1">
      <alignment horizontal="center" vertical="center"/>
    </xf>
    <xf numFmtId="40" fontId="38" fillId="24" borderId="93" xfId="0" applyNumberFormat="1" applyFont="1" applyFill="1" applyBorder="1" applyAlignment="1">
      <alignment horizontal="center" vertical="center"/>
    </xf>
    <xf numFmtId="40" fontId="38" fillId="24" borderId="14" xfId="0" applyNumberFormat="1" applyFont="1" applyFill="1" applyBorder="1" applyAlignment="1">
      <alignment horizontal="center" vertical="center"/>
    </xf>
    <xf numFmtId="40" fontId="38" fillId="24" borderId="77" xfId="0" applyNumberFormat="1" applyFont="1" applyFill="1" applyBorder="1" applyAlignment="1">
      <alignment horizontal="center" vertical="center"/>
    </xf>
    <xf numFmtId="40" fontId="38" fillId="24" borderId="82" xfId="0" applyNumberFormat="1" applyFont="1" applyFill="1" applyBorder="1" applyAlignment="1">
      <alignment horizontal="center" vertical="center"/>
    </xf>
    <xf numFmtId="40" fontId="38" fillId="24" borderId="116" xfId="0" applyNumberFormat="1" applyFont="1" applyFill="1" applyBorder="1" applyAlignment="1">
      <alignment horizontal="center" vertical="center"/>
    </xf>
    <xf numFmtId="40" fontId="38" fillId="24" borderId="115" xfId="0" applyNumberFormat="1" applyFont="1" applyFill="1" applyBorder="1" applyAlignment="1">
      <alignment horizontal="center" vertical="center"/>
    </xf>
    <xf numFmtId="40" fontId="38" fillId="24" borderId="21" xfId="0" applyNumberFormat="1" applyFont="1" applyFill="1" applyBorder="1" applyAlignment="1">
      <alignment horizontal="center" vertical="center"/>
    </xf>
    <xf numFmtId="40" fontId="38" fillId="24" borderId="31" xfId="0" applyNumberFormat="1" applyFont="1" applyFill="1" applyBorder="1" applyAlignment="1">
      <alignment horizontal="center" vertical="center"/>
    </xf>
    <xf numFmtId="40" fontId="38" fillId="24" borderId="69" xfId="0" applyNumberFormat="1" applyFont="1" applyFill="1" applyBorder="1" applyAlignment="1">
      <alignment horizontal="center" vertical="center"/>
    </xf>
    <xf numFmtId="40" fontId="38" fillId="24" borderId="23" xfId="0" applyNumberFormat="1" applyFont="1" applyFill="1" applyBorder="1" applyAlignment="1">
      <alignment horizontal="center" vertical="center"/>
    </xf>
    <xf numFmtId="40" fontId="38" fillId="24" borderId="45" xfId="0" applyNumberFormat="1" applyFont="1" applyFill="1" applyBorder="1" applyAlignment="1">
      <alignment horizontal="center" vertical="center"/>
    </xf>
    <xf numFmtId="40" fontId="38" fillId="0" borderId="1" xfId="0" applyNumberFormat="1" applyFont="1" applyBorder="1" applyAlignment="1">
      <alignment horizontal="center" vertical="center"/>
    </xf>
    <xf numFmtId="40" fontId="38" fillId="24" borderId="122" xfId="0" applyNumberFormat="1" applyFont="1" applyFill="1" applyBorder="1" applyAlignment="1">
      <alignment horizontal="center" vertical="center"/>
    </xf>
    <xf numFmtId="40" fontId="38" fillId="0" borderId="121" xfId="0" applyNumberFormat="1" applyFont="1" applyBorder="1" applyAlignment="1">
      <alignment horizontal="center" vertical="center"/>
    </xf>
    <xf numFmtId="40" fontId="38" fillId="24" borderId="197" xfId="0" applyNumberFormat="1" applyFont="1" applyFill="1" applyBorder="1" applyAlignment="1">
      <alignment horizontal="center" vertical="center"/>
    </xf>
    <xf numFmtId="40" fontId="38" fillId="24" borderId="190" xfId="0" applyNumberFormat="1" applyFont="1" applyFill="1" applyBorder="1" applyAlignment="1">
      <alignment horizontal="center" vertical="center"/>
    </xf>
    <xf numFmtId="40" fontId="38" fillId="24" borderId="39" xfId="0" applyNumberFormat="1" applyFont="1" applyFill="1" applyBorder="1" applyAlignment="1">
      <alignment horizontal="center" vertical="center"/>
    </xf>
    <xf numFmtId="40" fontId="38" fillId="0" borderId="12" xfId="0" applyNumberFormat="1" applyFont="1" applyBorder="1" applyAlignment="1">
      <alignment horizontal="center" vertical="center"/>
    </xf>
    <xf numFmtId="40" fontId="38" fillId="0" borderId="101" xfId="0" applyNumberFormat="1" applyFont="1" applyBorder="1" applyAlignment="1">
      <alignment horizontal="center" vertical="center"/>
    </xf>
    <xf numFmtId="40" fontId="38" fillId="0" borderId="11" xfId="0" applyNumberFormat="1" applyFont="1" applyBorder="1" applyAlignment="1">
      <alignment horizontal="center" vertical="center"/>
    </xf>
    <xf numFmtId="40" fontId="38" fillId="24" borderId="101" xfId="0" applyNumberFormat="1" applyFont="1" applyFill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93" fillId="0" borderId="0" xfId="0" applyFont="1"/>
    <xf numFmtId="0" fontId="94" fillId="0" borderId="0" xfId="0" applyFont="1"/>
    <xf numFmtId="0" fontId="56" fillId="0" borderId="0" xfId="0" applyFont="1" applyAlignment="1">
      <alignment vertical="center"/>
    </xf>
    <xf numFmtId="0" fontId="95" fillId="0" borderId="0" xfId="0" applyFont="1"/>
    <xf numFmtId="0" fontId="96" fillId="0" borderId="0" xfId="0" applyFont="1"/>
    <xf numFmtId="1" fontId="56" fillId="0" borderId="0" xfId="0" applyNumberFormat="1" applyFont="1" applyAlignment="1">
      <alignment horizontal="center" vertical="center"/>
    </xf>
    <xf numFmtId="0" fontId="97" fillId="17" borderId="3" xfId="0" applyFont="1" applyFill="1" applyBorder="1" applyAlignment="1">
      <alignment vertical="center"/>
    </xf>
    <xf numFmtId="0" fontId="98" fillId="0" borderId="0" xfId="0" applyFont="1"/>
    <xf numFmtId="0" fontId="98" fillId="7" borderId="0" xfId="0" applyFont="1" applyFill="1"/>
    <xf numFmtId="1" fontId="56" fillId="27" borderId="0" xfId="0" applyNumberFormat="1" applyFont="1" applyFill="1"/>
    <xf numFmtId="0" fontId="56" fillId="27" borderId="0" xfId="0" applyFont="1" applyFill="1"/>
    <xf numFmtId="0" fontId="56" fillId="7" borderId="0" xfId="0" applyFont="1" applyFill="1"/>
    <xf numFmtId="0" fontId="79" fillId="7" borderId="1" xfId="10" applyFont="1" applyFill="1" applyAlignment="1">
      <alignment horizontal="center"/>
    </xf>
    <xf numFmtId="2" fontId="79" fillId="7" borderId="1" xfId="11" applyNumberFormat="1" applyFont="1" applyFill="1" applyAlignment="1" applyProtection="1">
      <alignment horizontal="center"/>
    </xf>
    <xf numFmtId="0" fontId="99" fillId="0" borderId="1" xfId="10" applyFont="1"/>
    <xf numFmtId="0" fontId="79" fillId="0" borderId="1" xfId="10" applyFont="1" applyAlignment="1">
      <alignment horizontal="center"/>
    </xf>
    <xf numFmtId="0" fontId="100" fillId="0" borderId="1" xfId="10" applyFont="1" applyAlignment="1">
      <alignment horizontal="center"/>
    </xf>
    <xf numFmtId="171" fontId="100" fillId="0" borderId="1" xfId="9" applyNumberFormat="1" applyFont="1" applyBorder="1" applyAlignment="1" applyProtection="1">
      <alignment horizontal="center"/>
    </xf>
    <xf numFmtId="2" fontId="100" fillId="0" borderId="1" xfId="11" applyNumberFormat="1" applyFont="1" applyAlignment="1" applyProtection="1">
      <alignment horizontal="center"/>
    </xf>
    <xf numFmtId="9" fontId="100" fillId="0" borderId="1" xfId="7" applyFont="1" applyAlignment="1" applyProtection="1">
      <alignment horizontal="center"/>
    </xf>
    <xf numFmtId="0" fontId="101" fillId="41" borderId="1" xfId="10" applyFont="1" applyFill="1" applyAlignment="1">
      <alignment horizontal="center"/>
    </xf>
    <xf numFmtId="0" fontId="103" fillId="0" borderId="1" xfId="10" applyFont="1" applyAlignment="1">
      <alignment vertical="center"/>
    </xf>
    <xf numFmtId="0" fontId="102" fillId="0" borderId="260" xfId="10" applyFont="1" applyBorder="1" applyAlignment="1">
      <alignment horizontal="center" vertical="center"/>
    </xf>
    <xf numFmtId="0" fontId="102" fillId="0" borderId="1" xfId="10" applyFont="1" applyAlignment="1">
      <alignment horizontal="center" vertical="center"/>
    </xf>
    <xf numFmtId="0" fontId="102" fillId="0" borderId="18" xfId="10" applyFont="1" applyBorder="1" applyAlignment="1">
      <alignment horizontal="center" vertical="center"/>
    </xf>
    <xf numFmtId="0" fontId="104" fillId="0" borderId="1" xfId="10" applyFont="1" applyAlignment="1">
      <alignment horizontal="center"/>
    </xf>
    <xf numFmtId="0" fontId="104" fillId="0" borderId="18" xfId="10" applyFont="1" applyBorder="1" applyAlignment="1">
      <alignment horizontal="center"/>
    </xf>
    <xf numFmtId="0" fontId="105" fillId="0" borderId="1" xfId="10" applyFont="1"/>
    <xf numFmtId="0" fontId="106" fillId="0" borderId="261" xfId="10" applyFont="1" applyBorder="1" applyAlignment="1">
      <alignment horizontal="right"/>
    </xf>
    <xf numFmtId="9" fontId="106" fillId="0" borderId="262" xfId="10" applyNumberFormat="1" applyFont="1" applyBorder="1" applyAlignment="1">
      <alignment horizontal="center"/>
    </xf>
    <xf numFmtId="0" fontId="106" fillId="0" borderId="1" xfId="10" applyFont="1" applyAlignment="1">
      <alignment horizontal="left"/>
    </xf>
    <xf numFmtId="0" fontId="106" fillId="0" borderId="18" xfId="10" applyFont="1" applyBorder="1" applyAlignment="1">
      <alignment horizontal="left"/>
    </xf>
    <xf numFmtId="0" fontId="107" fillId="0" borderId="1" xfId="10" applyFont="1" applyAlignment="1">
      <alignment horizontal="left"/>
    </xf>
    <xf numFmtId="0" fontId="106" fillId="0" borderId="263" xfId="10" applyFont="1" applyBorder="1" applyAlignment="1">
      <alignment horizontal="right"/>
    </xf>
    <xf numFmtId="9" fontId="106" fillId="0" borderId="264" xfId="12" applyFont="1" applyFill="1" applyBorder="1" applyAlignment="1" applyProtection="1">
      <alignment horizontal="center"/>
    </xf>
    <xf numFmtId="0" fontId="99" fillId="0" borderId="265" xfId="10" applyFont="1" applyBorder="1"/>
    <xf numFmtId="0" fontId="99" fillId="0" borderId="121" xfId="10" applyFont="1" applyBorder="1"/>
    <xf numFmtId="0" fontId="99" fillId="0" borderId="146" xfId="10" applyFont="1" applyBorder="1"/>
    <xf numFmtId="0" fontId="108" fillId="43" borderId="266" xfId="10" applyFont="1" applyFill="1" applyBorder="1" applyAlignment="1">
      <alignment horizontal="center" vertical="center" wrapText="1"/>
    </xf>
    <xf numFmtId="0" fontId="108" fillId="43" borderId="267" xfId="10" applyFont="1" applyFill="1" applyBorder="1" applyAlignment="1">
      <alignment horizontal="center" vertical="center" wrapText="1"/>
    </xf>
    <xf numFmtId="0" fontId="108" fillId="44" borderId="267" xfId="10" applyFont="1" applyFill="1" applyBorder="1" applyAlignment="1">
      <alignment horizontal="center" vertical="center" wrapText="1"/>
    </xf>
    <xf numFmtId="10" fontId="108" fillId="45" borderId="267" xfId="10" applyNumberFormat="1" applyFont="1" applyFill="1" applyBorder="1" applyAlignment="1">
      <alignment horizontal="center" vertical="center" wrapText="1"/>
    </xf>
    <xf numFmtId="0" fontId="108" fillId="45" borderId="267" xfId="10" applyFont="1" applyFill="1" applyBorder="1" applyAlignment="1">
      <alignment horizontal="center" vertical="center" wrapText="1"/>
    </xf>
    <xf numFmtId="0" fontId="108" fillId="46" borderId="267" xfId="10" applyFont="1" applyFill="1" applyBorder="1" applyAlignment="1">
      <alignment horizontal="center" vertical="center" wrapText="1"/>
    </xf>
    <xf numFmtId="9" fontId="108" fillId="47" borderId="267" xfId="10" applyNumberFormat="1" applyFont="1" applyFill="1" applyBorder="1" applyAlignment="1">
      <alignment horizontal="center" vertical="center" wrapText="1"/>
    </xf>
    <xf numFmtId="0" fontId="108" fillId="10" borderId="268" xfId="10" applyFont="1" applyFill="1" applyBorder="1" applyAlignment="1">
      <alignment horizontal="center" vertical="center" wrapText="1"/>
    </xf>
    <xf numFmtId="0" fontId="109" fillId="48" borderId="261" xfId="10" applyFont="1" applyFill="1" applyBorder="1"/>
    <xf numFmtId="44" fontId="109" fillId="49" borderId="269" xfId="13" applyFont="1" applyFill="1" applyBorder="1" applyAlignment="1" applyProtection="1">
      <alignment horizontal="center"/>
    </xf>
    <xf numFmtId="44" fontId="109" fillId="50" borderId="269" xfId="11" applyNumberFormat="1" applyFont="1" applyFill="1" applyBorder="1" applyProtection="1"/>
    <xf numFmtId="10" fontId="99" fillId="49" borderId="269" xfId="10" applyNumberFormat="1" applyFont="1" applyFill="1" applyBorder="1" applyAlignment="1">
      <alignment horizontal="center"/>
    </xf>
    <xf numFmtId="44" fontId="109" fillId="51" borderId="269" xfId="13" applyFont="1" applyFill="1" applyBorder="1" applyProtection="1"/>
    <xf numFmtId="44" fontId="109" fillId="52" borderId="269" xfId="13" applyFont="1" applyFill="1" applyBorder="1" applyAlignment="1" applyProtection="1"/>
    <xf numFmtId="44" fontId="109" fillId="53" borderId="269" xfId="13" applyFont="1" applyFill="1" applyBorder="1" applyProtection="1"/>
    <xf numFmtId="173" fontId="100" fillId="0" borderId="269" xfId="10" applyNumberFormat="1" applyFont="1" applyBorder="1" applyAlignment="1">
      <alignment horizontal="center" vertical="center"/>
    </xf>
    <xf numFmtId="44" fontId="107" fillId="24" borderId="262" xfId="13" applyFont="1" applyFill="1" applyBorder="1" applyProtection="1"/>
    <xf numFmtId="44" fontId="109" fillId="51" borderId="270" xfId="13" applyFont="1" applyFill="1" applyBorder="1" applyProtection="1"/>
    <xf numFmtId="173" fontId="100" fillId="0" borderId="270" xfId="10" applyNumberFormat="1" applyFont="1" applyBorder="1" applyAlignment="1">
      <alignment horizontal="center" vertical="center"/>
    </xf>
    <xf numFmtId="44" fontId="107" fillId="24" borderId="271" xfId="13" applyFont="1" applyFill="1" applyBorder="1" applyProtection="1"/>
    <xf numFmtId="0" fontId="99" fillId="0" borderId="260" xfId="10" applyFont="1" applyBorder="1"/>
    <xf numFmtId="0" fontId="99" fillId="0" borderId="18" xfId="10" applyFont="1" applyBorder="1"/>
    <xf numFmtId="0" fontId="111" fillId="0" borderId="1" xfId="10" applyFont="1"/>
    <xf numFmtId="0" fontId="49" fillId="56" borderId="36" xfId="0" applyFont="1" applyFill="1" applyBorder="1" applyAlignment="1">
      <alignment horizontal="left" vertical="center" wrapText="1"/>
    </xf>
    <xf numFmtId="0" fontId="49" fillId="56" borderId="59" xfId="0" applyFont="1" applyFill="1" applyBorder="1" applyAlignment="1">
      <alignment horizontal="left" vertical="center" wrapText="1"/>
    </xf>
    <xf numFmtId="49" fontId="49" fillId="0" borderId="79" xfId="0" applyNumberFormat="1" applyFont="1" applyBorder="1" applyAlignment="1">
      <alignment vertical="top" wrapText="1"/>
    </xf>
    <xf numFmtId="165" fontId="50" fillId="18" borderId="1" xfId="0" applyNumberFormat="1" applyFont="1" applyFill="1" applyBorder="1" applyAlignment="1">
      <alignment horizontal="center" vertical="center"/>
    </xf>
    <xf numFmtId="49" fontId="50" fillId="0" borderId="86" xfId="0" applyNumberFormat="1" applyFont="1" applyBorder="1" applyAlignment="1">
      <alignment horizontal="left" vertical="center"/>
    </xf>
    <xf numFmtId="49" fontId="50" fillId="0" borderId="272" xfId="0" applyNumberFormat="1" applyFont="1" applyBorder="1" applyAlignment="1">
      <alignment horizontal="left" vertical="center"/>
    </xf>
    <xf numFmtId="0" fontId="49" fillId="56" borderId="163" xfId="0" applyFont="1" applyFill="1" applyBorder="1" applyAlignment="1">
      <alignment horizontal="left" vertical="center" wrapText="1"/>
    </xf>
    <xf numFmtId="0" fontId="18" fillId="30" borderId="122" xfId="0" applyFont="1" applyFill="1" applyBorder="1" applyAlignment="1">
      <alignment horizontal="center" vertical="center" wrapText="1"/>
    </xf>
    <xf numFmtId="0" fontId="50" fillId="30" borderId="122" xfId="0" applyFont="1" applyFill="1" applyBorder="1" applyAlignment="1">
      <alignment horizontal="center" vertical="center" wrapText="1"/>
    </xf>
    <xf numFmtId="175" fontId="50" fillId="30" borderId="162" xfId="0" applyNumberFormat="1" applyFont="1" applyFill="1" applyBorder="1" applyAlignment="1">
      <alignment horizontal="center" vertical="center"/>
    </xf>
    <xf numFmtId="40" fontId="50" fillId="0" borderId="163" xfId="0" applyNumberFormat="1" applyFont="1" applyBorder="1" applyAlignment="1">
      <alignment horizontal="center" vertical="center"/>
    </xf>
    <xf numFmtId="170" fontId="50" fillId="0" borderId="122" xfId="0" applyNumberFormat="1" applyFont="1" applyBorder="1" applyAlignment="1">
      <alignment horizontal="center" vertical="center"/>
    </xf>
    <xf numFmtId="172" fontId="50" fillId="0" borderId="122" xfId="0" applyNumberFormat="1" applyFont="1" applyBorder="1" applyAlignment="1">
      <alignment horizontal="center" vertical="center"/>
    </xf>
    <xf numFmtId="40" fontId="50" fillId="0" borderId="122" xfId="0" applyNumberFormat="1" applyFont="1" applyBorder="1" applyAlignment="1">
      <alignment horizontal="center" vertical="center"/>
    </xf>
    <xf numFmtId="40" fontId="49" fillId="0" borderId="122" xfId="0" applyNumberFormat="1" applyFont="1" applyBorder="1" applyAlignment="1">
      <alignment horizontal="center" vertical="center"/>
    </xf>
    <xf numFmtId="40" fontId="49" fillId="0" borderId="87" xfId="0" applyNumberFormat="1" applyFont="1" applyBorder="1" applyAlignment="1">
      <alignment horizontal="center" vertical="center"/>
    </xf>
    <xf numFmtId="49" fontId="50" fillId="0" borderId="260" xfId="0" applyNumberFormat="1" applyFont="1" applyBorder="1" applyAlignment="1">
      <alignment horizontal="left" vertical="center"/>
    </xf>
    <xf numFmtId="40" fontId="49" fillId="0" borderId="18" xfId="0" applyNumberFormat="1" applyFont="1" applyBorder="1" applyAlignment="1">
      <alignment horizontal="center" vertical="center"/>
    </xf>
    <xf numFmtId="49" fontId="50" fillId="0" borderId="273" xfId="0" applyNumberFormat="1" applyFont="1" applyBorder="1" applyAlignment="1">
      <alignment horizontal="left" vertical="center"/>
    </xf>
    <xf numFmtId="40" fontId="49" fillId="0" borderId="250" xfId="0" applyNumberFormat="1" applyFont="1" applyBorder="1" applyAlignment="1">
      <alignment horizontal="center" vertical="center"/>
    </xf>
    <xf numFmtId="49" fontId="50" fillId="0" borderId="265" xfId="0" applyNumberFormat="1" applyFont="1" applyBorder="1" applyAlignment="1">
      <alignment horizontal="left" vertical="center"/>
    </xf>
    <xf numFmtId="49" fontId="50" fillId="0" borderId="258" xfId="0" applyNumberFormat="1" applyFont="1" applyBorder="1" applyAlignment="1">
      <alignment horizontal="left" vertical="center"/>
    </xf>
    <xf numFmtId="0" fontId="49" fillId="56" borderId="167" xfId="0" applyFont="1" applyFill="1" applyBorder="1" applyAlignment="1">
      <alignment horizontal="left" vertical="center" wrapText="1"/>
    </xf>
    <xf numFmtId="0" fontId="50" fillId="30" borderId="121" xfId="0" applyFont="1" applyFill="1" applyBorder="1" applyAlignment="1">
      <alignment horizontal="center" vertical="center" wrapText="1"/>
    </xf>
    <xf numFmtId="175" fontId="50" fillId="30" borderId="169" xfId="0" applyNumberFormat="1" applyFont="1" applyFill="1" applyBorder="1" applyAlignment="1">
      <alignment horizontal="center" vertical="center"/>
    </xf>
    <xf numFmtId="40" fontId="38" fillId="24" borderId="121" xfId="0" applyNumberFormat="1" applyFont="1" applyFill="1" applyBorder="1" applyAlignment="1">
      <alignment horizontal="center" vertical="center"/>
    </xf>
    <xf numFmtId="40" fontId="50" fillId="0" borderId="167" xfId="0" applyNumberFormat="1" applyFont="1" applyBorder="1" applyAlignment="1">
      <alignment horizontal="center" vertical="center"/>
    </xf>
    <xf numFmtId="170" fontId="50" fillId="0" borderId="121" xfId="0" applyNumberFormat="1" applyFont="1" applyBorder="1" applyAlignment="1">
      <alignment horizontal="center" vertical="center"/>
    </xf>
    <xf numFmtId="172" fontId="50" fillId="0" borderId="121" xfId="0" applyNumberFormat="1" applyFont="1" applyBorder="1" applyAlignment="1">
      <alignment horizontal="center" vertical="center"/>
    </xf>
    <xf numFmtId="40" fontId="50" fillId="0" borderId="121" xfId="0" applyNumberFormat="1" applyFont="1" applyBorder="1" applyAlignment="1">
      <alignment horizontal="center" vertical="center"/>
    </xf>
    <xf numFmtId="40" fontId="49" fillId="0" borderId="121" xfId="0" applyNumberFormat="1" applyFont="1" applyBorder="1" applyAlignment="1">
      <alignment horizontal="center" vertical="center"/>
    </xf>
    <xf numFmtId="40" fontId="49" fillId="0" borderId="146" xfId="0" applyNumberFormat="1" applyFont="1" applyBorder="1" applyAlignment="1">
      <alignment horizontal="center" vertical="center"/>
    </xf>
    <xf numFmtId="0" fontId="0" fillId="37" borderId="0" xfId="0" applyFill="1"/>
    <xf numFmtId="1" fontId="50" fillId="0" borderId="34" xfId="0" applyNumberFormat="1" applyFont="1" applyBorder="1" applyAlignment="1">
      <alignment horizontal="center" vertical="center"/>
    </xf>
    <xf numFmtId="9" fontId="50" fillId="0" borderId="11" xfId="0" applyNumberFormat="1" applyFont="1" applyBorder="1" applyAlignment="1">
      <alignment horizontal="center" vertical="center"/>
    </xf>
    <xf numFmtId="9" fontId="50" fillId="0" borderId="10" xfId="0" applyNumberFormat="1" applyFont="1" applyBorder="1" applyAlignment="1">
      <alignment horizontal="center" vertical="center"/>
    </xf>
    <xf numFmtId="49" fontId="50" fillId="0" borderId="274" xfId="0" applyNumberFormat="1" applyFont="1" applyBorder="1" applyAlignment="1">
      <alignment horizontal="left" vertical="center"/>
    </xf>
    <xf numFmtId="49" fontId="50" fillId="0" borderId="29" xfId="0" applyNumberFormat="1" applyFont="1" applyBorder="1" applyAlignment="1">
      <alignment horizontal="left" vertical="center"/>
    </xf>
    <xf numFmtId="0" fontId="49" fillId="30" borderId="275" xfId="0" applyFont="1" applyFill="1" applyBorder="1" applyAlignment="1">
      <alignment horizontal="left" vertical="center" wrapText="1"/>
    </xf>
    <xf numFmtId="0" fontId="50" fillId="30" borderId="29" xfId="0" applyFont="1" applyFill="1" applyBorder="1" applyAlignment="1">
      <alignment horizontal="center" vertical="center" wrapText="1"/>
    </xf>
    <xf numFmtId="175" fontId="50" fillId="30" borderId="276" xfId="0" applyNumberFormat="1" applyFont="1" applyFill="1" applyBorder="1" applyAlignment="1">
      <alignment horizontal="center" vertical="center"/>
    </xf>
    <xf numFmtId="40" fontId="50" fillId="0" borderId="275" xfId="0" applyNumberFormat="1" applyFont="1" applyBorder="1" applyAlignment="1">
      <alignment horizontal="center" vertical="center"/>
    </xf>
    <xf numFmtId="170" fontId="50" fillId="0" borderId="29" xfId="0" applyNumberFormat="1" applyFont="1" applyBorder="1" applyAlignment="1">
      <alignment horizontal="center" vertical="center"/>
    </xf>
    <xf numFmtId="172" fontId="50" fillId="0" borderId="29" xfId="0" applyNumberFormat="1" applyFont="1" applyBorder="1" applyAlignment="1">
      <alignment horizontal="center" vertical="center"/>
    </xf>
    <xf numFmtId="40" fontId="50" fillId="0" borderId="29" xfId="0" applyNumberFormat="1" applyFont="1" applyBorder="1" applyAlignment="1">
      <alignment horizontal="center" vertical="center"/>
    </xf>
    <xf numFmtId="40" fontId="49" fillId="0" borderId="29" xfId="0" applyNumberFormat="1" applyFont="1" applyBorder="1" applyAlignment="1">
      <alignment horizontal="center" vertical="center"/>
    </xf>
    <xf numFmtId="40" fontId="38" fillId="24" borderId="275" xfId="0" applyNumberFormat="1" applyFont="1" applyFill="1" applyBorder="1" applyAlignment="1">
      <alignment horizontal="center" vertical="center"/>
    </xf>
    <xf numFmtId="40" fontId="49" fillId="0" borderId="277" xfId="0" applyNumberFormat="1" applyFont="1" applyBorder="1" applyAlignment="1">
      <alignment horizontal="center" vertical="center"/>
    </xf>
    <xf numFmtId="0" fontId="77" fillId="24" borderId="278" xfId="6" applyFont="1" applyFill="1" applyBorder="1" applyAlignment="1">
      <alignment horizontal="left" vertical="center" wrapText="1"/>
    </xf>
    <xf numFmtId="0" fontId="78" fillId="24" borderId="1" xfId="6" applyFont="1" applyFill="1" applyAlignment="1">
      <alignment horizontal="center" vertical="center" wrapText="1"/>
    </xf>
    <xf numFmtId="0" fontId="78" fillId="24" borderId="1" xfId="6" applyFont="1" applyFill="1" applyAlignment="1">
      <alignment horizontal="center" vertical="center"/>
    </xf>
    <xf numFmtId="175" fontId="78" fillId="24" borderId="279" xfId="6" applyNumberFormat="1" applyFont="1" applyFill="1" applyBorder="1" applyAlignment="1">
      <alignment horizontal="center" vertical="center"/>
    </xf>
    <xf numFmtId="40" fontId="38" fillId="0" borderId="1" xfId="6" applyNumberFormat="1" applyFont="1" applyAlignment="1">
      <alignment horizontal="center" vertical="center"/>
    </xf>
    <xf numFmtId="40" fontId="77" fillId="0" borderId="1" xfId="6" applyNumberFormat="1" applyFont="1" applyAlignment="1">
      <alignment horizontal="center" vertical="center"/>
    </xf>
    <xf numFmtId="40" fontId="49" fillId="0" borderId="1" xfId="6" applyNumberFormat="1" applyFont="1" applyAlignment="1">
      <alignment horizontal="center" vertical="center"/>
    </xf>
    <xf numFmtId="1" fontId="76" fillId="35" borderId="280" xfId="6" applyNumberFormat="1" applyFont="1" applyFill="1" applyBorder="1" applyAlignment="1">
      <alignment horizontal="center" vertical="center"/>
    </xf>
    <xf numFmtId="1" fontId="76" fillId="35" borderId="281" xfId="6" applyNumberFormat="1" applyFont="1" applyFill="1" applyBorder="1" applyAlignment="1">
      <alignment horizontal="center" vertical="center"/>
    </xf>
    <xf numFmtId="40" fontId="77" fillId="0" borderId="278" xfId="6" applyNumberFormat="1" applyFont="1" applyBorder="1" applyAlignment="1">
      <alignment horizontal="center" vertical="center"/>
    </xf>
    <xf numFmtId="49" fontId="50" fillId="7" borderId="1" xfId="0" applyNumberFormat="1" applyFont="1" applyFill="1" applyBorder="1" applyAlignment="1">
      <alignment horizontal="left" vertical="center"/>
    </xf>
    <xf numFmtId="0" fontId="49" fillId="24" borderId="36" xfId="0" applyFont="1" applyFill="1" applyBorder="1" applyAlignment="1">
      <alignment horizontal="left" vertical="center" wrapText="1"/>
    </xf>
    <xf numFmtId="172" fontId="9" fillId="0" borderId="0" xfId="3" applyNumberFormat="1" applyFont="1" applyAlignment="1">
      <alignment horizontal="center"/>
    </xf>
    <xf numFmtId="9" fontId="9" fillId="0" borderId="0" xfId="3" applyFont="1" applyAlignment="1">
      <alignment horizontal="center"/>
    </xf>
    <xf numFmtId="1" fontId="116" fillId="14" borderId="1" xfId="0" applyNumberFormat="1" applyFont="1" applyFill="1" applyBorder="1" applyAlignment="1" applyProtection="1">
      <alignment horizontal="center" vertical="center"/>
      <protection locked="0"/>
    </xf>
    <xf numFmtId="1" fontId="116" fillId="14" borderId="22" xfId="0" applyNumberFormat="1" applyFont="1" applyFill="1" applyBorder="1" applyAlignment="1" applyProtection="1">
      <alignment horizontal="center" vertical="center"/>
      <protection locked="0"/>
    </xf>
    <xf numFmtId="1" fontId="116" fillId="14" borderId="23" xfId="0" applyNumberFormat="1" applyFont="1" applyFill="1" applyBorder="1" applyAlignment="1" applyProtection="1">
      <alignment horizontal="center" vertical="center"/>
      <protection locked="0"/>
    </xf>
    <xf numFmtId="1" fontId="116" fillId="14" borderId="21" xfId="0" applyNumberFormat="1" applyFont="1" applyFill="1" applyBorder="1" applyAlignment="1" applyProtection="1">
      <alignment horizontal="center" vertical="center"/>
      <protection locked="0"/>
    </xf>
    <xf numFmtId="1" fontId="116" fillId="14" borderId="77" xfId="0" applyNumberFormat="1" applyFont="1" applyFill="1" applyBorder="1" applyAlignment="1" applyProtection="1">
      <alignment horizontal="center" vertical="center"/>
      <protection locked="0"/>
    </xf>
    <xf numFmtId="1" fontId="116" fillId="14" borderId="82" xfId="0" applyNumberFormat="1" applyFont="1" applyFill="1" applyBorder="1" applyAlignment="1" applyProtection="1">
      <alignment horizontal="center" vertical="center"/>
      <protection locked="0"/>
    </xf>
    <xf numFmtId="1" fontId="116" fillId="14" borderId="39" xfId="0" applyNumberFormat="1" applyFont="1" applyFill="1" applyBorder="1" applyAlignment="1" applyProtection="1">
      <alignment horizontal="center" vertical="center"/>
      <protection locked="0"/>
    </xf>
    <xf numFmtId="1" fontId="123" fillId="14" borderId="23" xfId="0" applyNumberFormat="1" applyFont="1" applyFill="1" applyBorder="1" applyAlignment="1" applyProtection="1">
      <alignment horizontal="center" vertical="center"/>
      <protection locked="0"/>
    </xf>
    <xf numFmtId="1" fontId="116" fillId="14" borderId="305" xfId="0" applyNumberFormat="1" applyFont="1" applyFill="1" applyBorder="1" applyAlignment="1" applyProtection="1">
      <alignment horizontal="center" vertical="center"/>
      <protection locked="0"/>
    </xf>
    <xf numFmtId="1" fontId="116" fillId="14" borderId="301" xfId="0" applyNumberFormat="1" applyFont="1" applyFill="1" applyBorder="1" applyAlignment="1" applyProtection="1">
      <alignment horizontal="center" vertical="center"/>
      <protection locked="0"/>
    </xf>
    <xf numFmtId="1" fontId="116" fillId="14" borderId="284" xfId="0" applyNumberFormat="1" applyFont="1" applyFill="1" applyBorder="1" applyAlignment="1" applyProtection="1">
      <alignment horizontal="center" vertical="center"/>
      <protection locked="0"/>
    </xf>
    <xf numFmtId="1" fontId="116" fillId="14" borderId="285" xfId="0" applyNumberFormat="1" applyFont="1" applyFill="1" applyBorder="1" applyAlignment="1" applyProtection="1">
      <alignment horizontal="center" vertical="center"/>
      <protection locked="0"/>
    </xf>
    <xf numFmtId="1" fontId="116" fillId="14" borderId="87" xfId="0" applyNumberFormat="1" applyFont="1" applyFill="1" applyBorder="1" applyAlignment="1" applyProtection="1">
      <alignment horizontal="center" vertical="center"/>
      <protection locked="0"/>
    </xf>
    <xf numFmtId="1" fontId="116" fillId="14" borderId="250" xfId="0" applyNumberFormat="1" applyFont="1" applyFill="1" applyBorder="1" applyAlignment="1" applyProtection="1">
      <alignment horizontal="center" vertical="center"/>
      <protection locked="0"/>
    </xf>
    <xf numFmtId="1" fontId="116" fillId="14" borderId="319" xfId="0" applyNumberFormat="1" applyFont="1" applyFill="1" applyBorder="1" applyAlignment="1" applyProtection="1">
      <alignment horizontal="center" vertical="center"/>
      <protection locked="0"/>
    </xf>
    <xf numFmtId="1" fontId="116" fillId="14" borderId="253" xfId="0" applyNumberFormat="1" applyFont="1" applyFill="1" applyBorder="1" applyAlignment="1" applyProtection="1">
      <alignment horizontal="center" vertical="center"/>
      <protection locked="0"/>
    </xf>
    <xf numFmtId="1" fontId="116" fillId="14" borderId="18" xfId="0" applyNumberFormat="1" applyFont="1" applyFill="1" applyBorder="1" applyAlignment="1" applyProtection="1">
      <alignment horizontal="center" vertical="center"/>
      <protection locked="0"/>
    </xf>
    <xf numFmtId="1" fontId="116" fillId="14" borderId="229" xfId="0" applyNumberFormat="1" applyFont="1" applyFill="1" applyBorder="1" applyAlignment="1" applyProtection="1">
      <alignment horizontal="center" vertical="center"/>
      <protection locked="0"/>
    </xf>
    <xf numFmtId="1" fontId="116" fillId="14" borderId="80" xfId="0" applyNumberFormat="1" applyFont="1" applyFill="1" applyBorder="1" applyAlignment="1" applyProtection="1">
      <alignment horizontal="center" vertical="center"/>
      <protection locked="0"/>
    </xf>
    <xf numFmtId="1" fontId="116" fillId="14" borderId="283" xfId="0" applyNumberFormat="1" applyFont="1" applyFill="1" applyBorder="1" applyAlignment="1" applyProtection="1">
      <alignment horizontal="center" vertical="center"/>
      <protection locked="0"/>
    </xf>
    <xf numFmtId="1" fontId="116" fillId="14" borderId="323" xfId="0" applyNumberFormat="1" applyFont="1" applyFill="1" applyBorder="1" applyAlignment="1" applyProtection="1">
      <alignment horizontal="center" vertical="center"/>
      <protection locked="0"/>
    </xf>
    <xf numFmtId="1" fontId="116" fillId="14" borderId="247" xfId="0" applyNumberFormat="1" applyFont="1" applyFill="1" applyBorder="1" applyAlignment="1" applyProtection="1">
      <alignment horizontal="center" vertical="center"/>
      <protection locked="0"/>
    </xf>
    <xf numFmtId="1" fontId="116" fillId="14" borderId="249" xfId="0" applyNumberFormat="1" applyFont="1" applyFill="1" applyBorder="1" applyAlignment="1" applyProtection="1">
      <alignment horizontal="center" vertical="center"/>
      <protection locked="0"/>
    </xf>
    <xf numFmtId="1" fontId="116" fillId="14" borderId="299" xfId="0" applyNumberFormat="1" applyFont="1" applyFill="1" applyBorder="1" applyAlignment="1" applyProtection="1">
      <alignment horizontal="center" vertical="center"/>
      <protection locked="0"/>
    </xf>
    <xf numFmtId="1" fontId="116" fillId="14" borderId="43" xfId="0" applyNumberFormat="1" applyFont="1" applyFill="1" applyBorder="1" applyAlignment="1" applyProtection="1">
      <alignment horizontal="center" vertical="center"/>
      <protection locked="0"/>
    </xf>
    <xf numFmtId="1" fontId="116" fillId="14" borderId="326" xfId="0" applyNumberFormat="1" applyFont="1" applyFill="1" applyBorder="1" applyAlignment="1" applyProtection="1">
      <alignment horizontal="center" vertical="center"/>
      <protection locked="0"/>
    </xf>
    <xf numFmtId="1" fontId="116" fillId="14" borderId="313" xfId="0" applyNumberFormat="1" applyFont="1" applyFill="1" applyBorder="1" applyAlignment="1" applyProtection="1">
      <alignment horizontal="center" vertical="center"/>
      <protection locked="0"/>
    </xf>
    <xf numFmtId="1" fontId="116" fillId="14" borderId="83" xfId="0" applyNumberFormat="1" applyFont="1" applyFill="1" applyBorder="1" applyAlignment="1" applyProtection="1">
      <alignment horizontal="center" vertical="center"/>
      <protection locked="0"/>
    </xf>
    <xf numFmtId="1" fontId="116" fillId="14" borderId="146" xfId="0" applyNumberFormat="1" applyFont="1" applyFill="1" applyBorder="1" applyAlignment="1" applyProtection="1">
      <alignment horizontal="center" vertical="center"/>
      <protection locked="0"/>
    </xf>
    <xf numFmtId="1" fontId="116" fillId="14" borderId="337" xfId="0" applyNumberFormat="1" applyFont="1" applyFill="1" applyBorder="1" applyAlignment="1" applyProtection="1">
      <alignment horizontal="center" vertical="center"/>
      <protection locked="0"/>
    </xf>
    <xf numFmtId="1" fontId="116" fillId="14" borderId="338" xfId="0" applyNumberFormat="1" applyFont="1" applyFill="1" applyBorder="1" applyAlignment="1" applyProtection="1">
      <alignment horizontal="center" vertical="center"/>
      <protection locked="0"/>
    </xf>
    <xf numFmtId="1" fontId="116" fillId="14" borderId="339" xfId="0" applyNumberFormat="1" applyFont="1" applyFill="1" applyBorder="1" applyAlignment="1" applyProtection="1">
      <alignment horizontal="center" vertical="center"/>
      <protection locked="0"/>
    </xf>
    <xf numFmtId="1" fontId="116" fillId="14" borderId="245" xfId="0" applyNumberFormat="1" applyFont="1" applyFill="1" applyBorder="1" applyAlignment="1" applyProtection="1">
      <alignment horizontal="center" vertical="center"/>
      <protection locked="0"/>
    </xf>
    <xf numFmtId="1" fontId="116" fillId="14" borderId="341" xfId="0" applyNumberFormat="1" applyFont="1" applyFill="1" applyBorder="1" applyAlignment="1" applyProtection="1">
      <alignment horizontal="center" vertical="center"/>
      <protection locked="0"/>
    </xf>
    <xf numFmtId="1" fontId="116" fillId="14" borderId="342" xfId="0" applyNumberFormat="1" applyFont="1" applyFill="1" applyBorder="1" applyAlignment="1" applyProtection="1">
      <alignment horizontal="center" vertical="center"/>
      <protection locked="0"/>
    </xf>
    <xf numFmtId="1" fontId="116" fillId="14" borderId="343" xfId="0" applyNumberFormat="1" applyFont="1" applyFill="1" applyBorder="1" applyAlignment="1" applyProtection="1">
      <alignment horizontal="center" vertical="center"/>
      <protection locked="0"/>
    </xf>
    <xf numFmtId="1" fontId="116" fillId="14" borderId="290" xfId="0" applyNumberFormat="1" applyFont="1" applyFill="1" applyBorder="1" applyAlignment="1" applyProtection="1">
      <alignment horizontal="center" vertical="center"/>
      <protection locked="0"/>
    </xf>
    <xf numFmtId="1" fontId="116" fillId="14" borderId="344" xfId="0" applyNumberFormat="1" applyFont="1" applyFill="1" applyBorder="1" applyAlignment="1" applyProtection="1">
      <alignment horizontal="center" vertical="center"/>
      <protection locked="0"/>
    </xf>
    <xf numFmtId="0" fontId="112" fillId="0" borderId="0" xfId="0" applyFont="1" applyAlignment="1">
      <alignment wrapText="1"/>
    </xf>
    <xf numFmtId="0" fontId="114" fillId="0" borderId="0" xfId="0" applyFont="1" applyAlignment="1">
      <alignment horizontal="center" vertical="center"/>
    </xf>
    <xf numFmtId="0" fontId="114" fillId="0" borderId="0" xfId="0" applyFont="1"/>
    <xf numFmtId="0" fontId="114" fillId="0" borderId="0" xfId="0" applyFont="1" applyAlignment="1">
      <alignment horizontal="center"/>
    </xf>
    <xf numFmtId="0" fontId="119" fillId="0" borderId="0" xfId="0" applyFont="1"/>
    <xf numFmtId="0" fontId="131" fillId="0" borderId="0" xfId="0" applyFont="1"/>
    <xf numFmtId="0" fontId="114" fillId="29" borderId="1" xfId="0" applyFont="1" applyFill="1" applyBorder="1"/>
    <xf numFmtId="0" fontId="112" fillId="0" borderId="1" xfId="0" applyFont="1" applyBorder="1" applyAlignment="1">
      <alignment wrapText="1"/>
    </xf>
    <xf numFmtId="0" fontId="114" fillId="0" borderId="1" xfId="0" applyFont="1" applyBorder="1" applyAlignment="1">
      <alignment horizontal="center" vertical="center"/>
    </xf>
    <xf numFmtId="0" fontId="114" fillId="0" borderId="1" xfId="0" applyFont="1" applyBorder="1"/>
    <xf numFmtId="0" fontId="114" fillId="0" borderId="1" xfId="0" applyFont="1" applyBorder="1" applyAlignment="1">
      <alignment horizontal="center"/>
    </xf>
    <xf numFmtId="0" fontId="119" fillId="0" borderId="1" xfId="0" applyFont="1" applyBorder="1"/>
    <xf numFmtId="0" fontId="131" fillId="0" borderId="1" xfId="0" applyFont="1" applyBorder="1"/>
    <xf numFmtId="3" fontId="114" fillId="0" borderId="0" xfId="0" applyNumberFormat="1" applyFont="1"/>
    <xf numFmtId="170" fontId="131" fillId="0" borderId="0" xfId="0" applyNumberFormat="1" applyFont="1"/>
    <xf numFmtId="167" fontId="114" fillId="0" borderId="0" xfId="0" applyNumberFormat="1" applyFont="1"/>
    <xf numFmtId="1" fontId="114" fillId="0" borderId="0" xfId="0" applyNumberFormat="1" applyFont="1"/>
    <xf numFmtId="2" fontId="114" fillId="0" borderId="0" xfId="0" applyNumberFormat="1" applyFont="1"/>
    <xf numFmtId="0" fontId="114" fillId="29" borderId="0" xfId="0" applyFont="1" applyFill="1"/>
    <xf numFmtId="3" fontId="118" fillId="0" borderId="116" xfId="0" applyNumberFormat="1" applyFont="1" applyBorder="1" applyAlignment="1">
      <alignment horizontal="center" vertical="center"/>
    </xf>
    <xf numFmtId="3" fontId="118" fillId="0" borderId="141" xfId="0" applyNumberFormat="1" applyFont="1" applyBorder="1" applyAlignment="1">
      <alignment horizontal="center" vertical="center"/>
    </xf>
    <xf numFmtId="0" fontId="114" fillId="0" borderId="82" xfId="0" applyFont="1" applyBorder="1"/>
    <xf numFmtId="3" fontId="118" fillId="0" borderId="140" xfId="0" applyNumberFormat="1" applyFont="1" applyBorder="1" applyAlignment="1">
      <alignment horizontal="center" vertical="center"/>
    </xf>
    <xf numFmtId="3" fontId="118" fillId="0" borderId="131" xfId="0" applyNumberFormat="1" applyFont="1" applyBorder="1" applyAlignment="1">
      <alignment horizontal="center" vertical="center"/>
    </xf>
    <xf numFmtId="0" fontId="114" fillId="0" borderId="121" xfId="0" applyFont="1" applyBorder="1"/>
    <xf numFmtId="49" fontId="116" fillId="0" borderId="116" xfId="0" applyNumberFormat="1" applyFont="1" applyBorder="1" applyAlignment="1">
      <alignment vertical="top" wrapText="1"/>
    </xf>
    <xf numFmtId="0" fontId="116" fillId="30" borderId="36" xfId="0" applyFont="1" applyFill="1" applyBorder="1" applyAlignment="1">
      <alignment horizontal="left" vertical="center" wrapText="1"/>
    </xf>
    <xf numFmtId="0" fontId="118" fillId="30" borderId="1" xfId="0" applyFont="1" applyFill="1" applyBorder="1" applyAlignment="1">
      <alignment horizontal="center" vertical="center" wrapText="1"/>
    </xf>
    <xf numFmtId="0" fontId="118" fillId="30" borderId="1" xfId="0" applyFont="1" applyFill="1" applyBorder="1" applyAlignment="1">
      <alignment horizontal="center" vertical="center"/>
    </xf>
    <xf numFmtId="175" fontId="118" fillId="30" borderId="34" xfId="0" applyNumberFormat="1" applyFont="1" applyFill="1" applyBorder="1" applyAlignment="1">
      <alignment horizontal="center" vertical="center"/>
    </xf>
    <xf numFmtId="40" fontId="119" fillId="0" borderId="36" xfId="0" applyNumberFormat="1" applyFont="1" applyBorder="1" applyAlignment="1">
      <alignment horizontal="center" vertical="center"/>
    </xf>
    <xf numFmtId="170" fontId="131" fillId="0" borderId="1" xfId="0" applyNumberFormat="1" applyFont="1" applyBorder="1" applyAlignment="1">
      <alignment horizontal="center" vertical="center"/>
    </xf>
    <xf numFmtId="0" fontId="116" fillId="30" borderId="111" xfId="0" applyFont="1" applyFill="1" applyBorder="1" applyAlignment="1">
      <alignment horizontal="left" vertical="center" wrapText="1"/>
    </xf>
    <xf numFmtId="0" fontId="118" fillId="30" borderId="82" xfId="0" applyFont="1" applyFill="1" applyBorder="1" applyAlignment="1">
      <alignment horizontal="center" vertical="center" wrapText="1"/>
    </xf>
    <xf numFmtId="0" fontId="118" fillId="30" borderId="82" xfId="0" applyFont="1" applyFill="1" applyBorder="1" applyAlignment="1">
      <alignment horizontal="center" vertical="center"/>
    </xf>
    <xf numFmtId="175" fontId="118" fillId="30" borderId="112" xfId="0" applyNumberFormat="1" applyFont="1" applyFill="1" applyBorder="1" applyAlignment="1">
      <alignment horizontal="center" vertical="center"/>
    </xf>
    <xf numFmtId="40" fontId="119" fillId="0" borderId="52" xfId="0" applyNumberFormat="1" applyFont="1" applyBorder="1" applyAlignment="1">
      <alignment horizontal="center" vertical="center"/>
    </xf>
    <xf numFmtId="49" fontId="116" fillId="0" borderId="140" xfId="0" applyNumberFormat="1" applyFont="1" applyBorder="1" applyAlignment="1">
      <alignment vertical="top" wrapText="1"/>
    </xf>
    <xf numFmtId="0" fontId="116" fillId="30" borderId="88" xfId="0" applyFont="1" applyFill="1" applyBorder="1" applyAlignment="1">
      <alignment horizontal="left" vertical="center" wrapText="1"/>
    </xf>
    <xf numFmtId="0" fontId="118" fillId="30" borderId="77" xfId="0" applyFont="1" applyFill="1" applyBorder="1" applyAlignment="1">
      <alignment horizontal="center" vertical="center" wrapText="1"/>
    </xf>
    <xf numFmtId="0" fontId="118" fillId="30" borderId="77" xfId="0" applyFont="1" applyFill="1" applyBorder="1" applyAlignment="1">
      <alignment horizontal="center" vertical="center"/>
    </xf>
    <xf numFmtId="175" fontId="118" fillId="30" borderId="89" xfId="0" applyNumberFormat="1" applyFont="1" applyFill="1" applyBorder="1" applyAlignment="1">
      <alignment horizontal="center" vertical="center"/>
    </xf>
    <xf numFmtId="40" fontId="119" fillId="0" borderId="48" xfId="0" applyNumberFormat="1" applyFont="1" applyBorder="1" applyAlignment="1">
      <alignment horizontal="center" vertical="center"/>
    </xf>
    <xf numFmtId="40" fontId="119" fillId="0" borderId="147" xfId="0" applyNumberFormat="1" applyFont="1" applyBorder="1" applyAlignment="1">
      <alignment horizontal="center" vertical="center"/>
    </xf>
    <xf numFmtId="0" fontId="116" fillId="30" borderId="55" xfId="0" applyFont="1" applyFill="1" applyBorder="1" applyAlignment="1">
      <alignment horizontal="left" vertical="center" wrapText="1"/>
    </xf>
    <xf numFmtId="0" fontId="118" fillId="30" borderId="12" xfId="0" applyFont="1" applyFill="1" applyBorder="1" applyAlignment="1">
      <alignment horizontal="center" vertical="center" wrapText="1"/>
    </xf>
    <xf numFmtId="0" fontId="118" fillId="30" borderId="12" xfId="0" applyFont="1" applyFill="1" applyBorder="1" applyAlignment="1">
      <alignment horizontal="center" vertical="center"/>
    </xf>
    <xf numFmtId="175" fontId="118" fillId="30" borderId="33" xfId="0" applyNumberFormat="1" applyFont="1" applyFill="1" applyBorder="1" applyAlignment="1">
      <alignment horizontal="center" vertical="center"/>
    </xf>
    <xf numFmtId="40" fontId="119" fillId="0" borderId="320" xfId="0" applyNumberFormat="1" applyFont="1" applyBorder="1" applyAlignment="1">
      <alignment horizontal="center" vertical="center"/>
    </xf>
    <xf numFmtId="49" fontId="116" fillId="0" borderId="141" xfId="0" applyNumberFormat="1" applyFont="1" applyBorder="1" applyAlignment="1">
      <alignment vertical="top" wrapText="1"/>
    </xf>
    <xf numFmtId="3" fontId="118" fillId="0" borderId="80" xfId="0" applyNumberFormat="1" applyFont="1" applyBorder="1" applyAlignment="1">
      <alignment horizontal="center" vertical="center"/>
    </xf>
    <xf numFmtId="3" fontId="118" fillId="0" borderId="318" xfId="0" applyNumberFormat="1" applyFont="1" applyBorder="1" applyAlignment="1">
      <alignment horizontal="center" vertical="center"/>
    </xf>
    <xf numFmtId="3" fontId="118" fillId="0" borderId="321" xfId="0" applyNumberFormat="1" applyFont="1" applyBorder="1" applyAlignment="1">
      <alignment horizontal="center" vertical="center"/>
    </xf>
    <xf numFmtId="3" fontId="118" fillId="0" borderId="115" xfId="0" applyNumberFormat="1" applyFont="1" applyBorder="1" applyAlignment="1">
      <alignment horizontal="center" vertical="center"/>
    </xf>
    <xf numFmtId="3" fontId="118" fillId="0" borderId="289" xfId="0" applyNumberFormat="1" applyFont="1" applyBorder="1" applyAlignment="1">
      <alignment horizontal="center" vertical="center"/>
    </xf>
    <xf numFmtId="3" fontId="118" fillId="0" borderId="319" xfId="0" applyNumberFormat="1" applyFont="1" applyBorder="1" applyAlignment="1">
      <alignment horizontal="center" vertical="center"/>
    </xf>
    <xf numFmtId="3" fontId="118" fillId="0" borderId="322" xfId="0" applyNumberFormat="1" applyFont="1" applyBorder="1" applyAlignment="1">
      <alignment horizontal="center" vertical="center"/>
    </xf>
    <xf numFmtId="3" fontId="118" fillId="0" borderId="78" xfId="0" applyNumberFormat="1" applyFont="1" applyBorder="1" applyAlignment="1">
      <alignment horizontal="center" vertical="center"/>
    </xf>
    <xf numFmtId="3" fontId="118" fillId="0" borderId="83" xfId="0" applyNumberFormat="1" applyFont="1" applyBorder="1" applyAlignment="1">
      <alignment horizontal="center" vertical="center"/>
    </xf>
    <xf numFmtId="3" fontId="118" fillId="0" borderId="135" xfId="0" applyNumberFormat="1" applyFont="1" applyBorder="1" applyAlignment="1">
      <alignment horizontal="center" vertical="center"/>
    </xf>
    <xf numFmtId="3" fontId="118" fillId="0" borderId="288" xfId="0" applyNumberFormat="1" applyFont="1" applyBorder="1" applyAlignment="1">
      <alignment horizontal="center" vertical="center"/>
    </xf>
    <xf numFmtId="3" fontId="118" fillId="0" borderId="138" xfId="0" applyNumberFormat="1" applyFont="1" applyBorder="1" applyAlignment="1">
      <alignment horizontal="center" vertical="center"/>
    </xf>
    <xf numFmtId="3" fontId="118" fillId="0" borderId="137" xfId="0" applyNumberFormat="1" applyFont="1" applyBorder="1" applyAlignment="1">
      <alignment horizontal="center" vertical="center"/>
    </xf>
    <xf numFmtId="3" fontId="118" fillId="0" borderId="130" xfId="0" applyNumberFormat="1" applyFont="1" applyBorder="1" applyAlignment="1">
      <alignment horizontal="center" vertical="center"/>
    </xf>
    <xf numFmtId="3" fontId="118" fillId="0" borderId="133" xfId="0" applyNumberFormat="1" applyFont="1" applyBorder="1" applyAlignment="1">
      <alignment horizontal="center" vertical="center"/>
    </xf>
    <xf numFmtId="3" fontId="118" fillId="0" borderId="134" xfId="0" applyNumberFormat="1" applyFont="1" applyBorder="1" applyAlignment="1">
      <alignment horizontal="center" vertical="center"/>
    </xf>
    <xf numFmtId="0" fontId="114" fillId="0" borderId="143" xfId="0" applyFont="1" applyBorder="1"/>
    <xf numFmtId="0" fontId="114" fillId="29" borderId="143" xfId="0" applyFont="1" applyFill="1" applyBorder="1"/>
    <xf numFmtId="3" fontId="118" fillId="0" borderId="287" xfId="0" applyNumberFormat="1" applyFont="1" applyBorder="1" applyAlignment="1">
      <alignment horizontal="center" vertical="center"/>
    </xf>
    <xf numFmtId="3" fontId="118" fillId="0" borderId="223" xfId="0" applyNumberFormat="1" applyFont="1" applyBorder="1" applyAlignment="1">
      <alignment horizontal="center" vertical="center"/>
    </xf>
    <xf numFmtId="3" fontId="118" fillId="0" borderId="109" xfId="0" applyNumberFormat="1" applyFont="1" applyBorder="1" applyAlignment="1">
      <alignment horizontal="center" vertical="center"/>
    </xf>
    <xf numFmtId="3" fontId="118" fillId="0" borderId="219" xfId="0" applyNumberFormat="1" applyFont="1" applyBorder="1" applyAlignment="1">
      <alignment horizontal="center" vertical="center"/>
    </xf>
    <xf numFmtId="3" fontId="118" fillId="0" borderId="309" xfId="0" applyNumberFormat="1" applyFont="1" applyBorder="1" applyAlignment="1">
      <alignment horizontal="center" vertical="center"/>
    </xf>
    <xf numFmtId="3" fontId="118" fillId="0" borderId="315" xfId="0" applyNumberFormat="1" applyFont="1" applyBorder="1" applyAlignment="1">
      <alignment horizontal="center" vertical="center"/>
    </xf>
    <xf numFmtId="3" fontId="118" fillId="0" borderId="327" xfId="0" applyNumberFormat="1" applyFont="1" applyBorder="1" applyAlignment="1">
      <alignment horizontal="center" vertical="center"/>
    </xf>
    <xf numFmtId="3" fontId="118" fillId="0" borderId="295" xfId="0" applyNumberFormat="1" applyFont="1" applyBorder="1" applyAlignment="1">
      <alignment horizontal="center" vertical="center"/>
    </xf>
    <xf numFmtId="3" fontId="118" fillId="0" borderId="297" xfId="0" applyNumberFormat="1" applyFont="1" applyBorder="1" applyAlignment="1">
      <alignment horizontal="center" vertical="center"/>
    </xf>
    <xf numFmtId="0" fontId="116" fillId="0" borderId="1" xfId="0" applyFont="1" applyBorder="1"/>
    <xf numFmtId="0" fontId="116" fillId="0" borderId="0" xfId="0" applyFont="1"/>
    <xf numFmtId="3" fontId="118" fillId="0" borderId="304" xfId="0" applyNumberFormat="1" applyFont="1" applyBorder="1" applyAlignment="1">
      <alignment horizontal="center" vertical="center"/>
    </xf>
    <xf numFmtId="3" fontId="118" fillId="0" borderId="300" xfId="0" applyNumberFormat="1" applyFont="1" applyBorder="1" applyAlignment="1">
      <alignment horizontal="center" vertical="center"/>
    </xf>
    <xf numFmtId="0" fontId="114" fillId="0" borderId="77" xfId="0" applyFont="1" applyBorder="1"/>
    <xf numFmtId="0" fontId="126" fillId="24" borderId="278" xfId="6" applyFont="1" applyFill="1" applyBorder="1" applyAlignment="1">
      <alignment horizontal="left" vertical="center" wrapText="1"/>
    </xf>
    <xf numFmtId="0" fontId="127" fillId="24" borderId="1" xfId="6" applyFont="1" applyFill="1" applyAlignment="1">
      <alignment horizontal="center" vertical="center" wrapText="1"/>
    </xf>
    <xf numFmtId="178" fontId="127" fillId="24" borderId="1" xfId="6" applyNumberFormat="1" applyFont="1" applyFill="1" applyAlignment="1">
      <alignment horizontal="center" vertical="center"/>
    </xf>
    <xf numFmtId="40" fontId="119" fillId="0" borderId="260" xfId="6" applyNumberFormat="1" applyFont="1" applyBorder="1" applyAlignment="1">
      <alignment horizontal="center" vertical="center"/>
    </xf>
    <xf numFmtId="170" fontId="131" fillId="0" borderId="1" xfId="6" applyNumberFormat="1" applyFont="1" applyAlignment="1">
      <alignment horizontal="center" vertical="center"/>
    </xf>
    <xf numFmtId="49" fontId="116" fillId="0" borderId="171" xfId="0" applyNumberFormat="1" applyFont="1" applyBorder="1" applyAlignment="1">
      <alignment vertical="top" wrapText="1"/>
    </xf>
    <xf numFmtId="0" fontId="126" fillId="24" borderId="187" xfId="6" applyFont="1" applyFill="1" applyBorder="1" applyAlignment="1">
      <alignment horizontal="left" vertical="center" wrapText="1"/>
    </xf>
    <xf numFmtId="0" fontId="127" fillId="24" borderId="121" xfId="6" applyFont="1" applyFill="1" applyBorder="1" applyAlignment="1">
      <alignment horizontal="center" vertical="center" wrapText="1"/>
    </xf>
    <xf numFmtId="0" fontId="127" fillId="24" borderId="121" xfId="6" applyFont="1" applyFill="1" applyBorder="1" applyAlignment="1">
      <alignment horizontal="center" vertical="center"/>
    </xf>
    <xf numFmtId="178" fontId="127" fillId="24" borderId="121" xfId="6" applyNumberFormat="1" applyFont="1" applyFill="1" applyBorder="1" applyAlignment="1">
      <alignment horizontal="center" vertical="center"/>
    </xf>
    <xf numFmtId="40" fontId="119" fillId="0" borderId="265" xfId="6" applyNumberFormat="1" applyFont="1" applyBorder="1" applyAlignment="1">
      <alignment horizontal="center" vertical="center"/>
    </xf>
    <xf numFmtId="49" fontId="116" fillId="24" borderId="288" xfId="0" quotePrefix="1" applyNumberFormat="1" applyFont="1" applyFill="1" applyBorder="1" applyAlignment="1">
      <alignment vertical="top" wrapText="1"/>
    </xf>
    <xf numFmtId="0" fontId="116" fillId="30" borderId="63" xfId="0" applyFont="1" applyFill="1" applyBorder="1" applyAlignment="1">
      <alignment horizontal="left" vertical="center" wrapText="1"/>
    </xf>
    <xf numFmtId="0" fontId="118" fillId="30" borderId="62" xfId="0" applyFont="1" applyFill="1" applyBorder="1" applyAlignment="1">
      <alignment horizontal="center" vertical="center" wrapText="1"/>
    </xf>
    <xf numFmtId="0" fontId="118" fillId="30" borderId="62" xfId="0" applyFont="1" applyFill="1" applyBorder="1" applyAlignment="1">
      <alignment horizontal="center" vertical="center"/>
    </xf>
    <xf numFmtId="178" fontId="118" fillId="30" borderId="62" xfId="0" applyNumberFormat="1" applyFont="1" applyFill="1" applyBorder="1" applyAlignment="1">
      <alignment horizontal="center" vertical="center"/>
    </xf>
    <xf numFmtId="40" fontId="119" fillId="0" borderId="316" xfId="0" applyNumberFormat="1" applyFont="1" applyBorder="1" applyAlignment="1">
      <alignment horizontal="center" vertical="center"/>
    </xf>
    <xf numFmtId="49" fontId="116" fillId="24" borderId="116" xfId="0" quotePrefix="1" applyNumberFormat="1" applyFont="1" applyFill="1" applyBorder="1" applyAlignment="1">
      <alignment vertical="top" wrapText="1"/>
    </xf>
    <xf numFmtId="0" fontId="116" fillId="30" borderId="54" xfId="0" applyFont="1" applyFill="1" applyBorder="1" applyAlignment="1">
      <alignment horizontal="left" vertical="center" wrapText="1"/>
    </xf>
    <xf numFmtId="0" fontId="118" fillId="30" borderId="11" xfId="0" applyFont="1" applyFill="1" applyBorder="1" applyAlignment="1">
      <alignment horizontal="center" vertical="center" wrapText="1"/>
    </xf>
    <xf numFmtId="0" fontId="118" fillId="30" borderId="11" xfId="0" applyFont="1" applyFill="1" applyBorder="1" applyAlignment="1">
      <alignment horizontal="center" vertical="center"/>
    </xf>
    <xf numFmtId="178" fontId="118" fillId="30" borderId="11" xfId="0" applyNumberFormat="1" applyFont="1" applyFill="1" applyBorder="1" applyAlignment="1">
      <alignment horizontal="center" vertical="center"/>
    </xf>
    <xf numFmtId="40" fontId="119" fillId="0" borderId="317" xfId="0" applyNumberFormat="1" applyFont="1" applyBorder="1" applyAlignment="1">
      <alignment horizontal="center" vertical="center"/>
    </xf>
    <xf numFmtId="0" fontId="116" fillId="30" borderId="79" xfId="0" applyFont="1" applyFill="1" applyBorder="1" applyAlignment="1">
      <alignment horizontal="left" vertical="center" wrapText="1"/>
    </xf>
    <xf numFmtId="178" fontId="118" fillId="30" borderId="1" xfId="0" applyNumberFormat="1" applyFont="1" applyFill="1" applyBorder="1" applyAlignment="1">
      <alignment horizontal="center" vertical="center"/>
    </xf>
    <xf numFmtId="40" fontId="119" fillId="0" borderId="291" xfId="0" applyNumberFormat="1" applyFont="1" applyBorder="1" applyAlignment="1">
      <alignment horizontal="center" vertical="center"/>
    </xf>
    <xf numFmtId="0" fontId="116" fillId="30" borderId="91" xfId="0" applyFont="1" applyFill="1" applyBorder="1" applyAlignment="1">
      <alignment horizontal="left" vertical="center" wrapText="1"/>
    </xf>
    <xf numFmtId="40" fontId="119" fillId="0" borderId="273" xfId="0" applyNumberFormat="1" applyFont="1" applyBorder="1" applyAlignment="1">
      <alignment horizontal="center" vertical="center"/>
    </xf>
    <xf numFmtId="0" fontId="118" fillId="30" borderId="31" xfId="0" applyFont="1" applyFill="1" applyBorder="1" applyAlignment="1">
      <alignment horizontal="center" vertical="center" wrapText="1"/>
    </xf>
    <xf numFmtId="178" fontId="118" fillId="30" borderId="12" xfId="0" applyNumberFormat="1" applyFont="1" applyFill="1" applyBorder="1" applyAlignment="1">
      <alignment horizontal="center" vertical="center"/>
    </xf>
    <xf numFmtId="176" fontId="118" fillId="30" borderId="12" xfId="0" applyNumberFormat="1" applyFont="1" applyFill="1" applyBorder="1" applyAlignment="1">
      <alignment horizontal="center" vertical="center"/>
    </xf>
    <xf numFmtId="176" fontId="118" fillId="30" borderId="1" xfId="0" applyNumberFormat="1" applyFont="1" applyFill="1" applyBorder="1" applyAlignment="1">
      <alignment horizontal="center" vertical="center"/>
    </xf>
    <xf numFmtId="40" fontId="119" fillId="0" borderId="260" xfId="0" applyNumberFormat="1" applyFont="1" applyBorder="1" applyAlignment="1">
      <alignment horizontal="center" vertical="center"/>
    </xf>
    <xf numFmtId="0" fontId="116" fillId="30" borderId="147" xfId="0" applyFont="1" applyFill="1" applyBorder="1" applyAlignment="1">
      <alignment horizontal="left" vertical="center" wrapText="1"/>
    </xf>
    <xf numFmtId="0" fontId="118" fillId="30" borderId="93" xfId="0" applyFont="1" applyFill="1" applyBorder="1" applyAlignment="1">
      <alignment horizontal="center" vertical="center" wrapText="1"/>
    </xf>
    <xf numFmtId="0" fontId="118" fillId="30" borderId="93" xfId="0" applyFont="1" applyFill="1" applyBorder="1" applyAlignment="1">
      <alignment horizontal="center" vertical="center"/>
    </xf>
    <xf numFmtId="176" fontId="118" fillId="30" borderId="93" xfId="0" applyNumberFormat="1" applyFont="1" applyFill="1" applyBorder="1" applyAlignment="1">
      <alignment horizontal="center" vertical="center"/>
    </xf>
    <xf numFmtId="0" fontId="116" fillId="30" borderId="56" xfId="0" applyFont="1" applyFill="1" applyBorder="1" applyAlignment="1">
      <alignment horizontal="left" vertical="center" wrapText="1"/>
    </xf>
    <xf numFmtId="0" fontId="118" fillId="30" borderId="14" xfId="0" applyFont="1" applyFill="1" applyBorder="1" applyAlignment="1">
      <alignment horizontal="center" vertical="center" wrapText="1"/>
    </xf>
    <xf numFmtId="0" fontId="118" fillId="30" borderId="14" xfId="0" applyFont="1" applyFill="1" applyBorder="1" applyAlignment="1">
      <alignment horizontal="center" vertical="center"/>
    </xf>
    <xf numFmtId="175" fontId="118" fillId="30" borderId="14" xfId="0" applyNumberFormat="1" applyFont="1" applyFill="1" applyBorder="1" applyAlignment="1">
      <alignment horizontal="center" vertical="center"/>
    </xf>
    <xf numFmtId="175" fontId="118" fillId="30" borderId="12" xfId="0" applyNumberFormat="1" applyFont="1" applyFill="1" applyBorder="1" applyAlignment="1">
      <alignment horizontal="center" vertical="center"/>
    </xf>
    <xf numFmtId="0" fontId="116" fillId="31" borderId="88" xfId="0" applyFont="1" applyFill="1" applyBorder="1" applyAlignment="1">
      <alignment horizontal="left" vertical="center" wrapText="1"/>
    </xf>
    <xf numFmtId="0" fontId="118" fillId="31" borderId="77" xfId="0" applyFont="1" applyFill="1" applyBorder="1" applyAlignment="1">
      <alignment horizontal="center" vertical="center" wrapText="1"/>
    </xf>
    <xf numFmtId="0" fontId="118" fillId="31" borderId="77" xfId="0" applyFont="1" applyFill="1" applyBorder="1" applyAlignment="1">
      <alignment horizontal="center" vertical="center"/>
    </xf>
    <xf numFmtId="175" fontId="118" fillId="31" borderId="89" xfId="0" applyNumberFormat="1" applyFont="1" applyFill="1" applyBorder="1" applyAlignment="1">
      <alignment horizontal="center" vertical="center"/>
    </xf>
    <xf numFmtId="0" fontId="116" fillId="31" borderId="36" xfId="0" applyFont="1" applyFill="1" applyBorder="1" applyAlignment="1">
      <alignment horizontal="left" vertical="center" wrapText="1"/>
    </xf>
    <xf numFmtId="0" fontId="118" fillId="31" borderId="1" xfId="0" applyFont="1" applyFill="1" applyBorder="1" applyAlignment="1">
      <alignment horizontal="center" vertical="center" wrapText="1"/>
    </xf>
    <xf numFmtId="0" fontId="118" fillId="31" borderId="1" xfId="0" applyFont="1" applyFill="1" applyBorder="1" applyAlignment="1">
      <alignment horizontal="center" vertical="center"/>
    </xf>
    <xf numFmtId="175" fontId="118" fillId="31" borderId="34" xfId="0" applyNumberFormat="1" applyFont="1" applyFill="1" applyBorder="1" applyAlignment="1">
      <alignment horizontal="center" vertical="center"/>
    </xf>
    <xf numFmtId="0" fontId="116" fillId="31" borderId="111" xfId="0" applyFont="1" applyFill="1" applyBorder="1" applyAlignment="1">
      <alignment horizontal="left" vertical="center" wrapText="1"/>
    </xf>
    <xf numFmtId="0" fontId="118" fillId="31" borderId="82" xfId="0" applyFont="1" applyFill="1" applyBorder="1" applyAlignment="1">
      <alignment horizontal="center" vertical="center" wrapText="1"/>
    </xf>
    <xf numFmtId="0" fontId="118" fillId="31" borderId="82" xfId="0" applyFont="1" applyFill="1" applyBorder="1" applyAlignment="1">
      <alignment horizontal="center" vertical="center"/>
    </xf>
    <xf numFmtId="175" fontId="118" fillId="31" borderId="112" xfId="0" applyNumberFormat="1" applyFont="1" applyFill="1" applyBorder="1" applyAlignment="1">
      <alignment horizontal="center" vertical="center"/>
    </xf>
    <xf numFmtId="0" fontId="116" fillId="31" borderId="55" xfId="0" applyFont="1" applyFill="1" applyBorder="1" applyAlignment="1">
      <alignment horizontal="left" vertical="center" wrapText="1"/>
    </xf>
    <xf numFmtId="0" fontId="118" fillId="31" borderId="12" xfId="0" applyFont="1" applyFill="1" applyBorder="1" applyAlignment="1">
      <alignment horizontal="center" vertical="center" wrapText="1"/>
    </xf>
    <xf numFmtId="0" fontId="118" fillId="31" borderId="12" xfId="0" applyFont="1" applyFill="1" applyBorder="1" applyAlignment="1">
      <alignment horizontal="center" vertical="center"/>
    </xf>
    <xf numFmtId="175" fontId="118" fillId="31" borderId="33" xfId="0" applyNumberFormat="1" applyFont="1" applyFill="1" applyBorder="1" applyAlignment="1">
      <alignment horizontal="center" vertical="center"/>
    </xf>
    <xf numFmtId="40" fontId="119" fillId="0" borderId="55" xfId="0" applyNumberFormat="1" applyFont="1" applyBorder="1" applyAlignment="1">
      <alignment horizontal="center" vertical="center"/>
    </xf>
    <xf numFmtId="0" fontId="116" fillId="31" borderId="52" xfId="0" applyFont="1" applyFill="1" applyBorder="1" applyAlignment="1">
      <alignment horizontal="left" vertical="center" wrapText="1"/>
    </xf>
    <xf numFmtId="0" fontId="118" fillId="31" borderId="39" xfId="0" applyFont="1" applyFill="1" applyBorder="1" applyAlignment="1">
      <alignment horizontal="center" vertical="center" wrapText="1"/>
    </xf>
    <xf numFmtId="0" fontId="118" fillId="31" borderId="39" xfId="0" applyFont="1" applyFill="1" applyBorder="1" applyAlignment="1">
      <alignment horizontal="center" vertical="center"/>
    </xf>
    <xf numFmtId="175" fontId="118" fillId="31" borderId="42" xfId="0" applyNumberFormat="1" applyFont="1" applyFill="1" applyBorder="1" applyAlignment="1">
      <alignment horizontal="center" vertical="center"/>
    </xf>
    <xf numFmtId="0" fontId="118" fillId="30" borderId="43" xfId="0" applyFont="1" applyFill="1" applyBorder="1" applyAlignment="1">
      <alignment horizontal="center" vertical="center" wrapText="1"/>
    </xf>
    <xf numFmtId="175" fontId="118" fillId="30" borderId="53" xfId="0" applyNumberFormat="1" applyFont="1" applyFill="1" applyBorder="1" applyAlignment="1">
      <alignment horizontal="center" vertical="center"/>
    </xf>
    <xf numFmtId="0" fontId="116" fillId="30" borderId="59" xfId="0" applyFont="1" applyFill="1" applyBorder="1" applyAlignment="1">
      <alignment horizontal="left" vertical="center" wrapText="1"/>
    </xf>
    <xf numFmtId="0" fontId="118" fillId="30" borderId="21" xfId="0" applyFont="1" applyFill="1" applyBorder="1" applyAlignment="1">
      <alignment horizontal="center" vertical="center" wrapText="1"/>
    </xf>
    <xf numFmtId="0" fontId="118" fillId="30" borderId="21" xfId="0" applyFont="1" applyFill="1" applyBorder="1" applyAlignment="1">
      <alignment horizontal="center" vertical="center"/>
    </xf>
    <xf numFmtId="40" fontId="119" fillId="0" borderId="59" xfId="0" applyNumberFormat="1" applyFont="1" applyBorder="1" applyAlignment="1">
      <alignment horizontal="center" vertical="center"/>
    </xf>
    <xf numFmtId="49" fontId="116" fillId="0" borderId="116" xfId="0" applyNumberFormat="1" applyFont="1" applyBorder="1" applyAlignment="1">
      <alignment horizontal="center" vertical="top" wrapText="1"/>
    </xf>
    <xf numFmtId="175" fontId="118" fillId="30" borderId="38" xfId="0" applyNumberFormat="1" applyFont="1" applyFill="1" applyBorder="1" applyAlignment="1">
      <alignment horizontal="center" vertical="center"/>
    </xf>
    <xf numFmtId="175" fontId="118" fillId="30" borderId="60" xfId="0" applyNumberFormat="1" applyFont="1" applyFill="1" applyBorder="1" applyAlignment="1">
      <alignment horizontal="center" vertical="center"/>
    </xf>
    <xf numFmtId="177" fontId="118" fillId="30" borderId="35" xfId="0" applyNumberFormat="1" applyFont="1" applyFill="1" applyBorder="1" applyAlignment="1">
      <alignment horizontal="center" vertical="center"/>
    </xf>
    <xf numFmtId="40" fontId="119" fillId="0" borderId="56" xfId="0" applyNumberFormat="1" applyFont="1" applyBorder="1" applyAlignment="1">
      <alignment horizontal="center" vertical="center"/>
    </xf>
    <xf numFmtId="175" fontId="118" fillId="30" borderId="32" xfId="0" applyNumberFormat="1" applyFont="1" applyFill="1" applyBorder="1" applyAlignment="1">
      <alignment horizontal="center" vertical="center"/>
    </xf>
    <xf numFmtId="40" fontId="119" fillId="0" borderId="54" xfId="0" applyNumberFormat="1" applyFont="1" applyBorder="1" applyAlignment="1">
      <alignment horizontal="center" vertical="center"/>
    </xf>
    <xf numFmtId="0" fontId="116" fillId="27" borderId="58" xfId="0" applyFont="1" applyFill="1" applyBorder="1" applyAlignment="1">
      <alignment horizontal="left" vertical="center" wrapText="1"/>
    </xf>
    <xf numFmtId="0" fontId="118" fillId="27" borderId="23" xfId="0" applyFont="1" applyFill="1" applyBorder="1" applyAlignment="1">
      <alignment horizontal="center" vertical="center" wrapText="1"/>
    </xf>
    <xf numFmtId="0" fontId="118" fillId="27" borderId="23" xfId="0" applyFont="1" applyFill="1" applyBorder="1" applyAlignment="1">
      <alignment horizontal="center" vertical="center"/>
    </xf>
    <xf numFmtId="177" fontId="118" fillId="27" borderId="38" xfId="0" applyNumberFormat="1" applyFont="1" applyFill="1" applyBorder="1" applyAlignment="1">
      <alignment horizontal="center" vertical="center"/>
    </xf>
    <xf numFmtId="40" fontId="119" fillId="0" borderId="58" xfId="0" applyNumberFormat="1" applyFont="1" applyBorder="1" applyAlignment="1">
      <alignment horizontal="center" vertical="center"/>
    </xf>
    <xf numFmtId="0" fontId="116" fillId="27" borderId="291" xfId="0" applyFont="1" applyFill="1" applyBorder="1" applyAlignment="1">
      <alignment horizontal="left" vertical="center" wrapText="1"/>
    </xf>
    <xf numFmtId="177" fontId="118" fillId="27" borderId="61" xfId="0" applyNumberFormat="1" applyFont="1" applyFill="1" applyBorder="1" applyAlignment="1">
      <alignment horizontal="center" vertical="center"/>
    </xf>
    <xf numFmtId="0" fontId="118" fillId="27" borderId="1" xfId="0" applyFont="1" applyFill="1" applyBorder="1" applyAlignment="1">
      <alignment horizontal="center" vertical="center"/>
    </xf>
    <xf numFmtId="0" fontId="116" fillId="27" borderId="36" xfId="0" applyFont="1" applyFill="1" applyBorder="1" applyAlignment="1">
      <alignment horizontal="left" vertical="center" wrapText="1"/>
    </xf>
    <xf numFmtId="0" fontId="118" fillId="27" borderId="1" xfId="0" applyFont="1" applyFill="1" applyBorder="1" applyAlignment="1">
      <alignment horizontal="center" vertical="center" wrapText="1"/>
    </xf>
    <xf numFmtId="177" fontId="118" fillId="27" borderId="34" xfId="0" applyNumberFormat="1" applyFont="1" applyFill="1" applyBorder="1" applyAlignment="1">
      <alignment horizontal="center" vertical="center"/>
    </xf>
    <xf numFmtId="0" fontId="118" fillId="27" borderId="143" xfId="0" applyFont="1" applyFill="1" applyBorder="1" applyAlignment="1">
      <alignment horizontal="center" vertical="center" wrapText="1"/>
    </xf>
    <xf numFmtId="177" fontId="118" fillId="27" borderId="145" xfId="0" applyNumberFormat="1" applyFont="1" applyFill="1" applyBorder="1" applyAlignment="1">
      <alignment horizontal="center" vertical="center"/>
    </xf>
    <xf numFmtId="0" fontId="116" fillId="27" borderId="54" xfId="0" applyFont="1" applyFill="1" applyBorder="1" applyAlignment="1">
      <alignment horizontal="left" vertical="center" wrapText="1"/>
    </xf>
    <xf numFmtId="0" fontId="118" fillId="27" borderId="11" xfId="0" applyFont="1" applyFill="1" applyBorder="1" applyAlignment="1">
      <alignment horizontal="center" vertical="center" wrapText="1"/>
    </xf>
    <xf numFmtId="0" fontId="118" fillId="27" borderId="11" xfId="0" applyFont="1" applyFill="1" applyBorder="1" applyAlignment="1">
      <alignment horizontal="center" vertical="center"/>
    </xf>
    <xf numFmtId="177" fontId="118" fillId="27" borderId="32" xfId="0" applyNumberFormat="1" applyFont="1" applyFill="1" applyBorder="1" applyAlignment="1">
      <alignment horizontal="center" vertical="center"/>
    </xf>
    <xf numFmtId="49" fontId="116" fillId="0" borderId="135" xfId="0" applyNumberFormat="1" applyFont="1" applyBorder="1" applyAlignment="1">
      <alignment vertical="top" wrapText="1"/>
    </xf>
    <xf numFmtId="0" fontId="116" fillId="27" borderId="55" xfId="0" applyFont="1" applyFill="1" applyBorder="1" applyAlignment="1">
      <alignment horizontal="left" vertical="center" wrapText="1"/>
    </xf>
    <xf numFmtId="0" fontId="118" fillId="27" borderId="12" xfId="0" applyFont="1" applyFill="1" applyBorder="1" applyAlignment="1">
      <alignment horizontal="center" vertical="center" wrapText="1"/>
    </xf>
    <xf numFmtId="0" fontId="118" fillId="27" borderId="12" xfId="0" applyFont="1" applyFill="1" applyBorder="1" applyAlignment="1">
      <alignment horizontal="center" vertical="center"/>
    </xf>
    <xf numFmtId="177" fontId="118" fillId="27" borderId="33" xfId="0" applyNumberFormat="1" applyFont="1" applyFill="1" applyBorder="1" applyAlignment="1">
      <alignment horizontal="center" vertical="center"/>
    </xf>
    <xf numFmtId="0" fontId="116" fillId="32" borderId="76" xfId="0" applyFont="1" applyFill="1" applyBorder="1" applyAlignment="1">
      <alignment horizontal="left" vertical="center" wrapText="1"/>
    </xf>
    <xf numFmtId="0" fontId="118" fillId="32" borderId="77" xfId="0" applyFont="1" applyFill="1" applyBorder="1" applyAlignment="1">
      <alignment horizontal="center" vertical="center" wrapText="1"/>
    </xf>
    <xf numFmtId="0" fontId="118" fillId="32" borderId="77" xfId="0" applyFont="1" applyFill="1" applyBorder="1" applyAlignment="1">
      <alignment horizontal="center" vertical="center"/>
    </xf>
    <xf numFmtId="177" fontId="118" fillId="32" borderId="89" xfId="0" applyNumberFormat="1" applyFont="1" applyFill="1" applyBorder="1" applyAlignment="1">
      <alignment horizontal="center" vertical="center"/>
    </xf>
    <xf numFmtId="40" fontId="119" fillId="0" borderId="88" xfId="0" applyNumberFormat="1" applyFont="1" applyBorder="1" applyAlignment="1">
      <alignment horizontal="center" vertical="center"/>
    </xf>
    <xf numFmtId="0" fontId="116" fillId="32" borderId="79" xfId="0" applyFont="1" applyFill="1" applyBorder="1" applyAlignment="1">
      <alignment horizontal="left" vertical="center" wrapText="1"/>
    </xf>
    <xf numFmtId="0" fontId="118" fillId="32" borderId="1" xfId="0" applyFont="1" applyFill="1" applyBorder="1" applyAlignment="1">
      <alignment horizontal="center" vertical="center" wrapText="1"/>
    </xf>
    <xf numFmtId="0" fontId="118" fillId="32" borderId="1" xfId="0" applyFont="1" applyFill="1" applyBorder="1" applyAlignment="1">
      <alignment horizontal="center" vertical="center"/>
    </xf>
    <xf numFmtId="177" fontId="118" fillId="32" borderId="34" xfId="0" applyNumberFormat="1" applyFont="1" applyFill="1" applyBorder="1" applyAlignment="1">
      <alignment horizontal="center" vertical="center"/>
    </xf>
    <xf numFmtId="0" fontId="116" fillId="32" borderId="81" xfId="0" applyFont="1" applyFill="1" applyBorder="1" applyAlignment="1">
      <alignment horizontal="left" vertical="center" wrapText="1"/>
    </xf>
    <xf numFmtId="0" fontId="118" fillId="32" borderId="82" xfId="0" applyFont="1" applyFill="1" applyBorder="1" applyAlignment="1">
      <alignment horizontal="center" vertical="center" wrapText="1"/>
    </xf>
    <xf numFmtId="0" fontId="118" fillId="32" borderId="82" xfId="0" applyFont="1" applyFill="1" applyBorder="1" applyAlignment="1">
      <alignment horizontal="center" vertical="center"/>
    </xf>
    <xf numFmtId="177" fontId="118" fillId="32" borderId="112" xfId="0" applyNumberFormat="1" applyFont="1" applyFill="1" applyBorder="1" applyAlignment="1">
      <alignment horizontal="center" vertical="center"/>
    </xf>
    <xf numFmtId="40" fontId="119" fillId="0" borderId="111" xfId="0" applyNumberFormat="1" applyFont="1" applyBorder="1" applyAlignment="1">
      <alignment horizontal="center" vertical="center"/>
    </xf>
    <xf numFmtId="0" fontId="116" fillId="32" borderId="324" xfId="0" applyFont="1" applyFill="1" applyBorder="1" applyAlignment="1">
      <alignment horizontal="left" vertical="center" wrapText="1"/>
    </xf>
    <xf numFmtId="0" fontId="118" fillId="32" borderId="299" xfId="0" applyFont="1" applyFill="1" applyBorder="1" applyAlignment="1">
      <alignment horizontal="center" vertical="center" wrapText="1"/>
    </xf>
    <xf numFmtId="0" fontId="118" fillId="32" borderId="299" xfId="0" applyFont="1" applyFill="1" applyBorder="1" applyAlignment="1">
      <alignment horizontal="center" vertical="center"/>
    </xf>
    <xf numFmtId="177" fontId="118" fillId="32" borderId="325" xfId="0" applyNumberFormat="1" applyFont="1" applyFill="1" applyBorder="1" applyAlignment="1">
      <alignment horizontal="center" vertical="center"/>
    </xf>
    <xf numFmtId="40" fontId="119" fillId="24" borderId="324" xfId="0" applyNumberFormat="1" applyFont="1" applyFill="1" applyBorder="1" applyAlignment="1">
      <alignment horizontal="center" vertical="center"/>
    </xf>
    <xf numFmtId="40" fontId="119" fillId="0" borderId="324" xfId="0" applyNumberFormat="1" applyFont="1" applyBorder="1" applyAlignment="1">
      <alignment horizontal="center" vertical="center"/>
    </xf>
    <xf numFmtId="49" fontId="116" fillId="0" borderId="166" xfId="0" applyNumberFormat="1" applyFont="1" applyBorder="1" applyAlignment="1">
      <alignment horizontal="center" vertical="top" wrapText="1"/>
    </xf>
    <xf numFmtId="0" fontId="116" fillId="17" borderId="1" xfId="0" applyFont="1" applyFill="1" applyBorder="1" applyAlignment="1">
      <alignment horizontal="left" vertical="center" wrapText="1"/>
    </xf>
    <xf numFmtId="0" fontId="118" fillId="17" borderId="1" xfId="0" applyFont="1" applyFill="1" applyBorder="1" applyAlignment="1">
      <alignment horizontal="center" vertical="center" wrapText="1"/>
    </xf>
    <xf numFmtId="0" fontId="118" fillId="17" borderId="1" xfId="0" applyFont="1" applyFill="1" applyBorder="1" applyAlignment="1">
      <alignment horizontal="center" vertical="center"/>
    </xf>
    <xf numFmtId="178" fontId="118" fillId="17" borderId="34" xfId="0" applyNumberFormat="1" applyFont="1" applyFill="1" applyBorder="1" applyAlignment="1">
      <alignment horizontal="center" vertical="center"/>
    </xf>
    <xf numFmtId="49" fontId="116" fillId="0" borderId="292" xfId="0" applyNumberFormat="1" applyFont="1" applyBorder="1" applyAlignment="1">
      <alignment horizontal="center" vertical="top" wrapText="1"/>
    </xf>
    <xf numFmtId="0" fontId="116" fillId="17" borderId="293" xfId="0" applyFont="1" applyFill="1" applyBorder="1" applyAlignment="1">
      <alignment horizontal="left" vertical="center" wrapText="1"/>
    </xf>
    <xf numFmtId="0" fontId="118" fillId="17" borderId="293" xfId="0" applyFont="1" applyFill="1" applyBorder="1" applyAlignment="1">
      <alignment horizontal="center" vertical="center" wrapText="1"/>
    </xf>
    <xf numFmtId="0" fontId="118" fillId="17" borderId="293" xfId="0" applyFont="1" applyFill="1" applyBorder="1" applyAlignment="1">
      <alignment horizontal="center" vertical="center"/>
    </xf>
    <xf numFmtId="178" fontId="118" fillId="17" borderId="294" xfId="0" applyNumberFormat="1" applyFont="1" applyFill="1" applyBorder="1" applyAlignment="1">
      <alignment horizontal="center" vertical="center"/>
    </xf>
    <xf numFmtId="49" fontId="116" fillId="0" borderId="296" xfId="0" applyNumberFormat="1" applyFont="1" applyBorder="1" applyAlignment="1">
      <alignment horizontal="center" vertical="top" wrapText="1"/>
    </xf>
    <xf numFmtId="49" fontId="116" fillId="0" borderId="308" xfId="0" applyNumberFormat="1" applyFont="1" applyBorder="1" applyAlignment="1">
      <alignment horizontal="center" vertical="top" wrapText="1"/>
    </xf>
    <xf numFmtId="0" fontId="116" fillId="17" borderId="310" xfId="0" applyFont="1" applyFill="1" applyBorder="1" applyAlignment="1">
      <alignment horizontal="left" vertical="center" wrapText="1"/>
    </xf>
    <xf numFmtId="0" fontId="118" fillId="17" borderId="310" xfId="0" applyFont="1" applyFill="1" applyBorder="1" applyAlignment="1">
      <alignment horizontal="center" vertical="center" wrapText="1"/>
    </xf>
    <xf numFmtId="0" fontId="118" fillId="17" borderId="310" xfId="0" applyFont="1" applyFill="1" applyBorder="1" applyAlignment="1">
      <alignment horizontal="center" vertical="center"/>
    </xf>
    <xf numFmtId="178" fontId="118" fillId="17" borderId="311" xfId="0" applyNumberFormat="1" applyFont="1" applyFill="1" applyBorder="1" applyAlignment="1">
      <alignment horizontal="center" vertical="center"/>
    </xf>
    <xf numFmtId="40" fontId="119" fillId="0" borderId="312" xfId="0" applyNumberFormat="1" applyFont="1" applyBorder="1" applyAlignment="1">
      <alignment horizontal="center" vertical="center"/>
    </xf>
    <xf numFmtId="49" fontId="116" fillId="0" borderId="171" xfId="0" applyNumberFormat="1" applyFont="1" applyBorder="1" applyAlignment="1">
      <alignment horizontal="center" vertical="top" wrapText="1"/>
    </xf>
    <xf numFmtId="0" fontId="116" fillId="17" borderId="121" xfId="0" applyFont="1" applyFill="1" applyBorder="1" applyAlignment="1">
      <alignment horizontal="left" vertical="center" wrapText="1"/>
    </xf>
    <xf numFmtId="0" fontId="118" fillId="17" borderId="121" xfId="0" applyFont="1" applyFill="1" applyBorder="1" applyAlignment="1">
      <alignment horizontal="center" vertical="center" wrapText="1"/>
    </xf>
    <xf numFmtId="0" fontId="118" fillId="17" borderId="121" xfId="0" applyFont="1" applyFill="1" applyBorder="1" applyAlignment="1">
      <alignment horizontal="center" vertical="center"/>
    </xf>
    <xf numFmtId="178" fontId="118" fillId="17" borderId="169" xfId="0" applyNumberFormat="1" applyFont="1" applyFill="1" applyBorder="1" applyAlignment="1">
      <alignment horizontal="center" vertical="center"/>
    </xf>
    <xf numFmtId="49" fontId="116" fillId="0" borderId="171" xfId="0" applyNumberFormat="1" applyFont="1" applyBorder="1" applyAlignment="1">
      <alignment horizontal="center" vertical="center" wrapText="1"/>
    </xf>
    <xf numFmtId="0" fontId="116" fillId="27" borderId="76" xfId="0" applyFont="1" applyFill="1" applyBorder="1" applyAlignment="1">
      <alignment horizontal="left" vertical="center" wrapText="1"/>
    </xf>
    <xf numFmtId="0" fontId="118" fillId="27" borderId="77" xfId="0" applyFont="1" applyFill="1" applyBorder="1" applyAlignment="1">
      <alignment horizontal="center" vertical="center" wrapText="1"/>
    </xf>
    <xf numFmtId="0" fontId="118" fillId="27" borderId="77" xfId="0" applyFont="1" applyFill="1" applyBorder="1" applyAlignment="1">
      <alignment horizontal="center" vertical="center"/>
    </xf>
    <xf numFmtId="176" fontId="118" fillId="27" borderId="89" xfId="0" applyNumberFormat="1" applyFont="1" applyFill="1" applyBorder="1" applyAlignment="1">
      <alignment horizontal="center" vertical="center"/>
    </xf>
    <xf numFmtId="0" fontId="116" fillId="27" borderId="79" xfId="0" applyFont="1" applyFill="1" applyBorder="1" applyAlignment="1">
      <alignment horizontal="left" vertical="center" wrapText="1"/>
    </xf>
    <xf numFmtId="176" fontId="118" fillId="27" borderId="34" xfId="0" applyNumberFormat="1" applyFont="1" applyFill="1" applyBorder="1" applyAlignment="1">
      <alignment horizontal="center" vertical="center"/>
    </xf>
    <xf numFmtId="0" fontId="116" fillId="27" borderId="81" xfId="0" applyFont="1" applyFill="1" applyBorder="1" applyAlignment="1">
      <alignment horizontal="left" vertical="center" wrapText="1"/>
    </xf>
    <xf numFmtId="0" fontId="118" fillId="27" borderId="82" xfId="0" applyFont="1" applyFill="1" applyBorder="1" applyAlignment="1">
      <alignment horizontal="center" vertical="center" wrapText="1"/>
    </xf>
    <xf numFmtId="0" fontId="118" fillId="27" borderId="82" xfId="0" applyFont="1" applyFill="1" applyBorder="1" applyAlignment="1">
      <alignment horizontal="center" vertical="center"/>
    </xf>
    <xf numFmtId="176" fontId="118" fillId="27" borderId="112" xfId="0" applyNumberFormat="1" applyFont="1" applyFill="1" applyBorder="1" applyAlignment="1">
      <alignment horizontal="center" vertical="center"/>
    </xf>
    <xf numFmtId="0" fontId="118" fillId="27" borderId="143" xfId="0" applyFont="1" applyFill="1" applyBorder="1" applyAlignment="1">
      <alignment horizontal="center" vertical="center"/>
    </xf>
    <xf numFmtId="40" fontId="119" fillId="0" borderId="142" xfId="0" applyNumberFormat="1" applyFont="1" applyBorder="1" applyAlignment="1">
      <alignment horizontal="center" vertical="center"/>
    </xf>
    <xf numFmtId="0" fontId="118" fillId="27" borderId="313" xfId="0" applyFont="1" applyFill="1" applyBorder="1" applyAlignment="1">
      <alignment horizontal="center" vertical="center" wrapText="1"/>
    </xf>
    <xf numFmtId="0" fontId="118" fillId="27" borderId="313" xfId="0" applyFont="1" applyFill="1" applyBorder="1" applyAlignment="1">
      <alignment horizontal="center" vertical="center"/>
    </xf>
    <xf numFmtId="40" fontId="119" fillId="0" borderId="314" xfId="0" applyNumberFormat="1" applyFont="1" applyBorder="1" applyAlignment="1">
      <alignment horizontal="center" vertical="center"/>
    </xf>
    <xf numFmtId="175" fontId="118" fillId="27" borderId="34" xfId="0" applyNumberFormat="1" applyFont="1" applyFill="1" applyBorder="1" applyAlignment="1">
      <alignment horizontal="center" vertical="center"/>
    </xf>
    <xf numFmtId="0" fontId="116" fillId="27" borderId="91" xfId="0" applyFont="1" applyFill="1" applyBorder="1" applyAlignment="1">
      <alignment horizontal="left" vertical="center" wrapText="1"/>
    </xf>
    <xf numFmtId="175" fontId="118" fillId="27" borderId="32" xfId="0" applyNumberFormat="1" applyFont="1" applyFill="1" applyBorder="1" applyAlignment="1">
      <alignment horizontal="center" vertical="center"/>
    </xf>
    <xf numFmtId="0" fontId="116" fillId="27" borderId="90" xfId="0" applyFont="1" applyFill="1" applyBorder="1" applyAlignment="1">
      <alignment horizontal="left" vertical="center" wrapText="1"/>
    </xf>
    <xf numFmtId="176" fontId="118" fillId="27" borderId="33" xfId="0" applyNumberFormat="1" applyFont="1" applyFill="1" applyBorder="1" applyAlignment="1">
      <alignment horizontal="center" vertical="center"/>
    </xf>
    <xf numFmtId="49" fontId="116" fillId="0" borderId="79" xfId="0" applyNumberFormat="1" applyFont="1" applyBorder="1" applyAlignment="1">
      <alignment horizontal="center" vertical="top" wrapText="1"/>
    </xf>
    <xf numFmtId="40" fontId="119" fillId="0" borderId="330" xfId="0" applyNumberFormat="1" applyFont="1" applyBorder="1" applyAlignment="1">
      <alignment horizontal="center" vertical="center"/>
    </xf>
    <xf numFmtId="0" fontId="116" fillId="27" borderId="334" xfId="0" applyFont="1" applyFill="1" applyBorder="1" applyAlignment="1">
      <alignment horizontal="left" vertical="center" wrapText="1"/>
    </xf>
    <xf numFmtId="0" fontId="118" fillId="27" borderId="335" xfId="0" applyFont="1" applyFill="1" applyBorder="1" applyAlignment="1">
      <alignment horizontal="center" vertical="center" wrapText="1"/>
    </xf>
    <xf numFmtId="0" fontId="118" fillId="27" borderId="335" xfId="0" applyFont="1" applyFill="1" applyBorder="1" applyAlignment="1">
      <alignment horizontal="center" vertical="center"/>
    </xf>
    <xf numFmtId="176" fontId="118" fillId="27" borderId="336" xfId="0" applyNumberFormat="1" applyFont="1" applyFill="1" applyBorder="1" applyAlignment="1">
      <alignment horizontal="center" vertical="center"/>
    </xf>
    <xf numFmtId="40" fontId="119" fillId="0" borderId="334" xfId="0" applyNumberFormat="1" applyFont="1" applyBorder="1" applyAlignment="1">
      <alignment horizontal="center" vertical="center"/>
    </xf>
    <xf numFmtId="0" fontId="116" fillId="27" borderId="312" xfId="0" applyFont="1" applyFill="1" applyBorder="1" applyAlignment="1">
      <alignment horizontal="left" vertical="center" wrapText="1"/>
    </xf>
    <xf numFmtId="0" fontId="118" fillId="27" borderId="310" xfId="0" applyFont="1" applyFill="1" applyBorder="1" applyAlignment="1">
      <alignment horizontal="center" vertical="center" wrapText="1"/>
    </xf>
    <xf numFmtId="0" fontId="118" fillId="27" borderId="310" xfId="0" applyFont="1" applyFill="1" applyBorder="1" applyAlignment="1">
      <alignment horizontal="center" vertical="center"/>
    </xf>
    <xf numFmtId="176" fontId="118" fillId="27" borderId="311" xfId="0" applyNumberFormat="1" applyFont="1" applyFill="1" applyBorder="1" applyAlignment="1">
      <alignment horizontal="center" vertical="center"/>
    </xf>
    <xf numFmtId="176" fontId="118" fillId="30" borderId="34" xfId="0" applyNumberFormat="1" applyFont="1" applyFill="1" applyBorder="1" applyAlignment="1">
      <alignment horizontal="center" vertical="center"/>
    </xf>
    <xf numFmtId="40" fontId="119" fillId="0" borderId="340" xfId="0" applyNumberFormat="1" applyFont="1" applyBorder="1" applyAlignment="1">
      <alignment horizontal="center" vertical="center"/>
    </xf>
    <xf numFmtId="0" fontId="116" fillId="30" borderId="306" xfId="0" applyFont="1" applyFill="1" applyBorder="1" applyAlignment="1">
      <alignment horizontal="left" vertical="center" wrapText="1"/>
    </xf>
    <xf numFmtId="0" fontId="118" fillId="30" borderId="305" xfId="0" applyFont="1" applyFill="1" applyBorder="1" applyAlignment="1">
      <alignment horizontal="center" vertical="center" wrapText="1"/>
    </xf>
    <xf numFmtId="0" fontId="118" fillId="30" borderId="305" xfId="0" applyFont="1" applyFill="1" applyBorder="1" applyAlignment="1">
      <alignment horizontal="center" vertical="center"/>
    </xf>
    <xf numFmtId="175" fontId="118" fillId="30" borderId="307" xfId="0" applyNumberFormat="1" applyFont="1" applyFill="1" applyBorder="1" applyAlignment="1">
      <alignment horizontal="center" vertical="center"/>
    </xf>
    <xf numFmtId="0" fontId="116" fillId="30" borderId="302" xfId="0" applyFont="1" applyFill="1" applyBorder="1" applyAlignment="1">
      <alignment horizontal="left" vertical="center" wrapText="1"/>
    </xf>
    <xf numFmtId="0" fontId="118" fillId="30" borderId="301" xfId="0" applyFont="1" applyFill="1" applyBorder="1" applyAlignment="1">
      <alignment horizontal="center" vertical="center" wrapText="1"/>
    </xf>
    <xf numFmtId="0" fontId="118" fillId="30" borderId="301" xfId="0" applyFont="1" applyFill="1" applyBorder="1" applyAlignment="1">
      <alignment horizontal="center" vertical="center"/>
    </xf>
    <xf numFmtId="175" fontId="118" fillId="30" borderId="303" xfId="0" applyNumberFormat="1" applyFont="1" applyFill="1" applyBorder="1" applyAlignment="1">
      <alignment horizontal="center" vertical="center"/>
    </xf>
    <xf numFmtId="0" fontId="114" fillId="0" borderId="116" xfId="0" applyFont="1" applyBorder="1"/>
    <xf numFmtId="0" fontId="116" fillId="30" borderId="58" xfId="0" applyFont="1" applyFill="1" applyBorder="1" applyAlignment="1">
      <alignment horizontal="left" vertical="center" wrapText="1"/>
    </xf>
    <xf numFmtId="40" fontId="119" fillId="0" borderId="306" xfId="0" applyNumberFormat="1" applyFont="1" applyBorder="1" applyAlignment="1">
      <alignment horizontal="center" vertical="center"/>
    </xf>
    <xf numFmtId="40" fontId="119" fillId="0" borderId="302" xfId="0" applyNumberFormat="1" applyFont="1" applyBorder="1" applyAlignment="1">
      <alignment horizontal="center" vertical="center"/>
    </xf>
    <xf numFmtId="0" fontId="126" fillId="24" borderId="79" xfId="6" applyFont="1" applyFill="1" applyBorder="1" applyAlignment="1">
      <alignment horizontal="left" vertical="center" wrapText="1"/>
    </xf>
    <xf numFmtId="0" fontId="127" fillId="24" borderId="1" xfId="6" applyFont="1" applyFill="1" applyAlignment="1">
      <alignment horizontal="center" vertical="center"/>
    </xf>
    <xf numFmtId="0" fontId="126" fillId="24" borderId="258" xfId="6" applyFont="1" applyFill="1" applyBorder="1" applyAlignment="1">
      <alignment horizontal="left" vertical="center" wrapText="1"/>
    </xf>
    <xf numFmtId="0" fontId="126" fillId="24" borderId="282" xfId="6" applyFont="1" applyFill="1" applyBorder="1" applyAlignment="1">
      <alignment horizontal="left" vertical="center" wrapText="1"/>
    </xf>
    <xf numFmtId="0" fontId="127" fillId="24" borderId="122" xfId="6" applyFont="1" applyFill="1" applyBorder="1" applyAlignment="1">
      <alignment horizontal="center" vertical="center" wrapText="1"/>
    </xf>
    <xf numFmtId="178" fontId="127" fillId="24" borderId="122" xfId="6" applyNumberFormat="1" applyFont="1" applyFill="1" applyBorder="1" applyAlignment="1">
      <alignment horizontal="center" vertical="center"/>
    </xf>
    <xf numFmtId="40" fontId="119" fillId="0" borderId="86" xfId="6" applyNumberFormat="1" applyFont="1" applyBorder="1" applyAlignment="1">
      <alignment horizontal="center" vertical="center"/>
    </xf>
    <xf numFmtId="170" fontId="131" fillId="0" borderId="122" xfId="6" applyNumberFormat="1" applyFont="1" applyBorder="1" applyAlignment="1">
      <alignment horizontal="center" vertical="center"/>
    </xf>
    <xf numFmtId="0" fontId="126" fillId="24" borderId="272" xfId="6" applyFont="1" applyFill="1" applyBorder="1" applyAlignment="1">
      <alignment horizontal="left" vertical="center" wrapText="1"/>
    </xf>
    <xf numFmtId="0" fontId="127" fillId="24" borderId="122" xfId="6" applyFont="1" applyFill="1" applyBorder="1" applyAlignment="1">
      <alignment horizontal="center" vertical="center"/>
    </xf>
    <xf numFmtId="3" fontId="118" fillId="0" borderId="346" xfId="0" applyNumberFormat="1" applyFont="1" applyBorder="1" applyAlignment="1">
      <alignment horizontal="center" vertical="center"/>
    </xf>
    <xf numFmtId="3" fontId="118" fillId="0" borderId="286" xfId="0" applyNumberFormat="1" applyFont="1" applyBorder="1" applyAlignment="1">
      <alignment horizontal="center" vertical="center"/>
    </xf>
    <xf numFmtId="3" fontId="118" fillId="0" borderId="347" xfId="0" applyNumberFormat="1" applyFont="1" applyBorder="1" applyAlignment="1">
      <alignment horizontal="center" vertical="center"/>
    </xf>
    <xf numFmtId="177" fontId="127" fillId="24" borderId="122" xfId="6" applyNumberFormat="1" applyFont="1" applyFill="1" applyBorder="1" applyAlignment="1">
      <alignment horizontal="center" vertical="center"/>
    </xf>
    <xf numFmtId="177" fontId="127" fillId="24" borderId="121" xfId="6" applyNumberFormat="1" applyFont="1" applyFill="1" applyBorder="1" applyAlignment="1">
      <alignment horizontal="center" vertical="center"/>
    </xf>
    <xf numFmtId="175" fontId="127" fillId="24" borderId="1" xfId="6" applyNumberFormat="1" applyFont="1" applyFill="1" applyAlignment="1">
      <alignment horizontal="center" vertical="center"/>
    </xf>
    <xf numFmtId="175" fontId="127" fillId="24" borderId="121" xfId="6" applyNumberFormat="1" applyFont="1" applyFill="1" applyBorder="1" applyAlignment="1">
      <alignment horizontal="center" vertical="center"/>
    </xf>
    <xf numFmtId="0" fontId="112" fillId="2" borderId="86" xfId="0" applyFont="1" applyFill="1" applyBorder="1" applyAlignment="1">
      <alignment wrapText="1"/>
    </xf>
    <xf numFmtId="0" fontId="114" fillId="2" borderId="122" xfId="0" applyFont="1" applyFill="1" applyBorder="1" applyAlignment="1">
      <alignment horizontal="center" vertical="center"/>
    </xf>
    <xf numFmtId="0" fontId="114" fillId="2" borderId="122" xfId="0" applyFont="1" applyFill="1" applyBorder="1"/>
    <xf numFmtId="0" fontId="115" fillId="2" borderId="122" xfId="0" applyFont="1" applyFill="1" applyBorder="1" applyAlignment="1">
      <alignment horizontal="center"/>
    </xf>
    <xf numFmtId="0" fontId="114" fillId="2" borderId="122" xfId="0" applyFont="1" applyFill="1" applyBorder="1" applyAlignment="1">
      <alignment horizontal="center"/>
    </xf>
    <xf numFmtId="0" fontId="119" fillId="2" borderId="122" xfId="0" applyFont="1" applyFill="1" applyBorder="1" applyAlignment="1">
      <alignment horizontal="center"/>
    </xf>
    <xf numFmtId="0" fontId="131" fillId="2" borderId="122" xfId="0" applyFont="1" applyFill="1" applyBorder="1" applyAlignment="1">
      <alignment horizontal="center"/>
    </xf>
    <xf numFmtId="167" fontId="114" fillId="2" borderId="122" xfId="0" applyNumberFormat="1" applyFont="1" applyFill="1" applyBorder="1"/>
    <xf numFmtId="1" fontId="114" fillId="2" borderId="122" xfId="0" applyNumberFormat="1" applyFont="1" applyFill="1" applyBorder="1"/>
    <xf numFmtId="0" fontId="112" fillId="2" borderId="260" xfId="0" applyFont="1" applyFill="1" applyBorder="1" applyAlignment="1">
      <alignment wrapText="1"/>
    </xf>
    <xf numFmtId="0" fontId="114" fillId="2" borderId="1" xfId="0" applyFont="1" applyFill="1" applyBorder="1" applyAlignment="1">
      <alignment horizontal="center" vertical="center"/>
    </xf>
    <xf numFmtId="0" fontId="129" fillId="0" borderId="86" xfId="0" applyFont="1" applyBorder="1" applyAlignment="1">
      <alignment vertical="center"/>
    </xf>
    <xf numFmtId="168" fontId="129" fillId="0" borderId="87" xfId="0" applyNumberFormat="1" applyFont="1" applyBorder="1" applyAlignment="1">
      <alignment horizontal="center" vertical="center"/>
    </xf>
    <xf numFmtId="0" fontId="114" fillId="2" borderId="1" xfId="0" applyFont="1" applyFill="1" applyBorder="1" applyAlignment="1">
      <alignment horizontal="center"/>
    </xf>
    <xf numFmtId="0" fontId="119" fillId="2" borderId="1" xfId="0" applyFont="1" applyFill="1" applyBorder="1" applyAlignment="1">
      <alignment horizontal="center"/>
    </xf>
    <xf numFmtId="0" fontId="131" fillId="2" borderId="1" xfId="0" applyFont="1" applyFill="1" applyBorder="1" applyAlignment="1">
      <alignment horizontal="center"/>
    </xf>
    <xf numFmtId="167" fontId="114" fillId="2" borderId="1" xfId="0" applyNumberFormat="1" applyFont="1" applyFill="1" applyBorder="1"/>
    <xf numFmtId="1" fontId="114" fillId="2" borderId="1" xfId="0" applyNumberFormat="1" applyFont="1" applyFill="1" applyBorder="1"/>
    <xf numFmtId="0" fontId="114" fillId="2" borderId="1" xfId="0" applyFont="1" applyFill="1" applyBorder="1"/>
    <xf numFmtId="0" fontId="129" fillId="17" borderId="260" xfId="0" applyFont="1" applyFill="1" applyBorder="1" applyAlignment="1">
      <alignment vertical="center"/>
    </xf>
    <xf numFmtId="168" fontId="129" fillId="20" borderId="18" xfId="0" applyNumberFormat="1" applyFont="1" applyFill="1" applyBorder="1" applyAlignment="1">
      <alignment horizontal="center" vertical="center"/>
    </xf>
    <xf numFmtId="0" fontId="112" fillId="2" borderId="265" xfId="0" applyFont="1" applyFill="1" applyBorder="1" applyAlignment="1">
      <alignment wrapText="1"/>
    </xf>
    <xf numFmtId="0" fontId="114" fillId="2" borderId="121" xfId="0" applyFont="1" applyFill="1" applyBorder="1" applyAlignment="1">
      <alignment horizontal="center" vertical="center"/>
    </xf>
    <xf numFmtId="0" fontId="129" fillId="0" borderId="265" xfId="0" applyFont="1" applyBorder="1" applyAlignment="1">
      <alignment vertical="center"/>
    </xf>
    <xf numFmtId="169" fontId="129" fillId="0" borderId="146" xfId="0" applyNumberFormat="1" applyFont="1" applyBorder="1" applyAlignment="1">
      <alignment horizontal="center" vertical="center" wrapText="1"/>
    </xf>
    <xf numFmtId="0" fontId="114" fillId="2" borderId="121" xfId="0" applyFont="1" applyFill="1" applyBorder="1" applyAlignment="1">
      <alignment horizontal="center"/>
    </xf>
    <xf numFmtId="0" fontId="119" fillId="2" borderId="121" xfId="0" applyFont="1" applyFill="1" applyBorder="1" applyAlignment="1">
      <alignment horizontal="center"/>
    </xf>
    <xf numFmtId="0" fontId="131" fillId="2" borderId="121" xfId="0" applyFont="1" applyFill="1" applyBorder="1" applyAlignment="1">
      <alignment horizontal="center"/>
    </xf>
    <xf numFmtId="167" fontId="114" fillId="2" borderId="121" xfId="0" applyNumberFormat="1" applyFont="1" applyFill="1" applyBorder="1"/>
    <xf numFmtId="1" fontId="114" fillId="2" borderId="121" xfId="0" applyNumberFormat="1" applyFont="1" applyFill="1" applyBorder="1"/>
    <xf numFmtId="0" fontId="114" fillId="2" borderId="121" xfId="0" applyFont="1" applyFill="1" applyBorder="1"/>
    <xf numFmtId="164" fontId="114" fillId="29" borderId="0" xfId="1" applyFont="1" applyFill="1" applyAlignment="1" applyProtection="1"/>
    <xf numFmtId="0" fontId="112" fillId="2" borderId="1" xfId="0" applyFont="1" applyFill="1" applyBorder="1" applyAlignment="1">
      <alignment wrapText="1"/>
    </xf>
    <xf numFmtId="0" fontId="119" fillId="7" borderId="260" xfId="0" applyFont="1" applyFill="1" applyBorder="1" applyAlignment="1">
      <alignment vertical="center"/>
    </xf>
    <xf numFmtId="1" fontId="119" fillId="38" borderId="18" xfId="0" applyNumberFormat="1" applyFont="1" applyFill="1" applyBorder="1" applyAlignment="1">
      <alignment horizontal="center" vertical="center"/>
    </xf>
    <xf numFmtId="17" fontId="128" fillId="0" borderId="0" xfId="0" applyNumberFormat="1" applyFont="1"/>
    <xf numFmtId="0" fontId="116" fillId="39" borderId="1" xfId="0" applyFont="1" applyFill="1" applyBorder="1" applyAlignment="1">
      <alignment vertical="center"/>
    </xf>
    <xf numFmtId="1" fontId="118" fillId="40" borderId="1" xfId="0" applyNumberFormat="1" applyFont="1" applyFill="1" applyBorder="1" applyAlignment="1">
      <alignment horizontal="center" vertical="center"/>
    </xf>
    <xf numFmtId="3" fontId="119" fillId="0" borderId="0" xfId="1" applyNumberFormat="1" applyFont="1" applyAlignment="1" applyProtection="1">
      <alignment horizontal="center"/>
    </xf>
    <xf numFmtId="10" fontId="131" fillId="0" borderId="0" xfId="3" applyNumberFormat="1" applyFont="1" applyAlignment="1" applyProtection="1">
      <alignment vertical="center"/>
    </xf>
    <xf numFmtId="167" fontId="120" fillId="0" borderId="0" xfId="0" applyNumberFormat="1" applyFont="1"/>
    <xf numFmtId="0" fontId="112" fillId="0" borderId="0" xfId="0" applyFont="1" applyAlignment="1">
      <alignment vertical="center"/>
    </xf>
    <xf numFmtId="173" fontId="112" fillId="0" borderId="0" xfId="0" applyNumberFormat="1" applyFont="1" applyAlignment="1">
      <alignment vertical="center"/>
    </xf>
    <xf numFmtId="166" fontId="113" fillId="0" borderId="87" xfId="2" applyFont="1" applyBorder="1" applyAlignment="1" applyProtection="1"/>
    <xf numFmtId="0" fontId="116" fillId="0" borderId="1" xfId="0" applyFont="1" applyBorder="1" applyAlignment="1">
      <alignment vertical="center"/>
    </xf>
    <xf numFmtId="49" fontId="118" fillId="25" borderId="1" xfId="0" applyNumberFormat="1" applyFont="1" applyFill="1" applyBorder="1" applyAlignment="1">
      <alignment horizontal="center" vertical="center"/>
    </xf>
    <xf numFmtId="14" fontId="122" fillId="0" borderId="1" xfId="0" applyNumberFormat="1" applyFont="1" applyBorder="1" applyAlignment="1">
      <alignment horizontal="center"/>
    </xf>
    <xf numFmtId="14" fontId="122" fillId="0" borderId="0" xfId="0" applyNumberFormat="1" applyFont="1" applyAlignment="1">
      <alignment horizontal="center"/>
    </xf>
    <xf numFmtId="1" fontId="119" fillId="0" borderId="0" xfId="1" applyNumberFormat="1" applyFont="1" applyAlignment="1" applyProtection="1">
      <alignment vertical="center"/>
    </xf>
    <xf numFmtId="0" fontId="114" fillId="0" borderId="0" xfId="0" applyFont="1" applyAlignment="1">
      <alignment vertical="center"/>
    </xf>
    <xf numFmtId="0" fontId="114" fillId="29" borderId="0" xfId="0" applyFont="1" applyFill="1" applyAlignment="1">
      <alignment vertical="center"/>
    </xf>
    <xf numFmtId="164" fontId="121" fillId="0" borderId="260" xfId="1" applyFont="1" applyFill="1" applyBorder="1" applyAlignment="1" applyProtection="1">
      <alignment horizontal="center" vertical="center"/>
    </xf>
    <xf numFmtId="166" fontId="113" fillId="0" borderId="18" xfId="2" applyFont="1" applyBorder="1" applyAlignment="1" applyProtection="1"/>
    <xf numFmtId="0" fontId="131" fillId="0" borderId="0" xfId="0" applyFont="1" applyAlignment="1">
      <alignment horizontal="center"/>
    </xf>
    <xf numFmtId="0" fontId="120" fillId="0" borderId="0" xfId="0" applyFont="1"/>
    <xf numFmtId="164" fontId="121" fillId="0" borderId="260" xfId="1" applyFont="1" applyBorder="1" applyAlignment="1" applyProtection="1">
      <alignment horizontal="center" vertical="center"/>
    </xf>
    <xf numFmtId="10" fontId="118" fillId="25" borderId="1" xfId="0" applyNumberFormat="1" applyFont="1" applyFill="1" applyBorder="1" applyAlignment="1">
      <alignment horizontal="center" vertical="center"/>
    </xf>
    <xf numFmtId="166" fontId="113" fillId="0" borderId="146" xfId="2" applyFont="1" applyBorder="1" applyAlignment="1" applyProtection="1"/>
    <xf numFmtId="1" fontId="118" fillId="25" borderId="1" xfId="0" applyNumberFormat="1" applyFont="1" applyFill="1" applyBorder="1" applyAlignment="1">
      <alignment horizontal="center" vertical="center"/>
    </xf>
    <xf numFmtId="0" fontId="119" fillId="0" borderId="0" xfId="0" applyFont="1" applyAlignment="1">
      <alignment horizontal="center"/>
    </xf>
    <xf numFmtId="1" fontId="112" fillId="0" borderId="0" xfId="0" applyNumberFormat="1" applyFont="1" applyAlignment="1">
      <alignment horizontal="center" vertical="center" wrapText="1"/>
    </xf>
    <xf numFmtId="1" fontId="114" fillId="0" borderId="0" xfId="0" applyNumberFormat="1" applyFont="1" applyAlignment="1">
      <alignment horizontal="center" vertical="center"/>
    </xf>
    <xf numFmtId="1" fontId="114" fillId="0" borderId="0" xfId="0" applyNumberFormat="1" applyFont="1" applyAlignment="1">
      <alignment horizontal="center"/>
    </xf>
    <xf numFmtId="1" fontId="119" fillId="0" borderId="0" xfId="0" applyNumberFormat="1" applyFont="1"/>
    <xf numFmtId="1" fontId="131" fillId="0" borderId="0" xfId="0" applyNumberFormat="1" applyFont="1"/>
    <xf numFmtId="1" fontId="119" fillId="0" borderId="0" xfId="0" applyNumberFormat="1" applyFont="1" applyAlignment="1">
      <alignment horizontal="center" vertical="center"/>
    </xf>
    <xf numFmtId="1" fontId="120" fillId="0" borderId="0" xfId="0" applyNumberFormat="1" applyFont="1"/>
    <xf numFmtId="0" fontId="112" fillId="0" borderId="0" xfId="0" applyFont="1" applyAlignment="1">
      <alignment vertical="center" wrapText="1"/>
    </xf>
    <xf numFmtId="173" fontId="114" fillId="0" borderId="0" xfId="0" applyNumberFormat="1" applyFont="1" applyAlignment="1">
      <alignment vertical="center"/>
    </xf>
    <xf numFmtId="0" fontId="124" fillId="16" borderId="77" xfId="0" applyFont="1" applyFill="1" applyBorder="1" applyAlignment="1">
      <alignment horizontal="center" vertical="center"/>
    </xf>
    <xf numFmtId="167" fontId="129" fillId="15" borderId="218" xfId="0" applyNumberFormat="1" applyFont="1" applyFill="1" applyBorder="1" applyAlignment="1">
      <alignment vertical="center"/>
    </xf>
    <xf numFmtId="0" fontId="113" fillId="0" borderId="0" xfId="0" applyFont="1"/>
    <xf numFmtId="0" fontId="125" fillId="5" borderId="140" xfId="0" applyFont="1" applyFill="1" applyBorder="1" applyAlignment="1">
      <alignment horizontal="center" vertical="center"/>
    </xf>
    <xf numFmtId="49" fontId="130" fillId="5" borderId="48" xfId="0" applyNumberFormat="1" applyFont="1" applyFill="1" applyBorder="1" applyAlignment="1">
      <alignment vertical="center"/>
    </xf>
    <xf numFmtId="49" fontId="130" fillId="5" borderId="43" xfId="0" applyNumberFormat="1" applyFont="1" applyFill="1" applyBorder="1" applyAlignment="1">
      <alignment horizontal="center" vertical="center"/>
    </xf>
    <xf numFmtId="49" fontId="130" fillId="5" borderId="53" xfId="0" applyNumberFormat="1" applyFont="1" applyFill="1" applyBorder="1" applyAlignment="1">
      <alignment vertical="center"/>
    </xf>
    <xf numFmtId="0" fontId="117" fillId="5" borderId="48" xfId="0" applyFont="1" applyFill="1" applyBorder="1" applyAlignment="1">
      <alignment vertical="center"/>
    </xf>
    <xf numFmtId="170" fontId="117" fillId="5" borderId="43" xfId="0" applyNumberFormat="1" applyFont="1" applyFill="1" applyBorder="1" applyAlignment="1">
      <alignment vertical="center"/>
    </xf>
    <xf numFmtId="167" fontId="130" fillId="5" borderId="48" xfId="0" applyNumberFormat="1" applyFont="1" applyFill="1" applyBorder="1" applyAlignment="1">
      <alignment vertical="center"/>
    </xf>
    <xf numFmtId="1" fontId="130" fillId="5" borderId="43" xfId="0" applyNumberFormat="1" applyFont="1" applyFill="1" applyBorder="1" applyAlignment="1">
      <alignment vertical="center" wrapText="1"/>
    </xf>
    <xf numFmtId="10" fontId="130" fillId="5" borderId="117" xfId="0" applyNumberFormat="1" applyFont="1" applyFill="1" applyBorder="1" applyAlignment="1">
      <alignment vertical="center"/>
    </xf>
    <xf numFmtId="0" fontId="113" fillId="0" borderId="1" xfId="0" applyFont="1" applyBorder="1"/>
    <xf numFmtId="173" fontId="113" fillId="29" borderId="1" xfId="0" applyNumberFormat="1" applyFont="1" applyFill="1" applyBorder="1"/>
    <xf numFmtId="0" fontId="125" fillId="5" borderId="141" xfId="0" applyFont="1" applyFill="1" applyBorder="1" applyAlignment="1">
      <alignment horizontal="center" vertical="center"/>
    </xf>
    <xf numFmtId="49" fontId="130" fillId="5" borderId="111" xfId="0" applyNumberFormat="1" applyFont="1" applyFill="1" applyBorder="1" applyAlignment="1">
      <alignment horizontal="center" vertical="center"/>
    </xf>
    <xf numFmtId="49" fontId="130" fillId="5" borderId="82" xfId="0" applyNumberFormat="1" applyFont="1" applyFill="1" applyBorder="1" applyAlignment="1">
      <alignment horizontal="center" vertical="center" wrapText="1"/>
    </xf>
    <xf numFmtId="49" fontId="130" fillId="5" borderId="82" xfId="0" applyNumberFormat="1" applyFont="1" applyFill="1" applyBorder="1" applyAlignment="1">
      <alignment horizontal="left" vertical="center"/>
    </xf>
    <xf numFmtId="49" fontId="130" fillId="5" borderId="112" xfId="0" applyNumberFormat="1" applyFont="1" applyFill="1" applyBorder="1" applyAlignment="1">
      <alignment horizontal="left" vertical="center"/>
    </xf>
    <xf numFmtId="0" fontId="130" fillId="5" borderId="36" xfId="0" applyFont="1" applyFill="1" applyBorder="1" applyAlignment="1">
      <alignment horizontal="left" vertical="center"/>
    </xf>
    <xf numFmtId="170" fontId="130" fillId="5" borderId="1" xfId="0" applyNumberFormat="1" applyFont="1" applyFill="1" applyBorder="1" applyAlignment="1">
      <alignment horizontal="left" vertical="center"/>
    </xf>
    <xf numFmtId="167" fontId="130" fillId="5" borderId="36" xfId="0" applyNumberFormat="1" applyFont="1" applyFill="1" applyBorder="1" applyAlignment="1">
      <alignment horizontal="center" vertical="center"/>
    </xf>
    <xf numFmtId="167" fontId="130" fillId="5" borderId="1" xfId="0" applyNumberFormat="1" applyFont="1" applyFill="1" applyBorder="1" applyAlignment="1">
      <alignment horizontal="center" vertical="center"/>
    </xf>
    <xf numFmtId="3" fontId="130" fillId="5" borderId="298" xfId="0" applyNumberFormat="1" applyFont="1" applyFill="1" applyBorder="1" applyAlignment="1">
      <alignment horizontal="center" vertical="center"/>
    </xf>
    <xf numFmtId="0" fontId="113" fillId="0" borderId="82" xfId="0" applyFont="1" applyBorder="1"/>
    <xf numFmtId="186" fontId="113" fillId="29" borderId="82" xfId="0" applyNumberFormat="1" applyFont="1" applyFill="1" applyBorder="1"/>
    <xf numFmtId="1" fontId="118" fillId="0" borderId="116" xfId="6" applyNumberFormat="1" applyFont="1" applyBorder="1" applyAlignment="1" applyProtection="1">
      <alignment horizontal="center" vertical="center"/>
      <protection locked="0"/>
    </xf>
    <xf numFmtId="1" fontId="118" fillId="35" borderId="116" xfId="6" applyNumberFormat="1" applyFont="1" applyFill="1" applyBorder="1" applyAlignment="1" applyProtection="1">
      <alignment horizontal="center" vertical="center"/>
      <protection locked="0"/>
    </xf>
    <xf numFmtId="1" fontId="118" fillId="35" borderId="141" xfId="6" applyNumberFormat="1" applyFont="1" applyFill="1" applyBorder="1" applyAlignment="1" applyProtection="1">
      <alignment horizontal="center" vertical="center"/>
      <protection locked="0"/>
    </xf>
    <xf numFmtId="1" fontId="118" fillId="0" borderId="140" xfId="6" applyNumberFormat="1" applyFont="1" applyBorder="1" applyAlignment="1" applyProtection="1">
      <alignment horizontal="center" vertical="center"/>
      <protection locked="0"/>
    </xf>
    <xf numFmtId="1" fontId="118" fillId="0" borderId="141" xfId="6" applyNumberFormat="1" applyFont="1" applyBorder="1" applyAlignment="1" applyProtection="1">
      <alignment horizontal="center" vertical="center"/>
      <protection locked="0"/>
    </xf>
    <xf numFmtId="1" fontId="118" fillId="35" borderId="140" xfId="6" quotePrefix="1" applyNumberFormat="1" applyFont="1" applyFill="1" applyBorder="1" applyAlignment="1" applyProtection="1">
      <alignment horizontal="center" vertical="center"/>
      <protection locked="0"/>
    </xf>
    <xf numFmtId="1" fontId="118" fillId="35" borderId="116" xfId="6" quotePrefix="1" applyNumberFormat="1" applyFont="1" applyFill="1" applyBorder="1" applyAlignment="1" applyProtection="1">
      <alignment horizontal="center" vertical="center"/>
      <protection locked="0"/>
    </xf>
    <xf numFmtId="1" fontId="118" fillId="35" borderId="141" xfId="6" quotePrefix="1" applyNumberFormat="1" applyFont="1" applyFill="1" applyBorder="1" applyAlignment="1" applyProtection="1">
      <alignment horizontal="center" vertical="center"/>
      <protection locked="0"/>
    </xf>
    <xf numFmtId="49" fontId="118" fillId="0" borderId="140" xfId="0" quotePrefix="1" applyNumberFormat="1" applyFont="1" applyBorder="1" applyAlignment="1" applyProtection="1">
      <alignment horizontal="center" vertical="center"/>
      <protection locked="0"/>
    </xf>
    <xf numFmtId="49" fontId="118" fillId="0" borderId="116" xfId="0" quotePrefix="1" applyNumberFormat="1" applyFont="1" applyBorder="1" applyAlignment="1" applyProtection="1">
      <alignment horizontal="center" vertical="center"/>
      <protection locked="0"/>
    </xf>
    <xf numFmtId="49" fontId="118" fillId="0" borderId="116" xfId="0" applyNumberFormat="1" applyFont="1" applyBorder="1" applyAlignment="1" applyProtection="1">
      <alignment horizontal="center" vertical="center"/>
      <protection locked="0"/>
    </xf>
    <xf numFmtId="0" fontId="118" fillId="0" borderId="116" xfId="0" applyFont="1" applyBorder="1" applyAlignment="1" applyProtection="1">
      <alignment horizontal="center" vertical="center"/>
      <protection locked="0"/>
    </xf>
    <xf numFmtId="49" fontId="118" fillId="0" borderId="141" xfId="0" applyNumberFormat="1" applyFont="1" applyBorder="1" applyAlignment="1" applyProtection="1">
      <alignment horizontal="center" vertical="center"/>
      <protection locked="0"/>
    </xf>
    <xf numFmtId="0" fontId="118" fillId="0" borderId="140" xfId="0" applyFont="1" applyBorder="1" applyAlignment="1" applyProtection="1">
      <alignment horizontal="center" vertical="center"/>
      <protection locked="0"/>
    </xf>
    <xf numFmtId="0" fontId="118" fillId="0" borderId="141" xfId="0" applyFont="1" applyBorder="1" applyAlignment="1" applyProtection="1">
      <alignment horizontal="center" vertical="center"/>
      <protection locked="0"/>
    </xf>
    <xf numFmtId="49" fontId="118" fillId="0" borderId="140" xfId="0" applyNumberFormat="1" applyFont="1" applyBorder="1" applyAlignment="1" applyProtection="1">
      <alignment horizontal="center" vertical="center"/>
      <protection locked="0"/>
    </xf>
    <xf numFmtId="49" fontId="118" fillId="24" borderId="116" xfId="0" applyNumberFormat="1" applyFont="1" applyFill="1" applyBorder="1" applyAlignment="1" applyProtection="1">
      <alignment horizontal="center" vertical="center"/>
      <protection locked="0"/>
    </xf>
    <xf numFmtId="0" fontId="118" fillId="24" borderId="290" xfId="0" applyFont="1" applyFill="1" applyBorder="1" applyAlignment="1" applyProtection="1">
      <alignment horizontal="center" vertical="center"/>
      <protection locked="0"/>
    </xf>
    <xf numFmtId="49" fontId="118" fillId="24" borderId="286" xfId="0" applyNumberFormat="1" applyFont="1" applyFill="1" applyBorder="1" applyAlignment="1" applyProtection="1">
      <alignment horizontal="center" vertical="center"/>
      <protection locked="0"/>
    </xf>
    <xf numFmtId="0" fontId="118" fillId="24" borderId="79" xfId="0" applyFont="1" applyFill="1" applyBorder="1" applyAlignment="1" applyProtection="1">
      <alignment horizontal="center" vertical="center"/>
      <protection locked="0"/>
    </xf>
    <xf numFmtId="0" fontId="118" fillId="0" borderId="287" xfId="0" applyFont="1" applyBorder="1" applyAlignment="1" applyProtection="1">
      <alignment horizontal="center" vertical="center"/>
      <protection locked="0"/>
    </xf>
    <xf numFmtId="0" fontId="118" fillId="0" borderId="295" xfId="0" applyFont="1" applyBorder="1" applyAlignment="1" applyProtection="1">
      <alignment horizontal="center" vertical="center"/>
      <protection locked="0"/>
    </xf>
    <xf numFmtId="0" fontId="118" fillId="0" borderId="309" xfId="0" applyFont="1" applyBorder="1" applyAlignment="1" applyProtection="1">
      <alignment horizontal="center" vertical="center"/>
      <protection locked="0"/>
    </xf>
    <xf numFmtId="0" fontId="118" fillId="0" borderId="315" xfId="0" applyFont="1" applyBorder="1" applyAlignment="1" applyProtection="1">
      <alignment horizontal="center" vertical="center"/>
      <protection locked="0"/>
    </xf>
    <xf numFmtId="0" fontId="118" fillId="0" borderId="296" xfId="0" applyFont="1" applyBorder="1" applyAlignment="1" applyProtection="1">
      <alignment horizontal="center" vertical="center"/>
      <protection locked="0"/>
    </xf>
    <xf numFmtId="0" fontId="118" fillId="0" borderId="329" xfId="0" applyFont="1" applyBorder="1" applyAlignment="1" applyProtection="1">
      <alignment horizontal="center" vertical="center"/>
      <protection locked="0"/>
    </xf>
    <xf numFmtId="0" fontId="118" fillId="0" borderId="333" xfId="0" applyFont="1" applyBorder="1" applyAlignment="1" applyProtection="1">
      <alignment horizontal="center" vertical="center"/>
      <protection locked="0"/>
    </xf>
    <xf numFmtId="0" fontId="118" fillId="0" borderId="308" xfId="0" applyFont="1" applyBorder="1" applyAlignment="1" applyProtection="1">
      <alignment horizontal="center" vertical="center"/>
      <protection locked="0"/>
    </xf>
    <xf numFmtId="0" fontId="118" fillId="0" borderId="304" xfId="0" applyFont="1" applyBorder="1" applyAlignment="1" applyProtection="1">
      <alignment horizontal="center" vertical="center"/>
      <protection locked="0"/>
    </xf>
    <xf numFmtId="0" fontId="118" fillId="0" borderId="300" xfId="0" applyFont="1" applyBorder="1" applyAlignment="1" applyProtection="1">
      <alignment horizontal="center" vertical="center"/>
      <protection locked="0"/>
    </xf>
    <xf numFmtId="0" fontId="118" fillId="0" borderId="138" xfId="0" applyFont="1" applyBorder="1" applyAlignment="1" applyProtection="1">
      <alignment horizontal="center" vertical="center"/>
      <protection locked="0"/>
    </xf>
    <xf numFmtId="49" fontId="118" fillId="0" borderId="138" xfId="0" applyNumberFormat="1" applyFont="1" applyBorder="1" applyAlignment="1" applyProtection="1">
      <alignment horizontal="center" vertical="center"/>
      <protection locked="0"/>
    </xf>
    <xf numFmtId="178" fontId="127" fillId="24" borderId="18" xfId="6" applyNumberFormat="1" applyFont="1" applyFill="1" applyBorder="1" applyAlignment="1">
      <alignment horizontal="center" vertical="center"/>
    </xf>
    <xf numFmtId="178" fontId="127" fillId="24" borderId="146" xfId="6" applyNumberFormat="1" applyFont="1" applyFill="1" applyBorder="1" applyAlignment="1">
      <alignment horizontal="center" vertical="center"/>
    </xf>
    <xf numFmtId="0" fontId="116" fillId="30" borderId="349" xfId="0" applyFont="1" applyFill="1" applyBorder="1" applyAlignment="1">
      <alignment horizontal="left" vertical="center" wrapText="1"/>
    </xf>
    <xf numFmtId="0" fontId="118" fillId="30" borderId="43" xfId="0" applyFont="1" applyFill="1" applyBorder="1" applyAlignment="1">
      <alignment horizontal="center" vertical="center"/>
    </xf>
    <xf numFmtId="0" fontId="116" fillId="30" borderId="350" xfId="0" applyFont="1" applyFill="1" applyBorder="1" applyAlignment="1">
      <alignment horizontal="left" vertical="center" wrapText="1"/>
    </xf>
    <xf numFmtId="0" fontId="118" fillId="30" borderId="143" xfId="0" applyFont="1" applyFill="1" applyBorder="1" applyAlignment="1">
      <alignment horizontal="center" vertical="center" wrapText="1"/>
    </xf>
    <xf numFmtId="0" fontId="118" fillId="30" borderId="143" xfId="0" applyFont="1" applyFill="1" applyBorder="1" applyAlignment="1">
      <alignment horizontal="center" vertical="center"/>
    </xf>
    <xf numFmtId="175" fontId="118" fillId="30" borderId="145" xfId="0" applyNumberFormat="1" applyFont="1" applyFill="1" applyBorder="1" applyAlignment="1">
      <alignment horizontal="center" vertical="center"/>
    </xf>
    <xf numFmtId="1" fontId="116" fillId="14" borderId="143" xfId="0" applyNumberFormat="1" applyFont="1" applyFill="1" applyBorder="1" applyAlignment="1" applyProtection="1">
      <alignment horizontal="center" vertical="center"/>
      <protection locked="0"/>
    </xf>
    <xf numFmtId="0" fontId="116" fillId="30" borderId="351" xfId="0" applyFont="1" applyFill="1" applyBorder="1" applyAlignment="1">
      <alignment horizontal="left" vertical="center" wrapText="1"/>
    </xf>
    <xf numFmtId="0" fontId="118" fillId="30" borderId="124" xfId="0" applyFont="1" applyFill="1" applyBorder="1" applyAlignment="1">
      <alignment horizontal="center" vertical="center" wrapText="1"/>
    </xf>
    <xf numFmtId="0" fontId="118" fillId="30" borderId="124" xfId="0" applyFont="1" applyFill="1" applyBorder="1" applyAlignment="1">
      <alignment horizontal="center" vertical="center"/>
    </xf>
    <xf numFmtId="177" fontId="118" fillId="30" borderId="352" xfId="0" applyNumberFormat="1" applyFont="1" applyFill="1" applyBorder="1" applyAlignment="1">
      <alignment horizontal="center" vertical="center"/>
    </xf>
    <xf numFmtId="40" fontId="119" fillId="0" borderId="351" xfId="0" applyNumberFormat="1" applyFont="1" applyBorder="1" applyAlignment="1">
      <alignment horizontal="center" vertical="center"/>
    </xf>
    <xf numFmtId="1" fontId="116" fillId="14" borderId="353" xfId="0" applyNumberFormat="1" applyFont="1" applyFill="1" applyBorder="1" applyAlignment="1" applyProtection="1">
      <alignment horizontal="center" vertical="center"/>
      <protection locked="0"/>
    </xf>
    <xf numFmtId="0" fontId="116" fillId="30" borderId="102" xfId="0" applyFont="1" applyFill="1" applyBorder="1" applyAlignment="1">
      <alignment horizontal="left" vertical="center" wrapText="1"/>
    </xf>
    <xf numFmtId="0" fontId="118" fillId="30" borderId="101" xfId="0" applyFont="1" applyFill="1" applyBorder="1" applyAlignment="1">
      <alignment horizontal="center" vertical="center" wrapText="1"/>
    </xf>
    <xf numFmtId="0" fontId="118" fillId="30" borderId="101" xfId="0" applyFont="1" applyFill="1" applyBorder="1" applyAlignment="1">
      <alignment horizontal="center" vertical="center"/>
    </xf>
    <xf numFmtId="177" fontId="118" fillId="30" borderId="103" xfId="0" applyNumberFormat="1" applyFont="1" applyFill="1" applyBorder="1" applyAlignment="1">
      <alignment horizontal="center" vertical="center"/>
    </xf>
    <xf numFmtId="40" fontId="119" fillId="0" borderId="102" xfId="0" applyNumberFormat="1" applyFont="1" applyBorder="1" applyAlignment="1">
      <alignment horizontal="center" vertical="center"/>
    </xf>
    <xf numFmtId="0" fontId="116" fillId="27" borderId="59" xfId="0" applyFont="1" applyFill="1" applyBorder="1" applyAlignment="1">
      <alignment horizontal="left" vertical="center" wrapText="1"/>
    </xf>
    <xf numFmtId="0" fontId="118" fillId="27" borderId="21" xfId="0" applyFont="1" applyFill="1" applyBorder="1" applyAlignment="1">
      <alignment horizontal="center" vertical="center" wrapText="1"/>
    </xf>
    <xf numFmtId="0" fontId="118" fillId="27" borderId="21" xfId="0" applyFont="1" applyFill="1" applyBorder="1" applyAlignment="1">
      <alignment horizontal="center" vertical="center"/>
    </xf>
    <xf numFmtId="177" fontId="118" fillId="27" borderId="60" xfId="0" applyNumberFormat="1" applyFont="1" applyFill="1" applyBorder="1" applyAlignment="1">
      <alignment horizontal="center" vertical="center"/>
    </xf>
    <xf numFmtId="3" fontId="118" fillId="0" borderId="348" xfId="0" applyNumberFormat="1" applyFont="1" applyBorder="1" applyAlignment="1">
      <alignment horizontal="center" vertical="center"/>
    </xf>
    <xf numFmtId="0" fontId="116" fillId="27" borderId="260" xfId="0" applyFont="1" applyFill="1" applyBorder="1" applyAlignment="1">
      <alignment horizontal="left" vertical="center" wrapText="1"/>
    </xf>
    <xf numFmtId="0" fontId="116" fillId="27" borderId="354" xfId="0" applyFont="1" applyFill="1" applyBorder="1" applyAlignment="1">
      <alignment horizontal="left" vertical="center" wrapText="1"/>
    </xf>
    <xf numFmtId="177" fontId="118" fillId="27" borderId="328" xfId="0" applyNumberFormat="1" applyFont="1" applyFill="1" applyBorder="1" applyAlignment="1">
      <alignment horizontal="center" vertical="center"/>
    </xf>
    <xf numFmtId="0" fontId="116" fillId="27" borderId="350" xfId="0" applyFont="1" applyFill="1" applyBorder="1" applyAlignment="1">
      <alignment horizontal="left" vertical="center" wrapText="1"/>
    </xf>
    <xf numFmtId="164" fontId="121" fillId="0" borderId="86" xfId="1" applyFont="1" applyFill="1" applyBorder="1" applyAlignment="1" applyProtection="1">
      <alignment horizontal="center" vertical="center"/>
    </xf>
    <xf numFmtId="0" fontId="121" fillId="0" borderId="260" xfId="0" applyFont="1" applyBorder="1" applyAlignment="1">
      <alignment horizontal="center"/>
    </xf>
    <xf numFmtId="164" fontId="121" fillId="0" borderId="265" xfId="1" applyFont="1" applyBorder="1" applyAlignment="1" applyProtection="1">
      <alignment horizontal="center" vertical="center"/>
    </xf>
    <xf numFmtId="0" fontId="116" fillId="30" borderId="312" xfId="0" applyFont="1" applyFill="1" applyBorder="1" applyAlignment="1">
      <alignment horizontal="left" vertical="center" wrapText="1"/>
    </xf>
    <xf numFmtId="0" fontId="118" fillId="30" borderId="310" xfId="0" applyFont="1" applyFill="1" applyBorder="1" applyAlignment="1">
      <alignment horizontal="center" vertical="center" wrapText="1"/>
    </xf>
    <xf numFmtId="0" fontId="118" fillId="30" borderId="310" xfId="0" applyFont="1" applyFill="1" applyBorder="1" applyAlignment="1">
      <alignment horizontal="center" vertical="center"/>
    </xf>
    <xf numFmtId="176" fontId="118" fillId="30" borderId="311" xfId="0" applyNumberFormat="1" applyFont="1" applyFill="1" applyBorder="1" applyAlignment="1">
      <alignment horizontal="center" vertical="center"/>
    </xf>
    <xf numFmtId="0" fontId="116" fillId="30" borderId="330" xfId="0" applyFont="1" applyFill="1" applyBorder="1" applyAlignment="1">
      <alignment horizontal="left" vertical="center" wrapText="1"/>
    </xf>
    <xf numFmtId="0" fontId="118" fillId="30" borderId="331" xfId="0" applyFont="1" applyFill="1" applyBorder="1" applyAlignment="1">
      <alignment horizontal="center" vertical="center" wrapText="1"/>
    </xf>
    <xf numFmtId="0" fontId="118" fillId="30" borderId="331" xfId="0" applyFont="1" applyFill="1" applyBorder="1" applyAlignment="1">
      <alignment horizontal="center" vertical="center"/>
    </xf>
    <xf numFmtId="176" fontId="118" fillId="30" borderId="332" xfId="0" applyNumberFormat="1" applyFont="1" applyFill="1" applyBorder="1" applyAlignment="1">
      <alignment horizontal="center" vertical="center"/>
    </xf>
    <xf numFmtId="1" fontId="116" fillId="14" borderId="355" xfId="0" applyNumberFormat="1" applyFont="1" applyFill="1" applyBorder="1" applyAlignment="1" applyProtection="1">
      <alignment horizontal="center" vertical="center"/>
      <protection locked="0"/>
    </xf>
    <xf numFmtId="3" fontId="118" fillId="0" borderId="356" xfId="0" applyNumberFormat="1" applyFont="1" applyBorder="1" applyAlignment="1">
      <alignment horizontal="center" vertical="center"/>
    </xf>
    <xf numFmtId="0" fontId="5" fillId="0" borderId="0" xfId="0" applyFont="1"/>
    <xf numFmtId="1" fontId="116" fillId="14" borderId="93" xfId="0" applyNumberFormat="1" applyFont="1" applyFill="1" applyBorder="1" applyAlignment="1" applyProtection="1">
      <alignment horizontal="center" vertical="center"/>
      <protection locked="0"/>
    </xf>
    <xf numFmtId="3" fontId="118" fillId="0" borderId="149" xfId="0" applyNumberFormat="1" applyFont="1" applyBorder="1" applyAlignment="1">
      <alignment horizontal="center" vertical="center"/>
    </xf>
    <xf numFmtId="0" fontId="116" fillId="27" borderId="357" xfId="0" applyFont="1" applyFill="1" applyBorder="1" applyAlignment="1">
      <alignment horizontal="left" vertical="center" wrapText="1"/>
    </xf>
    <xf numFmtId="0" fontId="118" fillId="27" borderId="358" xfId="0" applyFont="1" applyFill="1" applyBorder="1" applyAlignment="1">
      <alignment horizontal="center" vertical="center" wrapText="1"/>
    </xf>
    <xf numFmtId="0" fontId="118" fillId="27" borderId="358" xfId="0" applyFont="1" applyFill="1" applyBorder="1" applyAlignment="1">
      <alignment horizontal="center" vertical="center"/>
    </xf>
    <xf numFmtId="177" fontId="118" fillId="27" borderId="359" xfId="0" applyNumberFormat="1" applyFont="1" applyFill="1" applyBorder="1" applyAlignment="1">
      <alignment horizontal="center" vertical="center"/>
    </xf>
    <xf numFmtId="49" fontId="116" fillId="0" borderId="140" xfId="0" applyNumberFormat="1" applyFont="1" applyBorder="1" applyAlignment="1">
      <alignment horizontal="center" vertical="top" wrapText="1"/>
    </xf>
    <xf numFmtId="49" fontId="116" fillId="0" borderId="135" xfId="0" applyNumberFormat="1" applyFont="1" applyBorder="1" applyAlignment="1">
      <alignment horizontal="center" vertical="top" wrapText="1"/>
    </xf>
    <xf numFmtId="0" fontId="118" fillId="0" borderId="78" xfId="0" applyFont="1" applyBorder="1" applyAlignment="1" applyProtection="1">
      <alignment horizontal="center" vertical="center"/>
      <protection locked="0"/>
    </xf>
    <xf numFmtId="0" fontId="118" fillId="0" borderId="80" xfId="0" applyFont="1" applyBorder="1" applyAlignment="1" applyProtection="1">
      <alignment horizontal="center" vertical="center"/>
      <protection locked="0"/>
    </xf>
    <xf numFmtId="0" fontId="118" fillId="0" borderId="83" xfId="0" applyFont="1" applyBorder="1" applyAlignment="1" applyProtection="1">
      <alignment horizontal="center" vertical="center"/>
      <protection locked="0"/>
    </xf>
    <xf numFmtId="49" fontId="118" fillId="0" borderId="80" xfId="0" applyNumberFormat="1" applyFont="1" applyBorder="1" applyAlignment="1" applyProtection="1">
      <alignment horizontal="center" vertical="center"/>
      <protection locked="0"/>
    </xf>
    <xf numFmtId="0" fontId="118" fillId="0" borderId="80" xfId="0" quotePrefix="1" applyFont="1" applyBorder="1" applyAlignment="1" applyProtection="1">
      <alignment horizontal="center" vertical="center"/>
      <protection locked="0"/>
    </xf>
    <xf numFmtId="49" fontId="116" fillId="0" borderId="343" xfId="0" applyNumberFormat="1" applyFont="1" applyBorder="1" applyAlignment="1">
      <alignment vertical="top" wrapText="1"/>
    </xf>
    <xf numFmtId="49" fontId="116" fillId="0" borderId="290" xfId="0" applyNumberFormat="1" applyFont="1" applyBorder="1" applyAlignment="1">
      <alignment vertical="top" wrapText="1"/>
    </xf>
    <xf numFmtId="49" fontId="116" fillId="0" borderId="345" xfId="0" applyNumberFormat="1" applyFont="1" applyBorder="1" applyAlignment="1">
      <alignment vertical="top" wrapText="1"/>
    </xf>
    <xf numFmtId="49" fontId="116" fillId="0" borderId="344" xfId="0" applyNumberFormat="1" applyFont="1" applyBorder="1" applyAlignment="1">
      <alignment vertical="top" wrapText="1"/>
    </xf>
    <xf numFmtId="0" fontId="112" fillId="0" borderId="290" xfId="0" applyFont="1" applyBorder="1" applyAlignment="1">
      <alignment wrapText="1"/>
    </xf>
    <xf numFmtId="175" fontId="118" fillId="30" borderId="1" xfId="0" applyNumberFormat="1" applyFont="1" applyFill="1" applyBorder="1" applyAlignment="1">
      <alignment horizontal="center" vertical="center"/>
    </xf>
    <xf numFmtId="0" fontId="112" fillId="0" borderId="343" xfId="0" applyFont="1" applyBorder="1" applyAlignment="1">
      <alignment wrapText="1"/>
    </xf>
    <xf numFmtId="0" fontId="112" fillId="0" borderId="344" xfId="0" applyFont="1" applyBorder="1" applyAlignment="1">
      <alignment wrapText="1"/>
    </xf>
    <xf numFmtId="40" fontId="119" fillId="0" borderId="270" xfId="6" applyNumberFormat="1" applyFont="1" applyBorder="1" applyAlignment="1">
      <alignment horizontal="center" vertical="center"/>
    </xf>
    <xf numFmtId="165" fontId="118" fillId="18" borderId="270" xfId="0" applyNumberFormat="1" applyFont="1" applyFill="1" applyBorder="1" applyAlignment="1">
      <alignment horizontal="center" vertical="center"/>
    </xf>
    <xf numFmtId="40" fontId="119" fillId="0" borderId="269" xfId="6" applyNumberFormat="1" applyFont="1" applyBorder="1" applyAlignment="1">
      <alignment horizontal="center" vertical="center"/>
    </xf>
    <xf numFmtId="0" fontId="116" fillId="30" borderId="270" xfId="0" applyFont="1" applyFill="1" applyBorder="1" applyAlignment="1">
      <alignment horizontal="left" vertical="center" wrapText="1"/>
    </xf>
    <xf numFmtId="0" fontId="118" fillId="30" borderId="270" xfId="0" applyFont="1" applyFill="1" applyBorder="1" applyAlignment="1">
      <alignment horizontal="center" vertical="center" wrapText="1"/>
    </xf>
    <xf numFmtId="0" fontId="118" fillId="30" borderId="270" xfId="0" applyFont="1" applyFill="1" applyBorder="1" applyAlignment="1">
      <alignment horizontal="center" vertical="center"/>
    </xf>
    <xf numFmtId="175" fontId="118" fillId="30" borderId="270" xfId="0" applyNumberFormat="1" applyFont="1" applyFill="1" applyBorder="1" applyAlignment="1">
      <alignment horizontal="center" vertical="center"/>
    </xf>
    <xf numFmtId="170" fontId="131" fillId="0" borderId="270" xfId="0" applyNumberFormat="1" applyFont="1" applyBorder="1" applyAlignment="1">
      <alignment horizontal="center" vertical="center"/>
    </xf>
    <xf numFmtId="1" fontId="116" fillId="14" borderId="270" xfId="0" applyNumberFormat="1" applyFont="1" applyFill="1" applyBorder="1" applyAlignment="1" applyProtection="1">
      <alignment horizontal="center" vertical="center"/>
      <protection locked="0"/>
    </xf>
    <xf numFmtId="3" fontId="118" fillId="0" borderId="270" xfId="0" applyNumberFormat="1" applyFont="1" applyBorder="1" applyAlignment="1">
      <alignment horizontal="center" vertical="center"/>
    </xf>
    <xf numFmtId="164" fontId="131" fillId="0" borderId="0" xfId="1" applyFont="1" applyAlignment="1" applyProtection="1">
      <alignment horizontal="center" vertical="center"/>
    </xf>
    <xf numFmtId="164" fontId="131" fillId="0" borderId="0" xfId="1" applyFont="1" applyFill="1" applyAlignment="1" applyProtection="1">
      <alignment horizontal="center" vertical="center"/>
    </xf>
    <xf numFmtId="0" fontId="117" fillId="5" borderId="43" xfId="0" applyFont="1" applyFill="1" applyBorder="1" applyAlignment="1">
      <alignment horizontal="center" vertical="center"/>
    </xf>
    <xf numFmtId="0" fontId="130" fillId="5" borderId="1" xfId="0" applyFont="1" applyFill="1" applyBorder="1" applyAlignment="1">
      <alignment horizontal="center" vertical="center"/>
    </xf>
    <xf numFmtId="0" fontId="131" fillId="0" borderId="1" xfId="0" applyFont="1" applyBorder="1" applyAlignment="1">
      <alignment horizontal="center"/>
    </xf>
    <xf numFmtId="49" fontId="118" fillId="0" borderId="361" xfId="0" applyNumberFormat="1" applyFont="1" applyBorder="1" applyAlignment="1" applyProtection="1">
      <alignment horizontal="center" vertical="center"/>
      <protection locked="0"/>
    </xf>
    <xf numFmtId="49" fontId="118" fillId="0" borderId="362" xfId="0" applyNumberFormat="1" applyFont="1" applyBorder="1" applyAlignment="1" applyProtection="1">
      <alignment horizontal="center" vertical="center"/>
      <protection locked="0"/>
    </xf>
    <xf numFmtId="49" fontId="118" fillId="0" borderId="265" xfId="0" applyNumberFormat="1" applyFont="1" applyBorder="1" applyAlignment="1" applyProtection="1">
      <alignment horizontal="center" vertical="center"/>
      <protection locked="0"/>
    </xf>
    <xf numFmtId="165" fontId="118" fillId="18" borderId="122" xfId="0" applyNumberFormat="1" applyFont="1" applyFill="1" applyBorder="1" applyAlignment="1">
      <alignment horizontal="center" vertical="center"/>
    </xf>
    <xf numFmtId="165" fontId="118" fillId="18" borderId="1" xfId="0" applyNumberFormat="1" applyFont="1" applyFill="1" applyBorder="1" applyAlignment="1">
      <alignment horizontal="center" vertical="center"/>
    </xf>
    <xf numFmtId="165" fontId="118" fillId="18" borderId="121" xfId="0" applyNumberFormat="1" applyFont="1" applyFill="1" applyBorder="1" applyAlignment="1">
      <alignment horizontal="center" vertical="center"/>
    </xf>
    <xf numFmtId="165" fontId="118" fillId="18" borderId="87" xfId="0" applyNumberFormat="1" applyFont="1" applyFill="1" applyBorder="1" applyAlignment="1">
      <alignment horizontal="center" vertical="center"/>
    </xf>
    <xf numFmtId="165" fontId="118" fillId="18" borderId="146" xfId="0" applyNumberFormat="1" applyFont="1" applyFill="1" applyBorder="1" applyAlignment="1">
      <alignment horizontal="center" vertical="center"/>
    </xf>
    <xf numFmtId="165" fontId="118" fillId="18" borderId="18" xfId="0" applyNumberFormat="1" applyFont="1" applyFill="1" applyBorder="1" applyAlignment="1">
      <alignment horizontal="center" vertical="center"/>
    </xf>
    <xf numFmtId="165" fontId="118" fillId="18" borderId="284" xfId="0" applyNumberFormat="1" applyFont="1" applyFill="1" applyBorder="1" applyAlignment="1">
      <alignment horizontal="center" vertical="center"/>
    </xf>
    <xf numFmtId="165" fontId="118" fillId="18" borderId="285" xfId="0" applyNumberFormat="1" applyFont="1" applyFill="1" applyBorder="1" applyAlignment="1">
      <alignment horizontal="center" vertical="center"/>
    </xf>
    <xf numFmtId="165" fontId="118" fillId="18" borderId="253" xfId="0" applyNumberFormat="1" applyFont="1" applyFill="1" applyBorder="1" applyAlignment="1">
      <alignment horizontal="center" vertical="center"/>
    </xf>
    <xf numFmtId="165" fontId="118" fillId="18" borderId="250" xfId="0" applyNumberFormat="1" applyFont="1" applyFill="1" applyBorder="1" applyAlignment="1">
      <alignment horizontal="center" vertical="center"/>
    </xf>
    <xf numFmtId="165" fontId="118" fillId="18" borderId="227" xfId="0" applyNumberFormat="1" applyFont="1" applyFill="1" applyBorder="1" applyAlignment="1">
      <alignment horizontal="center" vertical="center"/>
    </xf>
    <xf numFmtId="165" fontId="118" fillId="18" borderId="229" xfId="0" applyNumberFormat="1" applyFont="1" applyFill="1" applyBorder="1" applyAlignment="1">
      <alignment horizontal="center" vertical="center"/>
    </xf>
    <xf numFmtId="165" fontId="118" fillId="18" borderId="341" xfId="0" applyNumberFormat="1" applyFont="1" applyFill="1" applyBorder="1" applyAlignment="1">
      <alignment horizontal="center" vertical="center"/>
    </xf>
    <xf numFmtId="165" fontId="118" fillId="18" borderId="245" xfId="0" applyNumberFormat="1" applyFont="1" applyFill="1" applyBorder="1" applyAlignment="1">
      <alignment horizontal="center" vertical="center"/>
    </xf>
    <xf numFmtId="165" fontId="118" fillId="18" borderId="363" xfId="0" applyNumberFormat="1" applyFont="1" applyFill="1" applyBorder="1" applyAlignment="1">
      <alignment horizontal="center" vertical="center"/>
    </xf>
    <xf numFmtId="165" fontId="118" fillId="18" borderId="364" xfId="0" applyNumberFormat="1" applyFont="1" applyFill="1" applyBorder="1" applyAlignment="1">
      <alignment horizontal="center" vertical="center"/>
    </xf>
    <xf numFmtId="165" fontId="118" fillId="18" borderId="365" xfId="0" applyNumberFormat="1" applyFont="1" applyFill="1" applyBorder="1" applyAlignment="1">
      <alignment horizontal="center" vertical="center"/>
    </xf>
    <xf numFmtId="165" fontId="118" fillId="18" borderId="366" xfId="0" applyNumberFormat="1" applyFont="1" applyFill="1" applyBorder="1" applyAlignment="1">
      <alignment horizontal="center" vertical="center"/>
    </xf>
    <xf numFmtId="165" fontId="118" fillId="18" borderId="367" xfId="0" applyNumberFormat="1" applyFont="1" applyFill="1" applyBorder="1" applyAlignment="1">
      <alignment horizontal="center" vertical="center"/>
    </xf>
    <xf numFmtId="165" fontId="118" fillId="18" borderId="247" xfId="0" applyNumberFormat="1" applyFont="1" applyFill="1" applyBorder="1" applyAlignment="1">
      <alignment horizontal="center" vertical="center"/>
    </xf>
    <xf numFmtId="165" fontId="118" fillId="18" borderId="249" xfId="0" applyNumberFormat="1" applyFont="1" applyFill="1" applyBorder="1" applyAlignment="1">
      <alignment horizontal="center" vertical="center"/>
    </xf>
    <xf numFmtId="165" fontId="118" fillId="18" borderId="368" xfId="0" applyNumberFormat="1" applyFont="1" applyFill="1" applyBorder="1" applyAlignment="1">
      <alignment horizontal="center" vertical="center"/>
    </xf>
    <xf numFmtId="165" fontId="118" fillId="18" borderId="369" xfId="0" applyNumberFormat="1" applyFont="1" applyFill="1" applyBorder="1" applyAlignment="1">
      <alignment horizontal="center" vertical="center"/>
    </xf>
    <xf numFmtId="165" fontId="118" fillId="18" borderId="370" xfId="0" applyNumberFormat="1" applyFont="1" applyFill="1" applyBorder="1" applyAlignment="1">
      <alignment horizontal="center" vertical="center"/>
    </xf>
    <xf numFmtId="165" fontId="118" fillId="18" borderId="371" xfId="0" applyNumberFormat="1" applyFont="1" applyFill="1" applyBorder="1" applyAlignment="1">
      <alignment horizontal="center" vertical="center"/>
    </xf>
    <xf numFmtId="165" fontId="118" fillId="18" borderId="372" xfId="0" applyNumberFormat="1" applyFont="1" applyFill="1" applyBorder="1" applyAlignment="1">
      <alignment horizontal="center" vertical="center"/>
    </xf>
    <xf numFmtId="40" fontId="119" fillId="0" borderId="343" xfId="6" applyNumberFormat="1" applyFont="1" applyBorder="1" applyAlignment="1">
      <alignment horizontal="center" vertical="center"/>
    </xf>
    <xf numFmtId="40" fontId="119" fillId="0" borderId="360" xfId="6" applyNumberFormat="1" applyFont="1" applyBorder="1" applyAlignment="1">
      <alignment horizontal="center" vertical="center"/>
    </xf>
    <xf numFmtId="167" fontId="129" fillId="15" borderId="299" xfId="0" applyNumberFormat="1" applyFont="1" applyFill="1" applyBorder="1" applyAlignment="1">
      <alignment horizontal="center" vertical="center"/>
    </xf>
    <xf numFmtId="0" fontId="129" fillId="15" borderId="140" xfId="0" applyFont="1" applyFill="1" applyBorder="1" applyAlignment="1">
      <alignment horizontal="center" vertical="center" wrapText="1"/>
    </xf>
    <xf numFmtId="0" fontId="129" fillId="15" borderId="116" xfId="0" applyFont="1" applyFill="1" applyBorder="1" applyAlignment="1">
      <alignment horizontal="center" vertical="center" wrapText="1"/>
    </xf>
    <xf numFmtId="0" fontId="129" fillId="15" borderId="141" xfId="0" applyFont="1" applyFill="1" applyBorder="1" applyAlignment="1">
      <alignment horizontal="center" vertical="center" wrapText="1"/>
    </xf>
    <xf numFmtId="0" fontId="114" fillId="0" borderId="1" xfId="0" applyFont="1" applyBorder="1" applyAlignment="1">
      <alignment horizontal="center"/>
    </xf>
    <xf numFmtId="167" fontId="129" fillId="15" borderId="215" xfId="0" applyNumberFormat="1" applyFont="1" applyFill="1" applyBorder="1" applyAlignment="1">
      <alignment horizontal="center" vertical="center"/>
    </xf>
    <xf numFmtId="167" fontId="129" fillId="15" borderId="216" xfId="0" applyNumberFormat="1" applyFont="1" applyFill="1" applyBorder="1" applyAlignment="1">
      <alignment horizontal="center" vertical="center"/>
    </xf>
    <xf numFmtId="0" fontId="117" fillId="15" borderId="215" xfId="0" applyFont="1" applyFill="1" applyBorder="1" applyAlignment="1">
      <alignment horizontal="center" vertical="center"/>
    </xf>
    <xf numFmtId="0" fontId="132" fillId="17" borderId="216" xfId="0" applyFont="1" applyFill="1" applyBorder="1"/>
    <xf numFmtId="0" fontId="129" fillId="15" borderId="215" xfId="0" applyFont="1" applyFill="1" applyBorder="1" applyAlignment="1">
      <alignment horizontal="center" vertical="center"/>
    </xf>
    <xf numFmtId="0" fontId="129" fillId="15" borderId="216" xfId="0" applyFont="1" applyFill="1" applyBorder="1" applyAlignment="1">
      <alignment horizontal="center" vertical="center"/>
    </xf>
    <xf numFmtId="0" fontId="129" fillId="15" borderId="217" xfId="0" applyFont="1" applyFill="1" applyBorder="1" applyAlignment="1">
      <alignment horizontal="center" vertical="center"/>
    </xf>
    <xf numFmtId="49" fontId="17" fillId="0" borderId="106" xfId="0" applyNumberFormat="1" applyFont="1" applyBorder="1" applyAlignment="1">
      <alignment horizontal="center" vertical="top" wrapText="1"/>
    </xf>
    <xf numFmtId="49" fontId="17" fillId="0" borderId="109" xfId="0" applyNumberFormat="1" applyFont="1" applyBorder="1" applyAlignment="1">
      <alignment horizontal="center" vertical="top" wrapText="1"/>
    </xf>
    <xf numFmtId="49" fontId="17" fillId="0" borderId="110" xfId="0" applyNumberFormat="1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26" borderId="6" xfId="0" applyFont="1" applyFill="1" applyBorder="1" applyAlignment="1">
      <alignment horizontal="center"/>
    </xf>
    <xf numFmtId="0" fontId="7" fillId="26" borderId="1" xfId="0" applyFont="1" applyFill="1" applyBorder="1" applyAlignment="1">
      <alignment horizontal="center"/>
    </xf>
    <xf numFmtId="0" fontId="17" fillId="15" borderId="106" xfId="0" applyFont="1" applyFill="1" applyBorder="1" applyAlignment="1">
      <alignment horizontal="center" vertical="center" wrapText="1"/>
    </xf>
    <xf numFmtId="0" fontId="17" fillId="15" borderId="109" xfId="0" applyFont="1" applyFill="1" applyBorder="1" applyAlignment="1">
      <alignment horizontal="center" vertical="center" wrapText="1"/>
    </xf>
    <xf numFmtId="0" fontId="17" fillId="15" borderId="219" xfId="0" applyFont="1" applyFill="1" applyBorder="1" applyAlignment="1">
      <alignment horizontal="center" vertical="center" wrapText="1"/>
    </xf>
    <xf numFmtId="0" fontId="17" fillId="15" borderId="215" xfId="0" applyFont="1" applyFill="1" applyBorder="1" applyAlignment="1">
      <alignment horizontal="center" vertical="center"/>
    </xf>
    <xf numFmtId="0" fontId="17" fillId="15" borderId="216" xfId="0" applyFont="1" applyFill="1" applyBorder="1" applyAlignment="1">
      <alignment horizontal="center" vertical="center"/>
    </xf>
    <xf numFmtId="0" fontId="17" fillId="15" borderId="217" xfId="0" applyFont="1" applyFill="1" applyBorder="1" applyAlignment="1">
      <alignment horizontal="center" vertical="center"/>
    </xf>
    <xf numFmtId="0" fontId="20" fillId="17" borderId="216" xfId="0" applyFont="1" applyFill="1" applyBorder="1"/>
    <xf numFmtId="167" fontId="17" fillId="15" borderId="215" xfId="0" applyNumberFormat="1" applyFont="1" applyFill="1" applyBorder="1" applyAlignment="1">
      <alignment horizontal="center" vertical="center"/>
    </xf>
    <xf numFmtId="167" fontId="17" fillId="15" borderId="216" xfId="0" applyNumberFormat="1" applyFont="1" applyFill="1" applyBorder="1" applyAlignment="1">
      <alignment horizontal="center" vertical="center"/>
    </xf>
    <xf numFmtId="167" fontId="17" fillId="15" borderId="86" xfId="0" applyNumberFormat="1" applyFont="1" applyFill="1" applyBorder="1" applyAlignment="1">
      <alignment horizontal="center" vertical="center"/>
    </xf>
    <xf numFmtId="167" fontId="17" fillId="15" borderId="122" xfId="0" applyNumberFormat="1" applyFont="1" applyFill="1" applyBorder="1" applyAlignment="1">
      <alignment horizontal="center" vertical="center"/>
    </xf>
    <xf numFmtId="167" fontId="17" fillId="15" borderId="87" xfId="0" applyNumberFormat="1" applyFont="1" applyFill="1" applyBorder="1" applyAlignment="1">
      <alignment horizontal="center" vertical="center"/>
    </xf>
    <xf numFmtId="0" fontId="92" fillId="5" borderId="227" xfId="0" applyFont="1" applyFill="1" applyBorder="1" applyAlignment="1">
      <alignment horizontal="center" vertical="center" wrapText="1"/>
    </xf>
    <xf numFmtId="0" fontId="92" fillId="5" borderId="146" xfId="0" applyFont="1" applyFill="1" applyBorder="1" applyAlignment="1">
      <alignment horizontal="center" vertical="center" wrapText="1"/>
    </xf>
    <xf numFmtId="49" fontId="17" fillId="0" borderId="223" xfId="0" applyNumberFormat="1" applyFont="1" applyBorder="1" applyAlignment="1">
      <alignment horizontal="center" vertical="top" wrapText="1"/>
    </xf>
    <xf numFmtId="49" fontId="17" fillId="0" borderId="219" xfId="0" applyNumberFormat="1" applyFont="1" applyBorder="1" applyAlignment="1">
      <alignment horizontal="center" vertical="top" wrapText="1"/>
    </xf>
    <xf numFmtId="0" fontId="102" fillId="42" borderId="259" xfId="10" applyFont="1" applyFill="1" applyBorder="1" applyAlignment="1">
      <alignment horizontal="center" vertical="center"/>
    </xf>
    <xf numFmtId="0" fontId="102" fillId="42" borderId="172" xfId="10" applyFont="1" applyFill="1" applyBorder="1" applyAlignment="1">
      <alignment horizontal="center" vertical="center"/>
    </xf>
    <xf numFmtId="0" fontId="102" fillId="42" borderId="236" xfId="10" applyFont="1" applyFill="1" applyBorder="1" applyAlignment="1">
      <alignment horizontal="center" vertical="center"/>
    </xf>
    <xf numFmtId="0" fontId="104" fillId="7" borderId="259" xfId="10" applyFont="1" applyFill="1" applyBorder="1" applyAlignment="1">
      <alignment horizontal="center"/>
    </xf>
    <xf numFmtId="0" fontId="104" fillId="7" borderId="236" xfId="10" applyFont="1" applyFill="1" applyBorder="1" applyAlignment="1">
      <alignment horizontal="center"/>
    </xf>
    <xf numFmtId="0" fontId="103" fillId="54" borderId="259" xfId="10" applyFont="1" applyFill="1" applyBorder="1" applyAlignment="1">
      <alignment horizontal="center"/>
    </xf>
    <xf numFmtId="0" fontId="103" fillId="54" borderId="172" xfId="10" applyFont="1" applyFill="1" applyBorder="1" applyAlignment="1">
      <alignment horizontal="center"/>
    </xf>
    <xf numFmtId="187" fontId="104" fillId="55" borderId="259" xfId="10" applyNumberFormat="1" applyFont="1" applyFill="1" applyBorder="1" applyAlignment="1">
      <alignment horizontal="center"/>
    </xf>
    <xf numFmtId="187" fontId="104" fillId="55" borderId="236" xfId="10" applyNumberFormat="1" applyFont="1" applyFill="1" applyBorder="1" applyAlignment="1">
      <alignment horizontal="center"/>
    </xf>
  </cellXfs>
  <cellStyles count="14">
    <cellStyle name="Moeda" xfId="2" builtinId="4"/>
    <cellStyle name="Moeda 2" xfId="8" xr:uid="{E53C24F6-573B-46CD-A786-94EB2BF1C67E}"/>
    <cellStyle name="Moeda 3" xfId="13" xr:uid="{9626B328-CD16-4CAE-8F76-B2BE122237FB}"/>
    <cellStyle name="Normal" xfId="0" builtinId="0"/>
    <cellStyle name="Normal 2" xfId="4" xr:uid="{AC01BC47-3655-4D33-A85F-D8F19096251E}"/>
    <cellStyle name="Normal 2 3" xfId="6" xr:uid="{13EDDEC6-B96B-4048-B0FF-71AEB156658C}"/>
    <cellStyle name="Normal 3" xfId="5" xr:uid="{9961FA98-9D08-4C65-AB75-E2B0BA46144B}"/>
    <cellStyle name="Normal 4" xfId="10" xr:uid="{ABA05DDC-4E00-4B5C-A40C-C13D8C1D105F}"/>
    <cellStyle name="Porcentagem" xfId="3" builtinId="5"/>
    <cellStyle name="Porcentagem 2" xfId="7" xr:uid="{9B12449A-3837-4168-B881-8F7373DD2A61}"/>
    <cellStyle name="Porcentagem 3" xfId="12" xr:uid="{65CCCF90-EF24-421A-B554-23A5D82B1B27}"/>
    <cellStyle name="Vírgula" xfId="1" builtinId="3"/>
    <cellStyle name="Vírgula 2" xfId="9" xr:uid="{9B1CC28C-7D83-4442-8040-DC049BE4D157}"/>
    <cellStyle name="Vírgula 3" xfId="11" xr:uid="{D0284CE5-863D-4DFB-AE25-B9A3A7E46D7E}"/>
  </cellStyles>
  <dxfs count="20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theme="1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gradientFill>
          <stop position="0">
            <color theme="0"/>
          </stop>
          <stop position="1">
            <color rgb="FFC00000"/>
          </stop>
        </gradientFill>
      </fill>
    </dxf>
    <dxf>
      <font>
        <color theme="0"/>
      </font>
      <fill>
        <gradientFill>
          <stop position="0">
            <color theme="0"/>
          </stop>
          <stop position="1">
            <color rgb="FF87FF61"/>
          </stop>
        </gradientFill>
      </fill>
    </dxf>
    <dxf>
      <font>
        <color rgb="FFFF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strike/>
        <color theme="1"/>
      </font>
      <fill>
        <patternFill patternType="none"/>
      </fill>
    </dxf>
    <dxf>
      <font>
        <strike/>
        <color theme="1"/>
      </font>
      <fill>
        <patternFill patternType="none"/>
      </fill>
    </dxf>
    <dxf>
      <font>
        <strike/>
        <color theme="1"/>
      </font>
      <fill>
        <patternFill patternType="none"/>
      </fill>
    </dxf>
    <dxf>
      <font>
        <strike/>
        <color theme="1"/>
      </font>
      <fill>
        <patternFill patternType="none"/>
      </fill>
    </dxf>
    <dxf>
      <font>
        <strike/>
        <color theme="1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strike/>
        <color theme="1"/>
      </font>
      <fill>
        <patternFill patternType="none"/>
      </fill>
    </dxf>
    <dxf>
      <font>
        <strike/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theme="1"/>
      </font>
      <fill>
        <patternFill patternType="none"/>
      </fill>
    </dxf>
    <dxf>
      <font>
        <strike/>
        <color theme="1"/>
      </font>
      <fill>
        <patternFill patternType="none"/>
      </fill>
    </dxf>
    <dxf>
      <font>
        <strike/>
        <color theme="1"/>
      </font>
      <fill>
        <patternFill patternType="none"/>
      </fill>
    </dxf>
    <dxf>
      <font>
        <strike/>
        <color theme="1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theme="1"/>
      </font>
      <fill>
        <patternFill patternType="none"/>
      </fill>
    </dxf>
    <dxf>
      <font>
        <strike/>
        <color theme="1"/>
      </font>
      <fill>
        <patternFill patternType="none"/>
      </fill>
    </dxf>
    <dxf>
      <font>
        <strike/>
        <color theme="1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theme="1"/>
      </font>
      <fill>
        <patternFill patternType="none"/>
      </fill>
    </dxf>
    <dxf>
      <font>
        <strike/>
        <color theme="1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strike/>
        <color theme="1"/>
      </font>
      <fill>
        <patternFill patternType="none"/>
      </fill>
    </dxf>
    <dxf>
      <font>
        <strike/>
        <color theme="1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strike/>
        <color theme="1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theme="1"/>
      </font>
      <fill>
        <patternFill patternType="none"/>
      </fill>
    </dxf>
    <dxf>
      <font>
        <strike/>
        <color theme="1"/>
      </font>
      <fill>
        <patternFill patternType="none"/>
      </fill>
    </dxf>
    <dxf>
      <font>
        <strike/>
        <color theme="1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theme="1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theme="1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theme="1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7E7E0"/>
      <color rgb="FFFFC7CE"/>
      <color rgb="FFFF6600"/>
      <color rgb="FFFFABB5"/>
      <color rgb="FFE2F0D9"/>
      <color rgb="FFC6ECE7"/>
      <color rgb="FF7030A0"/>
      <color rgb="FFFFFFFF"/>
      <color rgb="FF00FF00"/>
      <color rgb="FF8BD9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2749142392452433E-2"/>
          <c:y val="0.11350907528160974"/>
          <c:w val="0.93888888888888888"/>
          <c:h val="0.61427375062068834"/>
        </c:manualLayout>
      </c:layout>
      <c:lineChart>
        <c:grouping val="standard"/>
        <c:varyColors val="0"/>
        <c:ser>
          <c:idx val="0"/>
          <c:order val="0"/>
          <c:tx>
            <c:strRef>
              <c:f>BU!$C$3</c:f>
              <c:strCache>
                <c:ptCount val="1"/>
                <c:pt idx="0">
                  <c:v>R$</c:v>
                </c:pt>
              </c:strCache>
            </c:strRef>
          </c:tx>
          <c:spPr>
            <a:ln w="114300" cap="sq">
              <a:solidFill>
                <a:srgbClr val="49C3B1">
                  <a:alpha val="60000"/>
                </a:srgb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bg1"/>
              </a:solidFill>
              <a:ln w="127000">
                <a:solidFill>
                  <a:srgbClr val="49C3B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Shentox 7" pitchFamily="2" charset="0"/>
                    <a:ea typeface="Shentox 7" pitchFamily="2" charset="0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BU!$B$4:$B$9</c:f>
              <c:strCache>
                <c:ptCount val="6"/>
                <c:pt idx="0">
                  <c:v>CORPO E MENTE</c:v>
                </c:pt>
                <c:pt idx="1">
                  <c:v>EAT CLEAN</c:v>
                </c:pt>
                <c:pt idx="2">
                  <c:v>SNACKS PROTEICOS</c:v>
                </c:pt>
                <c:pt idx="3">
                  <c:v>ALTA PERFORMANCE</c:v>
                </c:pt>
                <c:pt idx="4">
                  <c:v>PELE E BELEZA</c:v>
                </c:pt>
                <c:pt idx="5">
                  <c:v>ESPORTE E FITNESS</c:v>
                </c:pt>
              </c:strCache>
            </c:strRef>
          </c:cat>
          <c:val>
            <c:numRef>
              <c:f>BU!$C$4:$C$9</c:f>
              <c:numCache>
                <c:formatCode>"R$"\ 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B44-4B0F-B4A1-B8297DA0B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3324144"/>
        <c:axId val="623316240"/>
      </c:lineChart>
      <c:catAx>
        <c:axId val="62332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cap="all" spc="120" normalizeH="0" baseline="0">
                <a:solidFill>
                  <a:schemeClr val="bg1"/>
                </a:solidFill>
                <a:latin typeface="Shentox" pitchFamily="2" charset="0"/>
                <a:ea typeface="Shentox" pitchFamily="2" charset="0"/>
                <a:cs typeface="+mn-cs"/>
              </a:defRPr>
            </a:pPr>
            <a:endParaRPr lang="pt-BR"/>
          </a:p>
        </c:txPr>
        <c:crossAx val="623316240"/>
        <c:crosses val="autoZero"/>
        <c:auto val="1"/>
        <c:lblAlgn val="ctr"/>
        <c:lblOffset val="100"/>
        <c:noMultiLvlLbl val="0"/>
      </c:catAx>
      <c:valAx>
        <c:axId val="623316240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62332414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rgbClr val="000000">
        <a:lumMod val="75000"/>
        <a:lumOff val="25000"/>
      </a:srgb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1.png"/><Relationship Id="rId47" Type="http://schemas.openxmlformats.org/officeDocument/2006/relationships/image" Target="../media/image45.png"/><Relationship Id="rId63" Type="http://schemas.openxmlformats.org/officeDocument/2006/relationships/image" Target="../media/image61.png"/><Relationship Id="rId68" Type="http://schemas.openxmlformats.org/officeDocument/2006/relationships/image" Target="../media/image66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microsoft.com/office/2007/relationships/hdphoto" Target="../media/hdphoto1.wdp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1.jpeg"/><Relationship Id="rId37" Type="http://schemas.openxmlformats.org/officeDocument/2006/relationships/image" Target="../media/image36.png"/><Relationship Id="rId40" Type="http://schemas.openxmlformats.org/officeDocument/2006/relationships/image" Target="../media/image39.jpeg"/><Relationship Id="rId45" Type="http://schemas.openxmlformats.org/officeDocument/2006/relationships/image" Target="../media/image43.png"/><Relationship Id="rId53" Type="http://schemas.openxmlformats.org/officeDocument/2006/relationships/image" Target="../media/image51.png"/><Relationship Id="rId58" Type="http://schemas.openxmlformats.org/officeDocument/2006/relationships/image" Target="../media/image56.png"/><Relationship Id="rId66" Type="http://schemas.openxmlformats.org/officeDocument/2006/relationships/image" Target="../media/image64.png"/><Relationship Id="rId74" Type="http://schemas.openxmlformats.org/officeDocument/2006/relationships/image" Target="../media/image72.png"/><Relationship Id="rId5" Type="http://schemas.openxmlformats.org/officeDocument/2006/relationships/image" Target="../media/image5.png"/><Relationship Id="rId61" Type="http://schemas.openxmlformats.org/officeDocument/2006/relationships/image" Target="../media/image59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29.jpeg"/><Relationship Id="rId35" Type="http://schemas.openxmlformats.org/officeDocument/2006/relationships/image" Target="../media/image34.png"/><Relationship Id="rId43" Type="http://schemas.openxmlformats.org/officeDocument/2006/relationships/image" Target="../media/image42.png"/><Relationship Id="rId48" Type="http://schemas.openxmlformats.org/officeDocument/2006/relationships/image" Target="../media/image46.png"/><Relationship Id="rId56" Type="http://schemas.openxmlformats.org/officeDocument/2006/relationships/image" Target="../media/image54.png"/><Relationship Id="rId64" Type="http://schemas.openxmlformats.org/officeDocument/2006/relationships/image" Target="../media/image62.png"/><Relationship Id="rId69" Type="http://schemas.openxmlformats.org/officeDocument/2006/relationships/image" Target="../media/image67.png"/><Relationship Id="rId8" Type="http://schemas.openxmlformats.org/officeDocument/2006/relationships/image" Target="../media/image8.png"/><Relationship Id="rId51" Type="http://schemas.openxmlformats.org/officeDocument/2006/relationships/image" Target="../media/image49.png"/><Relationship Id="rId72" Type="http://schemas.openxmlformats.org/officeDocument/2006/relationships/image" Target="../media/image70.sv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2.png"/><Relationship Id="rId38" Type="http://schemas.openxmlformats.org/officeDocument/2006/relationships/image" Target="../media/image37.png"/><Relationship Id="rId46" Type="http://schemas.openxmlformats.org/officeDocument/2006/relationships/image" Target="../media/image44.png"/><Relationship Id="rId59" Type="http://schemas.openxmlformats.org/officeDocument/2006/relationships/image" Target="../media/image57.png"/><Relationship Id="rId67" Type="http://schemas.openxmlformats.org/officeDocument/2006/relationships/image" Target="../media/image65.png"/><Relationship Id="rId20" Type="http://schemas.openxmlformats.org/officeDocument/2006/relationships/image" Target="../media/image20.png"/><Relationship Id="rId41" Type="http://schemas.openxmlformats.org/officeDocument/2006/relationships/image" Target="../media/image40.png"/><Relationship Id="rId54" Type="http://schemas.openxmlformats.org/officeDocument/2006/relationships/image" Target="../media/image52.png"/><Relationship Id="rId62" Type="http://schemas.openxmlformats.org/officeDocument/2006/relationships/image" Target="../media/image60.png"/><Relationship Id="rId70" Type="http://schemas.openxmlformats.org/officeDocument/2006/relationships/image" Target="../media/image68.svg"/><Relationship Id="rId75" Type="http://schemas.openxmlformats.org/officeDocument/2006/relationships/image" Target="../media/image73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5.png"/><Relationship Id="rId49" Type="http://schemas.openxmlformats.org/officeDocument/2006/relationships/image" Target="../media/image47.png"/><Relationship Id="rId57" Type="http://schemas.openxmlformats.org/officeDocument/2006/relationships/image" Target="../media/image55.png"/><Relationship Id="rId10" Type="http://schemas.openxmlformats.org/officeDocument/2006/relationships/image" Target="../media/image10.png"/><Relationship Id="rId31" Type="http://schemas.openxmlformats.org/officeDocument/2006/relationships/image" Target="../media/image30.jpeg"/><Relationship Id="rId44" Type="http://schemas.microsoft.com/office/2007/relationships/hdphoto" Target="../media/hdphoto2.wdp"/><Relationship Id="rId52" Type="http://schemas.openxmlformats.org/officeDocument/2006/relationships/image" Target="../media/image50.png"/><Relationship Id="rId60" Type="http://schemas.openxmlformats.org/officeDocument/2006/relationships/image" Target="../media/image58.png"/><Relationship Id="rId65" Type="http://schemas.openxmlformats.org/officeDocument/2006/relationships/image" Target="../media/image63.png"/><Relationship Id="rId73" Type="http://schemas.openxmlformats.org/officeDocument/2006/relationships/image" Target="../media/image7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8.png"/><Relationship Id="rId34" Type="http://schemas.openxmlformats.org/officeDocument/2006/relationships/image" Target="../media/image33.png"/><Relationship Id="rId50" Type="http://schemas.openxmlformats.org/officeDocument/2006/relationships/image" Target="../media/image48.png"/><Relationship Id="rId55" Type="http://schemas.openxmlformats.org/officeDocument/2006/relationships/image" Target="../media/image53.png"/><Relationship Id="rId7" Type="http://schemas.openxmlformats.org/officeDocument/2006/relationships/image" Target="../media/image7.png"/><Relationship Id="rId71" Type="http://schemas.openxmlformats.org/officeDocument/2006/relationships/image" Target="../media/image6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4.png"/><Relationship Id="rId2" Type="http://schemas.microsoft.com/office/2007/relationships/hdphoto" Target="../media/hdphoto1.wdp"/><Relationship Id="rId1" Type="http://schemas.openxmlformats.org/officeDocument/2006/relationships/image" Target="../media/image28.png"/><Relationship Id="rId5" Type="http://schemas.openxmlformats.org/officeDocument/2006/relationships/image" Target="../media/image76.svg"/><Relationship Id="rId4" Type="http://schemas.openxmlformats.org/officeDocument/2006/relationships/image" Target="../media/image7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137309</xdr:colOff>
      <xdr:row>170</xdr:row>
      <xdr:rowOff>71606</xdr:rowOff>
    </xdr:from>
    <xdr:to>
      <xdr:col>0</xdr:col>
      <xdr:colOff>1279247</xdr:colOff>
      <xdr:row>174</xdr:row>
      <xdr:rowOff>76415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2875917-F7EC-4A05-A7EF-CEC02771B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309" y="63802515"/>
          <a:ext cx="1148923" cy="1144969"/>
        </a:xfrm>
        <a:prstGeom prst="rect">
          <a:avLst/>
        </a:prstGeom>
      </xdr:spPr>
    </xdr:pic>
    <xdr:clientData/>
  </xdr:twoCellAnchor>
  <xdr:twoCellAnchor editAs="oneCell">
    <xdr:from>
      <xdr:col>0</xdr:col>
      <xdr:colOff>391887</xdr:colOff>
      <xdr:row>93</xdr:row>
      <xdr:rowOff>86469</xdr:rowOff>
    </xdr:from>
    <xdr:to>
      <xdr:col>0</xdr:col>
      <xdr:colOff>783969</xdr:colOff>
      <xdr:row>94</xdr:row>
      <xdr:rowOff>37377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50231DB5-0CE8-4D6E-AB18-F3B3E61298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91887" y="36036540"/>
          <a:ext cx="396527" cy="778438"/>
        </a:xfrm>
        <a:prstGeom prst="rect">
          <a:avLst/>
        </a:prstGeom>
      </xdr:spPr>
    </xdr:pic>
    <xdr:clientData/>
  </xdr:twoCellAnchor>
  <xdr:twoCellAnchor editAs="oneCell">
    <xdr:from>
      <xdr:col>0</xdr:col>
      <xdr:colOff>365939</xdr:colOff>
      <xdr:row>49</xdr:row>
      <xdr:rowOff>85726</xdr:rowOff>
    </xdr:from>
    <xdr:to>
      <xdr:col>0</xdr:col>
      <xdr:colOff>1046700</xdr:colOff>
      <xdr:row>51</xdr:row>
      <xdr:rowOff>209237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5DEF26BD-5665-4A23-9564-E195C291A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5939" y="37176076"/>
          <a:ext cx="690286" cy="637602"/>
        </a:xfrm>
        <a:prstGeom prst="rect">
          <a:avLst/>
        </a:prstGeom>
      </xdr:spPr>
    </xdr:pic>
    <xdr:clientData/>
  </xdr:twoCellAnchor>
  <xdr:twoCellAnchor editAs="oneCell">
    <xdr:from>
      <xdr:col>0</xdr:col>
      <xdr:colOff>259140</xdr:colOff>
      <xdr:row>55</xdr:row>
      <xdr:rowOff>220133</xdr:rowOff>
    </xdr:from>
    <xdr:to>
      <xdr:col>0</xdr:col>
      <xdr:colOff>1049331</xdr:colOff>
      <xdr:row>56</xdr:row>
      <xdr:rowOff>590832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FB6F8032-D31A-4777-92CE-F8741D73B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9140" y="27389666"/>
          <a:ext cx="776856" cy="794023"/>
        </a:xfrm>
        <a:prstGeom prst="rect">
          <a:avLst/>
        </a:prstGeom>
      </xdr:spPr>
    </xdr:pic>
    <xdr:clientData/>
  </xdr:twoCellAnchor>
  <xdr:twoCellAnchor editAs="oneCell">
    <xdr:from>
      <xdr:col>0</xdr:col>
      <xdr:colOff>316293</xdr:colOff>
      <xdr:row>44</xdr:row>
      <xdr:rowOff>117325</xdr:rowOff>
    </xdr:from>
    <xdr:to>
      <xdr:col>0</xdr:col>
      <xdr:colOff>968686</xdr:colOff>
      <xdr:row>45</xdr:row>
      <xdr:rowOff>133490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866685D-39C3-462A-89D8-8821F1956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6293" y="15983254"/>
          <a:ext cx="640963" cy="642408"/>
        </a:xfrm>
        <a:prstGeom prst="rect">
          <a:avLst/>
        </a:prstGeom>
      </xdr:spPr>
    </xdr:pic>
    <xdr:clientData/>
  </xdr:twoCellAnchor>
  <xdr:twoCellAnchor editAs="oneCell">
    <xdr:from>
      <xdr:col>0</xdr:col>
      <xdr:colOff>346983</xdr:colOff>
      <xdr:row>45</xdr:row>
      <xdr:rowOff>175532</xdr:rowOff>
    </xdr:from>
    <xdr:to>
      <xdr:col>0</xdr:col>
      <xdr:colOff>937168</xdr:colOff>
      <xdr:row>46</xdr:row>
      <xdr:rowOff>60280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CAD490D-A783-4746-A6B8-A341BE64C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6983" y="33274907"/>
          <a:ext cx="601615" cy="611073"/>
        </a:xfrm>
        <a:prstGeom prst="rect">
          <a:avLst/>
        </a:prstGeom>
      </xdr:spPr>
    </xdr:pic>
    <xdr:clientData/>
  </xdr:twoCellAnchor>
  <xdr:twoCellAnchor editAs="oneCell">
    <xdr:from>
      <xdr:col>0</xdr:col>
      <xdr:colOff>329638</xdr:colOff>
      <xdr:row>47</xdr:row>
      <xdr:rowOff>577403</xdr:rowOff>
    </xdr:from>
    <xdr:to>
      <xdr:col>0</xdr:col>
      <xdr:colOff>1025784</xdr:colOff>
      <xdr:row>49</xdr:row>
      <xdr:rowOff>75160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A5C64AE7-96FC-4E7C-BD91-B56B54756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9638" y="36696203"/>
          <a:ext cx="692336" cy="712990"/>
        </a:xfrm>
        <a:prstGeom prst="rect">
          <a:avLst/>
        </a:prstGeom>
      </xdr:spPr>
    </xdr:pic>
    <xdr:clientData/>
  </xdr:twoCellAnchor>
  <xdr:twoCellAnchor editAs="oneCell">
    <xdr:from>
      <xdr:col>0</xdr:col>
      <xdr:colOff>334395</xdr:colOff>
      <xdr:row>70</xdr:row>
      <xdr:rowOff>36736</xdr:rowOff>
    </xdr:from>
    <xdr:to>
      <xdr:col>0</xdr:col>
      <xdr:colOff>1216279</xdr:colOff>
      <xdr:row>74</xdr:row>
      <xdr:rowOff>57953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C8DF25E9-732B-4837-AE91-A126E5D3B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4395" y="26611486"/>
          <a:ext cx="863469" cy="816433"/>
        </a:xfrm>
        <a:prstGeom prst="rect">
          <a:avLst/>
        </a:prstGeom>
      </xdr:spPr>
    </xdr:pic>
    <xdr:clientData/>
  </xdr:twoCellAnchor>
  <xdr:twoCellAnchor editAs="oneCell">
    <xdr:from>
      <xdr:col>0</xdr:col>
      <xdr:colOff>308862</xdr:colOff>
      <xdr:row>77</xdr:row>
      <xdr:rowOff>74477</xdr:rowOff>
    </xdr:from>
    <xdr:to>
      <xdr:col>0</xdr:col>
      <xdr:colOff>1064381</xdr:colOff>
      <xdr:row>80</xdr:row>
      <xdr:rowOff>21434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80F7816B-CF7C-4C64-9E5E-91C7D020EA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08862" y="13477513"/>
          <a:ext cx="758694" cy="893532"/>
        </a:xfrm>
        <a:prstGeom prst="rect">
          <a:avLst/>
        </a:prstGeom>
      </xdr:spPr>
    </xdr:pic>
    <xdr:clientData/>
  </xdr:twoCellAnchor>
  <xdr:twoCellAnchor editAs="oneCell">
    <xdr:from>
      <xdr:col>0</xdr:col>
      <xdr:colOff>304228</xdr:colOff>
      <xdr:row>80</xdr:row>
      <xdr:rowOff>160539</xdr:rowOff>
    </xdr:from>
    <xdr:to>
      <xdr:col>0</xdr:col>
      <xdr:colOff>1082053</xdr:colOff>
      <xdr:row>83</xdr:row>
      <xdr:rowOff>244635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F00043B1-F5C7-4CB9-B579-7EFC69A3E5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04228" y="29511146"/>
          <a:ext cx="766395" cy="899927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361951</xdr:colOff>
      <xdr:row>92</xdr:row>
      <xdr:rowOff>72038</xdr:rowOff>
    </xdr:from>
    <xdr:to>
      <xdr:col>0</xdr:col>
      <xdr:colOff>822325</xdr:colOff>
      <xdr:row>93</xdr:row>
      <xdr:rowOff>35833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1F7C4419-8CF7-486B-83A0-CC69982ADD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61951" y="35164859"/>
          <a:ext cx="469899" cy="795617"/>
        </a:xfrm>
        <a:prstGeom prst="rect">
          <a:avLst/>
        </a:prstGeom>
      </xdr:spPr>
    </xdr:pic>
    <xdr:clientData/>
  </xdr:twoCellAnchor>
  <xdr:twoCellAnchor editAs="oneCell">
    <xdr:from>
      <xdr:col>0</xdr:col>
      <xdr:colOff>382363</xdr:colOff>
      <xdr:row>94</xdr:row>
      <xdr:rowOff>25358</xdr:rowOff>
    </xdr:from>
    <xdr:to>
      <xdr:col>0</xdr:col>
      <xdr:colOff>853704</xdr:colOff>
      <xdr:row>94</xdr:row>
      <xdr:rowOff>778759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5FA4120C-E6BA-4CD0-9D61-D727E86216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82363" y="36832679"/>
          <a:ext cx="464991" cy="785815"/>
        </a:xfrm>
        <a:prstGeom prst="rect">
          <a:avLst/>
        </a:prstGeom>
      </xdr:spPr>
    </xdr:pic>
    <xdr:clientData/>
  </xdr:twoCellAnchor>
  <xdr:twoCellAnchor editAs="oneCell">
    <xdr:from>
      <xdr:col>0</xdr:col>
      <xdr:colOff>260056</xdr:colOff>
      <xdr:row>95</xdr:row>
      <xdr:rowOff>54171</xdr:rowOff>
    </xdr:from>
    <xdr:to>
      <xdr:col>0</xdr:col>
      <xdr:colOff>1044853</xdr:colOff>
      <xdr:row>95</xdr:row>
      <xdr:rowOff>897201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4A39C1FB-04BA-4180-959A-D2C71FA3C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0056" y="37718742"/>
          <a:ext cx="795592" cy="794915"/>
        </a:xfrm>
        <a:prstGeom prst="rect">
          <a:avLst/>
        </a:prstGeom>
      </xdr:spPr>
    </xdr:pic>
    <xdr:clientData/>
  </xdr:twoCellAnchor>
  <xdr:twoCellAnchor editAs="oneCell">
    <xdr:from>
      <xdr:col>0</xdr:col>
      <xdr:colOff>293417</xdr:colOff>
      <xdr:row>112</xdr:row>
      <xdr:rowOff>74688</xdr:rowOff>
    </xdr:from>
    <xdr:to>
      <xdr:col>0</xdr:col>
      <xdr:colOff>1050801</xdr:colOff>
      <xdr:row>114</xdr:row>
      <xdr:rowOff>247525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18EDD34C-BD9B-47AA-A104-536E1CAFC6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93417" y="68926831"/>
          <a:ext cx="765004" cy="1306285"/>
        </a:xfrm>
        <a:prstGeom prst="rect">
          <a:avLst/>
        </a:prstGeom>
      </xdr:spPr>
    </xdr:pic>
    <xdr:clientData/>
  </xdr:twoCellAnchor>
  <xdr:twoCellAnchor editAs="oneCell">
    <xdr:from>
      <xdr:col>0</xdr:col>
      <xdr:colOff>407946</xdr:colOff>
      <xdr:row>115</xdr:row>
      <xdr:rowOff>215630</xdr:rowOff>
    </xdr:from>
    <xdr:to>
      <xdr:col>0</xdr:col>
      <xdr:colOff>974689</xdr:colOff>
      <xdr:row>116</xdr:row>
      <xdr:rowOff>420327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AC577B70-0479-4840-8591-3C2B7A648B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07946" y="72058783"/>
          <a:ext cx="578173" cy="835907"/>
        </a:xfrm>
        <a:prstGeom prst="rect">
          <a:avLst/>
        </a:prstGeom>
      </xdr:spPr>
    </xdr:pic>
    <xdr:clientData/>
  </xdr:twoCellAnchor>
  <xdr:twoCellAnchor editAs="oneCell">
    <xdr:from>
      <xdr:col>0</xdr:col>
      <xdr:colOff>417799</xdr:colOff>
      <xdr:row>119</xdr:row>
      <xdr:rowOff>241145</xdr:rowOff>
    </xdr:from>
    <xdr:to>
      <xdr:col>0</xdr:col>
      <xdr:colOff>970245</xdr:colOff>
      <xdr:row>121</xdr:row>
      <xdr:rowOff>209457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EF224777-A83D-4A4F-99F5-7064AD7DEE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17799" y="73659845"/>
          <a:ext cx="548636" cy="912740"/>
        </a:xfrm>
        <a:prstGeom prst="rect">
          <a:avLst/>
        </a:prstGeom>
      </xdr:spPr>
    </xdr:pic>
    <xdr:clientData/>
  </xdr:twoCellAnchor>
  <xdr:twoCellAnchor editAs="oneCell">
    <xdr:from>
      <xdr:col>0</xdr:col>
      <xdr:colOff>369083</xdr:colOff>
      <xdr:row>178</xdr:row>
      <xdr:rowOff>93427</xdr:rowOff>
    </xdr:from>
    <xdr:to>
      <xdr:col>0</xdr:col>
      <xdr:colOff>1101642</xdr:colOff>
      <xdr:row>182</xdr:row>
      <xdr:rowOff>171244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6A9D0391-7D70-4EAD-8303-4F57C4F725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69083" y="66318154"/>
          <a:ext cx="716049" cy="1275797"/>
        </a:xfrm>
        <a:prstGeom prst="rect">
          <a:avLst/>
        </a:prstGeom>
      </xdr:spPr>
    </xdr:pic>
    <xdr:clientData/>
  </xdr:twoCellAnchor>
  <xdr:twoCellAnchor editAs="oneCell">
    <xdr:from>
      <xdr:col>0</xdr:col>
      <xdr:colOff>337458</xdr:colOff>
      <xdr:row>187</xdr:row>
      <xdr:rowOff>143855</xdr:rowOff>
    </xdr:from>
    <xdr:to>
      <xdr:col>0</xdr:col>
      <xdr:colOff>1125361</xdr:colOff>
      <xdr:row>189</xdr:row>
      <xdr:rowOff>359561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4DF5225F-6B31-4292-8CDB-A9DA516F66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37458" y="105659084"/>
          <a:ext cx="791713" cy="1065560"/>
        </a:xfrm>
        <a:prstGeom prst="rect">
          <a:avLst/>
        </a:prstGeom>
      </xdr:spPr>
    </xdr:pic>
    <xdr:clientData/>
  </xdr:twoCellAnchor>
  <xdr:twoCellAnchor editAs="oneCell">
    <xdr:from>
      <xdr:col>0</xdr:col>
      <xdr:colOff>162525</xdr:colOff>
      <xdr:row>225</xdr:row>
      <xdr:rowOff>138065</xdr:rowOff>
    </xdr:from>
    <xdr:to>
      <xdr:col>0</xdr:col>
      <xdr:colOff>1222151</xdr:colOff>
      <xdr:row>228</xdr:row>
      <xdr:rowOff>245455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0AB04C97-822C-4D97-AA4E-2653BC175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2525" y="80321247"/>
          <a:ext cx="1070421" cy="1086711"/>
        </a:xfrm>
        <a:prstGeom prst="rect">
          <a:avLst/>
        </a:prstGeom>
      </xdr:spPr>
    </xdr:pic>
    <xdr:clientData/>
  </xdr:twoCellAnchor>
  <xdr:twoCellAnchor editAs="oneCell">
    <xdr:from>
      <xdr:col>0</xdr:col>
      <xdr:colOff>146079</xdr:colOff>
      <xdr:row>273</xdr:row>
      <xdr:rowOff>156158</xdr:rowOff>
    </xdr:from>
    <xdr:to>
      <xdr:col>0</xdr:col>
      <xdr:colOff>1216025</xdr:colOff>
      <xdr:row>277</xdr:row>
      <xdr:rowOff>19349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DA18845E-3783-4E0C-81A5-B1F21E537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6079" y="92392794"/>
          <a:ext cx="1068041" cy="1054249"/>
        </a:xfrm>
        <a:prstGeom prst="rect">
          <a:avLst/>
        </a:prstGeom>
      </xdr:spPr>
    </xdr:pic>
    <xdr:clientData/>
  </xdr:twoCellAnchor>
  <xdr:twoCellAnchor editAs="oneCell">
    <xdr:from>
      <xdr:col>0</xdr:col>
      <xdr:colOff>254814</xdr:colOff>
      <xdr:row>240</xdr:row>
      <xdr:rowOff>33383</xdr:rowOff>
    </xdr:from>
    <xdr:to>
      <xdr:col>0</xdr:col>
      <xdr:colOff>1234587</xdr:colOff>
      <xdr:row>244</xdr:row>
      <xdr:rowOff>93029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id="{8B72B57E-37AD-4587-86FA-A2447618BA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54814" y="84026565"/>
          <a:ext cx="975963" cy="1415701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104048</xdr:colOff>
      <xdr:row>281</xdr:row>
      <xdr:rowOff>238984</xdr:rowOff>
    </xdr:from>
    <xdr:to>
      <xdr:col>0</xdr:col>
      <xdr:colOff>1139907</xdr:colOff>
      <xdr:row>286</xdr:row>
      <xdr:rowOff>96846</xdr:rowOff>
    </xdr:to>
    <xdr:pic>
      <xdr:nvPicPr>
        <xdr:cNvPr id="76" name="Imagem 75">
          <a:extLst>
            <a:ext uri="{FF2B5EF4-FFF2-40B4-BE49-F238E27FC236}">
              <a16:creationId xmlns:a16="http://schemas.microsoft.com/office/drawing/2014/main" id="{C5252DCB-257C-4F19-993D-0768C3E433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04048" y="95004075"/>
          <a:ext cx="1034589" cy="1510616"/>
        </a:xfrm>
        <a:prstGeom prst="rect">
          <a:avLst/>
        </a:prstGeom>
      </xdr:spPr>
    </xdr:pic>
    <xdr:clientData/>
  </xdr:twoCellAnchor>
  <xdr:oneCellAnchor>
    <xdr:from>
      <xdr:col>0</xdr:col>
      <xdr:colOff>3</xdr:colOff>
      <xdr:row>44</xdr:row>
      <xdr:rowOff>410601</xdr:rowOff>
    </xdr:from>
    <xdr:ext cx="276999" cy="1628804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3FEB87A-7AD2-42A7-8B61-368F5A41DC17}"/>
            </a:ext>
          </a:extLst>
        </xdr:cNvPr>
        <xdr:cNvSpPr/>
      </xdr:nvSpPr>
      <xdr:spPr>
        <a:xfrm rot="16200000">
          <a:off x="-675899" y="33974967"/>
          <a:ext cx="1628804" cy="27699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200" b="1" cap="none" spc="0">
              <a:ln w="0"/>
              <a:solidFill>
                <a:schemeClr val="tx1">
                  <a:lumMod val="65000"/>
                  <a:lumOff val="35000"/>
                </a:schemeClr>
              </a:solidFill>
              <a:effectLst/>
              <a:latin typeface="Shentox" pitchFamily="2" charset="0"/>
              <a:ea typeface="Shentox" pitchFamily="2" charset="0"/>
            </a:rPr>
            <a:t>Acessórios</a:t>
          </a:r>
        </a:p>
      </xdr:txBody>
    </xdr:sp>
    <xdr:clientData/>
  </xdr:oneCellAnchor>
  <xdr:oneCellAnchor>
    <xdr:from>
      <xdr:col>0</xdr:col>
      <xdr:colOff>1</xdr:colOff>
      <xdr:row>51</xdr:row>
      <xdr:rowOff>159547</xdr:rowOff>
    </xdr:from>
    <xdr:ext cx="276999" cy="1628804"/>
    <xdr:sp macro="" textlink="">
      <xdr:nvSpPr>
        <xdr:cNvPr id="43" name="Retângulo 42">
          <a:extLst>
            <a:ext uri="{FF2B5EF4-FFF2-40B4-BE49-F238E27FC236}">
              <a16:creationId xmlns:a16="http://schemas.microsoft.com/office/drawing/2014/main" id="{0E7A1264-ECCB-43BD-AA40-A693D15B3112}"/>
            </a:ext>
          </a:extLst>
        </xdr:cNvPr>
        <xdr:cNvSpPr/>
      </xdr:nvSpPr>
      <xdr:spPr>
        <a:xfrm rot="16200000">
          <a:off x="-675901" y="7324355"/>
          <a:ext cx="1628804" cy="27699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200" b="1" cap="none" spc="0">
              <a:ln w="0"/>
              <a:solidFill>
                <a:schemeClr val="tx1">
                  <a:lumMod val="65000"/>
                  <a:lumOff val="35000"/>
                </a:schemeClr>
              </a:solidFill>
              <a:effectLst/>
              <a:latin typeface="Shentox" pitchFamily="2" charset="0"/>
              <a:ea typeface="Shentox" pitchFamily="2" charset="0"/>
            </a:rPr>
            <a:t>Aminoácidos</a:t>
          </a:r>
        </a:p>
      </xdr:txBody>
    </xdr:sp>
    <xdr:clientData/>
  </xdr:oneCellAnchor>
  <xdr:oneCellAnchor>
    <xdr:from>
      <xdr:col>0</xdr:col>
      <xdr:colOff>13609</xdr:colOff>
      <xdr:row>73</xdr:row>
      <xdr:rowOff>103160</xdr:rowOff>
    </xdr:from>
    <xdr:ext cx="461665" cy="1628804"/>
    <xdr:sp macro="" textlink="">
      <xdr:nvSpPr>
        <xdr:cNvPr id="47" name="Retângulo 46">
          <a:extLst>
            <a:ext uri="{FF2B5EF4-FFF2-40B4-BE49-F238E27FC236}">
              <a16:creationId xmlns:a16="http://schemas.microsoft.com/office/drawing/2014/main" id="{D48C1EC9-4F16-41A1-B430-BDFB41E0E4C8}"/>
            </a:ext>
          </a:extLst>
        </xdr:cNvPr>
        <xdr:cNvSpPr/>
      </xdr:nvSpPr>
      <xdr:spPr>
        <a:xfrm rot="16200000">
          <a:off x="-569960" y="12865122"/>
          <a:ext cx="1628804" cy="46166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200" b="1" cap="none" spc="0">
              <a:ln w="0"/>
              <a:solidFill>
                <a:schemeClr val="tx1">
                  <a:lumMod val="65000"/>
                  <a:lumOff val="35000"/>
                </a:schemeClr>
              </a:solidFill>
              <a:effectLst/>
              <a:latin typeface="Shentox" pitchFamily="2" charset="0"/>
              <a:ea typeface="Shentox" pitchFamily="2" charset="0"/>
            </a:rPr>
            <a:t>Alto rendimento Xtamina</a:t>
          </a:r>
        </a:p>
      </xdr:txBody>
    </xdr:sp>
    <xdr:clientData/>
  </xdr:oneCellAnchor>
  <xdr:oneCellAnchor>
    <xdr:from>
      <xdr:col>0</xdr:col>
      <xdr:colOff>68038</xdr:colOff>
      <xdr:row>92</xdr:row>
      <xdr:rowOff>382903</xdr:rowOff>
    </xdr:from>
    <xdr:ext cx="276999" cy="1628804"/>
    <xdr:sp macro="" textlink="">
      <xdr:nvSpPr>
        <xdr:cNvPr id="50" name="Retângulo 49">
          <a:extLst>
            <a:ext uri="{FF2B5EF4-FFF2-40B4-BE49-F238E27FC236}">
              <a16:creationId xmlns:a16="http://schemas.microsoft.com/office/drawing/2014/main" id="{48B983C1-6D8F-486C-8941-FA6F08B84B09}"/>
            </a:ext>
          </a:extLst>
        </xdr:cNvPr>
        <xdr:cNvSpPr/>
      </xdr:nvSpPr>
      <xdr:spPr>
        <a:xfrm rot="16200000">
          <a:off x="-607864" y="36151626"/>
          <a:ext cx="1628804" cy="27699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200" b="1" cap="none" spc="0">
              <a:ln w="0"/>
              <a:solidFill>
                <a:schemeClr val="tx1">
                  <a:lumMod val="65000"/>
                  <a:lumOff val="35000"/>
                </a:schemeClr>
              </a:solidFill>
              <a:effectLst/>
              <a:latin typeface="Shentox" pitchFamily="2" charset="0"/>
              <a:ea typeface="Shentox" pitchFamily="2" charset="0"/>
            </a:rPr>
            <a:t>Perda de peso</a:t>
          </a:r>
        </a:p>
      </xdr:txBody>
    </xdr:sp>
    <xdr:clientData/>
  </xdr:oneCellAnchor>
  <xdr:oneCellAnchor>
    <xdr:from>
      <xdr:col>0</xdr:col>
      <xdr:colOff>1</xdr:colOff>
      <xdr:row>97</xdr:row>
      <xdr:rowOff>449037</xdr:rowOff>
    </xdr:from>
    <xdr:ext cx="276999" cy="1628804"/>
    <xdr:sp macro="" textlink="">
      <xdr:nvSpPr>
        <xdr:cNvPr id="57" name="Retângulo 56">
          <a:extLst>
            <a:ext uri="{FF2B5EF4-FFF2-40B4-BE49-F238E27FC236}">
              <a16:creationId xmlns:a16="http://schemas.microsoft.com/office/drawing/2014/main" id="{BD6E54A2-8329-4422-9C9C-8489C40BF37F}"/>
            </a:ext>
          </a:extLst>
        </xdr:cNvPr>
        <xdr:cNvSpPr/>
      </xdr:nvSpPr>
      <xdr:spPr>
        <a:xfrm rot="16200000">
          <a:off x="-675901" y="56995868"/>
          <a:ext cx="1628804" cy="27699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200" b="1" cap="none" spc="0">
              <a:ln w="0"/>
              <a:solidFill>
                <a:schemeClr val="tx1">
                  <a:lumMod val="65000"/>
                  <a:lumOff val="35000"/>
                </a:schemeClr>
              </a:solidFill>
              <a:effectLst/>
              <a:latin typeface="Shentox" pitchFamily="2" charset="0"/>
              <a:ea typeface="Shentox" pitchFamily="2" charset="0"/>
            </a:rPr>
            <a:t>Vitaminas e nutrientes</a:t>
          </a:r>
        </a:p>
      </xdr:txBody>
    </xdr:sp>
    <xdr:clientData/>
  </xdr:oneCellAnchor>
  <xdr:oneCellAnchor>
    <xdr:from>
      <xdr:col>0</xdr:col>
      <xdr:colOff>1</xdr:colOff>
      <xdr:row>163</xdr:row>
      <xdr:rowOff>165689</xdr:rowOff>
    </xdr:from>
    <xdr:ext cx="276999" cy="1628804"/>
    <xdr:sp macro="" textlink="">
      <xdr:nvSpPr>
        <xdr:cNvPr id="59" name="Retângulo 58">
          <a:extLst>
            <a:ext uri="{FF2B5EF4-FFF2-40B4-BE49-F238E27FC236}">
              <a16:creationId xmlns:a16="http://schemas.microsoft.com/office/drawing/2014/main" id="{94911A40-6FB6-45BC-B0CE-983FA776D0C2}"/>
            </a:ext>
          </a:extLst>
        </xdr:cNvPr>
        <xdr:cNvSpPr/>
      </xdr:nvSpPr>
      <xdr:spPr>
        <a:xfrm rot="16200000">
          <a:off x="-675901" y="24396356"/>
          <a:ext cx="1628804" cy="27699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200" b="1" cap="none" spc="0">
              <a:ln w="0"/>
              <a:solidFill>
                <a:schemeClr val="tx1">
                  <a:lumMod val="65000"/>
                  <a:lumOff val="35000"/>
                </a:schemeClr>
              </a:solidFill>
              <a:effectLst/>
              <a:latin typeface="Shentox" pitchFamily="2" charset="0"/>
              <a:ea typeface="Shentox" pitchFamily="2" charset="0"/>
            </a:rPr>
            <a:t>Proteína 100% natural</a:t>
          </a:r>
        </a:p>
      </xdr:txBody>
    </xdr:sp>
    <xdr:clientData/>
  </xdr:oneCellAnchor>
  <xdr:oneCellAnchor>
    <xdr:from>
      <xdr:col>0</xdr:col>
      <xdr:colOff>0</xdr:colOff>
      <xdr:row>187</xdr:row>
      <xdr:rowOff>0</xdr:rowOff>
    </xdr:from>
    <xdr:ext cx="276999" cy="1628804"/>
    <xdr:sp macro="" textlink="">
      <xdr:nvSpPr>
        <xdr:cNvPr id="61" name="Retângulo 60">
          <a:extLst>
            <a:ext uri="{FF2B5EF4-FFF2-40B4-BE49-F238E27FC236}">
              <a16:creationId xmlns:a16="http://schemas.microsoft.com/office/drawing/2014/main" id="{FCA031BC-64FD-4EEF-B81F-9EDE9F990FCB}"/>
            </a:ext>
          </a:extLst>
        </xdr:cNvPr>
        <xdr:cNvSpPr/>
      </xdr:nvSpPr>
      <xdr:spPr>
        <a:xfrm rot="16200000">
          <a:off x="-675902" y="69335073"/>
          <a:ext cx="1628804" cy="27699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200" b="1" cap="none" spc="0">
              <a:ln w="0"/>
              <a:solidFill>
                <a:schemeClr val="tx1">
                  <a:lumMod val="65000"/>
                  <a:lumOff val="35000"/>
                </a:schemeClr>
              </a:solidFill>
              <a:effectLst/>
              <a:latin typeface="Shentox" pitchFamily="2" charset="0"/>
              <a:ea typeface="Shentox" pitchFamily="2" charset="0"/>
            </a:rPr>
            <a:t>Proteína Vegana</a:t>
          </a:r>
        </a:p>
      </xdr:txBody>
    </xdr:sp>
    <xdr:clientData/>
  </xdr:oneCellAnchor>
  <xdr:oneCellAnchor>
    <xdr:from>
      <xdr:col>0</xdr:col>
      <xdr:colOff>1</xdr:colOff>
      <xdr:row>199</xdr:row>
      <xdr:rowOff>266543</xdr:rowOff>
    </xdr:from>
    <xdr:ext cx="276999" cy="1628804"/>
    <xdr:sp macro="" textlink="">
      <xdr:nvSpPr>
        <xdr:cNvPr id="63" name="Retângulo 62">
          <a:extLst>
            <a:ext uri="{FF2B5EF4-FFF2-40B4-BE49-F238E27FC236}">
              <a16:creationId xmlns:a16="http://schemas.microsoft.com/office/drawing/2014/main" id="{430EFE48-FF02-4381-A93F-47895EC379ED}"/>
            </a:ext>
          </a:extLst>
        </xdr:cNvPr>
        <xdr:cNvSpPr/>
      </xdr:nvSpPr>
      <xdr:spPr>
        <a:xfrm rot="16200000">
          <a:off x="-675901" y="34022210"/>
          <a:ext cx="1628804" cy="27699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200" b="1" cap="none" spc="0">
              <a:ln w="0"/>
              <a:solidFill>
                <a:schemeClr val="tx1">
                  <a:lumMod val="65000"/>
                  <a:lumOff val="35000"/>
                </a:schemeClr>
              </a:solidFill>
              <a:effectLst/>
              <a:latin typeface="Shentox" pitchFamily="2" charset="0"/>
              <a:ea typeface="Shentox" pitchFamily="2" charset="0"/>
            </a:rPr>
            <a:t>Proteínas</a:t>
          </a:r>
        </a:p>
      </xdr:txBody>
    </xdr:sp>
    <xdr:clientData/>
  </xdr:oneCellAnchor>
  <xdr:twoCellAnchor editAs="oneCell">
    <xdr:from>
      <xdr:col>0</xdr:col>
      <xdr:colOff>339989</xdr:colOff>
      <xdr:row>161</xdr:row>
      <xdr:rowOff>177463</xdr:rowOff>
    </xdr:from>
    <xdr:to>
      <xdr:col>0</xdr:col>
      <xdr:colOff>1120551</xdr:colOff>
      <xdr:row>164</xdr:row>
      <xdr:rowOff>131726</xdr:rowOff>
    </xdr:to>
    <xdr:pic>
      <xdr:nvPicPr>
        <xdr:cNvPr id="65" name="Imagem 64" descr="Sache.20210426.MockupDisplay_FreshWhey_CocoAbacaxi_SITE">
          <a:extLst>
            <a:ext uri="{FF2B5EF4-FFF2-40B4-BE49-F238E27FC236}">
              <a16:creationId xmlns:a16="http://schemas.microsoft.com/office/drawing/2014/main" id="{1C841047-EFE4-468B-9439-E31DF1B478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21538" t="16923" r="16923" b="11538"/>
        <a:stretch/>
      </xdr:blipFill>
      <xdr:spPr bwMode="auto">
        <a:xfrm>
          <a:off x="339989" y="61414554"/>
          <a:ext cx="778022" cy="905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468086</xdr:colOff>
      <xdr:row>187</xdr:row>
      <xdr:rowOff>0</xdr:rowOff>
    </xdr:from>
    <xdr:to>
      <xdr:col>0</xdr:col>
      <xdr:colOff>1184077</xdr:colOff>
      <xdr:row>189</xdr:row>
      <xdr:rowOff>57551</xdr:rowOff>
    </xdr:to>
    <xdr:pic>
      <xdr:nvPicPr>
        <xdr:cNvPr id="67" name="Imagem 66" descr="Sache.20210426.MockupDisplay_FreshVegan_Baunilha_SITE">
          <a:extLst>
            <a:ext uri="{FF2B5EF4-FFF2-40B4-BE49-F238E27FC236}">
              <a16:creationId xmlns:a16="http://schemas.microsoft.com/office/drawing/2014/main" id="{C4EDD2B5-75ED-4FF6-A03D-86DA8101EC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21393" t="16418" r="17413" b="11940"/>
        <a:stretch/>
      </xdr:blipFill>
      <xdr:spPr bwMode="auto">
        <a:xfrm>
          <a:off x="468086" y="104418050"/>
          <a:ext cx="715991" cy="913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436512</xdr:colOff>
      <xdr:row>199</xdr:row>
      <xdr:rowOff>89255</xdr:rowOff>
    </xdr:from>
    <xdr:to>
      <xdr:col>0</xdr:col>
      <xdr:colOff>1222202</xdr:colOff>
      <xdr:row>201</xdr:row>
      <xdr:rowOff>207788</xdr:rowOff>
    </xdr:to>
    <xdr:pic>
      <xdr:nvPicPr>
        <xdr:cNvPr id="69" name="Imagem 68" descr="Display.20201118.MockupDisplaySaches_WPC">
          <a:extLst>
            <a:ext uri="{FF2B5EF4-FFF2-40B4-BE49-F238E27FC236}">
              <a16:creationId xmlns:a16="http://schemas.microsoft.com/office/drawing/2014/main" id="{299E5F8A-1C84-47AE-A734-6F55F41351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21196" t="17934" r="18478" b="11957"/>
        <a:stretch/>
      </xdr:blipFill>
      <xdr:spPr bwMode="auto">
        <a:xfrm>
          <a:off x="436512" y="72583164"/>
          <a:ext cx="802835" cy="9286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246785</xdr:colOff>
      <xdr:row>253</xdr:row>
      <xdr:rowOff>69056</xdr:rowOff>
    </xdr:from>
    <xdr:to>
      <xdr:col>0</xdr:col>
      <xdr:colOff>1044814</xdr:colOff>
      <xdr:row>255</xdr:row>
      <xdr:rowOff>304706</xdr:rowOff>
    </xdr:to>
    <xdr:pic>
      <xdr:nvPicPr>
        <xdr:cNvPr id="72" name="Imagem 71" descr="Display.20201118.MockupDisplaySaches_WPI">
          <a:extLst>
            <a:ext uri="{FF2B5EF4-FFF2-40B4-BE49-F238E27FC236}">
              <a16:creationId xmlns:a16="http://schemas.microsoft.com/office/drawing/2014/main" id="{428EB5EB-A5D9-4276-B3E9-9905CEDBB3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18716" t="17113" r="18716" b="11230"/>
        <a:stretch/>
      </xdr:blipFill>
      <xdr:spPr bwMode="auto">
        <a:xfrm>
          <a:off x="246785" y="87525874"/>
          <a:ext cx="798029" cy="9237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284368</xdr:colOff>
      <xdr:row>288</xdr:row>
      <xdr:rowOff>90883</xdr:rowOff>
    </xdr:from>
    <xdr:to>
      <xdr:col>0</xdr:col>
      <xdr:colOff>1120919</xdr:colOff>
      <xdr:row>289</xdr:row>
      <xdr:rowOff>629816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1620A0CB-BA4F-47A3-90CD-B69B3CC4A1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84368" y="143987656"/>
          <a:ext cx="836551" cy="1149876"/>
        </a:xfrm>
        <a:prstGeom prst="rect">
          <a:avLst/>
        </a:prstGeom>
      </xdr:spPr>
    </xdr:pic>
    <xdr:clientData/>
  </xdr:twoCellAnchor>
  <xdr:twoCellAnchor>
    <xdr:from>
      <xdr:col>0</xdr:col>
      <xdr:colOff>252351</xdr:colOff>
      <xdr:row>140</xdr:row>
      <xdr:rowOff>96488</xdr:rowOff>
    </xdr:from>
    <xdr:to>
      <xdr:col>0</xdr:col>
      <xdr:colOff>1096928</xdr:colOff>
      <xdr:row>144</xdr:row>
      <xdr:rowOff>152153</xdr:rowOff>
    </xdr:to>
    <xdr:grpSp>
      <xdr:nvGrpSpPr>
        <xdr:cNvPr id="89" name="Agrupar 88">
          <a:extLst>
            <a:ext uri="{FF2B5EF4-FFF2-40B4-BE49-F238E27FC236}">
              <a16:creationId xmlns:a16="http://schemas.microsoft.com/office/drawing/2014/main" id="{13BCF868-4351-479F-9C4A-15C48E1F967E}"/>
            </a:ext>
          </a:extLst>
        </xdr:cNvPr>
        <xdr:cNvGrpSpPr/>
      </xdr:nvGrpSpPr>
      <xdr:grpSpPr>
        <a:xfrm>
          <a:off x="248541" y="59753814"/>
          <a:ext cx="846482" cy="1661407"/>
          <a:chOff x="116418" y="8807202"/>
          <a:chExt cx="844577" cy="1628804"/>
        </a:xfrm>
      </xdr:grpSpPr>
      <xdr:pic>
        <xdr:nvPicPr>
          <xdr:cNvPr id="90" name="Imagem 89" descr="Garrafa de plástico&#10;&#10;Descrição gerada automaticamente com confiança baixa">
            <a:extLst>
              <a:ext uri="{FF2B5EF4-FFF2-40B4-BE49-F238E27FC236}">
                <a16:creationId xmlns:a16="http://schemas.microsoft.com/office/drawing/2014/main" id="{A5485343-057D-410A-A4BB-275616CE37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 cstate="email">
            <a:extLst>
              <a:ext uri="{BEBA8EAE-BF5A-486C-A8C5-ECC9F3942E4B}">
                <a14:imgProps xmlns:a14="http://schemas.microsoft.com/office/drawing/2010/main">
                  <a14:imgLayer r:embed="rId29">
                    <a14:imgEffect>
                      <a14:brightnessContrast bright="20000" contras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525872" y="9097036"/>
            <a:ext cx="435123" cy="1017222"/>
          </a:xfrm>
          <a:prstGeom prst="rect">
            <a:avLst/>
          </a:prstGeom>
        </xdr:spPr>
      </xdr:pic>
      <xdr:sp macro="" textlink="">
        <xdr:nvSpPr>
          <xdr:cNvPr id="91" name="Retângulo 90">
            <a:extLst>
              <a:ext uri="{FF2B5EF4-FFF2-40B4-BE49-F238E27FC236}">
                <a16:creationId xmlns:a16="http://schemas.microsoft.com/office/drawing/2014/main" id="{D679921A-87C1-44B9-901D-E2AEC6FE0CA2}"/>
              </a:ext>
            </a:extLst>
          </xdr:cNvPr>
          <xdr:cNvSpPr/>
        </xdr:nvSpPr>
        <xdr:spPr>
          <a:xfrm rot="16200000">
            <a:off x="-559484" y="9483104"/>
            <a:ext cx="1628804" cy="276999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Shentox" pitchFamily="2" charset="0"/>
                <a:ea typeface="Shentox" pitchFamily="2" charset="0"/>
              </a:rPr>
              <a:t>Whey Protein Shake</a:t>
            </a:r>
          </a:p>
        </xdr:txBody>
      </xdr:sp>
    </xdr:grpSp>
    <xdr:clientData/>
  </xdr:twoCellAnchor>
  <xdr:twoCellAnchor editAs="oneCell">
    <xdr:from>
      <xdr:col>0</xdr:col>
      <xdr:colOff>73575</xdr:colOff>
      <xdr:row>214</xdr:row>
      <xdr:rowOff>407371</xdr:rowOff>
    </xdr:from>
    <xdr:to>
      <xdr:col>0</xdr:col>
      <xdr:colOff>1273230</xdr:colOff>
      <xdr:row>218</xdr:row>
      <xdr:rowOff>55222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6AAC9551-4580-5D98-DBC9-51A2D9593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3575" y="116808314"/>
          <a:ext cx="1195845" cy="1363168"/>
        </a:xfrm>
        <a:prstGeom prst="rect">
          <a:avLst/>
        </a:prstGeom>
      </xdr:spPr>
    </xdr:pic>
    <xdr:clientData/>
  </xdr:twoCellAnchor>
  <xdr:twoCellAnchor editAs="oneCell">
    <xdr:from>
      <xdr:col>0</xdr:col>
      <xdr:colOff>173181</xdr:colOff>
      <xdr:row>260</xdr:row>
      <xdr:rowOff>280338</xdr:rowOff>
    </xdr:from>
    <xdr:to>
      <xdr:col>0</xdr:col>
      <xdr:colOff>1260440</xdr:colOff>
      <xdr:row>264</xdr:row>
      <xdr:rowOff>93712</xdr:rowOff>
    </xdr:to>
    <xdr:pic>
      <xdr:nvPicPr>
        <xdr:cNvPr id="102" name="Imagem 101">
          <a:extLst>
            <a:ext uri="{FF2B5EF4-FFF2-40B4-BE49-F238E27FC236}">
              <a16:creationId xmlns:a16="http://schemas.microsoft.com/office/drawing/2014/main" id="{B334F84D-86A9-4BEE-87A9-C699A1237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3181" y="89815338"/>
          <a:ext cx="1115199" cy="1119242"/>
        </a:xfrm>
        <a:prstGeom prst="rect">
          <a:avLst/>
        </a:prstGeom>
      </xdr:spPr>
    </xdr:pic>
    <xdr:clientData/>
  </xdr:twoCellAnchor>
  <xdr:twoCellAnchor editAs="oneCell">
    <xdr:from>
      <xdr:col>0</xdr:col>
      <xdr:colOff>305543</xdr:colOff>
      <xdr:row>53</xdr:row>
      <xdr:rowOff>0</xdr:rowOff>
    </xdr:from>
    <xdr:to>
      <xdr:col>0</xdr:col>
      <xdr:colOff>1010399</xdr:colOff>
      <xdr:row>54</xdr:row>
      <xdr:rowOff>326103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7F300C2E-C219-28C9-D9B5-B0EA2DD84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05543" y="26587449"/>
          <a:ext cx="708666" cy="804825"/>
        </a:xfrm>
        <a:prstGeom prst="rect">
          <a:avLst/>
        </a:prstGeom>
      </xdr:spPr>
    </xdr:pic>
    <xdr:clientData/>
  </xdr:twoCellAnchor>
  <xdr:oneCellAnchor>
    <xdr:from>
      <xdr:col>0</xdr:col>
      <xdr:colOff>1</xdr:colOff>
      <xdr:row>127</xdr:row>
      <xdr:rowOff>14709</xdr:rowOff>
    </xdr:from>
    <xdr:ext cx="276999" cy="2739458"/>
    <xdr:sp macro="" textlink="">
      <xdr:nvSpPr>
        <xdr:cNvPr id="55" name="Retângulo 54">
          <a:extLst>
            <a:ext uri="{FF2B5EF4-FFF2-40B4-BE49-F238E27FC236}">
              <a16:creationId xmlns:a16="http://schemas.microsoft.com/office/drawing/2014/main" id="{0BC270C8-0646-4D0D-AC97-D6BFE5B38DE6}"/>
            </a:ext>
          </a:extLst>
        </xdr:cNvPr>
        <xdr:cNvSpPr/>
      </xdr:nvSpPr>
      <xdr:spPr>
        <a:xfrm rot="16200000">
          <a:off x="-1231228" y="31071094"/>
          <a:ext cx="2739458" cy="27699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200" b="1" cap="none" spc="0">
              <a:ln w="0"/>
              <a:solidFill>
                <a:schemeClr val="tx1">
                  <a:lumMod val="65000"/>
                  <a:lumOff val="35000"/>
                </a:schemeClr>
              </a:solidFill>
              <a:effectLst/>
              <a:latin typeface="Shentox" pitchFamily="2" charset="0"/>
              <a:ea typeface="Shentox" pitchFamily="2" charset="0"/>
            </a:rPr>
            <a:t>Skin &amp;</a:t>
          </a:r>
          <a:r>
            <a:rPr lang="pt-BR" sz="1200" b="1" cap="none" spc="0" baseline="0">
              <a:ln w="0"/>
              <a:solidFill>
                <a:schemeClr val="tx1">
                  <a:lumMod val="65000"/>
                  <a:lumOff val="35000"/>
                </a:schemeClr>
              </a:solidFill>
              <a:effectLst/>
              <a:latin typeface="Shentox" pitchFamily="2" charset="0"/>
              <a:ea typeface="Shentox" pitchFamily="2" charset="0"/>
            </a:rPr>
            <a:t> Body</a:t>
          </a:r>
          <a:endParaRPr lang="pt-BR" sz="1200" b="1" cap="none" spc="0">
            <a:ln w="0"/>
            <a:solidFill>
              <a:schemeClr val="tx1">
                <a:lumMod val="65000"/>
                <a:lumOff val="35000"/>
              </a:schemeClr>
            </a:solidFill>
            <a:effectLst/>
            <a:latin typeface="Shentox" pitchFamily="2" charset="0"/>
            <a:ea typeface="Shentox" pitchFamily="2" charset="0"/>
          </a:endParaRPr>
        </a:p>
      </xdr:txBody>
    </xdr:sp>
    <xdr:clientData/>
  </xdr:oneCellAnchor>
  <xdr:twoCellAnchor editAs="oneCell">
    <xdr:from>
      <xdr:col>0</xdr:col>
      <xdr:colOff>429643</xdr:colOff>
      <xdr:row>128</xdr:row>
      <xdr:rowOff>268816</xdr:rowOff>
    </xdr:from>
    <xdr:to>
      <xdr:col>0</xdr:col>
      <xdr:colOff>949579</xdr:colOff>
      <xdr:row>132</xdr:row>
      <xdr:rowOff>40823</xdr:rowOff>
    </xdr:to>
    <xdr:pic>
      <xdr:nvPicPr>
        <xdr:cNvPr id="123" name="Imagem 122">
          <a:extLst>
            <a:ext uri="{FF2B5EF4-FFF2-40B4-BE49-F238E27FC236}">
              <a16:creationId xmlns:a16="http://schemas.microsoft.com/office/drawing/2014/main" id="{5CCD950D-9F47-9815-FB18-A30CA77AFF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449" t="12102" r="29336" b="12530"/>
        <a:stretch/>
      </xdr:blipFill>
      <xdr:spPr>
        <a:xfrm>
          <a:off x="429643" y="48274816"/>
          <a:ext cx="523111" cy="935180"/>
        </a:xfrm>
        <a:prstGeom prst="rect">
          <a:avLst/>
        </a:prstGeom>
      </xdr:spPr>
    </xdr:pic>
    <xdr:clientData/>
  </xdr:twoCellAnchor>
  <xdr:twoCellAnchor editAs="oneCell">
    <xdr:from>
      <xdr:col>0</xdr:col>
      <xdr:colOff>198650</xdr:colOff>
      <xdr:row>124</xdr:row>
      <xdr:rowOff>82261</xdr:rowOff>
    </xdr:from>
    <xdr:to>
      <xdr:col>0</xdr:col>
      <xdr:colOff>1178056</xdr:colOff>
      <xdr:row>126</xdr:row>
      <xdr:rowOff>205765</xdr:rowOff>
    </xdr:to>
    <xdr:pic>
      <xdr:nvPicPr>
        <xdr:cNvPr id="125" name="Imagem 124">
          <a:extLst>
            <a:ext uri="{FF2B5EF4-FFF2-40B4-BE49-F238E27FC236}">
              <a16:creationId xmlns:a16="http://schemas.microsoft.com/office/drawing/2014/main" id="{3F543912-D6E8-ACC2-AB27-66117D0DA4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98" t="35601" r="17651" b="9253"/>
        <a:stretch/>
      </xdr:blipFill>
      <xdr:spPr>
        <a:xfrm>
          <a:off x="198650" y="46841352"/>
          <a:ext cx="958451" cy="753086"/>
        </a:xfrm>
        <a:prstGeom prst="rect">
          <a:avLst/>
        </a:prstGeom>
      </xdr:spPr>
    </xdr:pic>
    <xdr:clientData/>
  </xdr:twoCellAnchor>
  <xdr:twoCellAnchor editAs="oneCell">
    <xdr:from>
      <xdr:col>0</xdr:col>
      <xdr:colOff>450275</xdr:colOff>
      <xdr:row>133</xdr:row>
      <xdr:rowOff>17319</xdr:rowOff>
    </xdr:from>
    <xdr:to>
      <xdr:col>0</xdr:col>
      <xdr:colOff>1006194</xdr:colOff>
      <xdr:row>135</xdr:row>
      <xdr:rowOff>361606</xdr:rowOff>
    </xdr:to>
    <xdr:pic>
      <xdr:nvPicPr>
        <xdr:cNvPr id="129" name="Imagem 128">
          <a:extLst>
            <a:ext uri="{FF2B5EF4-FFF2-40B4-BE49-F238E27FC236}">
              <a16:creationId xmlns:a16="http://schemas.microsoft.com/office/drawing/2014/main" id="{B98D2D08-4026-78C2-36E8-FD2358043C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72" t="20072" r="30405" b="12435"/>
        <a:stretch/>
      </xdr:blipFill>
      <xdr:spPr>
        <a:xfrm>
          <a:off x="450275" y="50517137"/>
          <a:ext cx="553379" cy="941336"/>
        </a:xfrm>
        <a:prstGeom prst="rect">
          <a:avLst/>
        </a:prstGeom>
      </xdr:spPr>
    </xdr:pic>
    <xdr:clientData/>
  </xdr:twoCellAnchor>
  <xdr:twoCellAnchor editAs="oneCell">
    <xdr:from>
      <xdr:col>0</xdr:col>
      <xdr:colOff>259772</xdr:colOff>
      <xdr:row>132</xdr:row>
      <xdr:rowOff>311726</xdr:rowOff>
    </xdr:from>
    <xdr:to>
      <xdr:col>0</xdr:col>
      <xdr:colOff>1145873</xdr:colOff>
      <xdr:row>135</xdr:row>
      <xdr:rowOff>282717</xdr:rowOff>
    </xdr:to>
    <xdr:pic>
      <xdr:nvPicPr>
        <xdr:cNvPr id="133" name="Imagem 132">
          <a:extLst>
            <a:ext uri="{FF2B5EF4-FFF2-40B4-BE49-F238E27FC236}">
              <a16:creationId xmlns:a16="http://schemas.microsoft.com/office/drawing/2014/main" id="{54C3D8B9-28E3-D085-6ED6-2BDEF74990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74" t="32531" r="18449" b="11096"/>
        <a:stretch/>
      </xdr:blipFill>
      <xdr:spPr>
        <a:xfrm>
          <a:off x="259772" y="49564635"/>
          <a:ext cx="893721" cy="762001"/>
        </a:xfrm>
        <a:prstGeom prst="rect">
          <a:avLst/>
        </a:prstGeom>
      </xdr:spPr>
    </xdr:pic>
    <xdr:clientData/>
  </xdr:twoCellAnchor>
  <xdr:twoCellAnchor editAs="oneCell">
    <xdr:from>
      <xdr:col>0</xdr:col>
      <xdr:colOff>421302</xdr:colOff>
      <xdr:row>137</xdr:row>
      <xdr:rowOff>592802</xdr:rowOff>
    </xdr:from>
    <xdr:to>
      <xdr:col>0</xdr:col>
      <xdr:colOff>1196881</xdr:colOff>
      <xdr:row>139</xdr:row>
      <xdr:rowOff>227169</xdr:rowOff>
    </xdr:to>
    <xdr:pic>
      <xdr:nvPicPr>
        <xdr:cNvPr id="139" name="Imagem 138">
          <a:extLst>
            <a:ext uri="{FF2B5EF4-FFF2-40B4-BE49-F238E27FC236}">
              <a16:creationId xmlns:a16="http://schemas.microsoft.com/office/drawing/2014/main" id="{1A152872-E38B-B2AD-C03B-5A0CA4CE99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04" t="20428" r="13425" b="7587"/>
        <a:stretch/>
      </xdr:blipFill>
      <xdr:spPr>
        <a:xfrm>
          <a:off x="421302" y="80417745"/>
          <a:ext cx="764149" cy="861300"/>
        </a:xfrm>
        <a:prstGeom prst="rect">
          <a:avLst/>
        </a:prstGeom>
      </xdr:spPr>
    </xdr:pic>
    <xdr:clientData/>
  </xdr:twoCellAnchor>
  <xdr:twoCellAnchor editAs="oneCell">
    <xdr:from>
      <xdr:col>0</xdr:col>
      <xdr:colOff>347957</xdr:colOff>
      <xdr:row>139</xdr:row>
      <xdr:rowOff>0</xdr:rowOff>
    </xdr:from>
    <xdr:to>
      <xdr:col>0</xdr:col>
      <xdr:colOff>1177882</xdr:colOff>
      <xdr:row>141</xdr:row>
      <xdr:rowOff>38423</xdr:rowOff>
    </xdr:to>
    <xdr:pic>
      <xdr:nvPicPr>
        <xdr:cNvPr id="155" name="Imagem 154">
          <a:extLst>
            <a:ext uri="{FF2B5EF4-FFF2-40B4-BE49-F238E27FC236}">
              <a16:creationId xmlns:a16="http://schemas.microsoft.com/office/drawing/2014/main" id="{F219B10D-0C5A-95DF-F6F5-8D20B3CFD8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39" t="19417" r="13062" b="9974"/>
        <a:stretch/>
      </xdr:blipFill>
      <xdr:spPr>
        <a:xfrm>
          <a:off x="347957" y="52268566"/>
          <a:ext cx="802620" cy="774042"/>
        </a:xfrm>
        <a:prstGeom prst="rect">
          <a:avLst/>
        </a:prstGeom>
      </xdr:spPr>
    </xdr:pic>
    <xdr:clientData/>
  </xdr:twoCellAnchor>
  <xdr:twoCellAnchor editAs="oneCell">
    <xdr:from>
      <xdr:col>0</xdr:col>
      <xdr:colOff>361882</xdr:colOff>
      <xdr:row>52</xdr:row>
      <xdr:rowOff>71764</xdr:rowOff>
    </xdr:from>
    <xdr:to>
      <xdr:col>0</xdr:col>
      <xdr:colOff>1083280</xdr:colOff>
      <xdr:row>53</xdr:row>
      <xdr:rowOff>323663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A2463323-DD3D-4EA7-92C9-6DCEC52EE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1882" y="38105089"/>
          <a:ext cx="717588" cy="740966"/>
        </a:xfrm>
        <a:prstGeom prst="rect">
          <a:avLst/>
        </a:prstGeom>
      </xdr:spPr>
    </xdr:pic>
    <xdr:clientData/>
  </xdr:twoCellAnchor>
  <xdr:twoCellAnchor editAs="oneCell">
    <xdr:from>
      <xdr:col>0</xdr:col>
      <xdr:colOff>329487</xdr:colOff>
      <xdr:row>88</xdr:row>
      <xdr:rowOff>292554</xdr:rowOff>
    </xdr:from>
    <xdr:to>
      <xdr:col>0</xdr:col>
      <xdr:colOff>1082573</xdr:colOff>
      <xdr:row>90</xdr:row>
      <xdr:rowOff>323042</xdr:rowOff>
    </xdr:to>
    <xdr:pic>
      <xdr:nvPicPr>
        <xdr:cNvPr id="105" name="Imagem 104" descr="1000x1000-preworkout_Pink_Lemonade">
          <a:extLst>
            <a:ext uri="{FF2B5EF4-FFF2-40B4-BE49-F238E27FC236}">
              <a16:creationId xmlns:a16="http://schemas.microsoft.com/office/drawing/2014/main" id="{7A48FEA8-9C8A-ECD1-A7F5-F937571DC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487" y="30786161"/>
          <a:ext cx="747371" cy="759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175616</xdr:colOff>
      <xdr:row>92</xdr:row>
      <xdr:rowOff>0</xdr:rowOff>
    </xdr:from>
    <xdr:to>
      <xdr:col>0</xdr:col>
      <xdr:colOff>1178140</xdr:colOff>
      <xdr:row>93</xdr:row>
      <xdr:rowOff>168970</xdr:rowOff>
    </xdr:to>
    <xdr:pic>
      <xdr:nvPicPr>
        <xdr:cNvPr id="10" name="Imagem 9" descr="IntraWorkOut.0600_AF_R04-003_v3-FRAMBOESA-E-MORANGO-SITE">
          <a:extLst>
            <a:ext uri="{FF2B5EF4-FFF2-40B4-BE49-F238E27FC236}">
              <a16:creationId xmlns:a16="http://schemas.microsoft.com/office/drawing/2014/main" id="{296B537D-F413-AAC9-494B-25675F12C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616" y="33074778"/>
          <a:ext cx="986014" cy="9924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177940</xdr:colOff>
      <xdr:row>92</xdr:row>
      <xdr:rowOff>0</xdr:rowOff>
    </xdr:from>
    <xdr:to>
      <xdr:col>0</xdr:col>
      <xdr:colOff>1082210</xdr:colOff>
      <xdr:row>93</xdr:row>
      <xdr:rowOff>92411</xdr:rowOff>
    </xdr:to>
    <xdr:pic>
      <xdr:nvPicPr>
        <xdr:cNvPr id="13" name="Imagem 12" descr="AMINO BUILDER - 400g">
          <a:extLst>
            <a:ext uri="{FF2B5EF4-FFF2-40B4-BE49-F238E27FC236}">
              <a16:creationId xmlns:a16="http://schemas.microsoft.com/office/drawing/2014/main" id="{3E63E35E-CB7E-BFA4-F73B-1C6A7A233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940" y="34147648"/>
          <a:ext cx="894110" cy="8972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408215</xdr:colOff>
      <xdr:row>96</xdr:row>
      <xdr:rowOff>108856</xdr:rowOff>
    </xdr:from>
    <xdr:to>
      <xdr:col>0</xdr:col>
      <xdr:colOff>955375</xdr:colOff>
      <xdr:row>97</xdr:row>
      <xdr:rowOff>244111</xdr:rowOff>
    </xdr:to>
    <xdr:pic>
      <xdr:nvPicPr>
        <xdr:cNvPr id="106" name="Imagem 105">
          <a:extLst>
            <a:ext uri="{FF2B5EF4-FFF2-40B4-BE49-F238E27FC236}">
              <a16:creationId xmlns:a16="http://schemas.microsoft.com/office/drawing/2014/main" id="{B721FA9C-CCB5-4BFF-B563-D14DF0B3A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BEBA8EAE-BF5A-486C-A8C5-ECC9F3942E4B}">
              <a14:imgProps xmlns:a14="http://schemas.microsoft.com/office/drawing/2010/main">
                <a14:imgLayer r:embed="rId44">
                  <a14:imgEffect>
                    <a14:backgroundRemoval t="5671" b="94329" l="10000" r="90000">
                      <a14:foregroundMark x1="39167" y1="12287" x2="39167" y2="12287"/>
                      <a14:foregroundMark x1="70000" y1="13611" x2="70000" y2="13611"/>
                      <a14:foregroundMark x1="35278" y1="6805" x2="66111" y2="6049"/>
                      <a14:foregroundMark x1="26111" y1="19660" x2="27222" y2="21739"/>
                      <a14:foregroundMark x1="55000" y1="37240" x2="71944" y2="36673"/>
                      <a14:foregroundMark x1="29167" y1="54253" x2="71944" y2="55388"/>
                      <a14:foregroundMark x1="71944" y1="55388" x2="73056" y2="55577"/>
                      <a14:foregroundMark x1="52222" y1="60302" x2="74167" y2="59735"/>
                      <a14:foregroundMark x1="75000" y1="31947" x2="68056" y2="33837"/>
                      <a14:foregroundMark x1="49167" y1="35917" x2="75000" y2="35917"/>
                      <a14:foregroundMark x1="51111" y1="33270" x2="62222" y2="40076"/>
                      <a14:foregroundMark x1="78056" y1="34594" x2="78056" y2="34594"/>
                      <a14:foregroundMark x1="76111" y1="33837" x2="76111" y2="33837"/>
                      <a14:foregroundMark x1="61111" y1="90926" x2="58056" y2="90926"/>
                      <a14:foregroundMark x1="49167" y1="94329" x2="49167" y2="94329"/>
                      <a14:foregroundMark x1="49167" y1="55009" x2="76944" y2="58412"/>
                      <a14:foregroundMark x1="76944" y1="48771" x2="74167" y2="56333"/>
                      <a14:foregroundMark x1="71111" y1="51607" x2="52222" y2="79395"/>
                      <a14:foregroundMark x1="52222" y1="79395" x2="52222" y2="79395"/>
                      <a14:foregroundMark x1="50278" y1="50851" x2="59167" y2="57089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8215" y="39447106"/>
          <a:ext cx="549065" cy="806821"/>
        </a:xfrm>
        <a:prstGeom prst="rect">
          <a:avLst/>
        </a:prstGeom>
      </xdr:spPr>
    </xdr:pic>
    <xdr:clientData/>
  </xdr:twoCellAnchor>
  <xdr:twoCellAnchor editAs="oneCell">
    <xdr:from>
      <xdr:col>0</xdr:col>
      <xdr:colOff>476248</xdr:colOff>
      <xdr:row>60</xdr:row>
      <xdr:rowOff>95166</xdr:rowOff>
    </xdr:from>
    <xdr:to>
      <xdr:col>0</xdr:col>
      <xdr:colOff>955413</xdr:colOff>
      <xdr:row>64</xdr:row>
      <xdr:rowOff>171763</xdr:rowOff>
    </xdr:to>
    <xdr:pic>
      <xdr:nvPicPr>
        <xdr:cNvPr id="109" name="Imagem 108" descr="Tabela&#10;&#10;Descrição gerada automaticamente">
          <a:extLst>
            <a:ext uri="{FF2B5EF4-FFF2-40B4-BE49-F238E27FC236}">
              <a16:creationId xmlns:a16="http://schemas.microsoft.com/office/drawing/2014/main" id="{1E26DA9F-08E1-42A6-A324-C967ADD2B2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19" t="15924" r="84837" b="63759"/>
        <a:stretch/>
      </xdr:blipFill>
      <xdr:spPr>
        <a:xfrm>
          <a:off x="476248" y="42910601"/>
          <a:ext cx="482975" cy="865798"/>
        </a:xfrm>
        <a:prstGeom prst="rect">
          <a:avLst/>
        </a:prstGeom>
      </xdr:spPr>
    </xdr:pic>
    <xdr:clientData/>
  </xdr:twoCellAnchor>
  <xdr:twoCellAnchor editAs="oneCell">
    <xdr:from>
      <xdr:col>0</xdr:col>
      <xdr:colOff>373790</xdr:colOff>
      <xdr:row>17</xdr:row>
      <xdr:rowOff>13608</xdr:rowOff>
    </xdr:from>
    <xdr:to>
      <xdr:col>0</xdr:col>
      <xdr:colOff>1217619</xdr:colOff>
      <xdr:row>20</xdr:row>
      <xdr:rowOff>56350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6BE2DFD7-2D4F-447D-BB3B-21C03689A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790" y="101792563"/>
          <a:ext cx="847004" cy="1319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278685</xdr:colOff>
      <xdr:row>26</xdr:row>
      <xdr:rowOff>142875</xdr:rowOff>
    </xdr:from>
    <xdr:to>
      <xdr:col>1</xdr:col>
      <xdr:colOff>16421</xdr:colOff>
      <xdr:row>29</xdr:row>
      <xdr:rowOff>170331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4CC11747-51F6-4A3E-B3D9-85E61758F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685" y="10832646"/>
          <a:ext cx="1094640" cy="1283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326570</xdr:colOff>
      <xdr:row>31</xdr:row>
      <xdr:rowOff>334739</xdr:rowOff>
    </xdr:from>
    <xdr:to>
      <xdr:col>1</xdr:col>
      <xdr:colOff>362</xdr:colOff>
      <xdr:row>34</xdr:row>
      <xdr:rowOff>136706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04E85F1E-0294-4B83-B159-C16502F91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570" y="10608132"/>
          <a:ext cx="1126672" cy="11103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9072</xdr:colOff>
      <xdr:row>17</xdr:row>
      <xdr:rowOff>0</xdr:rowOff>
    </xdr:from>
    <xdr:ext cx="276999" cy="1628804"/>
    <xdr:sp macro="" textlink="">
      <xdr:nvSpPr>
        <xdr:cNvPr id="86" name="Retângulo 85">
          <a:extLst>
            <a:ext uri="{FF2B5EF4-FFF2-40B4-BE49-F238E27FC236}">
              <a16:creationId xmlns:a16="http://schemas.microsoft.com/office/drawing/2014/main" id="{E1D75460-E20C-4806-A733-C416D8C6A45A}"/>
            </a:ext>
          </a:extLst>
        </xdr:cNvPr>
        <xdr:cNvSpPr/>
      </xdr:nvSpPr>
      <xdr:spPr>
        <a:xfrm rot="16200000">
          <a:off x="-666830" y="89599715"/>
          <a:ext cx="1628804" cy="27699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200" b="1" cap="none" spc="0">
              <a:ln w="0"/>
              <a:solidFill>
                <a:schemeClr val="tx1">
                  <a:lumMod val="65000"/>
                  <a:lumOff val="35000"/>
                </a:schemeClr>
              </a:solidFill>
              <a:effectLst/>
              <a:latin typeface="Shentox" pitchFamily="2" charset="0"/>
              <a:ea typeface="Shentox" pitchFamily="2" charset="0"/>
            </a:rPr>
            <a:t>Proteína Vegetal</a:t>
          </a:r>
        </a:p>
      </xdr:txBody>
    </xdr:sp>
    <xdr:clientData/>
  </xdr:oneCellAnchor>
  <xdr:oneCellAnchor>
    <xdr:from>
      <xdr:col>0</xdr:col>
      <xdr:colOff>0</xdr:colOff>
      <xdr:row>26</xdr:row>
      <xdr:rowOff>39466</xdr:rowOff>
    </xdr:from>
    <xdr:ext cx="276999" cy="1628804"/>
    <xdr:sp macro="" textlink="">
      <xdr:nvSpPr>
        <xdr:cNvPr id="92" name="Retângulo 91">
          <a:extLst>
            <a:ext uri="{FF2B5EF4-FFF2-40B4-BE49-F238E27FC236}">
              <a16:creationId xmlns:a16="http://schemas.microsoft.com/office/drawing/2014/main" id="{F337D1B3-5387-4ADD-9B99-B662EC4FD8EE}"/>
            </a:ext>
          </a:extLst>
        </xdr:cNvPr>
        <xdr:cNvSpPr/>
      </xdr:nvSpPr>
      <xdr:spPr>
        <a:xfrm rot="16200000">
          <a:off x="-675902" y="8811618"/>
          <a:ext cx="1628804" cy="27699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200" b="1" cap="none" spc="0">
              <a:ln w="0"/>
              <a:solidFill>
                <a:schemeClr val="tx1">
                  <a:lumMod val="65000"/>
                  <a:lumOff val="35000"/>
                </a:schemeClr>
              </a:solidFill>
              <a:effectLst/>
              <a:latin typeface="Shentox" pitchFamily="2" charset="0"/>
              <a:ea typeface="Shentox" pitchFamily="2" charset="0"/>
            </a:rPr>
            <a:t>Display Barrinhas</a:t>
          </a:r>
        </a:p>
      </xdr:txBody>
    </xdr:sp>
    <xdr:clientData/>
  </xdr:oneCellAnchor>
  <xdr:oneCellAnchor>
    <xdr:from>
      <xdr:col>0</xdr:col>
      <xdr:colOff>81643</xdr:colOff>
      <xdr:row>31</xdr:row>
      <xdr:rowOff>89815</xdr:rowOff>
    </xdr:from>
    <xdr:ext cx="276999" cy="1628804"/>
    <xdr:sp macro="" textlink="">
      <xdr:nvSpPr>
        <xdr:cNvPr id="93" name="Retângulo 92">
          <a:extLst>
            <a:ext uri="{FF2B5EF4-FFF2-40B4-BE49-F238E27FC236}">
              <a16:creationId xmlns:a16="http://schemas.microsoft.com/office/drawing/2014/main" id="{8C0E29B3-1581-41FF-8385-F4996A87657E}"/>
            </a:ext>
          </a:extLst>
        </xdr:cNvPr>
        <xdr:cNvSpPr/>
      </xdr:nvSpPr>
      <xdr:spPr>
        <a:xfrm rot="16200000">
          <a:off x="-594259" y="11039110"/>
          <a:ext cx="1628804" cy="27699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200" b="1" cap="none" spc="0">
              <a:ln w="0"/>
              <a:solidFill>
                <a:schemeClr val="tx1">
                  <a:lumMod val="65000"/>
                  <a:lumOff val="35000"/>
                </a:schemeClr>
              </a:solidFill>
              <a:effectLst/>
              <a:latin typeface="Shentox" pitchFamily="2" charset="0"/>
              <a:ea typeface="Shentox" pitchFamily="2" charset="0"/>
            </a:rPr>
            <a:t>Pasta de Amendoim</a:t>
          </a:r>
        </a:p>
      </xdr:txBody>
    </xdr:sp>
    <xdr:clientData/>
  </xdr:oneCellAnchor>
  <xdr:twoCellAnchor editAs="oneCell">
    <xdr:from>
      <xdr:col>0</xdr:col>
      <xdr:colOff>391575</xdr:colOff>
      <xdr:row>160</xdr:row>
      <xdr:rowOff>0</xdr:rowOff>
    </xdr:from>
    <xdr:to>
      <xdr:col>0</xdr:col>
      <xdr:colOff>970057</xdr:colOff>
      <xdr:row>163</xdr:row>
      <xdr:rowOff>95615</xdr:rowOff>
    </xdr:to>
    <xdr:pic>
      <xdr:nvPicPr>
        <xdr:cNvPr id="99" name="Picture 14" descr="Uma imagem contendo Texto&#10;&#10;Descrição gerada automaticamente">
          <a:extLst>
            <a:ext uri="{FF2B5EF4-FFF2-40B4-BE49-F238E27FC236}">
              <a16:creationId xmlns:a16="http://schemas.microsoft.com/office/drawing/2014/main" id="{D1A1CD46-CD72-1F14-1967-289E011356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42" t="12117" r="27541" b="10577"/>
        <a:stretch/>
      </xdr:blipFill>
      <xdr:spPr bwMode="auto">
        <a:xfrm>
          <a:off x="391575" y="78756556"/>
          <a:ext cx="582292" cy="1012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435429</xdr:colOff>
      <xdr:row>157</xdr:row>
      <xdr:rowOff>219148</xdr:rowOff>
    </xdr:from>
    <xdr:to>
      <xdr:col>0</xdr:col>
      <xdr:colOff>1044303</xdr:colOff>
      <xdr:row>159</xdr:row>
      <xdr:rowOff>342868</xdr:rowOff>
    </xdr:to>
    <xdr:pic>
      <xdr:nvPicPr>
        <xdr:cNvPr id="104" name="Picture 2" descr="Uma imagem contendo Texto&#10;&#10;Descrição gerada automaticamente">
          <a:extLst>
            <a:ext uri="{FF2B5EF4-FFF2-40B4-BE49-F238E27FC236}">
              <a16:creationId xmlns:a16="http://schemas.microsoft.com/office/drawing/2014/main" id="{B16ECAB1-2A39-FE2A-C693-75623C8CA0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82" t="11975" r="27711" b="11599"/>
        <a:stretch/>
      </xdr:blipFill>
      <xdr:spPr bwMode="auto">
        <a:xfrm>
          <a:off x="435429" y="58235057"/>
          <a:ext cx="598714" cy="995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363068</xdr:colOff>
      <xdr:row>39</xdr:row>
      <xdr:rowOff>290078</xdr:rowOff>
    </xdr:from>
    <xdr:to>
      <xdr:col>1</xdr:col>
      <xdr:colOff>35212</xdr:colOff>
      <xdr:row>42</xdr:row>
      <xdr:rowOff>96534</xdr:rowOff>
    </xdr:to>
    <xdr:pic>
      <xdr:nvPicPr>
        <xdr:cNvPr id="164" name="Imagem 163">
          <a:extLst>
            <a:ext uri="{FF2B5EF4-FFF2-40B4-BE49-F238E27FC236}">
              <a16:creationId xmlns:a16="http://schemas.microsoft.com/office/drawing/2014/main" id="{4A55D1A7-4494-45DE-8C89-0773E649F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068" y="28817453"/>
          <a:ext cx="1119309" cy="1129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71437</xdr:colOff>
      <xdr:row>38</xdr:row>
      <xdr:rowOff>305233</xdr:rowOff>
    </xdr:from>
    <xdr:ext cx="276999" cy="1948536"/>
    <xdr:sp macro="" textlink="">
      <xdr:nvSpPr>
        <xdr:cNvPr id="165" name="Retângulo 164">
          <a:extLst>
            <a:ext uri="{FF2B5EF4-FFF2-40B4-BE49-F238E27FC236}">
              <a16:creationId xmlns:a16="http://schemas.microsoft.com/office/drawing/2014/main" id="{84E9D080-7994-4882-8365-94900F63B253}"/>
            </a:ext>
          </a:extLst>
        </xdr:cNvPr>
        <xdr:cNvSpPr/>
      </xdr:nvSpPr>
      <xdr:spPr>
        <a:xfrm rot="16200000">
          <a:off x="-764331" y="29239751"/>
          <a:ext cx="1948536" cy="27699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200" b="1" cap="none" spc="0">
              <a:ln w="0"/>
              <a:solidFill>
                <a:schemeClr val="tx1">
                  <a:lumMod val="65000"/>
                  <a:lumOff val="35000"/>
                </a:schemeClr>
              </a:solidFill>
              <a:effectLst/>
              <a:latin typeface="Shentox" pitchFamily="2" charset="0"/>
              <a:ea typeface="Shentox" pitchFamily="2" charset="0"/>
            </a:rPr>
            <a:t>Pasta de Castanha de Caju</a:t>
          </a:r>
        </a:p>
      </xdr:txBody>
    </xdr:sp>
    <xdr:clientData/>
  </xdr:oneCellAnchor>
  <xdr:twoCellAnchor>
    <xdr:from>
      <xdr:col>0</xdr:col>
      <xdr:colOff>276760</xdr:colOff>
      <xdr:row>150</xdr:row>
      <xdr:rowOff>50799</xdr:rowOff>
    </xdr:from>
    <xdr:to>
      <xdr:col>0</xdr:col>
      <xdr:colOff>1219199</xdr:colOff>
      <xdr:row>153</xdr:row>
      <xdr:rowOff>358774</xdr:rowOff>
    </xdr:to>
    <xdr:grpSp>
      <xdr:nvGrpSpPr>
        <xdr:cNvPr id="96" name="Agrupar 95">
          <a:extLst>
            <a:ext uri="{FF2B5EF4-FFF2-40B4-BE49-F238E27FC236}">
              <a16:creationId xmlns:a16="http://schemas.microsoft.com/office/drawing/2014/main" id="{A750673D-62D4-4905-B98F-ACB8D95A565F}"/>
            </a:ext>
          </a:extLst>
        </xdr:cNvPr>
        <xdr:cNvGrpSpPr/>
      </xdr:nvGrpSpPr>
      <xdr:grpSpPr>
        <a:xfrm>
          <a:off x="278665" y="64023643"/>
          <a:ext cx="940534" cy="1736725"/>
          <a:chOff x="0" y="39297428"/>
          <a:chExt cx="875506" cy="1628804"/>
        </a:xfrm>
      </xdr:grpSpPr>
      <xdr:pic>
        <xdr:nvPicPr>
          <xdr:cNvPr id="97" name="Imagem 96">
            <a:extLst>
              <a:ext uri="{FF2B5EF4-FFF2-40B4-BE49-F238E27FC236}">
                <a16:creationId xmlns:a16="http://schemas.microsoft.com/office/drawing/2014/main" id="{B76DD5A9-04E3-F464-D1EA-B02C4966E5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16200000">
            <a:off x="22412" y="39866527"/>
            <a:ext cx="1248347" cy="457841"/>
          </a:xfrm>
          <a:prstGeom prst="rect">
            <a:avLst/>
          </a:prstGeom>
        </xdr:spPr>
      </xdr:pic>
      <xdr:sp macro="" textlink="">
        <xdr:nvSpPr>
          <xdr:cNvPr id="98" name="Retângulo 97">
            <a:extLst>
              <a:ext uri="{FF2B5EF4-FFF2-40B4-BE49-F238E27FC236}">
                <a16:creationId xmlns:a16="http://schemas.microsoft.com/office/drawing/2014/main" id="{FF2EA90B-3074-EA6A-C789-99D77EC8004B}"/>
              </a:ext>
            </a:extLst>
          </xdr:cNvPr>
          <xdr:cNvSpPr/>
        </xdr:nvSpPr>
        <xdr:spPr>
          <a:xfrm rot="16200000">
            <a:off x="-675902" y="39973330"/>
            <a:ext cx="1628804" cy="276999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Shentox" pitchFamily="2" charset="0"/>
                <a:ea typeface="Shentox" pitchFamily="2" charset="0"/>
              </a:rPr>
              <a:t>Protein Bar</a:t>
            </a:r>
          </a:p>
        </xdr:txBody>
      </xdr:sp>
    </xdr:grpSp>
    <xdr:clientData/>
  </xdr:twoCellAnchor>
  <xdr:twoCellAnchor editAs="oneCell">
    <xdr:from>
      <xdr:col>0</xdr:col>
      <xdr:colOff>381001</xdr:colOff>
      <xdr:row>34</xdr:row>
      <xdr:rowOff>341980</xdr:rowOff>
    </xdr:from>
    <xdr:to>
      <xdr:col>0</xdr:col>
      <xdr:colOff>1273085</xdr:colOff>
      <xdr:row>37</xdr:row>
      <xdr:rowOff>16967</xdr:rowOff>
    </xdr:to>
    <xdr:pic>
      <xdr:nvPicPr>
        <xdr:cNvPr id="154" name="Imagem 153">
          <a:extLst>
            <a:ext uri="{FF2B5EF4-FFF2-40B4-BE49-F238E27FC236}">
              <a16:creationId xmlns:a16="http://schemas.microsoft.com/office/drawing/2014/main" id="{D5DCCBED-18F8-D1EC-37C9-44E2FE6D00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87" t="20485" r="19626" b="18150"/>
        <a:stretch/>
      </xdr:blipFill>
      <xdr:spPr bwMode="auto">
        <a:xfrm>
          <a:off x="381001" y="12357087"/>
          <a:ext cx="884464" cy="9234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34</xdr:row>
      <xdr:rowOff>40822</xdr:rowOff>
    </xdr:from>
    <xdr:ext cx="276999" cy="1628804"/>
    <xdr:sp macro="" textlink="">
      <xdr:nvSpPr>
        <xdr:cNvPr id="160" name="Retângulo 159">
          <a:extLst>
            <a:ext uri="{FF2B5EF4-FFF2-40B4-BE49-F238E27FC236}">
              <a16:creationId xmlns:a16="http://schemas.microsoft.com/office/drawing/2014/main" id="{AC9D6008-ED76-42E5-AC61-C4169A1379C0}"/>
            </a:ext>
          </a:extLst>
        </xdr:cNvPr>
        <xdr:cNvSpPr/>
      </xdr:nvSpPr>
      <xdr:spPr>
        <a:xfrm rot="16200000">
          <a:off x="-675902" y="12731831"/>
          <a:ext cx="1628804" cy="27699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200" b="1" cap="none" spc="0">
              <a:ln w="0"/>
              <a:solidFill>
                <a:schemeClr val="tx1">
                  <a:lumMod val="65000"/>
                  <a:lumOff val="35000"/>
                </a:schemeClr>
              </a:solidFill>
              <a:effectLst/>
              <a:latin typeface="Shentox" pitchFamily="2" charset="0"/>
              <a:ea typeface="Shentox" pitchFamily="2" charset="0"/>
            </a:rPr>
            <a:t>Pasta</a:t>
          </a:r>
          <a:r>
            <a:rPr lang="pt-BR" sz="1200" b="1" cap="none" spc="0" baseline="0">
              <a:ln w="0"/>
              <a:solidFill>
                <a:schemeClr val="tx1">
                  <a:lumMod val="65000"/>
                  <a:lumOff val="35000"/>
                </a:schemeClr>
              </a:solidFill>
              <a:effectLst/>
              <a:latin typeface="Shentox" pitchFamily="2" charset="0"/>
              <a:ea typeface="Shentox" pitchFamily="2" charset="0"/>
            </a:rPr>
            <a:t> de Nuts</a:t>
          </a:r>
          <a:endParaRPr lang="pt-BR" sz="1200" b="1" cap="none" spc="0">
            <a:ln w="0"/>
            <a:solidFill>
              <a:schemeClr val="tx1">
                <a:lumMod val="65000"/>
                <a:lumOff val="35000"/>
              </a:schemeClr>
            </a:solidFill>
            <a:effectLst/>
            <a:latin typeface="Shentox" pitchFamily="2" charset="0"/>
            <a:ea typeface="Shentox" pitchFamily="2" charset="0"/>
          </a:endParaRPr>
        </a:p>
      </xdr:txBody>
    </xdr:sp>
    <xdr:clientData/>
  </xdr:oneCellAnchor>
  <xdr:oneCellAnchor>
    <xdr:from>
      <xdr:col>0</xdr:col>
      <xdr:colOff>0</xdr:colOff>
      <xdr:row>94</xdr:row>
      <xdr:rowOff>734785</xdr:rowOff>
    </xdr:from>
    <xdr:ext cx="276999" cy="1192017"/>
    <xdr:sp macro="" textlink="">
      <xdr:nvSpPr>
        <xdr:cNvPr id="167" name="Retângulo 166">
          <a:extLst>
            <a:ext uri="{FF2B5EF4-FFF2-40B4-BE49-F238E27FC236}">
              <a16:creationId xmlns:a16="http://schemas.microsoft.com/office/drawing/2014/main" id="{C1D0D6F5-D5D9-48C6-8AD2-011C6B188928}"/>
            </a:ext>
          </a:extLst>
        </xdr:cNvPr>
        <xdr:cNvSpPr/>
      </xdr:nvSpPr>
      <xdr:spPr>
        <a:xfrm rot="16200000">
          <a:off x="-457509" y="54396223"/>
          <a:ext cx="1192017" cy="27699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200" b="1" cap="none" spc="0">
              <a:ln w="0"/>
              <a:solidFill>
                <a:schemeClr val="tx1">
                  <a:lumMod val="65000"/>
                  <a:lumOff val="35000"/>
                </a:schemeClr>
              </a:solidFill>
              <a:effectLst/>
              <a:latin typeface="Shentox" pitchFamily="2" charset="0"/>
              <a:ea typeface="Shentox" pitchFamily="2" charset="0"/>
            </a:rPr>
            <a:t>Carboidrato</a:t>
          </a:r>
        </a:p>
      </xdr:txBody>
    </xdr:sp>
    <xdr:clientData/>
  </xdr:oneCellAnchor>
  <xdr:twoCellAnchor editAs="oneCell">
    <xdr:from>
      <xdr:col>0</xdr:col>
      <xdr:colOff>489858</xdr:colOff>
      <xdr:row>100</xdr:row>
      <xdr:rowOff>244927</xdr:rowOff>
    </xdr:from>
    <xdr:to>
      <xdr:col>0</xdr:col>
      <xdr:colOff>911044</xdr:colOff>
      <xdr:row>101</xdr:row>
      <xdr:rowOff>362588</xdr:rowOff>
    </xdr:to>
    <xdr:pic>
      <xdr:nvPicPr>
        <xdr:cNvPr id="172" name="Imagem 171">
          <a:extLst>
            <a:ext uri="{FF2B5EF4-FFF2-40B4-BE49-F238E27FC236}">
              <a16:creationId xmlns:a16="http://schemas.microsoft.com/office/drawing/2014/main" id="{F4196517-DC01-C108-7788-BC1605FF1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89858" y="42671998"/>
          <a:ext cx="421821" cy="743209"/>
        </a:xfrm>
        <a:prstGeom prst="rect">
          <a:avLst/>
        </a:prstGeom>
      </xdr:spPr>
    </xdr:pic>
    <xdr:clientData/>
  </xdr:twoCellAnchor>
  <xdr:twoCellAnchor editAs="oneCell">
    <xdr:from>
      <xdr:col>0</xdr:col>
      <xdr:colOff>503464</xdr:colOff>
      <xdr:row>98</xdr:row>
      <xdr:rowOff>353786</xdr:rowOff>
    </xdr:from>
    <xdr:to>
      <xdr:col>0</xdr:col>
      <xdr:colOff>911383</xdr:colOff>
      <xdr:row>99</xdr:row>
      <xdr:rowOff>512075</xdr:rowOff>
    </xdr:to>
    <xdr:pic>
      <xdr:nvPicPr>
        <xdr:cNvPr id="222" name="Imagem 221">
          <a:extLst>
            <a:ext uri="{FF2B5EF4-FFF2-40B4-BE49-F238E27FC236}">
              <a16:creationId xmlns:a16="http://schemas.microsoft.com/office/drawing/2014/main" id="{E51BE505-6F04-E26C-09B7-819A51164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03464" y="41556215"/>
          <a:ext cx="408554" cy="780165"/>
        </a:xfrm>
        <a:prstGeom prst="rect">
          <a:avLst/>
        </a:prstGeom>
      </xdr:spPr>
    </xdr:pic>
    <xdr:clientData/>
  </xdr:twoCellAnchor>
  <xdr:twoCellAnchor editAs="oneCell">
    <xdr:from>
      <xdr:col>0</xdr:col>
      <xdr:colOff>435427</xdr:colOff>
      <xdr:row>97</xdr:row>
      <xdr:rowOff>138244</xdr:rowOff>
    </xdr:from>
    <xdr:to>
      <xdr:col>0</xdr:col>
      <xdr:colOff>860424</xdr:colOff>
      <xdr:row>98</xdr:row>
      <xdr:rowOff>322315</xdr:rowOff>
    </xdr:to>
    <xdr:pic>
      <xdr:nvPicPr>
        <xdr:cNvPr id="223" name="Imagem 222">
          <a:extLst>
            <a:ext uri="{FF2B5EF4-FFF2-40B4-BE49-F238E27FC236}">
              <a16:creationId xmlns:a16="http://schemas.microsoft.com/office/drawing/2014/main" id="{8F2CD14E-98B5-AAF8-F53D-AAE4AD935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35427" y="40401780"/>
          <a:ext cx="421822" cy="826962"/>
        </a:xfrm>
        <a:prstGeom prst="rect">
          <a:avLst/>
        </a:prstGeom>
      </xdr:spPr>
    </xdr:pic>
    <xdr:clientData/>
  </xdr:twoCellAnchor>
  <xdr:twoCellAnchor editAs="oneCell">
    <xdr:from>
      <xdr:col>4</xdr:col>
      <xdr:colOff>174171</xdr:colOff>
      <xdr:row>1</xdr:row>
      <xdr:rowOff>43543</xdr:rowOff>
    </xdr:from>
    <xdr:to>
      <xdr:col>9</xdr:col>
      <xdr:colOff>630350</xdr:colOff>
      <xdr:row>2</xdr:row>
      <xdr:rowOff>111217</xdr:rowOff>
    </xdr:to>
    <xdr:pic>
      <xdr:nvPicPr>
        <xdr:cNvPr id="124" name="Google Shape;112;p3" descr="Image">
          <a:extLst>
            <a:ext uri="{FF2B5EF4-FFF2-40B4-BE49-F238E27FC236}">
              <a16:creationId xmlns:a16="http://schemas.microsoft.com/office/drawing/2014/main" id="{2C5E34A2-CF35-B8AB-217A-21FE718C347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7">
          <a:alphaModFix/>
        </a:blip>
        <a:srcRect/>
        <a:stretch/>
      </xdr:blipFill>
      <xdr:spPr>
        <a:xfrm>
          <a:off x="10417628" y="228600"/>
          <a:ext cx="2960914" cy="26125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154782</xdr:colOff>
      <xdr:row>23</xdr:row>
      <xdr:rowOff>95250</xdr:rowOff>
    </xdr:from>
    <xdr:to>
      <xdr:col>0</xdr:col>
      <xdr:colOff>670352</xdr:colOff>
      <xdr:row>24</xdr:row>
      <xdr:rowOff>324950</xdr:rowOff>
    </xdr:to>
    <xdr:pic>
      <xdr:nvPicPr>
        <xdr:cNvPr id="128" name="Imagem 127">
          <a:extLst>
            <a:ext uri="{FF2B5EF4-FFF2-40B4-BE49-F238E27FC236}">
              <a16:creationId xmlns:a16="http://schemas.microsoft.com/office/drawing/2014/main" id="{14BADE76-05B4-3433-1FBD-06F045AE6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54782" y="10691813"/>
          <a:ext cx="518110" cy="582372"/>
        </a:xfrm>
        <a:prstGeom prst="rect">
          <a:avLst/>
        </a:prstGeom>
      </xdr:spPr>
    </xdr:pic>
    <xdr:clientData/>
  </xdr:twoCellAnchor>
  <xdr:twoCellAnchor editAs="oneCell">
    <xdr:from>
      <xdr:col>0</xdr:col>
      <xdr:colOff>678658</xdr:colOff>
      <xdr:row>23</xdr:row>
      <xdr:rowOff>83404</xdr:rowOff>
    </xdr:from>
    <xdr:to>
      <xdr:col>0</xdr:col>
      <xdr:colOff>1241434</xdr:colOff>
      <xdr:row>24</xdr:row>
      <xdr:rowOff>250406</xdr:rowOff>
    </xdr:to>
    <xdr:pic>
      <xdr:nvPicPr>
        <xdr:cNvPr id="135" name="Imagem 134">
          <a:extLst>
            <a:ext uri="{FF2B5EF4-FFF2-40B4-BE49-F238E27FC236}">
              <a16:creationId xmlns:a16="http://schemas.microsoft.com/office/drawing/2014/main" id="{DF0FC733-E54A-AD45-06F1-B1DAD7F83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678658" y="10679967"/>
          <a:ext cx="566586" cy="5952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304800</xdr:colOff>
      <xdr:row>212</xdr:row>
      <xdr:rowOff>284365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67E022AC-1B36-B6B4-B6B3-17995204AE71}"/>
            </a:ext>
          </a:extLst>
        </xdr:cNvPr>
        <xdr:cNvSpPr>
          <a:spLocks noChangeAspect="1" noChangeArrowheads="1"/>
        </xdr:cNvSpPr>
      </xdr:nvSpPr>
      <xdr:spPr bwMode="auto">
        <a:xfrm>
          <a:off x="0" y="9526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304800</xdr:colOff>
      <xdr:row>212</xdr:row>
      <xdr:rowOff>284365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A6DBAC98-D8AF-A0F9-29E7-70097314DACC}"/>
            </a:ext>
          </a:extLst>
        </xdr:cNvPr>
        <xdr:cNvSpPr>
          <a:spLocks noChangeAspect="1" noChangeArrowheads="1"/>
        </xdr:cNvSpPr>
      </xdr:nvSpPr>
      <xdr:spPr bwMode="auto">
        <a:xfrm>
          <a:off x="0" y="9526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454743</xdr:colOff>
      <xdr:row>101</xdr:row>
      <xdr:rowOff>565355</xdr:rowOff>
    </xdr:from>
    <xdr:to>
      <xdr:col>0</xdr:col>
      <xdr:colOff>930178</xdr:colOff>
      <xdr:row>103</xdr:row>
      <xdr:rowOff>16370</xdr:rowOff>
    </xdr:to>
    <xdr:pic>
      <xdr:nvPicPr>
        <xdr:cNvPr id="145" name="Imagem 144">
          <a:extLst>
            <a:ext uri="{FF2B5EF4-FFF2-40B4-BE49-F238E27FC236}">
              <a16:creationId xmlns:a16="http://schemas.microsoft.com/office/drawing/2014/main" id="{3E8C8B6A-0BFF-2E91-EA15-466F9D639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54743" y="60259452"/>
          <a:ext cx="467180" cy="786292"/>
        </a:xfrm>
        <a:prstGeom prst="rect">
          <a:avLst/>
        </a:prstGeom>
      </xdr:spPr>
    </xdr:pic>
    <xdr:clientData/>
  </xdr:twoCellAnchor>
  <xdr:twoCellAnchor editAs="oneCell">
    <xdr:from>
      <xdr:col>0</xdr:col>
      <xdr:colOff>430160</xdr:colOff>
      <xdr:row>103</xdr:row>
      <xdr:rowOff>262387</xdr:rowOff>
    </xdr:from>
    <xdr:to>
      <xdr:col>0</xdr:col>
      <xdr:colOff>993610</xdr:colOff>
      <xdr:row>104</xdr:row>
      <xdr:rowOff>92927</xdr:rowOff>
    </xdr:to>
    <xdr:pic>
      <xdr:nvPicPr>
        <xdr:cNvPr id="146" name="Imagem 145">
          <a:extLst>
            <a:ext uri="{FF2B5EF4-FFF2-40B4-BE49-F238E27FC236}">
              <a16:creationId xmlns:a16="http://schemas.microsoft.com/office/drawing/2014/main" id="{EB04117D-598D-5FE1-0A7C-7006F52F4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30160" y="61259258"/>
          <a:ext cx="565355" cy="947191"/>
        </a:xfrm>
        <a:prstGeom prst="rect">
          <a:avLst/>
        </a:prstGeom>
      </xdr:spPr>
    </xdr:pic>
    <xdr:clientData/>
  </xdr:twoCellAnchor>
  <xdr:twoCellAnchor editAs="oneCell">
    <xdr:from>
      <xdr:col>0</xdr:col>
      <xdr:colOff>486104</xdr:colOff>
      <xdr:row>105</xdr:row>
      <xdr:rowOff>107431</xdr:rowOff>
    </xdr:from>
    <xdr:to>
      <xdr:col>0</xdr:col>
      <xdr:colOff>968594</xdr:colOff>
      <xdr:row>105</xdr:row>
      <xdr:rowOff>1122853</xdr:rowOff>
    </xdr:to>
    <xdr:pic>
      <xdr:nvPicPr>
        <xdr:cNvPr id="162" name="Imagem 161">
          <a:extLst>
            <a:ext uri="{FF2B5EF4-FFF2-40B4-BE49-F238E27FC236}">
              <a16:creationId xmlns:a16="http://schemas.microsoft.com/office/drawing/2014/main" id="{B2A12322-1AE5-0300-50B4-F7ED34DBA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86104" y="61790017"/>
          <a:ext cx="472965" cy="1048828"/>
        </a:xfrm>
        <a:prstGeom prst="rect">
          <a:avLst/>
        </a:prstGeom>
      </xdr:spPr>
    </xdr:pic>
    <xdr:clientData/>
  </xdr:twoCellAnchor>
  <xdr:twoCellAnchor editAs="oneCell">
    <xdr:from>
      <xdr:col>0</xdr:col>
      <xdr:colOff>525519</xdr:colOff>
      <xdr:row>106</xdr:row>
      <xdr:rowOff>105103</xdr:rowOff>
    </xdr:from>
    <xdr:to>
      <xdr:col>0</xdr:col>
      <xdr:colOff>929811</xdr:colOff>
      <xdr:row>108</xdr:row>
      <xdr:rowOff>169977</xdr:rowOff>
    </xdr:to>
    <xdr:pic>
      <xdr:nvPicPr>
        <xdr:cNvPr id="163" name="Imagem 162">
          <a:extLst>
            <a:ext uri="{FF2B5EF4-FFF2-40B4-BE49-F238E27FC236}">
              <a16:creationId xmlns:a16="http://schemas.microsoft.com/office/drawing/2014/main" id="{87E0431C-B99F-C86C-AD5E-B5F144697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25519" y="62904413"/>
          <a:ext cx="394767" cy="1058776"/>
        </a:xfrm>
        <a:prstGeom prst="rect">
          <a:avLst/>
        </a:prstGeom>
      </xdr:spPr>
    </xdr:pic>
    <xdr:clientData/>
  </xdr:twoCellAnchor>
  <xdr:twoCellAnchor>
    <xdr:from>
      <xdr:col>2</xdr:col>
      <xdr:colOff>933541</xdr:colOff>
      <xdr:row>6</xdr:row>
      <xdr:rowOff>209460</xdr:rowOff>
    </xdr:from>
    <xdr:to>
      <xdr:col>4</xdr:col>
      <xdr:colOff>744604</xdr:colOff>
      <xdr:row>12</xdr:row>
      <xdr:rowOff>62865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AA63EFD5-9E47-4CFF-B310-4BC1558186E7}"/>
            </a:ext>
          </a:extLst>
        </xdr:cNvPr>
        <xdr:cNvGrpSpPr/>
      </xdr:nvGrpSpPr>
      <xdr:grpSpPr>
        <a:xfrm>
          <a:off x="3397572" y="1263185"/>
          <a:ext cx="4259671" cy="1090529"/>
          <a:chOff x="7094925" y="2171540"/>
          <a:chExt cx="3600290" cy="940493"/>
        </a:xfrm>
      </xdr:grpSpPr>
      <xdr:sp macro="" textlink="">
        <xdr:nvSpPr>
          <xdr:cNvPr id="46" name="Retângulo 45">
            <a:extLst>
              <a:ext uri="{FF2B5EF4-FFF2-40B4-BE49-F238E27FC236}">
                <a16:creationId xmlns:a16="http://schemas.microsoft.com/office/drawing/2014/main" id="{A3876C53-8F6F-A24C-67CD-68280C87C103}"/>
              </a:ext>
            </a:extLst>
          </xdr:cNvPr>
          <xdr:cNvSpPr/>
        </xdr:nvSpPr>
        <xdr:spPr>
          <a:xfrm>
            <a:off x="7094925" y="2171540"/>
            <a:ext cx="3600290" cy="940493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4" name="CaixaDeTexto 53">
            <a:extLst>
              <a:ext uri="{FF2B5EF4-FFF2-40B4-BE49-F238E27FC236}">
                <a16:creationId xmlns:a16="http://schemas.microsoft.com/office/drawing/2014/main" id="{87758CD2-A2E4-126A-B3FF-9508FCD68D94}"/>
              </a:ext>
            </a:extLst>
          </xdr:cNvPr>
          <xdr:cNvSpPr txBox="1"/>
        </xdr:nvSpPr>
        <xdr:spPr>
          <a:xfrm>
            <a:off x="7473523" y="2260386"/>
            <a:ext cx="2172341" cy="433828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 b="1">
                <a:latin typeface="Shentox" pitchFamily="2" charset="0"/>
                <a:ea typeface="Shentox" pitchFamily="2" charset="0"/>
              </a:rPr>
              <a:t>ESPORTE</a:t>
            </a:r>
            <a:r>
              <a:rPr lang="pt-BR" sz="1100" b="1" baseline="0">
                <a:latin typeface="Shentox" pitchFamily="2" charset="0"/>
                <a:ea typeface="Shentox" pitchFamily="2" charset="0"/>
              </a:rPr>
              <a:t> E FITNESS</a:t>
            </a:r>
            <a:endParaRPr lang="pt-BR" sz="1100" b="1">
              <a:latin typeface="Shentox" pitchFamily="2" charset="0"/>
              <a:ea typeface="Shentox" pitchFamily="2" charset="0"/>
            </a:endParaRPr>
          </a:p>
        </xdr:txBody>
      </xdr:sp>
      <xdr:sp macro="" textlink="">
        <xdr:nvSpPr>
          <xdr:cNvPr id="58" name="CaixaDeTexto 57">
            <a:extLst>
              <a:ext uri="{FF2B5EF4-FFF2-40B4-BE49-F238E27FC236}">
                <a16:creationId xmlns:a16="http://schemas.microsoft.com/office/drawing/2014/main" id="{4E493A51-28C8-261A-890B-FF7FC26964C4}"/>
              </a:ext>
            </a:extLst>
          </xdr:cNvPr>
          <xdr:cNvSpPr txBox="1"/>
        </xdr:nvSpPr>
        <xdr:spPr>
          <a:xfrm>
            <a:off x="7493853" y="2510436"/>
            <a:ext cx="2172341" cy="265739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 b="1">
                <a:latin typeface="Shentox" pitchFamily="2" charset="0"/>
                <a:ea typeface="Shentox" pitchFamily="2" charset="0"/>
              </a:rPr>
              <a:t>ALTA PERFORMANCE</a:t>
            </a:r>
          </a:p>
        </xdr:txBody>
      </xdr:sp>
      <xdr:sp macro="" textlink="">
        <xdr:nvSpPr>
          <xdr:cNvPr id="66" name="CaixaDeTexto 65">
            <a:extLst>
              <a:ext uri="{FF2B5EF4-FFF2-40B4-BE49-F238E27FC236}">
                <a16:creationId xmlns:a16="http://schemas.microsoft.com/office/drawing/2014/main" id="{0E32EDD3-6CF2-722C-3890-5D5F883EECA4}"/>
              </a:ext>
            </a:extLst>
          </xdr:cNvPr>
          <xdr:cNvSpPr txBox="1"/>
        </xdr:nvSpPr>
        <xdr:spPr>
          <a:xfrm>
            <a:off x="9238291" y="2247580"/>
            <a:ext cx="1145559" cy="290392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 b="1">
                <a:latin typeface="Shentox" pitchFamily="2" charset="0"/>
                <a:ea typeface="Shentox" pitchFamily="2" charset="0"/>
              </a:rPr>
              <a:t>PELE E BELEZA</a:t>
            </a:r>
          </a:p>
        </xdr:txBody>
      </xdr:sp>
      <xdr:sp macro="" textlink="">
        <xdr:nvSpPr>
          <xdr:cNvPr id="74" name="CaixaDeTexto 73">
            <a:extLst>
              <a:ext uri="{FF2B5EF4-FFF2-40B4-BE49-F238E27FC236}">
                <a16:creationId xmlns:a16="http://schemas.microsoft.com/office/drawing/2014/main" id="{5F554850-E441-B924-8E1D-82A41FD9087C}"/>
              </a:ext>
            </a:extLst>
          </xdr:cNvPr>
          <xdr:cNvSpPr txBox="1"/>
        </xdr:nvSpPr>
        <xdr:spPr>
          <a:xfrm>
            <a:off x="7481345" y="2788824"/>
            <a:ext cx="1682547" cy="205730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 b="1">
                <a:latin typeface="Shentox" pitchFamily="2" charset="0"/>
                <a:ea typeface="Shentox" pitchFamily="2" charset="0"/>
              </a:rPr>
              <a:t>CORPO E MENTE</a:t>
            </a:r>
          </a:p>
        </xdr:txBody>
      </xdr:sp>
      <xdr:sp macro="" textlink="">
        <xdr:nvSpPr>
          <xdr:cNvPr id="77" name="Retângulo 76">
            <a:extLst>
              <a:ext uri="{FF2B5EF4-FFF2-40B4-BE49-F238E27FC236}">
                <a16:creationId xmlns:a16="http://schemas.microsoft.com/office/drawing/2014/main" id="{C0E5D958-2E48-8686-3FA8-FA1A8CECB9E7}"/>
              </a:ext>
            </a:extLst>
          </xdr:cNvPr>
          <xdr:cNvSpPr/>
        </xdr:nvSpPr>
        <xdr:spPr>
          <a:xfrm>
            <a:off x="7170964" y="2271593"/>
            <a:ext cx="257735" cy="268941"/>
          </a:xfrm>
          <a:prstGeom prst="rect">
            <a:avLst/>
          </a:prstGeom>
          <a:solidFill>
            <a:srgbClr val="FFC7C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9" name="Retângulo 78">
            <a:extLst>
              <a:ext uri="{FF2B5EF4-FFF2-40B4-BE49-F238E27FC236}">
                <a16:creationId xmlns:a16="http://schemas.microsoft.com/office/drawing/2014/main" id="{E17EFB11-75E3-FF87-5F5C-6E72F95F8566}"/>
              </a:ext>
            </a:extLst>
          </xdr:cNvPr>
          <xdr:cNvSpPr/>
        </xdr:nvSpPr>
        <xdr:spPr>
          <a:xfrm>
            <a:off x="7175991" y="2774792"/>
            <a:ext cx="253891" cy="268941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0" name="Retângulo 79">
            <a:extLst>
              <a:ext uri="{FF2B5EF4-FFF2-40B4-BE49-F238E27FC236}">
                <a16:creationId xmlns:a16="http://schemas.microsoft.com/office/drawing/2014/main" id="{5E7AE02E-B6CB-3452-EB31-BB963C2ADC4F}"/>
              </a:ext>
            </a:extLst>
          </xdr:cNvPr>
          <xdr:cNvSpPr/>
        </xdr:nvSpPr>
        <xdr:spPr>
          <a:xfrm>
            <a:off x="8992082" y="2272393"/>
            <a:ext cx="264138" cy="238685"/>
          </a:xfrm>
          <a:prstGeom prst="rect">
            <a:avLst/>
          </a:prstGeom>
          <a:solidFill>
            <a:srgbClr val="FFEBAB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4" name="CaixaDeTexto 83">
            <a:extLst>
              <a:ext uri="{FF2B5EF4-FFF2-40B4-BE49-F238E27FC236}">
                <a16:creationId xmlns:a16="http://schemas.microsoft.com/office/drawing/2014/main" id="{07317523-E082-D19F-ADB1-93E6864867F3}"/>
              </a:ext>
            </a:extLst>
          </xdr:cNvPr>
          <xdr:cNvSpPr txBox="1"/>
        </xdr:nvSpPr>
        <xdr:spPr>
          <a:xfrm>
            <a:off x="9240692" y="2478900"/>
            <a:ext cx="1454522" cy="283349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 b="1">
                <a:latin typeface="Shentox" pitchFamily="2" charset="0"/>
                <a:ea typeface="Shentox" pitchFamily="2" charset="0"/>
              </a:rPr>
              <a:t>SNACKS</a:t>
            </a:r>
            <a:r>
              <a:rPr lang="pt-BR" sz="1100" b="1" baseline="0">
                <a:latin typeface="Shentox" pitchFamily="2" charset="0"/>
                <a:ea typeface="Shentox" pitchFamily="2" charset="0"/>
              </a:rPr>
              <a:t> PROTEICOS</a:t>
            </a:r>
            <a:endParaRPr lang="pt-BR" sz="1100" b="1">
              <a:latin typeface="Shentox" pitchFamily="2" charset="0"/>
              <a:ea typeface="Shentox" pitchFamily="2" charset="0"/>
            </a:endParaRPr>
          </a:p>
        </xdr:txBody>
      </xdr:sp>
      <xdr:sp macro="" textlink="">
        <xdr:nvSpPr>
          <xdr:cNvPr id="85" name="Retângulo 84">
            <a:extLst>
              <a:ext uri="{FF2B5EF4-FFF2-40B4-BE49-F238E27FC236}">
                <a16:creationId xmlns:a16="http://schemas.microsoft.com/office/drawing/2014/main" id="{D5609EC0-B977-FE22-FAB2-C4F3007558CF}"/>
              </a:ext>
            </a:extLst>
          </xdr:cNvPr>
          <xdr:cNvSpPr/>
        </xdr:nvSpPr>
        <xdr:spPr>
          <a:xfrm>
            <a:off x="8994483" y="2510278"/>
            <a:ext cx="264138" cy="232121"/>
          </a:xfrm>
          <a:prstGeom prst="rect">
            <a:avLst/>
          </a:prstGeom>
          <a:solidFill>
            <a:srgbClr val="B7E7E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5" name="Retângulo 94">
            <a:extLst>
              <a:ext uri="{FF2B5EF4-FFF2-40B4-BE49-F238E27FC236}">
                <a16:creationId xmlns:a16="http://schemas.microsoft.com/office/drawing/2014/main" id="{572FE226-0734-C1D2-2FA3-3DE5533AE170}"/>
              </a:ext>
            </a:extLst>
          </xdr:cNvPr>
          <xdr:cNvSpPr/>
        </xdr:nvSpPr>
        <xdr:spPr>
          <a:xfrm>
            <a:off x="7172020" y="2539449"/>
            <a:ext cx="257735" cy="232121"/>
          </a:xfrm>
          <a:prstGeom prst="rect">
            <a:avLst/>
          </a:prstGeom>
          <a:solidFill>
            <a:srgbClr val="FFFF99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 editAs="oneCell">
    <xdr:from>
      <xdr:col>0</xdr:col>
      <xdr:colOff>435726</xdr:colOff>
      <xdr:row>107</xdr:row>
      <xdr:rowOff>178261</xdr:rowOff>
    </xdr:from>
    <xdr:to>
      <xdr:col>0</xdr:col>
      <xdr:colOff>974586</xdr:colOff>
      <xdr:row>109</xdr:row>
      <xdr:rowOff>132927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A2AB2AB-6CBA-47B4-9A00-FD2580C94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35726" y="62769056"/>
          <a:ext cx="542670" cy="963431"/>
        </a:xfrm>
        <a:prstGeom prst="rect">
          <a:avLst/>
        </a:prstGeom>
      </xdr:spPr>
    </xdr:pic>
    <xdr:clientData/>
  </xdr:twoCellAnchor>
  <xdr:twoCellAnchor editAs="oneCell">
    <xdr:from>
      <xdr:col>0</xdr:col>
      <xdr:colOff>404092</xdr:colOff>
      <xdr:row>108</xdr:row>
      <xdr:rowOff>50915</xdr:rowOff>
    </xdr:from>
    <xdr:to>
      <xdr:col>0</xdr:col>
      <xdr:colOff>1026230</xdr:colOff>
      <xdr:row>110</xdr:row>
      <xdr:rowOff>35985</xdr:rowOff>
    </xdr:to>
    <xdr:pic>
      <xdr:nvPicPr>
        <xdr:cNvPr id="131" name="Imagem 130">
          <a:extLst>
            <a:ext uri="{FF2B5EF4-FFF2-40B4-BE49-F238E27FC236}">
              <a16:creationId xmlns:a16="http://schemas.microsoft.com/office/drawing/2014/main" id="{C876D596-F9CB-D798-564B-963C037E3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04092" y="63825120"/>
          <a:ext cx="625313" cy="942974"/>
        </a:xfrm>
        <a:prstGeom prst="rect">
          <a:avLst/>
        </a:prstGeom>
      </xdr:spPr>
    </xdr:pic>
    <xdr:clientData/>
  </xdr:twoCellAnchor>
  <xdr:twoCellAnchor>
    <xdr:from>
      <xdr:col>0</xdr:col>
      <xdr:colOff>390018</xdr:colOff>
      <xdr:row>144</xdr:row>
      <xdr:rowOff>228482</xdr:rowOff>
    </xdr:from>
    <xdr:to>
      <xdr:col>0</xdr:col>
      <xdr:colOff>673367</xdr:colOff>
      <xdr:row>148</xdr:row>
      <xdr:rowOff>175757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B67D926F-F05E-F307-3D3B-1DFC0B401C1E}"/>
            </a:ext>
          </a:extLst>
        </xdr:cNvPr>
        <xdr:cNvSpPr/>
      </xdr:nvSpPr>
      <xdr:spPr>
        <a:xfrm rot="16200000">
          <a:off x="-250917" y="82158116"/>
          <a:ext cx="1565220" cy="28334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1200" b="1" cap="none" spc="0">
              <a:ln w="0"/>
              <a:solidFill>
                <a:schemeClr val="tx1">
                  <a:lumMod val="65000"/>
                  <a:lumOff val="35000"/>
                </a:schemeClr>
              </a:solidFill>
              <a:effectLst/>
              <a:latin typeface="Shentox" pitchFamily="2" charset="0"/>
              <a:ea typeface="Shentox" pitchFamily="2" charset="0"/>
            </a:rPr>
            <a:t>Mini </a:t>
          </a:r>
          <a:br>
            <a:rPr lang="pt-BR" sz="1200" b="1" cap="none" spc="0">
              <a:ln w="0"/>
              <a:solidFill>
                <a:schemeClr val="tx1">
                  <a:lumMod val="65000"/>
                  <a:lumOff val="35000"/>
                </a:schemeClr>
              </a:solidFill>
              <a:effectLst/>
              <a:latin typeface="Shentox" pitchFamily="2" charset="0"/>
              <a:ea typeface="Shentox" pitchFamily="2" charset="0"/>
            </a:rPr>
          </a:br>
          <a:r>
            <a:rPr lang="pt-BR" sz="1200" b="1" cap="none" spc="0">
              <a:ln w="0"/>
              <a:solidFill>
                <a:schemeClr val="tx1">
                  <a:lumMod val="65000"/>
                  <a:lumOff val="35000"/>
                </a:schemeClr>
              </a:solidFill>
              <a:effectLst/>
              <a:latin typeface="Shentox" pitchFamily="2" charset="0"/>
              <a:ea typeface="Shentox" pitchFamily="2" charset="0"/>
            </a:rPr>
            <a:t>Protein Bar</a:t>
          </a:r>
        </a:p>
      </xdr:txBody>
    </xdr:sp>
    <xdr:clientData/>
  </xdr:twoCellAnchor>
  <xdr:oneCellAnchor>
    <xdr:from>
      <xdr:col>0</xdr:col>
      <xdr:colOff>3</xdr:colOff>
      <xdr:row>45</xdr:row>
      <xdr:rowOff>410601</xdr:rowOff>
    </xdr:from>
    <xdr:ext cx="276999" cy="1628804"/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BC3892F3-251B-4F57-9F1E-93278C281C3E}"/>
            </a:ext>
          </a:extLst>
        </xdr:cNvPr>
        <xdr:cNvSpPr/>
      </xdr:nvSpPr>
      <xdr:spPr>
        <a:xfrm rot="16200000">
          <a:off x="-675899" y="33637350"/>
          <a:ext cx="1628804" cy="27699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200" b="1" cap="none" spc="0">
              <a:ln w="0"/>
              <a:solidFill>
                <a:schemeClr val="tx1">
                  <a:lumMod val="65000"/>
                  <a:lumOff val="35000"/>
                </a:schemeClr>
              </a:solidFill>
              <a:effectLst/>
              <a:latin typeface="Shentox" pitchFamily="2" charset="0"/>
              <a:ea typeface="Shentox" pitchFamily="2" charset="0"/>
            </a:rPr>
            <a:t>Acessórios</a:t>
          </a:r>
        </a:p>
      </xdr:txBody>
    </xdr:sp>
    <xdr:clientData/>
  </xdr:oneCellAnchor>
  <xdr:twoCellAnchor editAs="oneCell">
    <xdr:from>
      <xdr:col>0</xdr:col>
      <xdr:colOff>512521</xdr:colOff>
      <xdr:row>46</xdr:row>
      <xdr:rowOff>147919</xdr:rowOff>
    </xdr:from>
    <xdr:to>
      <xdr:col>0</xdr:col>
      <xdr:colOff>930529</xdr:colOff>
      <xdr:row>47</xdr:row>
      <xdr:rowOff>151731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8470CD9B-9FF9-41B4-BAA5-10F88334E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12521" y="35606319"/>
          <a:ext cx="410388" cy="790862"/>
        </a:xfrm>
        <a:prstGeom prst="rect">
          <a:avLst/>
        </a:prstGeom>
      </xdr:spPr>
    </xdr:pic>
    <xdr:clientData/>
  </xdr:twoCellAnchor>
  <xdr:twoCellAnchor editAs="oneCell">
    <xdr:from>
      <xdr:col>0</xdr:col>
      <xdr:colOff>519951</xdr:colOff>
      <xdr:row>117</xdr:row>
      <xdr:rowOff>0</xdr:rowOff>
    </xdr:from>
    <xdr:to>
      <xdr:col>0</xdr:col>
      <xdr:colOff>873325</xdr:colOff>
      <xdr:row>118</xdr:row>
      <xdr:rowOff>96290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681BE73A-BC7D-4BE7-B30F-DDCD1D768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19951" y="73098212"/>
          <a:ext cx="343849" cy="666356"/>
        </a:xfrm>
        <a:prstGeom prst="rect">
          <a:avLst/>
        </a:prstGeom>
      </xdr:spPr>
    </xdr:pic>
    <xdr:clientData/>
  </xdr:twoCellAnchor>
  <xdr:twoCellAnchor editAs="oneCell">
    <xdr:from>
      <xdr:col>0</xdr:col>
      <xdr:colOff>510989</xdr:colOff>
      <xdr:row>118</xdr:row>
      <xdr:rowOff>179292</xdr:rowOff>
    </xdr:from>
    <xdr:to>
      <xdr:col>0</xdr:col>
      <xdr:colOff>860786</xdr:colOff>
      <xdr:row>119</xdr:row>
      <xdr:rowOff>269372</xdr:rowOff>
    </xdr:to>
    <xdr:pic>
      <xdr:nvPicPr>
        <xdr:cNvPr id="110" name="Imagem 109">
          <a:extLst>
            <a:ext uri="{FF2B5EF4-FFF2-40B4-BE49-F238E27FC236}">
              <a16:creationId xmlns:a16="http://schemas.microsoft.com/office/drawing/2014/main" id="{65A8612D-F3FD-4029-8F5F-FB185A756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10989" y="73905033"/>
          <a:ext cx="361227" cy="693236"/>
        </a:xfrm>
        <a:prstGeom prst="rect">
          <a:avLst/>
        </a:prstGeom>
      </xdr:spPr>
    </xdr:pic>
    <xdr:clientData/>
  </xdr:twoCellAnchor>
  <xdr:twoCellAnchor>
    <xdr:from>
      <xdr:col>2</xdr:col>
      <xdr:colOff>1479156</xdr:colOff>
      <xdr:row>156</xdr:row>
      <xdr:rowOff>165366</xdr:rowOff>
    </xdr:from>
    <xdr:to>
      <xdr:col>3</xdr:col>
      <xdr:colOff>912905</xdr:colOff>
      <xdr:row>157</xdr:row>
      <xdr:rowOff>3685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01E1DD06-7DEF-45C3-B611-8AC9F03471C7}"/>
            </a:ext>
          </a:extLst>
        </xdr:cNvPr>
        <xdr:cNvGrpSpPr/>
      </xdr:nvGrpSpPr>
      <xdr:grpSpPr>
        <a:xfrm rot="20997439">
          <a:off x="3945092" y="67277131"/>
          <a:ext cx="2000910" cy="289111"/>
          <a:chOff x="2925603" y="16993644"/>
          <a:chExt cx="2058753" cy="476250"/>
        </a:xfrm>
      </xdr:grpSpPr>
      <xdr:sp macro="" textlink="">
        <xdr:nvSpPr>
          <xdr:cNvPr id="29" name="CaixaDeTexto 28">
            <a:extLst>
              <a:ext uri="{FF2B5EF4-FFF2-40B4-BE49-F238E27FC236}">
                <a16:creationId xmlns:a16="http://schemas.microsoft.com/office/drawing/2014/main" id="{8D8360D2-48AC-1214-D32C-6A3F2B43F920}"/>
              </a:ext>
            </a:extLst>
          </xdr:cNvPr>
          <xdr:cNvSpPr txBox="1"/>
        </xdr:nvSpPr>
        <xdr:spPr>
          <a:xfrm>
            <a:off x="2925603" y="17092564"/>
            <a:ext cx="2007596" cy="3724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pt-BR" sz="1800" b="0">
                <a:solidFill>
                  <a:schemeClr val="accent1"/>
                </a:solidFill>
                <a:effectLst>
                  <a:outerShdw blurRad="50800" dist="38100" dir="2700000" algn="tl" rotWithShape="0">
                    <a:schemeClr val="bg1">
                      <a:alpha val="40000"/>
                    </a:schemeClr>
                  </a:outerShdw>
                </a:effectLst>
                <a:latin typeface="Barlow" panose="00000500000000000000" pitchFamily="2" charset="0"/>
                <a:ea typeface="Shentox 7" pitchFamily="2" charset="0"/>
              </a:rPr>
              <a:t>Lançamento</a:t>
            </a:r>
            <a:endParaRPr lang="pt-BR" sz="2400" b="0">
              <a:solidFill>
                <a:schemeClr val="accent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Barlow" panose="00000500000000000000" pitchFamily="2" charset="0"/>
              <a:ea typeface="Shentox 7" pitchFamily="2" charset="0"/>
            </a:endParaRPr>
          </a:p>
        </xdr:txBody>
      </xdr:sp>
      <xdr:pic>
        <xdr:nvPicPr>
          <xdr:cNvPr id="33" name="Gráfico 32" descr="Foguete com preenchimento sólido">
            <a:extLst>
              <a:ext uri="{FF2B5EF4-FFF2-40B4-BE49-F238E27FC236}">
                <a16:creationId xmlns:a16="http://schemas.microsoft.com/office/drawing/2014/main" id="{48D77DBE-9B8F-0E10-A3EA-F2172F6BD4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0"/>
              </a:ext>
            </a:extLst>
          </a:blip>
          <a:stretch>
            <a:fillRect/>
          </a:stretch>
        </xdr:blipFill>
        <xdr:spPr>
          <a:xfrm>
            <a:off x="4508105" y="16993644"/>
            <a:ext cx="476251" cy="476250"/>
          </a:xfrm>
          <a:prstGeom prst="rect">
            <a:avLst/>
          </a:prstGeom>
          <a:effectLst>
            <a:outerShdw blurRad="50800" dist="38100" dir="2700000" algn="tl" rotWithShape="0">
              <a:schemeClr val="bg1">
                <a:alpha val="40000"/>
              </a:schemeClr>
            </a:outerShdw>
          </a:effectLst>
        </xdr:spPr>
      </xdr:pic>
    </xdr:grpSp>
    <xdr:clientData/>
  </xdr:twoCellAnchor>
  <xdr:twoCellAnchor editAs="oneCell">
    <xdr:from>
      <xdr:col>0</xdr:col>
      <xdr:colOff>508000</xdr:colOff>
      <xdr:row>190</xdr:row>
      <xdr:rowOff>345440</xdr:rowOff>
    </xdr:from>
    <xdr:to>
      <xdr:col>0</xdr:col>
      <xdr:colOff>1203325</xdr:colOff>
      <xdr:row>193</xdr:row>
      <xdr:rowOff>114748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56B44970-DDF8-4C30-B26F-633F87BBD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08000" y="108762800"/>
          <a:ext cx="699135" cy="1055185"/>
        </a:xfrm>
        <a:prstGeom prst="rect">
          <a:avLst/>
        </a:prstGeom>
      </xdr:spPr>
    </xdr:pic>
    <xdr:clientData/>
  </xdr:twoCellAnchor>
  <xdr:twoCellAnchor>
    <xdr:from>
      <xdr:col>2</xdr:col>
      <xdr:colOff>805543</xdr:colOff>
      <xdr:row>185</xdr:row>
      <xdr:rowOff>43543</xdr:rowOff>
    </xdr:from>
    <xdr:to>
      <xdr:col>3</xdr:col>
      <xdr:colOff>239292</xdr:colOff>
      <xdr:row>186</xdr:row>
      <xdr:rowOff>206257</xdr:rowOff>
    </xdr:to>
    <xdr:grpSp>
      <xdr:nvGrpSpPr>
        <xdr:cNvPr id="103" name="Agrupar 102">
          <a:extLst>
            <a:ext uri="{FF2B5EF4-FFF2-40B4-BE49-F238E27FC236}">
              <a16:creationId xmlns:a16="http://schemas.microsoft.com/office/drawing/2014/main" id="{546A5AFC-D9EB-49BE-A7ED-7FDAC7F1A830}"/>
            </a:ext>
          </a:extLst>
        </xdr:cNvPr>
        <xdr:cNvGrpSpPr/>
      </xdr:nvGrpSpPr>
      <xdr:grpSpPr>
        <a:xfrm rot="20997439">
          <a:off x="3275289" y="76819113"/>
          <a:ext cx="1999005" cy="478511"/>
          <a:chOff x="2925603" y="16993644"/>
          <a:chExt cx="2058753" cy="476250"/>
        </a:xfrm>
      </xdr:grpSpPr>
      <xdr:sp macro="" textlink="">
        <xdr:nvSpPr>
          <xdr:cNvPr id="107" name="CaixaDeTexto 106">
            <a:extLst>
              <a:ext uri="{FF2B5EF4-FFF2-40B4-BE49-F238E27FC236}">
                <a16:creationId xmlns:a16="http://schemas.microsoft.com/office/drawing/2014/main" id="{262A2571-2BAF-3B99-91EC-B621253AC085}"/>
              </a:ext>
            </a:extLst>
          </xdr:cNvPr>
          <xdr:cNvSpPr txBox="1"/>
        </xdr:nvSpPr>
        <xdr:spPr>
          <a:xfrm>
            <a:off x="2925603" y="17092564"/>
            <a:ext cx="2007596" cy="3724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pt-BR" sz="1800" b="0">
                <a:solidFill>
                  <a:schemeClr val="accent1"/>
                </a:solidFill>
                <a:effectLst>
                  <a:outerShdw blurRad="50800" dist="38100" dir="2700000" algn="tl" rotWithShape="0">
                    <a:schemeClr val="bg1">
                      <a:alpha val="40000"/>
                    </a:schemeClr>
                  </a:outerShdw>
                </a:effectLst>
                <a:latin typeface="Barlow" panose="00000500000000000000" pitchFamily="2" charset="0"/>
                <a:ea typeface="Shentox 7" pitchFamily="2" charset="0"/>
              </a:rPr>
              <a:t>Lançamento</a:t>
            </a:r>
            <a:endParaRPr lang="pt-BR" sz="2400" b="0">
              <a:solidFill>
                <a:schemeClr val="accent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Barlow" panose="00000500000000000000" pitchFamily="2" charset="0"/>
              <a:ea typeface="Shentox 7" pitchFamily="2" charset="0"/>
            </a:endParaRPr>
          </a:p>
        </xdr:txBody>
      </xdr:sp>
      <xdr:pic>
        <xdr:nvPicPr>
          <xdr:cNvPr id="108" name="Gráfico 107" descr="Foguete com preenchimento sólido">
            <a:extLst>
              <a:ext uri="{FF2B5EF4-FFF2-40B4-BE49-F238E27FC236}">
                <a16:creationId xmlns:a16="http://schemas.microsoft.com/office/drawing/2014/main" id="{677174E8-98DF-2F26-FE2A-2124ED01B1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2"/>
              </a:ext>
            </a:extLst>
          </a:blip>
          <a:stretch>
            <a:fillRect/>
          </a:stretch>
        </xdr:blipFill>
        <xdr:spPr>
          <a:xfrm>
            <a:off x="4508105" y="16993644"/>
            <a:ext cx="476251" cy="476250"/>
          </a:xfrm>
          <a:prstGeom prst="rect">
            <a:avLst/>
          </a:prstGeom>
          <a:effectLst>
            <a:outerShdw blurRad="50800" dist="38100" dir="2700000" algn="tl" rotWithShape="0">
              <a:schemeClr val="bg1">
                <a:alpha val="40000"/>
              </a:schemeClr>
            </a:outerShdw>
          </a:effectLst>
        </xdr:spPr>
      </xdr:pic>
    </xdr:grpSp>
    <xdr:clientData/>
  </xdr:twoCellAnchor>
  <xdr:twoCellAnchor editAs="oneCell">
    <xdr:from>
      <xdr:col>0</xdr:col>
      <xdr:colOff>413658</xdr:colOff>
      <xdr:row>110</xdr:row>
      <xdr:rowOff>97972</xdr:rowOff>
    </xdr:from>
    <xdr:to>
      <xdr:col>0</xdr:col>
      <xdr:colOff>891812</xdr:colOff>
      <xdr:row>111</xdr:row>
      <xdr:rowOff>363152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14FF155-B232-484A-8B2C-859FA0814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413658" y="67948629"/>
          <a:ext cx="466724" cy="793767"/>
        </a:xfrm>
        <a:prstGeom prst="rect">
          <a:avLst/>
        </a:prstGeom>
      </xdr:spPr>
    </xdr:pic>
    <xdr:clientData/>
  </xdr:twoCellAnchor>
  <xdr:twoCellAnchor>
    <xdr:from>
      <xdr:col>2</xdr:col>
      <xdr:colOff>838199</xdr:colOff>
      <xdr:row>194</xdr:row>
      <xdr:rowOff>0</xdr:rowOff>
    </xdr:from>
    <xdr:to>
      <xdr:col>3</xdr:col>
      <xdr:colOff>271948</xdr:colOff>
      <xdr:row>194</xdr:row>
      <xdr:rowOff>380426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0A270E4C-A4A2-4EEA-B336-0B3EC76154A0}"/>
            </a:ext>
          </a:extLst>
        </xdr:cNvPr>
        <xdr:cNvGrpSpPr/>
      </xdr:nvGrpSpPr>
      <xdr:grpSpPr>
        <a:xfrm rot="20997439">
          <a:off x="3306040" y="80551193"/>
          <a:ext cx="2000910" cy="380426"/>
          <a:chOff x="2925603" y="16993644"/>
          <a:chExt cx="2058753" cy="47625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DA3471F1-83BA-682C-E735-D127FD3C25BF}"/>
              </a:ext>
            </a:extLst>
          </xdr:cNvPr>
          <xdr:cNvSpPr txBox="1"/>
        </xdr:nvSpPr>
        <xdr:spPr>
          <a:xfrm>
            <a:off x="2925603" y="17092564"/>
            <a:ext cx="2007596" cy="3724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pt-BR" sz="1800" b="0">
                <a:solidFill>
                  <a:schemeClr val="accent1"/>
                </a:solidFill>
                <a:effectLst>
                  <a:outerShdw blurRad="50800" dist="38100" dir="2700000" algn="tl" rotWithShape="0">
                    <a:schemeClr val="bg1">
                      <a:alpha val="40000"/>
                    </a:schemeClr>
                  </a:outerShdw>
                </a:effectLst>
                <a:latin typeface="Barlow" panose="00000500000000000000" pitchFamily="2" charset="0"/>
                <a:ea typeface="Shentox 7" pitchFamily="2" charset="0"/>
              </a:rPr>
              <a:t>Lançamento</a:t>
            </a:r>
            <a:endParaRPr lang="pt-BR" sz="2400" b="0">
              <a:solidFill>
                <a:schemeClr val="accent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Barlow" panose="00000500000000000000" pitchFamily="2" charset="0"/>
              <a:ea typeface="Shentox 7" pitchFamily="2" charset="0"/>
            </a:endParaRPr>
          </a:p>
        </xdr:txBody>
      </xdr:sp>
      <xdr:pic>
        <xdr:nvPicPr>
          <xdr:cNvPr id="16" name="Gráfico 15" descr="Foguete com preenchimento sólido">
            <a:extLst>
              <a:ext uri="{FF2B5EF4-FFF2-40B4-BE49-F238E27FC236}">
                <a16:creationId xmlns:a16="http://schemas.microsoft.com/office/drawing/2014/main" id="{9AB4BB0A-264A-AC0C-1B20-224D3606B9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2"/>
              </a:ext>
            </a:extLst>
          </a:blip>
          <a:stretch>
            <a:fillRect/>
          </a:stretch>
        </xdr:blipFill>
        <xdr:spPr>
          <a:xfrm>
            <a:off x="4508105" y="16993644"/>
            <a:ext cx="476251" cy="476250"/>
          </a:xfrm>
          <a:prstGeom prst="rect">
            <a:avLst/>
          </a:prstGeom>
          <a:effectLst>
            <a:outerShdw blurRad="50800" dist="38100" dir="2700000" algn="tl" rotWithShape="0">
              <a:schemeClr val="bg1">
                <a:alpha val="40000"/>
              </a:schemeClr>
            </a:outerShdw>
          </a:effectLst>
        </xdr:spPr>
      </xdr:pic>
    </xdr:grpSp>
    <xdr:clientData/>
  </xdr:twoCellAnchor>
  <xdr:twoCellAnchor>
    <xdr:from>
      <xdr:col>2</xdr:col>
      <xdr:colOff>1028971</xdr:colOff>
      <xdr:row>167</xdr:row>
      <xdr:rowOff>23748</xdr:rowOff>
    </xdr:from>
    <xdr:to>
      <xdr:col>3</xdr:col>
      <xdr:colOff>552149</xdr:colOff>
      <xdr:row>168</xdr:row>
      <xdr:rowOff>286797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AD2DB2CF-13E2-47D0-BC81-1D46595A7D04}"/>
            </a:ext>
          </a:extLst>
        </xdr:cNvPr>
        <xdr:cNvGrpSpPr/>
      </xdr:nvGrpSpPr>
      <xdr:grpSpPr>
        <a:xfrm rot="20997439">
          <a:off x="3496812" y="71143546"/>
          <a:ext cx="2092244" cy="576941"/>
          <a:chOff x="2925603" y="17138999"/>
          <a:chExt cx="2007596" cy="532864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864DA9A9-9364-15F2-7DBE-0ADE155A11E6}"/>
              </a:ext>
            </a:extLst>
          </xdr:cNvPr>
          <xdr:cNvSpPr txBox="1"/>
        </xdr:nvSpPr>
        <xdr:spPr>
          <a:xfrm>
            <a:off x="2925603" y="17138999"/>
            <a:ext cx="2007596" cy="27958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pt-BR" sz="1600" b="0">
                <a:solidFill>
                  <a:schemeClr val="accent1"/>
                </a:solidFill>
                <a:effectLst>
                  <a:outerShdw blurRad="50800" dist="38100" dir="2700000" algn="tl" rotWithShape="0">
                    <a:schemeClr val="bg1">
                      <a:alpha val="40000"/>
                    </a:schemeClr>
                  </a:outerShdw>
                </a:effectLst>
                <a:latin typeface="Barlow" panose="00000500000000000000" pitchFamily="2" charset="0"/>
                <a:ea typeface="Shentox 7" pitchFamily="2" charset="0"/>
              </a:rPr>
              <a:t>Lançamento</a:t>
            </a:r>
            <a:endParaRPr lang="pt-BR" sz="2000" b="0">
              <a:solidFill>
                <a:schemeClr val="accent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Barlow" panose="00000500000000000000" pitchFamily="2" charset="0"/>
              <a:ea typeface="Shentox 7" pitchFamily="2" charset="0"/>
            </a:endParaRPr>
          </a:p>
        </xdr:txBody>
      </xdr:sp>
      <xdr:pic>
        <xdr:nvPicPr>
          <xdr:cNvPr id="36" name="Gráfico 35" descr="Foguete com preenchimento sólido">
            <a:extLst>
              <a:ext uri="{FF2B5EF4-FFF2-40B4-BE49-F238E27FC236}">
                <a16:creationId xmlns:a16="http://schemas.microsoft.com/office/drawing/2014/main" id="{32A6026D-4FB3-FC98-EAA0-38A639D864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2"/>
              </a:ext>
            </a:extLst>
          </a:blip>
          <a:stretch>
            <a:fillRect/>
          </a:stretch>
        </xdr:blipFill>
        <xdr:spPr>
          <a:xfrm>
            <a:off x="4121608" y="17234307"/>
            <a:ext cx="437556" cy="437556"/>
          </a:xfrm>
          <a:prstGeom prst="rect">
            <a:avLst/>
          </a:prstGeom>
          <a:effectLst>
            <a:outerShdw blurRad="50800" dist="38100" dir="2700000" algn="tl" rotWithShape="0">
              <a:schemeClr val="bg1">
                <a:alpha val="40000"/>
              </a:schemeClr>
            </a:outerShdw>
          </a:effectLst>
        </xdr:spPr>
      </xdr:pic>
    </xdr:grpSp>
    <xdr:clientData/>
  </xdr:twoCellAnchor>
  <xdr:twoCellAnchor editAs="oneCell">
    <xdr:from>
      <xdr:col>0</xdr:col>
      <xdr:colOff>495300</xdr:colOff>
      <xdr:row>120</xdr:row>
      <xdr:rowOff>523875</xdr:rowOff>
    </xdr:from>
    <xdr:to>
      <xdr:col>0</xdr:col>
      <xdr:colOff>860148</xdr:colOff>
      <xdr:row>123</xdr:row>
      <xdr:rowOff>57471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59611143-8880-4823-9FCA-AC47143F9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495300" y="74571225"/>
          <a:ext cx="376278" cy="678567"/>
        </a:xfrm>
        <a:prstGeom prst="rect">
          <a:avLst/>
        </a:prstGeom>
      </xdr:spPr>
    </xdr:pic>
    <xdr:clientData/>
  </xdr:twoCellAnchor>
  <xdr:twoCellAnchor>
    <xdr:from>
      <xdr:col>2</xdr:col>
      <xdr:colOff>1594764</xdr:colOff>
      <xdr:row>121</xdr:row>
      <xdr:rowOff>18959</xdr:rowOff>
    </xdr:from>
    <xdr:to>
      <xdr:col>4</xdr:col>
      <xdr:colOff>649321</xdr:colOff>
      <xdr:row>124</xdr:row>
      <xdr:rowOff>63844</xdr:rowOff>
    </xdr:to>
    <xdr:grpSp>
      <xdr:nvGrpSpPr>
        <xdr:cNvPr id="39" name="Agrupar 38">
          <a:extLst>
            <a:ext uri="{FF2B5EF4-FFF2-40B4-BE49-F238E27FC236}">
              <a16:creationId xmlns:a16="http://schemas.microsoft.com/office/drawing/2014/main" id="{03B35E0E-9B7C-43F8-B1B1-4D1AA1709009}"/>
            </a:ext>
          </a:extLst>
        </xdr:cNvPr>
        <xdr:cNvGrpSpPr/>
      </xdr:nvGrpSpPr>
      <xdr:grpSpPr>
        <a:xfrm rot="20997439">
          <a:off x="4060700" y="52161320"/>
          <a:ext cx="3505070" cy="978941"/>
          <a:chOff x="2925603" y="17092564"/>
          <a:chExt cx="2007596" cy="597437"/>
        </a:xfrm>
      </xdr:grpSpPr>
      <xdr:sp macro="" textlink="">
        <xdr:nvSpPr>
          <xdr:cNvPr id="40" name="CaixaDeTexto 39">
            <a:extLst>
              <a:ext uri="{FF2B5EF4-FFF2-40B4-BE49-F238E27FC236}">
                <a16:creationId xmlns:a16="http://schemas.microsoft.com/office/drawing/2014/main" id="{9F8DA35C-255E-8AA9-C20A-DBC22C04F562}"/>
              </a:ext>
            </a:extLst>
          </xdr:cNvPr>
          <xdr:cNvSpPr txBox="1"/>
        </xdr:nvSpPr>
        <xdr:spPr>
          <a:xfrm>
            <a:off x="2925603" y="17092564"/>
            <a:ext cx="2007596" cy="3724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pt-BR" sz="1800" b="0">
                <a:solidFill>
                  <a:schemeClr val="accent1"/>
                </a:solidFill>
                <a:effectLst>
                  <a:outerShdw blurRad="50800" dist="38100" dir="2700000" algn="tl" rotWithShape="0">
                    <a:schemeClr val="bg1">
                      <a:alpha val="40000"/>
                    </a:schemeClr>
                  </a:outerShdw>
                </a:effectLst>
                <a:latin typeface="Barlow" panose="00000500000000000000" pitchFamily="2" charset="0"/>
                <a:ea typeface="Shentox 7" pitchFamily="2" charset="0"/>
              </a:rPr>
              <a:t>Lançamento</a:t>
            </a:r>
            <a:endParaRPr lang="pt-BR" sz="2400" b="0">
              <a:solidFill>
                <a:schemeClr val="accent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Barlow" panose="00000500000000000000" pitchFamily="2" charset="0"/>
              <a:ea typeface="Shentox 7" pitchFamily="2" charset="0"/>
            </a:endParaRPr>
          </a:p>
        </xdr:txBody>
      </xdr:sp>
      <xdr:pic>
        <xdr:nvPicPr>
          <xdr:cNvPr id="75" name="Gráfico 74" descr="Foguete com preenchimento sólido">
            <a:extLst>
              <a:ext uri="{FF2B5EF4-FFF2-40B4-BE49-F238E27FC236}">
                <a16:creationId xmlns:a16="http://schemas.microsoft.com/office/drawing/2014/main" id="{91B9FDF7-036C-0686-75D7-6BACFDFEB1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2"/>
              </a:ext>
            </a:extLst>
          </a:blip>
          <a:stretch>
            <a:fillRect/>
          </a:stretch>
        </xdr:blipFill>
        <xdr:spPr>
          <a:xfrm>
            <a:off x="4422871" y="17213751"/>
            <a:ext cx="476251" cy="476250"/>
          </a:xfrm>
          <a:prstGeom prst="rect">
            <a:avLst/>
          </a:prstGeom>
          <a:effectLst>
            <a:outerShdw blurRad="50800" dist="38100" dir="2700000" algn="tl" rotWithShape="0">
              <a:schemeClr val="bg1">
                <a:alpha val="40000"/>
              </a:schemeClr>
            </a:outerShdw>
          </a:effectLst>
        </xdr:spPr>
      </xdr:pic>
    </xdr:grpSp>
    <xdr:clientData/>
  </xdr:twoCellAnchor>
  <xdr:twoCellAnchor editAs="oneCell">
    <xdr:from>
      <xdr:col>0</xdr:col>
      <xdr:colOff>0</xdr:colOff>
      <xdr:row>84</xdr:row>
      <xdr:rowOff>210972</xdr:rowOff>
    </xdr:from>
    <xdr:to>
      <xdr:col>0</xdr:col>
      <xdr:colOff>1240790</xdr:colOff>
      <xdr:row>85</xdr:row>
      <xdr:rowOff>665837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8B0AF4E4-BFED-4DBD-8DCD-A510DC33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47740722"/>
          <a:ext cx="1244600" cy="1327268"/>
        </a:xfrm>
        <a:prstGeom prst="rect">
          <a:avLst/>
        </a:prstGeom>
      </xdr:spPr>
    </xdr:pic>
    <xdr:clientData/>
  </xdr:twoCellAnchor>
  <xdr:twoCellAnchor>
    <xdr:from>
      <xdr:col>2</xdr:col>
      <xdr:colOff>398318</xdr:colOff>
      <xdr:row>84</xdr:row>
      <xdr:rowOff>606135</xdr:rowOff>
    </xdr:from>
    <xdr:to>
      <xdr:col>2</xdr:col>
      <xdr:colOff>2207496</xdr:colOff>
      <xdr:row>85</xdr:row>
      <xdr:rowOff>289025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37044F17-EE2A-418F-BF46-F226DC3BBF41}"/>
            </a:ext>
          </a:extLst>
        </xdr:cNvPr>
        <xdr:cNvGrpSpPr/>
      </xdr:nvGrpSpPr>
      <xdr:grpSpPr>
        <a:xfrm rot="20997439">
          <a:off x="2869969" y="28899715"/>
          <a:ext cx="1805368" cy="577460"/>
          <a:chOff x="2925603" y="17138999"/>
          <a:chExt cx="2007596" cy="532864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A06AD1CA-D1AA-2D73-8A3B-8C07815D7FF3}"/>
              </a:ext>
            </a:extLst>
          </xdr:cNvPr>
          <xdr:cNvSpPr txBox="1"/>
        </xdr:nvSpPr>
        <xdr:spPr>
          <a:xfrm>
            <a:off x="2925603" y="17138999"/>
            <a:ext cx="2007596" cy="27958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pt-BR" sz="1600" b="0">
                <a:solidFill>
                  <a:schemeClr val="accent1"/>
                </a:solidFill>
                <a:effectLst>
                  <a:outerShdw blurRad="50800" dist="38100" dir="2700000" algn="tl" rotWithShape="0">
                    <a:schemeClr val="bg1">
                      <a:alpha val="40000"/>
                    </a:schemeClr>
                  </a:outerShdw>
                </a:effectLst>
                <a:latin typeface="Barlow" panose="00000500000000000000" pitchFamily="2" charset="0"/>
                <a:ea typeface="Shentox 7" pitchFamily="2" charset="0"/>
              </a:rPr>
              <a:t>Lançamento</a:t>
            </a:r>
            <a:endParaRPr lang="pt-BR" sz="2000" b="0">
              <a:solidFill>
                <a:schemeClr val="accent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Barlow" panose="00000500000000000000" pitchFamily="2" charset="0"/>
              <a:ea typeface="Shentox 7" pitchFamily="2" charset="0"/>
            </a:endParaRPr>
          </a:p>
        </xdr:txBody>
      </xdr:sp>
      <xdr:pic>
        <xdr:nvPicPr>
          <xdr:cNvPr id="49" name="Gráfico 48" descr="Foguete com preenchimento sólido">
            <a:extLst>
              <a:ext uri="{FF2B5EF4-FFF2-40B4-BE49-F238E27FC236}">
                <a16:creationId xmlns:a16="http://schemas.microsoft.com/office/drawing/2014/main" id="{D4409396-11A2-6865-49FD-E401938C2B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2"/>
              </a:ext>
            </a:extLst>
          </a:blip>
          <a:stretch>
            <a:fillRect/>
          </a:stretch>
        </xdr:blipFill>
        <xdr:spPr>
          <a:xfrm>
            <a:off x="4121608" y="17234307"/>
            <a:ext cx="437556" cy="437556"/>
          </a:xfrm>
          <a:prstGeom prst="rect">
            <a:avLst/>
          </a:prstGeom>
          <a:effectLst>
            <a:outerShdw blurRad="50800" dist="38100" dir="2700000" algn="tl" rotWithShape="0">
              <a:schemeClr val="bg1">
                <a:alpha val="40000"/>
              </a:schemeClr>
            </a:outerShdw>
          </a:effec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204108</xdr:colOff>
      <xdr:row>157</xdr:row>
      <xdr:rowOff>238124</xdr:rowOff>
    </xdr:from>
    <xdr:to>
      <xdr:col>0</xdr:col>
      <xdr:colOff>1048685</xdr:colOff>
      <xdr:row>161</xdr:row>
      <xdr:rowOff>412749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AC6D17D1-1838-44C9-8CC3-752BFEFFD65B}"/>
            </a:ext>
          </a:extLst>
        </xdr:cNvPr>
        <xdr:cNvGrpSpPr/>
      </xdr:nvGrpSpPr>
      <xdr:grpSpPr>
        <a:xfrm>
          <a:off x="0" y="55875010"/>
          <a:ext cx="0" cy="1778090"/>
          <a:chOff x="116418" y="8807202"/>
          <a:chExt cx="844577" cy="1628804"/>
        </a:xfrm>
      </xdr:grpSpPr>
      <xdr:pic>
        <xdr:nvPicPr>
          <xdr:cNvPr id="43" name="Imagem 42" descr="Garrafa de plástico&#10;&#10;Descrição gerada automaticamente com confiança baixa">
            <a:extLst>
              <a:ext uri="{FF2B5EF4-FFF2-40B4-BE49-F238E27FC236}">
                <a16:creationId xmlns:a16="http://schemas.microsoft.com/office/drawing/2014/main" id="{5BA24DA3-140F-456F-2B00-EA7F9F243E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20000" contras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525872" y="9097036"/>
            <a:ext cx="435123" cy="1017222"/>
          </a:xfrm>
          <a:prstGeom prst="rect">
            <a:avLst/>
          </a:prstGeom>
        </xdr:spPr>
      </xdr:pic>
      <xdr:sp macro="" textlink="">
        <xdr:nvSpPr>
          <xdr:cNvPr id="44" name="Retângulo 43">
            <a:extLst>
              <a:ext uri="{FF2B5EF4-FFF2-40B4-BE49-F238E27FC236}">
                <a16:creationId xmlns:a16="http://schemas.microsoft.com/office/drawing/2014/main" id="{809C80AC-7775-2490-0DCB-721BF48CEA73}"/>
              </a:ext>
            </a:extLst>
          </xdr:cNvPr>
          <xdr:cNvSpPr/>
        </xdr:nvSpPr>
        <xdr:spPr>
          <a:xfrm rot="16200000">
            <a:off x="-559484" y="9483104"/>
            <a:ext cx="1628804" cy="276999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200" b="1" cap="none" spc="0">
                <a:ln w="0"/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Shentox" pitchFamily="2" charset="0"/>
                <a:ea typeface="Shentox" pitchFamily="2" charset="0"/>
              </a:rPr>
              <a:t>Whey Protein Shake</a:t>
            </a:r>
          </a:p>
        </xdr:txBody>
      </xdr:sp>
    </xdr:grpSp>
    <xdr:clientData/>
  </xdr:twoCellAnchor>
  <xdr:twoCellAnchor>
    <xdr:from>
      <xdr:col>0</xdr:col>
      <xdr:colOff>307228</xdr:colOff>
      <xdr:row>109</xdr:row>
      <xdr:rowOff>49482</xdr:rowOff>
    </xdr:from>
    <xdr:to>
      <xdr:col>0</xdr:col>
      <xdr:colOff>1015936</xdr:colOff>
      <xdr:row>111</xdr:row>
      <xdr:rowOff>256260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72644C87-71E0-4606-9E4E-D8767A00D8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07228" y="28786407"/>
          <a:ext cx="708708" cy="911628"/>
        </a:xfrm>
        <a:prstGeom prst="rect">
          <a:avLst/>
        </a:prstGeom>
      </xdr:spPr>
    </xdr:pic>
    <xdr:clientData/>
  </xdr:twoCellAnchor>
  <xdr:twoCellAnchor>
    <xdr:from>
      <xdr:col>3</xdr:col>
      <xdr:colOff>2070555</xdr:colOff>
      <xdr:row>137</xdr:row>
      <xdr:rowOff>617175</xdr:rowOff>
    </xdr:from>
    <xdr:to>
      <xdr:col>4</xdr:col>
      <xdr:colOff>285752</xdr:colOff>
      <xdr:row>139</xdr:row>
      <xdr:rowOff>16836</xdr:rowOff>
    </xdr:to>
    <xdr:grpSp>
      <xdr:nvGrpSpPr>
        <xdr:cNvPr id="89" name="Agrupar 88">
          <a:extLst>
            <a:ext uri="{FF2B5EF4-FFF2-40B4-BE49-F238E27FC236}">
              <a16:creationId xmlns:a16="http://schemas.microsoft.com/office/drawing/2014/main" id="{F304619B-69B3-4330-8A81-7117336D3C09}"/>
            </a:ext>
          </a:extLst>
        </xdr:cNvPr>
        <xdr:cNvGrpSpPr/>
      </xdr:nvGrpSpPr>
      <xdr:grpSpPr>
        <a:xfrm>
          <a:off x="0" y="48503432"/>
          <a:ext cx="0" cy="335833"/>
          <a:chOff x="2921000" y="17018000"/>
          <a:chExt cx="1991723" cy="522764"/>
        </a:xfrm>
      </xdr:grpSpPr>
      <xdr:sp macro="" textlink="">
        <xdr:nvSpPr>
          <xdr:cNvPr id="90" name="CaixaDeTexto 89">
            <a:extLst>
              <a:ext uri="{FF2B5EF4-FFF2-40B4-BE49-F238E27FC236}">
                <a16:creationId xmlns:a16="http://schemas.microsoft.com/office/drawing/2014/main" id="{82D4B6C9-1C22-30B5-80C7-775E804CEE5C}"/>
              </a:ext>
            </a:extLst>
          </xdr:cNvPr>
          <xdr:cNvSpPr txBox="1"/>
        </xdr:nvSpPr>
        <xdr:spPr>
          <a:xfrm>
            <a:off x="2921000" y="17018000"/>
            <a:ext cx="1623756" cy="5227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600">
                <a:solidFill>
                  <a:srgbClr val="00B050"/>
                </a:solidFill>
                <a:effectLst>
                  <a:outerShdw blurRad="50800" dist="38100" dir="2700000" algn="tl" rotWithShape="0">
                    <a:schemeClr val="bg1">
                      <a:alpha val="40000"/>
                    </a:schemeClr>
                  </a:outerShdw>
                </a:effectLst>
                <a:latin typeface="Shentox 7" pitchFamily="2" charset="0"/>
                <a:ea typeface="Shentox 7" pitchFamily="2" charset="0"/>
              </a:rPr>
              <a:t>Lançamento</a:t>
            </a:r>
            <a:endParaRPr lang="pt-BR" sz="2000">
              <a:solidFill>
                <a:srgbClr val="00B05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Shentox 7" pitchFamily="2" charset="0"/>
              <a:ea typeface="Shentox 7" pitchFamily="2" charset="0"/>
            </a:endParaRPr>
          </a:p>
        </xdr:txBody>
      </xdr:sp>
      <xdr:pic>
        <xdr:nvPicPr>
          <xdr:cNvPr id="91" name="Gráfico 90" descr="Foguete com preenchimento sólido">
            <a:extLst>
              <a:ext uri="{FF2B5EF4-FFF2-40B4-BE49-F238E27FC236}">
                <a16:creationId xmlns:a16="http://schemas.microsoft.com/office/drawing/2014/main" id="{749E6AC5-A01B-B951-8A64-622762B57E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4436472" y="17038544"/>
            <a:ext cx="476251" cy="476249"/>
          </a:xfrm>
          <a:prstGeom prst="rect">
            <a:avLst/>
          </a:prstGeom>
          <a:effectLst>
            <a:outerShdw blurRad="50800" dist="38100" dir="2700000" algn="tl" rotWithShape="0">
              <a:schemeClr val="bg1">
                <a:alpha val="40000"/>
              </a:schemeClr>
            </a:outerShdw>
          </a:effectLst>
        </xdr:spPr>
      </xdr:pic>
    </xdr:grpSp>
    <xdr:clientData/>
  </xdr:twoCellAnchor>
  <xdr:twoCellAnchor>
    <xdr:from>
      <xdr:col>3</xdr:col>
      <xdr:colOff>2109107</xdr:colOff>
      <xdr:row>142</xdr:row>
      <xdr:rowOff>285751</xdr:rowOff>
    </xdr:from>
    <xdr:to>
      <xdr:col>4</xdr:col>
      <xdr:colOff>324304</xdr:colOff>
      <xdr:row>143</xdr:row>
      <xdr:rowOff>311340</xdr:rowOff>
    </xdr:to>
    <xdr:grpSp>
      <xdr:nvGrpSpPr>
        <xdr:cNvPr id="92" name="Agrupar 91">
          <a:extLst>
            <a:ext uri="{FF2B5EF4-FFF2-40B4-BE49-F238E27FC236}">
              <a16:creationId xmlns:a16="http://schemas.microsoft.com/office/drawing/2014/main" id="{FBC783DC-7808-4516-B3A2-92AD4D9615DC}"/>
            </a:ext>
          </a:extLst>
        </xdr:cNvPr>
        <xdr:cNvGrpSpPr/>
      </xdr:nvGrpSpPr>
      <xdr:grpSpPr>
        <a:xfrm>
          <a:off x="0" y="50055237"/>
          <a:ext cx="0" cy="341274"/>
          <a:chOff x="2921000" y="17018000"/>
          <a:chExt cx="1991723" cy="522764"/>
        </a:xfrm>
      </xdr:grpSpPr>
      <xdr:sp macro="" textlink="">
        <xdr:nvSpPr>
          <xdr:cNvPr id="93" name="CaixaDeTexto 92">
            <a:extLst>
              <a:ext uri="{FF2B5EF4-FFF2-40B4-BE49-F238E27FC236}">
                <a16:creationId xmlns:a16="http://schemas.microsoft.com/office/drawing/2014/main" id="{64383A45-1548-B5BF-8AF5-5C8147D9B0F3}"/>
              </a:ext>
            </a:extLst>
          </xdr:cNvPr>
          <xdr:cNvSpPr txBox="1"/>
        </xdr:nvSpPr>
        <xdr:spPr>
          <a:xfrm>
            <a:off x="2921000" y="17018000"/>
            <a:ext cx="1623756" cy="5227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600">
                <a:solidFill>
                  <a:srgbClr val="00B050"/>
                </a:solidFill>
                <a:effectLst>
                  <a:outerShdw blurRad="50800" dist="38100" dir="2700000" algn="tl" rotWithShape="0">
                    <a:schemeClr val="bg1">
                      <a:alpha val="40000"/>
                    </a:schemeClr>
                  </a:outerShdw>
                </a:effectLst>
                <a:latin typeface="Shentox 7" pitchFamily="2" charset="0"/>
                <a:ea typeface="Shentox 7" pitchFamily="2" charset="0"/>
              </a:rPr>
              <a:t>Lançamento</a:t>
            </a:r>
            <a:endParaRPr lang="pt-BR" sz="2000">
              <a:solidFill>
                <a:srgbClr val="00B05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Shentox 7" pitchFamily="2" charset="0"/>
              <a:ea typeface="Shentox 7" pitchFamily="2" charset="0"/>
            </a:endParaRPr>
          </a:p>
        </xdr:txBody>
      </xdr:sp>
      <xdr:pic>
        <xdr:nvPicPr>
          <xdr:cNvPr id="94" name="Gráfico 93" descr="Foguete com preenchimento sólido">
            <a:extLst>
              <a:ext uri="{FF2B5EF4-FFF2-40B4-BE49-F238E27FC236}">
                <a16:creationId xmlns:a16="http://schemas.microsoft.com/office/drawing/2014/main" id="{46251DEA-E4DC-9E0F-C1CE-D5F87E4AD0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4436472" y="17038544"/>
            <a:ext cx="476251" cy="476249"/>
          </a:xfrm>
          <a:prstGeom prst="rect">
            <a:avLst/>
          </a:prstGeom>
          <a:effectLst>
            <a:outerShdw blurRad="50800" dist="38100" dir="2700000" algn="tl" rotWithShape="0">
              <a:schemeClr val="bg1">
                <a:alpha val="40000"/>
              </a:schemeClr>
            </a:outerShdw>
          </a:effectLst>
        </xdr:spPr>
      </xdr:pic>
    </xdr:grpSp>
    <xdr:clientData/>
  </xdr:twoCellAnchor>
  <xdr:twoCellAnchor>
    <xdr:from>
      <xdr:col>3</xdr:col>
      <xdr:colOff>1768929</xdr:colOff>
      <xdr:row>168</xdr:row>
      <xdr:rowOff>54429</xdr:rowOff>
    </xdr:from>
    <xdr:to>
      <xdr:col>3</xdr:col>
      <xdr:colOff>3331483</xdr:colOff>
      <xdr:row>168</xdr:row>
      <xdr:rowOff>392983</xdr:rowOff>
    </xdr:to>
    <xdr:grpSp>
      <xdr:nvGrpSpPr>
        <xdr:cNvPr id="110" name="Agrupar 109">
          <a:extLst>
            <a:ext uri="{FF2B5EF4-FFF2-40B4-BE49-F238E27FC236}">
              <a16:creationId xmlns:a16="http://schemas.microsoft.com/office/drawing/2014/main" id="{7F8A8E5B-9C6B-468D-82C5-98FCE22A56D7}"/>
            </a:ext>
          </a:extLst>
        </xdr:cNvPr>
        <xdr:cNvGrpSpPr/>
      </xdr:nvGrpSpPr>
      <xdr:grpSpPr>
        <a:xfrm rot="20941538">
          <a:off x="0" y="60557229"/>
          <a:ext cx="0" cy="338554"/>
          <a:chOff x="2921000" y="17018000"/>
          <a:chExt cx="1991723" cy="522764"/>
        </a:xfrm>
      </xdr:grpSpPr>
      <xdr:sp macro="" textlink="">
        <xdr:nvSpPr>
          <xdr:cNvPr id="111" name="CaixaDeTexto 110">
            <a:extLst>
              <a:ext uri="{FF2B5EF4-FFF2-40B4-BE49-F238E27FC236}">
                <a16:creationId xmlns:a16="http://schemas.microsoft.com/office/drawing/2014/main" id="{5113A2F3-17BC-8C46-0188-7D55AE5948CD}"/>
              </a:ext>
            </a:extLst>
          </xdr:cNvPr>
          <xdr:cNvSpPr txBox="1"/>
        </xdr:nvSpPr>
        <xdr:spPr>
          <a:xfrm>
            <a:off x="2921000" y="17018000"/>
            <a:ext cx="1623756" cy="5227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600">
                <a:solidFill>
                  <a:srgbClr val="00B050"/>
                </a:solidFill>
                <a:effectLst>
                  <a:outerShdw blurRad="50800" dist="38100" dir="2700000" algn="tl" rotWithShape="0">
                    <a:schemeClr val="bg1">
                      <a:alpha val="40000"/>
                    </a:schemeClr>
                  </a:outerShdw>
                </a:effectLst>
                <a:latin typeface="Shentox 7" pitchFamily="2" charset="0"/>
                <a:ea typeface="Shentox 7" pitchFamily="2" charset="0"/>
              </a:rPr>
              <a:t>Lançamento</a:t>
            </a:r>
            <a:endParaRPr lang="pt-BR" sz="2000">
              <a:solidFill>
                <a:srgbClr val="00B05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Shentox 7" pitchFamily="2" charset="0"/>
              <a:ea typeface="Shentox 7" pitchFamily="2" charset="0"/>
            </a:endParaRPr>
          </a:p>
        </xdr:txBody>
      </xdr:sp>
      <xdr:pic>
        <xdr:nvPicPr>
          <xdr:cNvPr id="112" name="Gráfico 111" descr="Foguete com preenchimento sólido">
            <a:extLst>
              <a:ext uri="{FF2B5EF4-FFF2-40B4-BE49-F238E27FC236}">
                <a16:creationId xmlns:a16="http://schemas.microsoft.com/office/drawing/2014/main" id="{C0EB7E97-739E-D3F5-40F3-1F4BB2F97A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4436472" y="17038544"/>
            <a:ext cx="476251" cy="476249"/>
          </a:xfrm>
          <a:prstGeom prst="rect">
            <a:avLst/>
          </a:prstGeom>
          <a:effectLst>
            <a:outerShdw blurRad="50800" dist="38100" dir="2700000" algn="tl" rotWithShape="0">
              <a:schemeClr val="bg1">
                <a:alpha val="40000"/>
              </a:schemeClr>
            </a:outerShdw>
          </a:effectLst>
        </xdr:spPr>
      </xdr:pic>
    </xdr:grpSp>
    <xdr:clientData/>
  </xdr:twoCellAnchor>
  <xdr:twoCellAnchor>
    <xdr:from>
      <xdr:col>3</xdr:col>
      <xdr:colOff>1798866</xdr:colOff>
      <xdr:row>170</xdr:row>
      <xdr:rowOff>438151</xdr:rowOff>
    </xdr:from>
    <xdr:to>
      <xdr:col>4</xdr:col>
      <xdr:colOff>14063</xdr:colOff>
      <xdr:row>171</xdr:row>
      <xdr:rowOff>150777</xdr:rowOff>
    </xdr:to>
    <xdr:grpSp>
      <xdr:nvGrpSpPr>
        <xdr:cNvPr id="113" name="Agrupar 112">
          <a:extLst>
            <a:ext uri="{FF2B5EF4-FFF2-40B4-BE49-F238E27FC236}">
              <a16:creationId xmlns:a16="http://schemas.microsoft.com/office/drawing/2014/main" id="{90141610-6F59-4314-9EEA-D12E501EBC4B}"/>
            </a:ext>
          </a:extLst>
        </xdr:cNvPr>
        <xdr:cNvGrpSpPr/>
      </xdr:nvGrpSpPr>
      <xdr:grpSpPr>
        <a:xfrm rot="20941538">
          <a:off x="0" y="61855351"/>
          <a:ext cx="0" cy="333112"/>
          <a:chOff x="2921000" y="17018000"/>
          <a:chExt cx="1991723" cy="522764"/>
        </a:xfrm>
      </xdr:grpSpPr>
      <xdr:sp macro="" textlink="">
        <xdr:nvSpPr>
          <xdr:cNvPr id="114" name="CaixaDeTexto 113">
            <a:extLst>
              <a:ext uri="{FF2B5EF4-FFF2-40B4-BE49-F238E27FC236}">
                <a16:creationId xmlns:a16="http://schemas.microsoft.com/office/drawing/2014/main" id="{F6FF46B6-312A-E2D1-3504-7C4815AFA6CF}"/>
              </a:ext>
            </a:extLst>
          </xdr:cNvPr>
          <xdr:cNvSpPr txBox="1"/>
        </xdr:nvSpPr>
        <xdr:spPr>
          <a:xfrm>
            <a:off x="2921000" y="17018000"/>
            <a:ext cx="1623756" cy="5227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600">
                <a:solidFill>
                  <a:srgbClr val="00B050"/>
                </a:solidFill>
                <a:effectLst>
                  <a:outerShdw blurRad="50800" dist="38100" dir="2700000" algn="tl" rotWithShape="0">
                    <a:schemeClr val="bg1">
                      <a:alpha val="40000"/>
                    </a:schemeClr>
                  </a:outerShdw>
                </a:effectLst>
                <a:latin typeface="Shentox 7" pitchFamily="2" charset="0"/>
                <a:ea typeface="Shentox 7" pitchFamily="2" charset="0"/>
              </a:rPr>
              <a:t>Lançamento</a:t>
            </a:r>
            <a:endParaRPr lang="pt-BR" sz="2000">
              <a:solidFill>
                <a:srgbClr val="00B05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Shentox 7" pitchFamily="2" charset="0"/>
              <a:ea typeface="Shentox 7" pitchFamily="2" charset="0"/>
            </a:endParaRPr>
          </a:p>
        </xdr:txBody>
      </xdr:sp>
      <xdr:pic>
        <xdr:nvPicPr>
          <xdr:cNvPr id="115" name="Gráfico 114" descr="Foguete com preenchimento sólido">
            <a:extLst>
              <a:ext uri="{FF2B5EF4-FFF2-40B4-BE49-F238E27FC236}">
                <a16:creationId xmlns:a16="http://schemas.microsoft.com/office/drawing/2014/main" id="{B5B2756C-47B1-7E20-FA17-F25A6A8DD9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4436472" y="17038544"/>
            <a:ext cx="476251" cy="476249"/>
          </a:xfrm>
          <a:prstGeom prst="rect">
            <a:avLst/>
          </a:prstGeom>
          <a:effectLst>
            <a:outerShdw blurRad="50800" dist="38100" dir="2700000" algn="tl" rotWithShape="0">
              <a:schemeClr val="bg1">
                <a:alpha val="40000"/>
              </a:schemeClr>
            </a:outerShdw>
          </a:effectLst>
        </xdr:spPr>
      </xdr:pic>
    </xdr:grpSp>
    <xdr:clientData/>
  </xdr:twoCellAnchor>
  <xdr:twoCellAnchor>
    <xdr:from>
      <xdr:col>3</xdr:col>
      <xdr:colOff>2130137</xdr:colOff>
      <xdr:row>271</xdr:row>
      <xdr:rowOff>51955</xdr:rowOff>
    </xdr:from>
    <xdr:to>
      <xdr:col>4</xdr:col>
      <xdr:colOff>343066</xdr:colOff>
      <xdr:row>272</xdr:row>
      <xdr:rowOff>44146</xdr:rowOff>
    </xdr:to>
    <xdr:grpSp>
      <xdr:nvGrpSpPr>
        <xdr:cNvPr id="119" name="Agrupar 118">
          <a:extLst>
            <a:ext uri="{FF2B5EF4-FFF2-40B4-BE49-F238E27FC236}">
              <a16:creationId xmlns:a16="http://schemas.microsoft.com/office/drawing/2014/main" id="{19744BCA-7048-4BD6-ACB1-0E59044CD5DA}"/>
            </a:ext>
          </a:extLst>
        </xdr:cNvPr>
        <xdr:cNvGrpSpPr/>
      </xdr:nvGrpSpPr>
      <xdr:grpSpPr>
        <a:xfrm rot="20941538">
          <a:off x="0" y="98251984"/>
          <a:ext cx="0" cy="340533"/>
          <a:chOff x="2921000" y="17018000"/>
          <a:chExt cx="1991723" cy="522764"/>
        </a:xfrm>
      </xdr:grpSpPr>
      <xdr:sp macro="" textlink="">
        <xdr:nvSpPr>
          <xdr:cNvPr id="120" name="CaixaDeTexto 119">
            <a:extLst>
              <a:ext uri="{FF2B5EF4-FFF2-40B4-BE49-F238E27FC236}">
                <a16:creationId xmlns:a16="http://schemas.microsoft.com/office/drawing/2014/main" id="{25B64795-ECCC-4002-A582-C17857F829F3}"/>
              </a:ext>
            </a:extLst>
          </xdr:cNvPr>
          <xdr:cNvSpPr txBox="1"/>
        </xdr:nvSpPr>
        <xdr:spPr>
          <a:xfrm>
            <a:off x="2921000" y="17018000"/>
            <a:ext cx="1623756" cy="5227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600">
                <a:solidFill>
                  <a:srgbClr val="00B050"/>
                </a:solidFill>
                <a:effectLst>
                  <a:outerShdw blurRad="50800" dist="38100" dir="2700000" algn="tl" rotWithShape="0">
                    <a:schemeClr val="bg1">
                      <a:alpha val="40000"/>
                    </a:schemeClr>
                  </a:outerShdw>
                </a:effectLst>
                <a:latin typeface="Shentox 7" pitchFamily="2" charset="0"/>
                <a:ea typeface="Shentox 7" pitchFamily="2" charset="0"/>
              </a:rPr>
              <a:t>Lançamento</a:t>
            </a:r>
            <a:endParaRPr lang="pt-BR" sz="2000">
              <a:solidFill>
                <a:srgbClr val="00B05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Shentox 7" pitchFamily="2" charset="0"/>
              <a:ea typeface="Shentox 7" pitchFamily="2" charset="0"/>
            </a:endParaRPr>
          </a:p>
        </xdr:txBody>
      </xdr:sp>
      <xdr:pic>
        <xdr:nvPicPr>
          <xdr:cNvPr id="121" name="Gráfico 120" descr="Foguete com preenchimento sólido">
            <a:extLst>
              <a:ext uri="{FF2B5EF4-FFF2-40B4-BE49-F238E27FC236}">
                <a16:creationId xmlns:a16="http://schemas.microsoft.com/office/drawing/2014/main" id="{8EC3B880-BAB3-880C-AE2F-F8C04997F7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4436472" y="17038544"/>
            <a:ext cx="476251" cy="476249"/>
          </a:xfrm>
          <a:prstGeom prst="rect">
            <a:avLst/>
          </a:prstGeom>
          <a:effectLst>
            <a:outerShdw blurRad="50800" dist="38100" dir="2700000" algn="tl" rotWithShape="0">
              <a:schemeClr val="bg1">
                <a:alpha val="40000"/>
              </a:schemeClr>
            </a:outerShdw>
          </a:effectLst>
        </xdr:spPr>
      </xdr:pic>
    </xdr:grpSp>
    <xdr:clientData/>
  </xdr:twoCellAnchor>
  <xdr:twoCellAnchor>
    <xdr:from>
      <xdr:col>3</xdr:col>
      <xdr:colOff>2112818</xdr:colOff>
      <xdr:row>254</xdr:row>
      <xdr:rowOff>103910</xdr:rowOff>
    </xdr:from>
    <xdr:to>
      <xdr:col>4</xdr:col>
      <xdr:colOff>325747</xdr:colOff>
      <xdr:row>255</xdr:row>
      <xdr:rowOff>96100</xdr:rowOff>
    </xdr:to>
    <xdr:grpSp>
      <xdr:nvGrpSpPr>
        <xdr:cNvPr id="122" name="Agrupar 121">
          <a:extLst>
            <a:ext uri="{FF2B5EF4-FFF2-40B4-BE49-F238E27FC236}">
              <a16:creationId xmlns:a16="http://schemas.microsoft.com/office/drawing/2014/main" id="{B1B6765F-AF23-4E19-9CA0-3235E950F8BF}"/>
            </a:ext>
          </a:extLst>
        </xdr:cNvPr>
        <xdr:cNvGrpSpPr/>
      </xdr:nvGrpSpPr>
      <xdr:grpSpPr>
        <a:xfrm rot="20941538">
          <a:off x="0" y="92676024"/>
          <a:ext cx="0" cy="340533"/>
          <a:chOff x="2921000" y="17018000"/>
          <a:chExt cx="1991723" cy="522764"/>
        </a:xfrm>
      </xdr:grpSpPr>
      <xdr:sp macro="" textlink="">
        <xdr:nvSpPr>
          <xdr:cNvPr id="123" name="CaixaDeTexto 122">
            <a:extLst>
              <a:ext uri="{FF2B5EF4-FFF2-40B4-BE49-F238E27FC236}">
                <a16:creationId xmlns:a16="http://schemas.microsoft.com/office/drawing/2014/main" id="{19191446-0C82-556F-12E8-D31ED459A5FD}"/>
              </a:ext>
            </a:extLst>
          </xdr:cNvPr>
          <xdr:cNvSpPr txBox="1"/>
        </xdr:nvSpPr>
        <xdr:spPr>
          <a:xfrm>
            <a:off x="2921000" y="17018000"/>
            <a:ext cx="1623756" cy="5227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600">
                <a:solidFill>
                  <a:srgbClr val="00B050"/>
                </a:solidFill>
                <a:effectLst>
                  <a:outerShdw blurRad="50800" dist="38100" dir="2700000" algn="tl" rotWithShape="0">
                    <a:schemeClr val="bg1">
                      <a:alpha val="40000"/>
                    </a:schemeClr>
                  </a:outerShdw>
                </a:effectLst>
                <a:latin typeface="Shentox 7" pitchFamily="2" charset="0"/>
                <a:ea typeface="Shentox 7" pitchFamily="2" charset="0"/>
              </a:rPr>
              <a:t>Lançamento</a:t>
            </a:r>
            <a:endParaRPr lang="pt-BR" sz="2000">
              <a:solidFill>
                <a:srgbClr val="00B05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Shentox 7" pitchFamily="2" charset="0"/>
              <a:ea typeface="Shentox 7" pitchFamily="2" charset="0"/>
            </a:endParaRPr>
          </a:p>
        </xdr:txBody>
      </xdr:sp>
      <xdr:pic>
        <xdr:nvPicPr>
          <xdr:cNvPr id="124" name="Gráfico 123" descr="Foguete com preenchimento sólido">
            <a:extLst>
              <a:ext uri="{FF2B5EF4-FFF2-40B4-BE49-F238E27FC236}">
                <a16:creationId xmlns:a16="http://schemas.microsoft.com/office/drawing/2014/main" id="{DF2D96AD-2436-E420-822C-E06834DBC7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4436472" y="17038544"/>
            <a:ext cx="476251" cy="476249"/>
          </a:xfrm>
          <a:prstGeom prst="rect">
            <a:avLst/>
          </a:prstGeom>
          <a:effectLst>
            <a:outerShdw blurRad="50800" dist="38100" dir="2700000" algn="tl" rotWithShape="0">
              <a:schemeClr val="bg1">
                <a:alpha val="40000"/>
              </a:schemeClr>
            </a:outerShdw>
          </a:effectLst>
        </xdr:spPr>
      </xdr:pic>
    </xdr:grpSp>
    <xdr:clientData/>
  </xdr:twoCellAnchor>
  <xdr:twoCellAnchor>
    <xdr:from>
      <xdr:col>3</xdr:col>
      <xdr:colOff>2436453</xdr:colOff>
      <xdr:row>248</xdr:row>
      <xdr:rowOff>56285</xdr:rowOff>
    </xdr:from>
    <xdr:to>
      <xdr:col>4</xdr:col>
      <xdr:colOff>649382</xdr:colOff>
      <xdr:row>249</xdr:row>
      <xdr:rowOff>48476</xdr:rowOff>
    </xdr:to>
    <xdr:grpSp>
      <xdr:nvGrpSpPr>
        <xdr:cNvPr id="125" name="Agrupar 124">
          <a:extLst>
            <a:ext uri="{FF2B5EF4-FFF2-40B4-BE49-F238E27FC236}">
              <a16:creationId xmlns:a16="http://schemas.microsoft.com/office/drawing/2014/main" id="{BD572650-7ABB-439E-B491-9DF3625E4950}"/>
            </a:ext>
          </a:extLst>
        </xdr:cNvPr>
        <xdr:cNvGrpSpPr/>
      </xdr:nvGrpSpPr>
      <xdr:grpSpPr>
        <a:xfrm rot="20941538">
          <a:off x="0" y="90538342"/>
          <a:ext cx="0" cy="340534"/>
          <a:chOff x="2921000" y="17018000"/>
          <a:chExt cx="1991723" cy="522764"/>
        </a:xfrm>
      </xdr:grpSpPr>
      <xdr:sp macro="" textlink="">
        <xdr:nvSpPr>
          <xdr:cNvPr id="126" name="CaixaDeTexto 125">
            <a:extLst>
              <a:ext uri="{FF2B5EF4-FFF2-40B4-BE49-F238E27FC236}">
                <a16:creationId xmlns:a16="http://schemas.microsoft.com/office/drawing/2014/main" id="{22A45D5F-2723-A5B7-36EA-4A29A3186E15}"/>
              </a:ext>
            </a:extLst>
          </xdr:cNvPr>
          <xdr:cNvSpPr txBox="1"/>
        </xdr:nvSpPr>
        <xdr:spPr>
          <a:xfrm>
            <a:off x="2921000" y="17018000"/>
            <a:ext cx="1623756" cy="5227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600">
                <a:solidFill>
                  <a:srgbClr val="00B050"/>
                </a:solidFill>
                <a:effectLst>
                  <a:outerShdw blurRad="50800" dist="38100" dir="2700000" algn="tl" rotWithShape="0">
                    <a:schemeClr val="bg1">
                      <a:alpha val="40000"/>
                    </a:schemeClr>
                  </a:outerShdw>
                </a:effectLst>
                <a:latin typeface="Shentox 7" pitchFamily="2" charset="0"/>
                <a:ea typeface="Shentox 7" pitchFamily="2" charset="0"/>
              </a:rPr>
              <a:t>Lançamento</a:t>
            </a:r>
            <a:endParaRPr lang="pt-BR" sz="2000">
              <a:solidFill>
                <a:srgbClr val="00B05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Shentox 7" pitchFamily="2" charset="0"/>
              <a:ea typeface="Shentox 7" pitchFamily="2" charset="0"/>
            </a:endParaRPr>
          </a:p>
        </xdr:txBody>
      </xdr:sp>
      <xdr:pic>
        <xdr:nvPicPr>
          <xdr:cNvPr id="127" name="Gráfico 126" descr="Foguete com preenchimento sólido">
            <a:extLst>
              <a:ext uri="{FF2B5EF4-FFF2-40B4-BE49-F238E27FC236}">
                <a16:creationId xmlns:a16="http://schemas.microsoft.com/office/drawing/2014/main" id="{152E2DDB-3219-239C-B6D6-1A77A1F2A0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4436472" y="17038544"/>
            <a:ext cx="476251" cy="476249"/>
          </a:xfrm>
          <a:prstGeom prst="rect">
            <a:avLst/>
          </a:prstGeom>
          <a:effectLst>
            <a:outerShdw blurRad="50800" dist="38100" dir="2700000" algn="tl" rotWithShape="0">
              <a:schemeClr val="bg1">
                <a:alpha val="40000"/>
              </a:schemeClr>
            </a:outerShdw>
          </a:effectLst>
        </xdr:spPr>
      </xdr:pic>
    </xdr:grpSp>
    <xdr:clientData/>
  </xdr:twoCellAnchor>
  <xdr:twoCellAnchor>
    <xdr:from>
      <xdr:col>3</xdr:col>
      <xdr:colOff>2112818</xdr:colOff>
      <xdr:row>261</xdr:row>
      <xdr:rowOff>103910</xdr:rowOff>
    </xdr:from>
    <xdr:to>
      <xdr:col>4</xdr:col>
      <xdr:colOff>325747</xdr:colOff>
      <xdr:row>262</xdr:row>
      <xdr:rowOff>96100</xdr:rowOff>
    </xdr:to>
    <xdr:grpSp>
      <xdr:nvGrpSpPr>
        <xdr:cNvPr id="128" name="Agrupar 127">
          <a:extLst>
            <a:ext uri="{FF2B5EF4-FFF2-40B4-BE49-F238E27FC236}">
              <a16:creationId xmlns:a16="http://schemas.microsoft.com/office/drawing/2014/main" id="{99B1BF27-B092-4F70-9350-EC25985F9F68}"/>
            </a:ext>
          </a:extLst>
        </xdr:cNvPr>
        <xdr:cNvGrpSpPr/>
      </xdr:nvGrpSpPr>
      <xdr:grpSpPr>
        <a:xfrm rot="20941538">
          <a:off x="0" y="95016453"/>
          <a:ext cx="0" cy="307876"/>
          <a:chOff x="2921000" y="17018000"/>
          <a:chExt cx="1991723" cy="522764"/>
        </a:xfrm>
      </xdr:grpSpPr>
      <xdr:sp macro="" textlink="">
        <xdr:nvSpPr>
          <xdr:cNvPr id="129" name="CaixaDeTexto 128">
            <a:extLst>
              <a:ext uri="{FF2B5EF4-FFF2-40B4-BE49-F238E27FC236}">
                <a16:creationId xmlns:a16="http://schemas.microsoft.com/office/drawing/2014/main" id="{FCFE7DCB-CF86-A6C3-5E33-5EC152B65296}"/>
              </a:ext>
            </a:extLst>
          </xdr:cNvPr>
          <xdr:cNvSpPr txBox="1"/>
        </xdr:nvSpPr>
        <xdr:spPr>
          <a:xfrm>
            <a:off x="2921000" y="17018000"/>
            <a:ext cx="1623756" cy="5227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600">
                <a:solidFill>
                  <a:srgbClr val="00B050"/>
                </a:solidFill>
                <a:effectLst>
                  <a:outerShdw blurRad="50800" dist="38100" dir="2700000" algn="tl" rotWithShape="0">
                    <a:schemeClr val="bg1">
                      <a:alpha val="40000"/>
                    </a:schemeClr>
                  </a:outerShdw>
                </a:effectLst>
                <a:latin typeface="Shentox 7" pitchFamily="2" charset="0"/>
                <a:ea typeface="Shentox 7" pitchFamily="2" charset="0"/>
              </a:rPr>
              <a:t>Lançamento</a:t>
            </a:r>
            <a:endParaRPr lang="pt-BR" sz="2000">
              <a:solidFill>
                <a:srgbClr val="00B05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Shentox 7" pitchFamily="2" charset="0"/>
              <a:ea typeface="Shentox 7" pitchFamily="2" charset="0"/>
            </a:endParaRPr>
          </a:p>
        </xdr:txBody>
      </xdr:sp>
      <xdr:pic>
        <xdr:nvPicPr>
          <xdr:cNvPr id="130" name="Gráfico 129" descr="Foguete com preenchimento sólido">
            <a:extLst>
              <a:ext uri="{FF2B5EF4-FFF2-40B4-BE49-F238E27FC236}">
                <a16:creationId xmlns:a16="http://schemas.microsoft.com/office/drawing/2014/main" id="{C507BCC0-8485-9526-8931-9A839219D0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4436472" y="17038544"/>
            <a:ext cx="476251" cy="476249"/>
          </a:xfrm>
          <a:prstGeom prst="rect">
            <a:avLst/>
          </a:prstGeom>
          <a:effectLst>
            <a:outerShdw blurRad="50800" dist="38100" dir="2700000" algn="tl" rotWithShape="0">
              <a:schemeClr val="bg1">
                <a:alpha val="40000"/>
              </a:schemeClr>
            </a:outerShdw>
          </a:effectLst>
        </xdr:spPr>
      </xdr:pic>
    </xdr:grpSp>
    <xdr:clientData/>
  </xdr:twoCellAnchor>
  <xdr:twoCellAnchor>
    <xdr:from>
      <xdr:col>3</xdr:col>
      <xdr:colOff>1564821</xdr:colOff>
      <xdr:row>81</xdr:row>
      <xdr:rowOff>13608</xdr:rowOff>
    </xdr:from>
    <xdr:to>
      <xdr:col>3</xdr:col>
      <xdr:colOff>3113768</xdr:colOff>
      <xdr:row>82</xdr:row>
      <xdr:rowOff>148055</xdr:rowOff>
    </xdr:to>
    <xdr:grpSp>
      <xdr:nvGrpSpPr>
        <xdr:cNvPr id="154" name="Agrupar 153">
          <a:extLst>
            <a:ext uri="{FF2B5EF4-FFF2-40B4-BE49-F238E27FC236}">
              <a16:creationId xmlns:a16="http://schemas.microsoft.com/office/drawing/2014/main" id="{1A239EC0-F84E-4450-A0F8-ACD5B0A24016}"/>
            </a:ext>
          </a:extLst>
        </xdr:cNvPr>
        <xdr:cNvGrpSpPr/>
      </xdr:nvGrpSpPr>
      <xdr:grpSpPr>
        <a:xfrm>
          <a:off x="0" y="26084894"/>
          <a:ext cx="0" cy="341275"/>
          <a:chOff x="2921000" y="17018000"/>
          <a:chExt cx="1991723" cy="522764"/>
        </a:xfrm>
      </xdr:grpSpPr>
      <xdr:sp macro="" textlink="">
        <xdr:nvSpPr>
          <xdr:cNvPr id="155" name="CaixaDeTexto 154">
            <a:extLst>
              <a:ext uri="{FF2B5EF4-FFF2-40B4-BE49-F238E27FC236}">
                <a16:creationId xmlns:a16="http://schemas.microsoft.com/office/drawing/2014/main" id="{C68C851E-4DB9-9118-8B99-EB80E5ECF767}"/>
              </a:ext>
            </a:extLst>
          </xdr:cNvPr>
          <xdr:cNvSpPr txBox="1"/>
        </xdr:nvSpPr>
        <xdr:spPr>
          <a:xfrm>
            <a:off x="2921000" y="17018000"/>
            <a:ext cx="1623756" cy="5227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600">
                <a:solidFill>
                  <a:srgbClr val="00B050"/>
                </a:solidFill>
                <a:effectLst>
                  <a:outerShdw blurRad="50800" dist="38100" dir="2700000" algn="tl" rotWithShape="0">
                    <a:schemeClr val="bg1">
                      <a:alpha val="40000"/>
                    </a:schemeClr>
                  </a:outerShdw>
                </a:effectLst>
                <a:latin typeface="Shentox 7" pitchFamily="2" charset="0"/>
                <a:ea typeface="Shentox 7" pitchFamily="2" charset="0"/>
              </a:rPr>
              <a:t>Lançamento</a:t>
            </a:r>
            <a:endParaRPr lang="pt-BR" sz="2000">
              <a:solidFill>
                <a:srgbClr val="00B05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Shentox 7" pitchFamily="2" charset="0"/>
              <a:ea typeface="Shentox 7" pitchFamily="2" charset="0"/>
            </a:endParaRPr>
          </a:p>
        </xdr:txBody>
      </xdr:sp>
      <xdr:pic>
        <xdr:nvPicPr>
          <xdr:cNvPr id="156" name="Gráfico 155" descr="Foguete com preenchimento sólido">
            <a:extLst>
              <a:ext uri="{FF2B5EF4-FFF2-40B4-BE49-F238E27FC236}">
                <a16:creationId xmlns:a16="http://schemas.microsoft.com/office/drawing/2014/main" id="{B0C17851-7DFF-6131-7A02-21F88481EC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4436472" y="17038544"/>
            <a:ext cx="476251" cy="476249"/>
          </a:xfrm>
          <a:prstGeom prst="rect">
            <a:avLst/>
          </a:prstGeom>
          <a:effectLst>
            <a:outerShdw blurRad="50800" dist="38100" dir="2700000" algn="tl" rotWithShape="0">
              <a:schemeClr val="bg1">
                <a:alpha val="40000"/>
              </a:schemeClr>
            </a:outerShdw>
          </a:effectLst>
        </xdr:spPr>
      </xdr:pic>
    </xdr:grpSp>
    <xdr:clientData/>
  </xdr:twoCellAnchor>
  <xdr:twoCellAnchor>
    <xdr:from>
      <xdr:col>3</xdr:col>
      <xdr:colOff>2272393</xdr:colOff>
      <xdr:row>69</xdr:row>
      <xdr:rowOff>149678</xdr:rowOff>
    </xdr:from>
    <xdr:to>
      <xdr:col>4</xdr:col>
      <xdr:colOff>487590</xdr:colOff>
      <xdr:row>70</xdr:row>
      <xdr:rowOff>25589</xdr:rowOff>
    </xdr:to>
    <xdr:grpSp>
      <xdr:nvGrpSpPr>
        <xdr:cNvPr id="157" name="Agrupar 156">
          <a:extLst>
            <a:ext uri="{FF2B5EF4-FFF2-40B4-BE49-F238E27FC236}">
              <a16:creationId xmlns:a16="http://schemas.microsoft.com/office/drawing/2014/main" id="{4679CECE-4B73-4E6A-BE3D-FF9F52E4247E}"/>
            </a:ext>
          </a:extLst>
        </xdr:cNvPr>
        <xdr:cNvGrpSpPr/>
      </xdr:nvGrpSpPr>
      <xdr:grpSpPr>
        <a:xfrm>
          <a:off x="0" y="21409478"/>
          <a:ext cx="0" cy="343997"/>
          <a:chOff x="2921000" y="17018000"/>
          <a:chExt cx="1991723" cy="522764"/>
        </a:xfrm>
      </xdr:grpSpPr>
      <xdr:sp macro="" textlink="">
        <xdr:nvSpPr>
          <xdr:cNvPr id="158" name="CaixaDeTexto 157">
            <a:extLst>
              <a:ext uri="{FF2B5EF4-FFF2-40B4-BE49-F238E27FC236}">
                <a16:creationId xmlns:a16="http://schemas.microsoft.com/office/drawing/2014/main" id="{C744D1BE-769F-EB63-7E5A-7D6282BC3FDA}"/>
              </a:ext>
            </a:extLst>
          </xdr:cNvPr>
          <xdr:cNvSpPr txBox="1"/>
        </xdr:nvSpPr>
        <xdr:spPr>
          <a:xfrm>
            <a:off x="2921000" y="17018000"/>
            <a:ext cx="1623756" cy="5227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600">
                <a:solidFill>
                  <a:srgbClr val="00B050"/>
                </a:solidFill>
                <a:effectLst>
                  <a:outerShdw blurRad="50800" dist="38100" dir="2700000" algn="tl" rotWithShape="0">
                    <a:schemeClr val="bg1">
                      <a:alpha val="40000"/>
                    </a:schemeClr>
                  </a:outerShdw>
                </a:effectLst>
                <a:latin typeface="Shentox 7" pitchFamily="2" charset="0"/>
                <a:ea typeface="Shentox 7" pitchFamily="2" charset="0"/>
              </a:rPr>
              <a:t>Lançamento</a:t>
            </a:r>
            <a:endParaRPr lang="pt-BR" sz="2000">
              <a:solidFill>
                <a:srgbClr val="00B05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Shentox 7" pitchFamily="2" charset="0"/>
              <a:ea typeface="Shentox 7" pitchFamily="2" charset="0"/>
            </a:endParaRPr>
          </a:p>
        </xdr:txBody>
      </xdr:sp>
      <xdr:pic>
        <xdr:nvPicPr>
          <xdr:cNvPr id="159" name="Gráfico 158" descr="Foguete com preenchimento sólido">
            <a:extLst>
              <a:ext uri="{FF2B5EF4-FFF2-40B4-BE49-F238E27FC236}">
                <a16:creationId xmlns:a16="http://schemas.microsoft.com/office/drawing/2014/main" id="{63E377E7-673A-6EFF-F34F-8493EF0564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4436472" y="17038544"/>
            <a:ext cx="476251" cy="476249"/>
          </a:xfrm>
          <a:prstGeom prst="rect">
            <a:avLst/>
          </a:prstGeom>
          <a:effectLst>
            <a:outerShdw blurRad="50800" dist="38100" dir="2700000" algn="tl" rotWithShape="0">
              <a:schemeClr val="bg1">
                <a:alpha val="40000"/>
              </a:schemeClr>
            </a:outerShdw>
          </a:effec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182217</xdr:colOff>
      <xdr:row>0</xdr:row>
      <xdr:rowOff>0</xdr:rowOff>
    </xdr:from>
    <xdr:to>
      <xdr:col>17</xdr:col>
      <xdr:colOff>240194</xdr:colOff>
      <xdr:row>17</xdr:row>
      <xdr:rowOff>134179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F2DD7F-DB9F-4827-AE1D-5F23F7E017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142875</xdr:colOff>
      <xdr:row>3</xdr:row>
      <xdr:rowOff>95250</xdr:rowOff>
    </xdr:from>
    <xdr:to>
      <xdr:col>42</xdr:col>
      <xdr:colOff>877523</xdr:colOff>
      <xdr:row>13</xdr:row>
      <xdr:rowOff>40721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67803572-18CE-4305-8CA2-B384211DFD95}"/>
            </a:ext>
          </a:extLst>
        </xdr:cNvPr>
        <xdr:cNvGrpSpPr/>
      </xdr:nvGrpSpPr>
      <xdr:grpSpPr>
        <a:xfrm>
          <a:off x="15021339" y="512693"/>
          <a:ext cx="0" cy="1336950"/>
          <a:chOff x="18730231" y="881596"/>
          <a:chExt cx="2598332" cy="1373988"/>
        </a:xfrm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BBC095FE-52A6-18E6-4FB2-2E3E8A8D7CEF}"/>
              </a:ext>
            </a:extLst>
          </xdr:cNvPr>
          <xdr:cNvSpPr/>
        </xdr:nvSpPr>
        <xdr:spPr>
          <a:xfrm>
            <a:off x="18730231" y="1304586"/>
            <a:ext cx="2510519" cy="932089"/>
          </a:xfrm>
          <a:prstGeom prst="roundRect">
            <a:avLst/>
          </a:prstGeom>
          <a:solidFill>
            <a:schemeClr val="bg1">
              <a:lumMod val="85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effectLst/>
            </a:endParaRPr>
          </a:p>
        </xdr:txBody>
      </xdr:sp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50EF8FB2-38CE-8919-A0BA-21DB5CA79338}"/>
              </a:ext>
            </a:extLst>
          </xdr:cNvPr>
          <xdr:cNvGrpSpPr/>
        </xdr:nvGrpSpPr>
        <xdr:grpSpPr>
          <a:xfrm>
            <a:off x="18819750" y="881596"/>
            <a:ext cx="2508813" cy="1373988"/>
            <a:chOff x="16245264" y="857717"/>
            <a:chExt cx="2514861" cy="1337417"/>
          </a:xfrm>
        </xdr:grpSpPr>
        <xdr:grpSp>
          <xdr:nvGrpSpPr>
            <xdr:cNvPr id="5" name="Agrupar 4">
              <a:extLst>
                <a:ext uri="{FF2B5EF4-FFF2-40B4-BE49-F238E27FC236}">
                  <a16:creationId xmlns:a16="http://schemas.microsoft.com/office/drawing/2014/main" id="{BB6392FF-ED53-4516-9DE0-10553D919E02}"/>
                </a:ext>
              </a:extLst>
            </xdr:cNvPr>
            <xdr:cNvGrpSpPr/>
          </xdr:nvGrpSpPr>
          <xdr:grpSpPr>
            <a:xfrm>
              <a:off x="16269758" y="1226601"/>
              <a:ext cx="2223692" cy="968533"/>
              <a:chOff x="16269758" y="1226601"/>
              <a:chExt cx="2223692" cy="968533"/>
            </a:xfrm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grpSpPr>
          <xdr:sp macro="" textlink="Sup!#REF!">
            <xdr:nvSpPr>
              <xdr:cNvPr id="7" name="Retângulo: Cantos Arredondados 6">
                <a:extLst>
                  <a:ext uri="{FF2B5EF4-FFF2-40B4-BE49-F238E27FC236}">
                    <a16:creationId xmlns:a16="http://schemas.microsoft.com/office/drawing/2014/main" id="{4EE3AFC8-1840-4CFB-76F2-97E03B44F1A6}"/>
                  </a:ext>
                </a:extLst>
              </xdr:cNvPr>
              <xdr:cNvSpPr/>
            </xdr:nvSpPr>
            <xdr:spPr>
              <a:xfrm>
                <a:off x="17409582" y="1230843"/>
                <a:ext cx="1083868" cy="962024"/>
              </a:xfrm>
              <a:prstGeom prst="roundRect">
                <a:avLst>
                  <a:gd name="adj" fmla="val 8192"/>
                </a:avLst>
              </a:prstGeom>
              <a:noFill/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r"/>
                <a:fld id="{62EA4017-E797-4019-9D9B-4D8749B66E7F}" type="TxLink">
                  <a:rPr lang="en-US" sz="1100" b="0" i="0" u="none" strike="noStrike">
                    <a:solidFill>
                      <a:srgbClr val="000000"/>
                    </a:solidFill>
                    <a:effectLst/>
                    <a:latin typeface="Shentox"/>
                    <a:ea typeface="Shentox"/>
                  </a:rPr>
                  <a:pPr algn="r"/>
                  <a:t> 0,0700 </a:t>
                </a:fld>
                <a:endParaRPr lang="pt-BR" sz="1100">
                  <a:solidFill>
                    <a:sysClr val="windowText" lastClr="000000"/>
                  </a:solidFill>
                  <a:effectLst/>
                </a:endParaRPr>
              </a:p>
            </xdr:txBody>
          </xdr:sp>
          <xdr:grpSp>
            <xdr:nvGrpSpPr>
              <xdr:cNvPr id="8" name="Agrupar 7">
                <a:extLst>
                  <a:ext uri="{FF2B5EF4-FFF2-40B4-BE49-F238E27FC236}">
                    <a16:creationId xmlns:a16="http://schemas.microsoft.com/office/drawing/2014/main" id="{2641FF1B-0802-245E-829B-ECE2BC5CD6D6}"/>
                  </a:ext>
                </a:extLst>
              </xdr:cNvPr>
              <xdr:cNvGrpSpPr/>
            </xdr:nvGrpSpPr>
            <xdr:grpSpPr>
              <a:xfrm>
                <a:off x="16269758" y="1226601"/>
                <a:ext cx="1673231" cy="968533"/>
                <a:chOff x="22805571" y="1646465"/>
                <a:chExt cx="1626483" cy="957458"/>
              </a:xfrm>
              <a:effectLst/>
            </xdr:grpSpPr>
            <xdr:sp macro="" textlink="Sup!#REF!">
              <xdr:nvSpPr>
                <xdr:cNvPr id="9" name="Retângulo: Cantos Arredondados 8">
                  <a:extLst>
                    <a:ext uri="{FF2B5EF4-FFF2-40B4-BE49-F238E27FC236}">
                      <a16:creationId xmlns:a16="http://schemas.microsoft.com/office/drawing/2014/main" id="{B4130AD6-F324-3A87-0CDA-38EC02A93630}"/>
                    </a:ext>
                  </a:extLst>
                </xdr:cNvPr>
                <xdr:cNvSpPr/>
              </xdr:nvSpPr>
              <xdr:spPr>
                <a:xfrm>
                  <a:off x="23558286" y="1649187"/>
                  <a:ext cx="873768" cy="568778"/>
                </a:xfrm>
                <a:prstGeom prst="roundRect">
                  <a:avLst>
                    <a:gd name="adj" fmla="val 8192"/>
                  </a:avLst>
                </a:prstGeom>
                <a:noFill/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r"/>
                  <a:fld id="{53B538D4-830F-4374-8514-7D68423D8981}" type="TxLink">
                    <a:rPr lang="en-US" sz="1100" b="0" i="0" u="none" strike="noStrike">
                      <a:solidFill>
                        <a:srgbClr val="000000"/>
                      </a:solidFill>
                      <a:effectLst/>
                      <a:latin typeface="Shentox"/>
                      <a:ea typeface="Shentox"/>
                    </a:rPr>
                    <a:pPr algn="r"/>
                    <a:t> </a:t>
                  </a:fld>
                  <a:endParaRPr lang="pt-BR" sz="1100">
                    <a:solidFill>
                      <a:sysClr val="windowText" lastClr="000000"/>
                    </a:solidFill>
                    <a:effectLst/>
                  </a:endParaRPr>
                </a:p>
              </xdr:txBody>
            </xdr:sp>
            <xdr:sp macro="" textlink="Sup!#REF!">
              <xdr:nvSpPr>
                <xdr:cNvPr id="10" name="Retângulo: Cantos Arredondados 9">
                  <a:extLst>
                    <a:ext uri="{FF2B5EF4-FFF2-40B4-BE49-F238E27FC236}">
                      <a16:creationId xmlns:a16="http://schemas.microsoft.com/office/drawing/2014/main" id="{F7C54A8F-FA04-01C1-62A4-67070D3F7AF7}"/>
                    </a:ext>
                  </a:extLst>
                </xdr:cNvPr>
                <xdr:cNvSpPr/>
              </xdr:nvSpPr>
              <xdr:spPr>
                <a:xfrm>
                  <a:off x="22805571" y="1646465"/>
                  <a:ext cx="1074965" cy="568778"/>
                </a:xfrm>
                <a:prstGeom prst="roundRect">
                  <a:avLst>
                    <a:gd name="adj" fmla="val 8192"/>
                  </a:avLst>
                </a:prstGeom>
                <a:noFill/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fld id="{1E41D6A1-21D8-4454-A079-5A057138AE84}" type="TxLink">
                    <a:rPr lang="en-US" sz="1100" b="0" i="0" u="none" strike="noStrike">
                      <a:solidFill>
                        <a:srgbClr val="000000"/>
                      </a:solidFill>
                      <a:effectLst/>
                      <a:latin typeface="Shentox"/>
                      <a:ea typeface="Shentox"/>
                    </a:rPr>
                    <a:pPr algn="ctr"/>
                    <a:t> </a:t>
                  </a:fld>
                  <a:endParaRPr lang="pt-BR" sz="1100">
                    <a:solidFill>
                      <a:sysClr val="windowText" lastClr="000000"/>
                    </a:solidFill>
                    <a:effectLst/>
                  </a:endParaRPr>
                </a:p>
              </xdr:txBody>
            </xdr:sp>
            <xdr:sp macro="" textlink="Sup!#REF!">
              <xdr:nvSpPr>
                <xdr:cNvPr id="11" name="Retângulo: Cantos Arredondados 10">
                  <a:extLst>
                    <a:ext uri="{FF2B5EF4-FFF2-40B4-BE49-F238E27FC236}">
                      <a16:creationId xmlns:a16="http://schemas.microsoft.com/office/drawing/2014/main" id="{E0323094-2F34-1D66-5D22-E797D1567E84}"/>
                    </a:ext>
                  </a:extLst>
                </xdr:cNvPr>
                <xdr:cNvSpPr/>
              </xdr:nvSpPr>
              <xdr:spPr>
                <a:xfrm>
                  <a:off x="22805571" y="2037870"/>
                  <a:ext cx="1074965" cy="563811"/>
                </a:xfrm>
                <a:prstGeom prst="roundRect">
                  <a:avLst>
                    <a:gd name="adj" fmla="val 8192"/>
                  </a:avLst>
                </a:prstGeom>
                <a:noFill/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fld id="{76397D38-397A-4096-A3B7-D9FA89C985CA}" type="TxLink">
                    <a:rPr lang="en-US" sz="1100" b="0" i="0" u="none" strike="noStrike">
                      <a:solidFill>
                        <a:srgbClr val="000000"/>
                      </a:solidFill>
                      <a:effectLst/>
                      <a:latin typeface="Shentox"/>
                      <a:ea typeface="Shentox"/>
                    </a:rPr>
                    <a:pPr algn="ctr"/>
                    <a:t> </a:t>
                  </a:fld>
                  <a:endParaRPr lang="pt-BR" sz="1100">
                    <a:solidFill>
                      <a:sysClr val="windowText" lastClr="000000"/>
                    </a:solidFill>
                    <a:effectLst/>
                  </a:endParaRPr>
                </a:p>
              </xdr:txBody>
            </xdr:sp>
            <xdr:sp macro="" textlink="Sup!#REF!">
              <xdr:nvSpPr>
                <xdr:cNvPr id="12" name="Retângulo: Cantos Arredondados 11">
                  <a:extLst>
                    <a:ext uri="{FF2B5EF4-FFF2-40B4-BE49-F238E27FC236}">
                      <a16:creationId xmlns:a16="http://schemas.microsoft.com/office/drawing/2014/main" id="{004A958D-104F-CE69-45A0-8FFBA649FE79}"/>
                    </a:ext>
                  </a:extLst>
                </xdr:cNvPr>
                <xdr:cNvSpPr/>
              </xdr:nvSpPr>
              <xdr:spPr>
                <a:xfrm>
                  <a:off x="23558286" y="2029386"/>
                  <a:ext cx="873768" cy="574537"/>
                </a:xfrm>
                <a:prstGeom prst="roundRect">
                  <a:avLst>
                    <a:gd name="adj" fmla="val 8192"/>
                  </a:avLst>
                </a:prstGeom>
                <a:noFill/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r"/>
                  <a:fld id="{0DE4A174-E8D5-4B2D-9DDE-10D81C70C587}" type="TxLink">
                    <a:rPr lang="en-US" sz="1100" b="0" i="0" u="none" strike="noStrike">
                      <a:solidFill>
                        <a:srgbClr val="000000"/>
                      </a:solidFill>
                      <a:effectLst/>
                      <a:latin typeface="Shentox"/>
                      <a:ea typeface="Shentox"/>
                    </a:rPr>
                    <a:pPr algn="r"/>
                    <a:t> </a:t>
                  </a:fld>
                  <a:endParaRPr lang="pt-BR" sz="1100">
                    <a:solidFill>
                      <a:sysClr val="windowText" lastClr="000000"/>
                    </a:solidFill>
                    <a:effectLst/>
                  </a:endParaRPr>
                </a:p>
              </xdr:txBody>
            </xdr:sp>
          </xdr:grpSp>
        </xdr:grpSp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786E15D1-938D-8BA5-9DA9-08A6BFA4D0EA}"/>
                </a:ext>
              </a:extLst>
            </xdr:cNvPr>
            <xdr:cNvSpPr txBox="1"/>
          </xdr:nvSpPr>
          <xdr:spPr>
            <a:xfrm>
              <a:off x="16245264" y="857717"/>
              <a:ext cx="2514861" cy="4405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1050" b="1">
                  <a:solidFill>
                    <a:schemeClr val="bg1"/>
                  </a:solidFill>
                  <a:effectLst/>
                  <a:latin typeface="Shentox" pitchFamily="2" charset="0"/>
                  <a:ea typeface="Shentox" pitchFamily="2" charset="0"/>
                  <a:cs typeface="+mn-cs"/>
                </a:rPr>
                <a:t>SUGESTÃO QTDE</a:t>
              </a:r>
              <a:r>
                <a:rPr lang="pt-BR" sz="1050" b="1" baseline="0">
                  <a:solidFill>
                    <a:schemeClr val="bg1"/>
                  </a:solidFill>
                  <a:effectLst/>
                  <a:latin typeface="Shentox" pitchFamily="2" charset="0"/>
                  <a:ea typeface="Shentox" pitchFamily="2" charset="0"/>
                  <a:cs typeface="+mn-cs"/>
                </a:rPr>
                <a:t> CREATINA CREAPURE:</a:t>
              </a:r>
              <a:endParaRPr lang="pt-BR" sz="1050" b="1">
                <a:solidFill>
                  <a:schemeClr val="bg1"/>
                </a:solidFill>
                <a:effectLst/>
                <a:latin typeface="Shentox" pitchFamily="2" charset="0"/>
                <a:ea typeface="Shentox" pitchFamily="2" charset="0"/>
              </a:endParaRPr>
            </a:p>
          </xdr:txBody>
        </xdr: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ABELAS%20JUNHO/Tabelas%20ALIMENTAR-%20ATUAL%20(JUN).xlsx" TargetMode="External"/><Relationship Id="rId2" Type="http://schemas.openxmlformats.org/officeDocument/2006/relationships/externalLinkPath" Target="file:///C:\Users\daniel.vicente\Desktop\TABELAS%20JUNHO\Tabelas%20ALIMENTAR-%20ATUAL%20(JUN).xlsx" TargetMode="External"/><Relationship Id="rId1" Type="http://schemas.openxmlformats.org/officeDocument/2006/relationships/externalLinkPath" Target="/Users/daniel.vicente/Desktop/TABELAS%20JUNHO/Tabelas%20ALIMENTAR-%20ATUAL%20(JUN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dido"/>
      <sheetName val="Planilha2"/>
      <sheetName val="Planilha1"/>
      <sheetName val="Cálculo"/>
      <sheetName val="BU"/>
      <sheetName val="Cálculo Substituição Tributária"/>
      <sheetName val="Sup"/>
    </sheetNames>
    <sheetDataSet>
      <sheetData sheetId="0"/>
      <sheetData sheetId="1"/>
      <sheetData sheetId="2">
        <row r="1">
          <cell r="A1" t="str">
            <v>codigo_produto</v>
          </cell>
          <cell r="B1" t="str">
            <v>grupo_remuneracao_variavel</v>
          </cell>
        </row>
        <row r="2">
          <cell r="A2">
            <v>520349101</v>
          </cell>
          <cell r="B2" t="str">
            <v>BARRAS</v>
          </cell>
        </row>
        <row r="3">
          <cell r="A3">
            <v>520349100</v>
          </cell>
          <cell r="B3" t="str">
            <v>BARRAS</v>
          </cell>
        </row>
        <row r="4">
          <cell r="A4">
            <v>520349079</v>
          </cell>
          <cell r="B4" t="str">
            <v>BARRAS</v>
          </cell>
        </row>
        <row r="5">
          <cell r="A5">
            <v>520349051</v>
          </cell>
          <cell r="B5" t="str">
            <v>BARRAS</v>
          </cell>
        </row>
        <row r="6">
          <cell r="A6">
            <v>520349027</v>
          </cell>
          <cell r="B6" t="str">
            <v>BARRAS</v>
          </cell>
        </row>
        <row r="7">
          <cell r="A7">
            <v>520349080</v>
          </cell>
          <cell r="B7" t="str">
            <v>BARRAS</v>
          </cell>
        </row>
        <row r="8">
          <cell r="A8">
            <v>520349083</v>
          </cell>
          <cell r="B8" t="str">
            <v>BARRAS</v>
          </cell>
        </row>
        <row r="9">
          <cell r="A9">
            <v>520349081</v>
          </cell>
          <cell r="B9" t="str">
            <v>BARRAS</v>
          </cell>
        </row>
        <row r="10">
          <cell r="A10">
            <v>510339080</v>
          </cell>
          <cell r="B10" t="str">
            <v>BARRAS</v>
          </cell>
        </row>
        <row r="11">
          <cell r="A11">
            <v>510339081</v>
          </cell>
          <cell r="B11" t="str">
            <v>BARRAS</v>
          </cell>
        </row>
        <row r="12">
          <cell r="A12">
            <v>510339079</v>
          </cell>
          <cell r="B12" t="str">
            <v>BARRAS</v>
          </cell>
        </row>
        <row r="13">
          <cell r="A13">
            <v>510339023</v>
          </cell>
          <cell r="B13" t="str">
            <v>BARRAS</v>
          </cell>
        </row>
        <row r="14">
          <cell r="A14">
            <v>460158070</v>
          </cell>
          <cell r="B14" t="str">
            <v>BARRAS</v>
          </cell>
        </row>
        <row r="15">
          <cell r="A15">
            <v>460158019</v>
          </cell>
          <cell r="B15" t="str">
            <v>BARRAS</v>
          </cell>
        </row>
        <row r="16">
          <cell r="A16">
            <v>460158069</v>
          </cell>
          <cell r="B16" t="str">
            <v>BARRAS</v>
          </cell>
        </row>
        <row r="17">
          <cell r="A17">
            <v>460135019</v>
          </cell>
          <cell r="B17" t="str">
            <v>BARRAS</v>
          </cell>
        </row>
        <row r="18">
          <cell r="A18">
            <v>460135069</v>
          </cell>
          <cell r="B18" t="str">
            <v>BARRAS</v>
          </cell>
        </row>
        <row r="19">
          <cell r="A19">
            <v>460135072</v>
          </cell>
          <cell r="B19" t="str">
            <v>BARRAS</v>
          </cell>
        </row>
        <row r="20">
          <cell r="A20">
            <v>460135023</v>
          </cell>
          <cell r="B20" t="str">
            <v>BARRAS</v>
          </cell>
        </row>
        <row r="21">
          <cell r="A21">
            <v>460135068</v>
          </cell>
          <cell r="B21" t="str">
            <v>BARRAS</v>
          </cell>
        </row>
        <row r="22">
          <cell r="A22">
            <v>460135115</v>
          </cell>
          <cell r="B22" t="str">
            <v>BARRAS</v>
          </cell>
        </row>
        <row r="23">
          <cell r="A23">
            <v>460135116</v>
          </cell>
          <cell r="B23" t="str">
            <v>BARRAS</v>
          </cell>
        </row>
        <row r="24">
          <cell r="A24">
            <v>460135070</v>
          </cell>
          <cell r="B24" t="str">
            <v>BARRAS</v>
          </cell>
        </row>
        <row r="25">
          <cell r="A25">
            <v>460160019</v>
          </cell>
          <cell r="B25" t="str">
            <v>BARRAS</v>
          </cell>
        </row>
        <row r="26">
          <cell r="A26">
            <v>460160068</v>
          </cell>
          <cell r="B26" t="str">
            <v>BARRAS</v>
          </cell>
        </row>
        <row r="27">
          <cell r="A27">
            <v>460160072</v>
          </cell>
          <cell r="B27" t="str">
            <v>BARRAS</v>
          </cell>
        </row>
        <row r="28">
          <cell r="A28">
            <v>460160070</v>
          </cell>
          <cell r="B28" t="str">
            <v>BARRAS</v>
          </cell>
        </row>
        <row r="29">
          <cell r="A29">
            <v>460160069</v>
          </cell>
          <cell r="B29" t="str">
            <v>BARRAS</v>
          </cell>
        </row>
        <row r="30">
          <cell r="A30">
            <v>520504001</v>
          </cell>
          <cell r="B30" t="str">
            <v>CREATINAS</v>
          </cell>
        </row>
        <row r="31">
          <cell r="A31">
            <v>410201001</v>
          </cell>
          <cell r="B31" t="str">
            <v>CREATINAS</v>
          </cell>
        </row>
        <row r="32">
          <cell r="A32">
            <v>410268001</v>
          </cell>
          <cell r="B32" t="str">
            <v>CREATINAS</v>
          </cell>
        </row>
        <row r="33">
          <cell r="A33">
            <v>410204001</v>
          </cell>
          <cell r="B33" t="str">
            <v>CREATINAS</v>
          </cell>
        </row>
        <row r="34">
          <cell r="A34">
            <v>431201001</v>
          </cell>
          <cell r="B34" t="str">
            <v>CREATINAS</v>
          </cell>
        </row>
        <row r="35">
          <cell r="A35">
            <v>431204001</v>
          </cell>
          <cell r="B35" t="str">
            <v>CREATINAS</v>
          </cell>
        </row>
        <row r="36">
          <cell r="A36">
            <v>510539001</v>
          </cell>
          <cell r="B36" t="str">
            <v>CREATINAS</v>
          </cell>
        </row>
        <row r="37">
          <cell r="A37">
            <v>410301001</v>
          </cell>
          <cell r="B37" t="str">
            <v>CREATINAS</v>
          </cell>
        </row>
        <row r="38">
          <cell r="A38">
            <v>410304001</v>
          </cell>
          <cell r="B38" t="str">
            <v>CREATINAS</v>
          </cell>
        </row>
        <row r="39">
          <cell r="A39">
            <v>410368001</v>
          </cell>
          <cell r="B39" t="str">
            <v>CREATINAS</v>
          </cell>
        </row>
        <row r="40">
          <cell r="A40">
            <v>410312001</v>
          </cell>
          <cell r="B40" t="str">
            <v>CREATINAS</v>
          </cell>
        </row>
        <row r="41">
          <cell r="A41">
            <v>520554099</v>
          </cell>
          <cell r="B41" t="str">
            <v>CREATINAS</v>
          </cell>
        </row>
        <row r="42">
          <cell r="A42">
            <v>520554034</v>
          </cell>
          <cell r="B42" t="str">
            <v>CREATINAS</v>
          </cell>
        </row>
        <row r="43">
          <cell r="A43">
            <v>520554098</v>
          </cell>
          <cell r="B43" t="str">
            <v>CREATINAS</v>
          </cell>
        </row>
        <row r="44">
          <cell r="A44">
            <v>80010056</v>
          </cell>
          <cell r="B44" t="str">
            <v>OUTROS</v>
          </cell>
        </row>
        <row r="45">
          <cell r="A45">
            <v>81010016</v>
          </cell>
          <cell r="B45" t="str">
            <v>OUTROS</v>
          </cell>
        </row>
        <row r="46">
          <cell r="A46">
            <v>83010588</v>
          </cell>
          <cell r="B46" t="str">
            <v>OUTROS</v>
          </cell>
        </row>
        <row r="47">
          <cell r="A47">
            <v>81010126</v>
          </cell>
          <cell r="B47" t="str">
            <v>OUTROS</v>
          </cell>
        </row>
        <row r="48">
          <cell r="A48">
            <v>50000099</v>
          </cell>
          <cell r="B48" t="str">
            <v>OUTROS</v>
          </cell>
        </row>
        <row r="49">
          <cell r="A49">
            <v>11110006</v>
          </cell>
          <cell r="B49" t="str">
            <v>OUTROS</v>
          </cell>
        </row>
        <row r="50">
          <cell r="A50">
            <v>81010120</v>
          </cell>
          <cell r="B50" t="str">
            <v>OUTROS</v>
          </cell>
        </row>
        <row r="51">
          <cell r="A51">
            <v>83011816</v>
          </cell>
          <cell r="B51" t="str">
            <v>OUTROS</v>
          </cell>
        </row>
        <row r="52">
          <cell r="A52">
            <v>80010159</v>
          </cell>
          <cell r="B52" t="str">
            <v>OUTROS</v>
          </cell>
        </row>
        <row r="53">
          <cell r="A53">
            <v>81010127</v>
          </cell>
          <cell r="B53" t="str">
            <v>OUTROS</v>
          </cell>
        </row>
        <row r="54">
          <cell r="A54">
            <v>81010125</v>
          </cell>
          <cell r="B54" t="str">
            <v>OUTROS</v>
          </cell>
        </row>
        <row r="55">
          <cell r="A55">
            <v>81010119</v>
          </cell>
          <cell r="B55" t="str">
            <v>OUTROS</v>
          </cell>
        </row>
        <row r="56">
          <cell r="A56">
            <v>83010709</v>
          </cell>
          <cell r="B56" t="str">
            <v>OUTROS</v>
          </cell>
        </row>
        <row r="57">
          <cell r="A57">
            <v>11170003</v>
          </cell>
          <cell r="B57" t="str">
            <v>OUTROS</v>
          </cell>
        </row>
        <row r="58">
          <cell r="A58">
            <v>20020031</v>
          </cell>
          <cell r="B58" t="str">
            <v>OUTROS</v>
          </cell>
        </row>
        <row r="59">
          <cell r="A59">
            <v>411708061</v>
          </cell>
          <cell r="B59" t="str">
            <v>OUTROS</v>
          </cell>
        </row>
        <row r="60">
          <cell r="A60">
            <v>411708029</v>
          </cell>
          <cell r="B60" t="str">
            <v>OUTROS</v>
          </cell>
        </row>
        <row r="61">
          <cell r="A61">
            <v>411708054</v>
          </cell>
          <cell r="B61" t="str">
            <v>OUTROS</v>
          </cell>
        </row>
        <row r="62">
          <cell r="A62">
            <v>50000064</v>
          </cell>
          <cell r="B62" t="str">
            <v>OUTROS</v>
          </cell>
        </row>
        <row r="63">
          <cell r="A63">
            <v>50000065</v>
          </cell>
          <cell r="B63" t="str">
            <v>OUTROS</v>
          </cell>
        </row>
        <row r="64">
          <cell r="A64">
            <v>412043001</v>
          </cell>
          <cell r="B64" t="str">
            <v>OUTROS</v>
          </cell>
        </row>
        <row r="65">
          <cell r="A65">
            <v>431109001</v>
          </cell>
          <cell r="B65" t="str">
            <v>OUTROS</v>
          </cell>
        </row>
        <row r="66">
          <cell r="A66">
            <v>431141003</v>
          </cell>
          <cell r="B66" t="str">
            <v>OUTROS</v>
          </cell>
        </row>
        <row r="67">
          <cell r="A67">
            <v>431142015</v>
          </cell>
          <cell r="B67" t="str">
            <v>OUTROS</v>
          </cell>
        </row>
        <row r="68">
          <cell r="A68">
            <v>431142014</v>
          </cell>
          <cell r="B68" t="str">
            <v>OUTROS</v>
          </cell>
        </row>
        <row r="69">
          <cell r="A69">
            <v>50000164</v>
          </cell>
          <cell r="B69" t="str">
            <v>OUTROS</v>
          </cell>
        </row>
        <row r="70">
          <cell r="A70">
            <v>50000098</v>
          </cell>
          <cell r="B70" t="str">
            <v>OUTROS</v>
          </cell>
        </row>
        <row r="71">
          <cell r="A71">
            <v>50000142</v>
          </cell>
          <cell r="B71" t="str">
            <v>OUTROS</v>
          </cell>
        </row>
        <row r="72">
          <cell r="A72">
            <v>50000143</v>
          </cell>
          <cell r="B72" t="str">
            <v>OUTROS</v>
          </cell>
        </row>
        <row r="73">
          <cell r="A73">
            <v>50000122</v>
          </cell>
          <cell r="B73" t="str">
            <v>OUTROS</v>
          </cell>
        </row>
        <row r="74">
          <cell r="A74">
            <v>50000108</v>
          </cell>
          <cell r="B74" t="str">
            <v>OUTROS</v>
          </cell>
        </row>
        <row r="75">
          <cell r="A75">
            <v>50000136</v>
          </cell>
          <cell r="B75" t="str">
            <v>OUTROS</v>
          </cell>
        </row>
        <row r="76">
          <cell r="A76">
            <v>50000087</v>
          </cell>
          <cell r="B76" t="str">
            <v>OUTROS</v>
          </cell>
        </row>
        <row r="77">
          <cell r="A77">
            <v>50000121</v>
          </cell>
          <cell r="B77" t="str">
            <v>OUTROS</v>
          </cell>
        </row>
        <row r="78">
          <cell r="A78">
            <v>50000127</v>
          </cell>
          <cell r="B78" t="str">
            <v>OUTROS</v>
          </cell>
        </row>
        <row r="79">
          <cell r="A79">
            <v>50000106</v>
          </cell>
          <cell r="B79" t="str">
            <v>OUTROS</v>
          </cell>
        </row>
        <row r="80">
          <cell r="A80">
            <v>50000119</v>
          </cell>
          <cell r="B80" t="str">
            <v>OUTROS</v>
          </cell>
        </row>
        <row r="81">
          <cell r="A81">
            <v>50000086</v>
          </cell>
          <cell r="B81" t="str">
            <v>OUTROS</v>
          </cell>
        </row>
        <row r="82">
          <cell r="A82">
            <v>50000137</v>
          </cell>
          <cell r="B82" t="str">
            <v>OUTROS</v>
          </cell>
        </row>
        <row r="83">
          <cell r="A83">
            <v>50000131</v>
          </cell>
          <cell r="B83" t="str">
            <v>OUTROS</v>
          </cell>
        </row>
        <row r="84">
          <cell r="A84">
            <v>50000113</v>
          </cell>
          <cell r="B84" t="str">
            <v>OUTROS</v>
          </cell>
        </row>
        <row r="85">
          <cell r="A85">
            <v>50000126</v>
          </cell>
          <cell r="B85" t="str">
            <v>OUTROS</v>
          </cell>
        </row>
        <row r="86">
          <cell r="A86">
            <v>50000128</v>
          </cell>
          <cell r="B86" t="str">
            <v>OUTROS</v>
          </cell>
        </row>
        <row r="87">
          <cell r="A87">
            <v>50000129</v>
          </cell>
          <cell r="B87" t="str">
            <v>OUTROS</v>
          </cell>
        </row>
        <row r="88">
          <cell r="A88">
            <v>50000133</v>
          </cell>
          <cell r="B88" t="str">
            <v>OUTROS</v>
          </cell>
        </row>
        <row r="89">
          <cell r="A89">
            <v>50000132</v>
          </cell>
          <cell r="B89" t="str">
            <v>OUTROS</v>
          </cell>
        </row>
        <row r="90">
          <cell r="A90">
            <v>50000090</v>
          </cell>
          <cell r="B90" t="str">
            <v>OUTROS</v>
          </cell>
        </row>
        <row r="91">
          <cell r="A91">
            <v>50000092</v>
          </cell>
          <cell r="B91" t="str">
            <v>OUTROS</v>
          </cell>
        </row>
        <row r="92">
          <cell r="A92">
            <v>50000120</v>
          </cell>
          <cell r="B92" t="str">
            <v>OUTROS</v>
          </cell>
        </row>
        <row r="93">
          <cell r="A93">
            <v>50000089</v>
          </cell>
          <cell r="B93" t="str">
            <v>OUTROS</v>
          </cell>
        </row>
        <row r="94">
          <cell r="A94">
            <v>50000111</v>
          </cell>
          <cell r="B94" t="str">
            <v>OUTROS</v>
          </cell>
        </row>
        <row r="95">
          <cell r="A95">
            <v>50000157</v>
          </cell>
          <cell r="B95" t="str">
            <v>OUTROS</v>
          </cell>
        </row>
        <row r="96">
          <cell r="A96">
            <v>50000118</v>
          </cell>
          <cell r="B96" t="str">
            <v>OUTROS</v>
          </cell>
        </row>
        <row r="97">
          <cell r="A97">
            <v>50000110</v>
          </cell>
          <cell r="B97" t="str">
            <v>OUTROS</v>
          </cell>
        </row>
        <row r="98">
          <cell r="A98">
            <v>50000152</v>
          </cell>
          <cell r="B98" t="str">
            <v>OUTROS</v>
          </cell>
        </row>
        <row r="99">
          <cell r="A99">
            <v>50000107</v>
          </cell>
          <cell r="B99" t="str">
            <v>OUTROS</v>
          </cell>
        </row>
        <row r="100">
          <cell r="A100">
            <v>50000153</v>
          </cell>
          <cell r="B100" t="str">
            <v>OUTROS</v>
          </cell>
        </row>
        <row r="101">
          <cell r="A101">
            <v>50000124</v>
          </cell>
          <cell r="B101" t="str">
            <v>OUTROS</v>
          </cell>
        </row>
        <row r="102">
          <cell r="A102">
            <v>50000085</v>
          </cell>
          <cell r="B102" t="str">
            <v>OUTROS</v>
          </cell>
        </row>
        <row r="103">
          <cell r="A103">
            <v>50000155</v>
          </cell>
          <cell r="B103" t="str">
            <v>OUTROS</v>
          </cell>
        </row>
        <row r="104">
          <cell r="A104">
            <v>50000135</v>
          </cell>
          <cell r="B104" t="str">
            <v>OUTROS</v>
          </cell>
        </row>
        <row r="105">
          <cell r="A105">
            <v>50000130</v>
          </cell>
          <cell r="B105" t="str">
            <v>OUTROS</v>
          </cell>
        </row>
        <row r="106">
          <cell r="A106">
            <v>50000134</v>
          </cell>
          <cell r="B106" t="str">
            <v>OUTROS</v>
          </cell>
        </row>
        <row r="107">
          <cell r="A107">
            <v>50000159</v>
          </cell>
          <cell r="B107" t="str">
            <v>OUTROS</v>
          </cell>
        </row>
        <row r="108">
          <cell r="A108">
            <v>50000158</v>
          </cell>
          <cell r="B108" t="str">
            <v>OUTROS</v>
          </cell>
        </row>
        <row r="109">
          <cell r="A109">
            <v>50000154</v>
          </cell>
          <cell r="B109" t="str">
            <v>OUTROS</v>
          </cell>
        </row>
        <row r="110">
          <cell r="A110">
            <v>50000156</v>
          </cell>
          <cell r="B110" t="str">
            <v>OUTROS</v>
          </cell>
        </row>
        <row r="111">
          <cell r="A111">
            <v>50000123</v>
          </cell>
          <cell r="B111" t="str">
            <v>OUTROS</v>
          </cell>
        </row>
        <row r="112">
          <cell r="A112">
            <v>50000112</v>
          </cell>
          <cell r="B112" t="str">
            <v>OUTROS</v>
          </cell>
        </row>
        <row r="113">
          <cell r="A113">
            <v>50000125</v>
          </cell>
          <cell r="B113" t="str">
            <v>OUTROS</v>
          </cell>
        </row>
        <row r="114">
          <cell r="A114">
            <v>50000109</v>
          </cell>
          <cell r="B114" t="str">
            <v>OUTROS</v>
          </cell>
        </row>
        <row r="115">
          <cell r="A115">
            <v>50000091</v>
          </cell>
          <cell r="B115" t="str">
            <v>OUTROS</v>
          </cell>
        </row>
        <row r="116">
          <cell r="A116">
            <v>50000088</v>
          </cell>
          <cell r="B116" t="str">
            <v>OUTROS</v>
          </cell>
        </row>
        <row r="117">
          <cell r="A117">
            <v>450205040</v>
          </cell>
          <cell r="B117" t="str">
            <v>OUTROS</v>
          </cell>
        </row>
        <row r="118">
          <cell r="A118">
            <v>450206033</v>
          </cell>
          <cell r="B118" t="str">
            <v>OUTROS</v>
          </cell>
        </row>
        <row r="119">
          <cell r="A119">
            <v>450206024</v>
          </cell>
          <cell r="B119" t="str">
            <v>OUTROS</v>
          </cell>
        </row>
        <row r="120">
          <cell r="A120">
            <v>450206046</v>
          </cell>
          <cell r="B120" t="str">
            <v>OUTROS</v>
          </cell>
        </row>
        <row r="121">
          <cell r="A121">
            <v>450206074</v>
          </cell>
          <cell r="B121" t="str">
            <v>OUTROS</v>
          </cell>
        </row>
        <row r="122">
          <cell r="A122">
            <v>450206025</v>
          </cell>
          <cell r="B122" t="str">
            <v>OUTROS</v>
          </cell>
        </row>
        <row r="123">
          <cell r="A123">
            <v>450311107</v>
          </cell>
          <cell r="B123" t="str">
            <v>OUTROS</v>
          </cell>
        </row>
        <row r="124">
          <cell r="A124">
            <v>450311025</v>
          </cell>
          <cell r="B124" t="str">
            <v>OUTROS</v>
          </cell>
        </row>
        <row r="125">
          <cell r="A125">
            <v>450307026</v>
          </cell>
          <cell r="B125" t="str">
            <v>OUTROS</v>
          </cell>
        </row>
        <row r="126">
          <cell r="A126">
            <v>450311033</v>
          </cell>
          <cell r="B126" t="str">
            <v>OUTROS</v>
          </cell>
        </row>
        <row r="127">
          <cell r="A127">
            <v>50000100</v>
          </cell>
          <cell r="B127" t="str">
            <v>OUTROS</v>
          </cell>
        </row>
        <row r="128">
          <cell r="A128">
            <v>50000030</v>
          </cell>
          <cell r="B128" t="str">
            <v>OUTROS</v>
          </cell>
        </row>
        <row r="129">
          <cell r="A129">
            <v>50000075</v>
          </cell>
          <cell r="B129" t="str">
            <v>OUTROS</v>
          </cell>
        </row>
        <row r="130">
          <cell r="A130">
            <v>50000084</v>
          </cell>
          <cell r="B130" t="str">
            <v>OUTROS</v>
          </cell>
        </row>
        <row r="131">
          <cell r="A131">
            <v>50000076</v>
          </cell>
          <cell r="B131" t="str">
            <v>OUTROS</v>
          </cell>
        </row>
        <row r="132">
          <cell r="A132">
            <v>50000083</v>
          </cell>
          <cell r="B132" t="str">
            <v>OUTROS</v>
          </cell>
        </row>
        <row r="133">
          <cell r="A133">
            <v>50000061</v>
          </cell>
          <cell r="B133" t="str">
            <v>OUTROS</v>
          </cell>
        </row>
        <row r="134">
          <cell r="A134">
            <v>50000067</v>
          </cell>
          <cell r="B134" t="str">
            <v>OUTROS</v>
          </cell>
        </row>
        <row r="135">
          <cell r="A135">
            <v>50000105</v>
          </cell>
          <cell r="B135" t="str">
            <v>OUTROS</v>
          </cell>
        </row>
        <row r="136">
          <cell r="A136">
            <v>50000102</v>
          </cell>
          <cell r="B136" t="str">
            <v>OUTROS</v>
          </cell>
        </row>
        <row r="137">
          <cell r="A137">
            <v>50000104</v>
          </cell>
          <cell r="B137" t="str">
            <v>OUTROS</v>
          </cell>
        </row>
        <row r="138">
          <cell r="A138">
            <v>50000103</v>
          </cell>
          <cell r="B138" t="str">
            <v>OUTROS</v>
          </cell>
        </row>
        <row r="139">
          <cell r="A139">
            <v>50000068</v>
          </cell>
          <cell r="B139" t="str">
            <v>OUTROS</v>
          </cell>
        </row>
        <row r="140">
          <cell r="A140">
            <v>50000040</v>
          </cell>
          <cell r="B140" t="str">
            <v>OUTROS</v>
          </cell>
        </row>
        <row r="141">
          <cell r="A141">
            <v>50000050</v>
          </cell>
          <cell r="B141" t="str">
            <v>OUTROS</v>
          </cell>
        </row>
        <row r="142">
          <cell r="A142">
            <v>450124003</v>
          </cell>
          <cell r="B142" t="str">
            <v>OUTROS</v>
          </cell>
        </row>
        <row r="143">
          <cell r="A143">
            <v>450124016</v>
          </cell>
          <cell r="B143" t="str">
            <v>OUTROS</v>
          </cell>
        </row>
        <row r="144">
          <cell r="A144">
            <v>420737112</v>
          </cell>
          <cell r="B144" t="str">
            <v>OUTROS</v>
          </cell>
        </row>
        <row r="145">
          <cell r="A145">
            <v>420739067</v>
          </cell>
          <cell r="B145" t="str">
            <v>OUTROS</v>
          </cell>
        </row>
        <row r="146">
          <cell r="A146">
            <v>420737111</v>
          </cell>
          <cell r="B146" t="str">
            <v>OUTROS</v>
          </cell>
        </row>
        <row r="147">
          <cell r="A147">
            <v>420737064</v>
          </cell>
          <cell r="B147" t="str">
            <v>OUTROS</v>
          </cell>
        </row>
        <row r="148">
          <cell r="A148">
            <v>420737065</v>
          </cell>
          <cell r="B148" t="str">
            <v>OUTROS</v>
          </cell>
        </row>
        <row r="149">
          <cell r="A149">
            <v>420737062</v>
          </cell>
          <cell r="B149" t="str">
            <v>OUTROS</v>
          </cell>
        </row>
        <row r="150">
          <cell r="A150">
            <v>420739062</v>
          </cell>
          <cell r="B150" t="str">
            <v>OUTROS</v>
          </cell>
        </row>
        <row r="151">
          <cell r="A151">
            <v>420739077</v>
          </cell>
          <cell r="B151" t="str">
            <v>OUTROS</v>
          </cell>
        </row>
        <row r="152">
          <cell r="A152">
            <v>420737067</v>
          </cell>
          <cell r="B152" t="str">
            <v>OUTROS</v>
          </cell>
        </row>
        <row r="153">
          <cell r="A153">
            <v>420739065</v>
          </cell>
          <cell r="B153" t="str">
            <v>OUTROS</v>
          </cell>
        </row>
        <row r="154">
          <cell r="A154">
            <v>420739064</v>
          </cell>
          <cell r="B154" t="str">
            <v>OUTROS</v>
          </cell>
        </row>
        <row r="155">
          <cell r="A155">
            <v>420739076</v>
          </cell>
          <cell r="B155" t="str">
            <v>OUTROS</v>
          </cell>
        </row>
        <row r="156">
          <cell r="A156">
            <v>420739063</v>
          </cell>
          <cell r="B156" t="str">
            <v>OUTROS</v>
          </cell>
        </row>
        <row r="157">
          <cell r="A157">
            <v>420739036</v>
          </cell>
          <cell r="B157" t="str">
            <v>OUTROS</v>
          </cell>
        </row>
        <row r="158">
          <cell r="A158">
            <v>420737036</v>
          </cell>
          <cell r="B158" t="str">
            <v>OUTROS</v>
          </cell>
        </row>
        <row r="159">
          <cell r="A159">
            <v>420737066</v>
          </cell>
          <cell r="B159" t="str">
            <v>OUTROS</v>
          </cell>
        </row>
        <row r="160">
          <cell r="A160">
            <v>420737044</v>
          </cell>
          <cell r="B160" t="str">
            <v>OUTROS</v>
          </cell>
        </row>
        <row r="161">
          <cell r="A161">
            <v>420739066</v>
          </cell>
          <cell r="B161" t="str">
            <v>OUTROS</v>
          </cell>
        </row>
        <row r="162">
          <cell r="A162">
            <v>420737063</v>
          </cell>
          <cell r="B162" t="str">
            <v>OUTROS</v>
          </cell>
        </row>
        <row r="163">
          <cell r="A163">
            <v>420737046</v>
          </cell>
          <cell r="B163" t="str">
            <v>OUTROS</v>
          </cell>
        </row>
        <row r="164">
          <cell r="A164">
            <v>420739046</v>
          </cell>
          <cell r="B164" t="str">
            <v>OUTROS</v>
          </cell>
        </row>
        <row r="165">
          <cell r="A165">
            <v>420737030</v>
          </cell>
          <cell r="B165" t="str">
            <v>OUTROS</v>
          </cell>
        </row>
        <row r="166">
          <cell r="A166">
            <v>420114037</v>
          </cell>
          <cell r="B166" t="str">
            <v>OUTROS</v>
          </cell>
        </row>
        <row r="167">
          <cell r="A167">
            <v>420114032</v>
          </cell>
          <cell r="B167" t="str">
            <v>OUTROS</v>
          </cell>
        </row>
        <row r="168">
          <cell r="A168">
            <v>420114002</v>
          </cell>
          <cell r="B168" t="str">
            <v>OUTROS</v>
          </cell>
        </row>
        <row r="169">
          <cell r="A169">
            <v>420114034</v>
          </cell>
          <cell r="B169" t="str">
            <v>OUTROS</v>
          </cell>
        </row>
        <row r="170">
          <cell r="A170">
            <v>420114031</v>
          </cell>
          <cell r="B170" t="str">
            <v>OUTROS</v>
          </cell>
        </row>
        <row r="171">
          <cell r="A171">
            <v>420214031</v>
          </cell>
          <cell r="B171" t="str">
            <v>OUTROS</v>
          </cell>
        </row>
        <row r="172">
          <cell r="A172">
            <v>420214032</v>
          </cell>
          <cell r="B172" t="str">
            <v>OUTROS</v>
          </cell>
        </row>
        <row r="173">
          <cell r="A173">
            <v>420214002</v>
          </cell>
          <cell r="B173" t="str">
            <v>OUTROS</v>
          </cell>
        </row>
        <row r="174">
          <cell r="A174">
            <v>431909009</v>
          </cell>
          <cell r="B174" t="str">
            <v>OUTROS</v>
          </cell>
        </row>
        <row r="175">
          <cell r="A175">
            <v>431909014</v>
          </cell>
          <cell r="B175" t="str">
            <v>OUTROS</v>
          </cell>
        </row>
        <row r="176">
          <cell r="A176">
            <v>431909039</v>
          </cell>
          <cell r="B176" t="str">
            <v>OUTROS</v>
          </cell>
        </row>
        <row r="177">
          <cell r="A177">
            <v>430110009</v>
          </cell>
          <cell r="B177" t="str">
            <v>OUTROS</v>
          </cell>
        </row>
        <row r="178">
          <cell r="A178">
            <v>430110039</v>
          </cell>
          <cell r="B178" t="str">
            <v>OUTROS</v>
          </cell>
        </row>
        <row r="179">
          <cell r="A179">
            <v>430110014</v>
          </cell>
          <cell r="B179" t="str">
            <v>OUTROS</v>
          </cell>
        </row>
        <row r="180">
          <cell r="A180">
            <v>430209047</v>
          </cell>
          <cell r="B180" t="str">
            <v>OUTROS</v>
          </cell>
        </row>
        <row r="181">
          <cell r="A181">
            <v>430209004</v>
          </cell>
          <cell r="B181" t="str">
            <v>OUTROS</v>
          </cell>
        </row>
        <row r="182">
          <cell r="A182">
            <v>430209083</v>
          </cell>
          <cell r="B182" t="str">
            <v>OUTROS</v>
          </cell>
        </row>
        <row r="183">
          <cell r="A183">
            <v>430209036</v>
          </cell>
          <cell r="B183" t="str">
            <v>OUTROS</v>
          </cell>
        </row>
        <row r="184">
          <cell r="A184">
            <v>430209021</v>
          </cell>
          <cell r="B184" t="str">
            <v>OUTROS</v>
          </cell>
        </row>
        <row r="185">
          <cell r="A185">
            <v>430209005</v>
          </cell>
          <cell r="B185" t="str">
            <v>OUTROS</v>
          </cell>
        </row>
        <row r="186">
          <cell r="A186">
            <v>430209032</v>
          </cell>
          <cell r="B186" t="str">
            <v>OUTROS</v>
          </cell>
        </row>
        <row r="187">
          <cell r="A187">
            <v>430209029</v>
          </cell>
          <cell r="B187" t="str">
            <v>OUTROS</v>
          </cell>
        </row>
        <row r="188">
          <cell r="A188">
            <v>430209019</v>
          </cell>
          <cell r="B188" t="str">
            <v>OUTROS</v>
          </cell>
        </row>
        <row r="189">
          <cell r="A189">
            <v>430213032</v>
          </cell>
          <cell r="B189" t="str">
            <v>OUTROS</v>
          </cell>
        </row>
        <row r="190">
          <cell r="A190">
            <v>430213035</v>
          </cell>
          <cell r="B190" t="str">
            <v>OUTROS</v>
          </cell>
        </row>
        <row r="191">
          <cell r="A191">
            <v>430213019</v>
          </cell>
          <cell r="B191" t="str">
            <v>OUTROS</v>
          </cell>
        </row>
        <row r="192">
          <cell r="A192">
            <v>430213005</v>
          </cell>
          <cell r="B192" t="str">
            <v>OUTROS</v>
          </cell>
        </row>
        <row r="193">
          <cell r="A193">
            <v>430213047</v>
          </cell>
          <cell r="B193" t="str">
            <v>OUTROS</v>
          </cell>
        </row>
        <row r="194">
          <cell r="A194">
            <v>430213004</v>
          </cell>
          <cell r="B194" t="str">
            <v>OUTROS</v>
          </cell>
        </row>
        <row r="195">
          <cell r="A195">
            <v>430213021</v>
          </cell>
          <cell r="B195" t="str">
            <v>OUTROS</v>
          </cell>
        </row>
        <row r="196">
          <cell r="A196">
            <v>430213029</v>
          </cell>
          <cell r="B196" t="str">
            <v>OUTROS</v>
          </cell>
        </row>
        <row r="197">
          <cell r="A197">
            <v>430213083</v>
          </cell>
          <cell r="B197" t="str">
            <v>OUTROS</v>
          </cell>
        </row>
        <row r="198">
          <cell r="A198">
            <v>430213036</v>
          </cell>
          <cell r="B198" t="str">
            <v>OUTROS</v>
          </cell>
        </row>
        <row r="199">
          <cell r="A199">
            <v>410401001</v>
          </cell>
          <cell r="B199" t="str">
            <v>OUTROS</v>
          </cell>
        </row>
        <row r="200">
          <cell r="A200">
            <v>410404001</v>
          </cell>
          <cell r="B200" t="str">
            <v>OUTROS</v>
          </cell>
        </row>
        <row r="201">
          <cell r="A201">
            <v>410468001</v>
          </cell>
          <cell r="B201" t="str">
            <v>OUTROS</v>
          </cell>
        </row>
        <row r="202">
          <cell r="A202">
            <v>420314031</v>
          </cell>
          <cell r="B202" t="str">
            <v>OUTROS</v>
          </cell>
        </row>
        <row r="203">
          <cell r="A203">
            <v>420314029</v>
          </cell>
          <cell r="B203" t="str">
            <v>OUTROS</v>
          </cell>
        </row>
        <row r="204">
          <cell r="A204">
            <v>420314032</v>
          </cell>
          <cell r="B204" t="str">
            <v>OUTROS</v>
          </cell>
        </row>
        <row r="205">
          <cell r="A205">
            <v>411834060</v>
          </cell>
          <cell r="B205" t="str">
            <v>OUTROS</v>
          </cell>
        </row>
        <row r="206">
          <cell r="A206">
            <v>411834059</v>
          </cell>
          <cell r="B206" t="str">
            <v>OUTROS</v>
          </cell>
        </row>
        <row r="207">
          <cell r="A207">
            <v>411834058</v>
          </cell>
          <cell r="B207" t="str">
            <v>OUTROS</v>
          </cell>
        </row>
        <row r="208">
          <cell r="A208">
            <v>50000093</v>
          </cell>
          <cell r="B208" t="str">
            <v>OUTROS</v>
          </cell>
        </row>
        <row r="209">
          <cell r="A209">
            <v>50000094</v>
          </cell>
          <cell r="B209" t="str">
            <v>OUTROS</v>
          </cell>
        </row>
        <row r="210">
          <cell r="A210">
            <v>50000096</v>
          </cell>
          <cell r="B210" t="str">
            <v>OUTROS</v>
          </cell>
        </row>
        <row r="211">
          <cell r="A211">
            <v>50000095</v>
          </cell>
          <cell r="B211" t="str">
            <v>OUTROS</v>
          </cell>
        </row>
        <row r="212">
          <cell r="A212">
            <v>50000069</v>
          </cell>
          <cell r="B212" t="str">
            <v>OUTROS</v>
          </cell>
        </row>
        <row r="213">
          <cell r="A213">
            <v>50000146</v>
          </cell>
          <cell r="B213" t="str">
            <v>OUTROS</v>
          </cell>
        </row>
        <row r="214">
          <cell r="A214">
            <v>50000145</v>
          </cell>
          <cell r="B214" t="str">
            <v>OUTROS</v>
          </cell>
        </row>
        <row r="215">
          <cell r="A215">
            <v>50000147</v>
          </cell>
          <cell r="B215" t="str">
            <v>OUTROS</v>
          </cell>
        </row>
        <row r="216">
          <cell r="A216">
            <v>50000038</v>
          </cell>
          <cell r="B216" t="str">
            <v>OUTROS</v>
          </cell>
        </row>
        <row r="217">
          <cell r="A217">
            <v>50000049</v>
          </cell>
          <cell r="B217" t="str">
            <v>OUTROS</v>
          </cell>
        </row>
        <row r="218">
          <cell r="A218">
            <v>50000039</v>
          </cell>
          <cell r="B218" t="str">
            <v>OUTROS</v>
          </cell>
        </row>
        <row r="219">
          <cell r="A219">
            <v>50000144</v>
          </cell>
          <cell r="B219" t="str">
            <v>OUTROS</v>
          </cell>
        </row>
        <row r="220">
          <cell r="A220">
            <v>50000062</v>
          </cell>
          <cell r="B220" t="str">
            <v>OUTROS</v>
          </cell>
        </row>
        <row r="221">
          <cell r="A221">
            <v>50000063</v>
          </cell>
          <cell r="B221" t="str">
            <v>OUTROS</v>
          </cell>
        </row>
        <row r="222">
          <cell r="A222">
            <v>50000117</v>
          </cell>
          <cell r="B222" t="str">
            <v>OUTROS</v>
          </cell>
        </row>
        <row r="223">
          <cell r="A223">
            <v>50000114</v>
          </cell>
          <cell r="B223" t="str">
            <v>OUTROS</v>
          </cell>
        </row>
        <row r="224">
          <cell r="A224">
            <v>50000116</v>
          </cell>
          <cell r="B224" t="str">
            <v>OUTROS</v>
          </cell>
        </row>
        <row r="225">
          <cell r="A225">
            <v>50000115</v>
          </cell>
          <cell r="B225" t="str">
            <v>OUTROS</v>
          </cell>
        </row>
        <row r="226">
          <cell r="A226">
            <v>50000141</v>
          </cell>
          <cell r="B226" t="str">
            <v>OUTROS</v>
          </cell>
        </row>
        <row r="227">
          <cell r="A227">
            <v>50000138</v>
          </cell>
          <cell r="B227" t="str">
            <v>OUTROS</v>
          </cell>
        </row>
        <row r="228">
          <cell r="A228">
            <v>50000139</v>
          </cell>
          <cell r="B228" t="str">
            <v>OUTROS</v>
          </cell>
        </row>
        <row r="229">
          <cell r="A229">
            <v>50000140</v>
          </cell>
          <cell r="B229" t="str">
            <v>OUTROS</v>
          </cell>
        </row>
        <row r="230">
          <cell r="A230">
            <v>431009001</v>
          </cell>
          <cell r="B230" t="str">
            <v>OUTROS</v>
          </cell>
        </row>
        <row r="231">
          <cell r="A231">
            <v>431042003</v>
          </cell>
          <cell r="B231" t="str">
            <v>OUTROS</v>
          </cell>
        </row>
        <row r="232">
          <cell r="A232">
            <v>431042029</v>
          </cell>
          <cell r="B232" t="str">
            <v>OUTROS</v>
          </cell>
        </row>
        <row r="233">
          <cell r="A233">
            <v>510639001</v>
          </cell>
          <cell r="B233" t="str">
            <v>OUTROS</v>
          </cell>
        </row>
        <row r="234">
          <cell r="A234">
            <v>520601001</v>
          </cell>
          <cell r="B234" t="str">
            <v>OUTROS</v>
          </cell>
        </row>
        <row r="235">
          <cell r="A235">
            <v>410608001</v>
          </cell>
          <cell r="B235" t="str">
            <v>OUTROS</v>
          </cell>
        </row>
        <row r="236">
          <cell r="A236">
            <v>520114078</v>
          </cell>
          <cell r="B236" t="str">
            <v>OUTROS</v>
          </cell>
        </row>
        <row r="237">
          <cell r="A237">
            <v>520114078</v>
          </cell>
          <cell r="B237" t="str">
            <v>OUTROS</v>
          </cell>
        </row>
        <row r="238">
          <cell r="A238">
            <v>520114027</v>
          </cell>
          <cell r="B238" t="str">
            <v>OUTROS</v>
          </cell>
        </row>
        <row r="239">
          <cell r="A239">
            <v>520114027</v>
          </cell>
          <cell r="B239" t="str">
            <v>OUTROS</v>
          </cell>
        </row>
        <row r="240">
          <cell r="A240">
            <v>520152027</v>
          </cell>
          <cell r="B240" t="str">
            <v>OUTROS</v>
          </cell>
        </row>
        <row r="241">
          <cell r="A241">
            <v>520152094</v>
          </cell>
          <cell r="B241" t="str">
            <v>OUTROS</v>
          </cell>
        </row>
        <row r="242">
          <cell r="A242">
            <v>520152087</v>
          </cell>
          <cell r="B242" t="str">
            <v>OUTROS</v>
          </cell>
        </row>
        <row r="243">
          <cell r="A243">
            <v>520152080</v>
          </cell>
          <cell r="B243" t="str">
            <v>OUTROS</v>
          </cell>
        </row>
        <row r="244">
          <cell r="A244">
            <v>520152092</v>
          </cell>
          <cell r="B244" t="str">
            <v>OUTROS</v>
          </cell>
        </row>
        <row r="245">
          <cell r="A245">
            <v>520152088</v>
          </cell>
          <cell r="B245" t="str">
            <v>OUTROS</v>
          </cell>
        </row>
        <row r="246">
          <cell r="A246">
            <v>520152051</v>
          </cell>
          <cell r="B246" t="str">
            <v>OUTROS</v>
          </cell>
        </row>
        <row r="247">
          <cell r="A247">
            <v>520152079</v>
          </cell>
          <cell r="B247" t="str">
            <v>OUTROS</v>
          </cell>
        </row>
        <row r="248">
          <cell r="A248">
            <v>520152078</v>
          </cell>
          <cell r="B248" t="str">
            <v>OUTROS</v>
          </cell>
        </row>
        <row r="249">
          <cell r="A249">
            <v>520104051</v>
          </cell>
          <cell r="B249" t="str">
            <v>OUTROS</v>
          </cell>
        </row>
        <row r="250">
          <cell r="A250">
            <v>520104087</v>
          </cell>
          <cell r="B250" t="str">
            <v>OUTROS</v>
          </cell>
        </row>
        <row r="251">
          <cell r="A251">
            <v>520104092</v>
          </cell>
          <cell r="B251" t="str">
            <v>OUTROS</v>
          </cell>
        </row>
        <row r="252">
          <cell r="A252">
            <v>520104015</v>
          </cell>
          <cell r="B252" t="str">
            <v>OUTROS</v>
          </cell>
        </row>
        <row r="253">
          <cell r="A253">
            <v>520104094</v>
          </cell>
          <cell r="B253" t="str">
            <v>OUTROS</v>
          </cell>
        </row>
        <row r="254">
          <cell r="A254">
            <v>520104088</v>
          </cell>
          <cell r="B254" t="str">
            <v>OUTROS</v>
          </cell>
        </row>
        <row r="255">
          <cell r="A255">
            <v>520104080</v>
          </cell>
          <cell r="B255" t="str">
            <v>OUTROS</v>
          </cell>
        </row>
        <row r="256">
          <cell r="A256">
            <v>520104068</v>
          </cell>
          <cell r="B256" t="str">
            <v>OUTROS</v>
          </cell>
        </row>
        <row r="257">
          <cell r="A257">
            <v>520104078</v>
          </cell>
          <cell r="B257" t="str">
            <v>OUTROS</v>
          </cell>
        </row>
        <row r="258">
          <cell r="A258">
            <v>520104089</v>
          </cell>
          <cell r="B258" t="str">
            <v>OUTROS</v>
          </cell>
        </row>
        <row r="259">
          <cell r="A259">
            <v>520104079</v>
          </cell>
          <cell r="B259" t="str">
            <v>OUTROS</v>
          </cell>
        </row>
        <row r="260">
          <cell r="A260">
            <v>520104027</v>
          </cell>
          <cell r="B260" t="str">
            <v>OUTROS</v>
          </cell>
        </row>
        <row r="261">
          <cell r="A261">
            <v>520155023</v>
          </cell>
          <cell r="B261" t="str">
            <v>OUTROS</v>
          </cell>
        </row>
        <row r="262">
          <cell r="A262">
            <v>520155027</v>
          </cell>
          <cell r="B262" t="str">
            <v>OUTROS</v>
          </cell>
        </row>
        <row r="263">
          <cell r="A263">
            <v>520214080</v>
          </cell>
          <cell r="B263" t="str">
            <v>OUTROS</v>
          </cell>
        </row>
        <row r="264">
          <cell r="A264">
            <v>520214079</v>
          </cell>
          <cell r="B264" t="str">
            <v>OUTROS</v>
          </cell>
        </row>
        <row r="265">
          <cell r="A265">
            <v>520214080</v>
          </cell>
          <cell r="B265" t="str">
            <v>OUTROS</v>
          </cell>
        </row>
        <row r="266">
          <cell r="A266">
            <v>520204087</v>
          </cell>
          <cell r="B266" t="str">
            <v>OUTROS</v>
          </cell>
        </row>
        <row r="267">
          <cell r="A267">
            <v>520204088</v>
          </cell>
          <cell r="B267" t="str">
            <v>OUTROS</v>
          </cell>
        </row>
        <row r="268">
          <cell r="A268">
            <v>520204090</v>
          </cell>
          <cell r="B268" t="str">
            <v>OUTROS</v>
          </cell>
        </row>
        <row r="269">
          <cell r="A269">
            <v>520204080</v>
          </cell>
          <cell r="B269" t="str">
            <v>OUTROS</v>
          </cell>
        </row>
        <row r="270">
          <cell r="A270">
            <v>520204091</v>
          </cell>
          <cell r="B270" t="str">
            <v>OUTROS</v>
          </cell>
        </row>
        <row r="271">
          <cell r="A271">
            <v>520204078</v>
          </cell>
          <cell r="B271" t="str">
            <v>OUTROS</v>
          </cell>
        </row>
        <row r="272">
          <cell r="A272">
            <v>520204079</v>
          </cell>
          <cell r="B272" t="str">
            <v>OUTROS</v>
          </cell>
        </row>
        <row r="273">
          <cell r="A273">
            <v>520204086</v>
          </cell>
          <cell r="B273" t="str">
            <v>OUTROS</v>
          </cell>
        </row>
        <row r="274">
          <cell r="A274">
            <v>520204068</v>
          </cell>
          <cell r="B274" t="str">
            <v>OUTROS</v>
          </cell>
        </row>
        <row r="275">
          <cell r="A275">
            <v>520204051</v>
          </cell>
          <cell r="B275" t="str">
            <v>OUTROS</v>
          </cell>
        </row>
        <row r="276">
          <cell r="A276">
            <v>520204092</v>
          </cell>
          <cell r="B276" t="str">
            <v>OUTROS</v>
          </cell>
        </row>
        <row r="277">
          <cell r="A277">
            <v>520255080</v>
          </cell>
          <cell r="B277" t="str">
            <v>OUTROS</v>
          </cell>
        </row>
        <row r="278">
          <cell r="A278">
            <v>520255079</v>
          </cell>
          <cell r="B278" t="str">
            <v>OUTROS</v>
          </cell>
        </row>
        <row r="279">
          <cell r="A279">
            <v>510239078</v>
          </cell>
          <cell r="B279" t="str">
            <v>OUTROS</v>
          </cell>
        </row>
        <row r="280">
          <cell r="A280">
            <v>510239051</v>
          </cell>
          <cell r="B280" t="str">
            <v>OUTROS</v>
          </cell>
        </row>
        <row r="281">
          <cell r="A281">
            <v>510239018</v>
          </cell>
          <cell r="B281" t="str">
            <v>OUTROS</v>
          </cell>
        </row>
        <row r="282">
          <cell r="A282">
            <v>510239079</v>
          </cell>
          <cell r="B282" t="str">
            <v>OUTROS</v>
          </cell>
        </row>
        <row r="283">
          <cell r="A283">
            <v>510139079</v>
          </cell>
          <cell r="B283" t="str">
            <v>OUTROS</v>
          </cell>
        </row>
        <row r="284">
          <cell r="A284">
            <v>510139027</v>
          </cell>
          <cell r="B284" t="str">
            <v>OUTROS</v>
          </cell>
        </row>
        <row r="285">
          <cell r="A285">
            <v>510139078</v>
          </cell>
          <cell r="B285" t="str">
            <v>OUTROS</v>
          </cell>
        </row>
        <row r="286">
          <cell r="A286">
            <v>510139023</v>
          </cell>
          <cell r="B286" t="str">
            <v>OUTROS</v>
          </cell>
        </row>
        <row r="287">
          <cell r="A287">
            <v>510139018</v>
          </cell>
          <cell r="B287" t="str">
            <v>OUTROS</v>
          </cell>
        </row>
        <row r="288">
          <cell r="A288">
            <v>520751084</v>
          </cell>
          <cell r="B288" t="str">
            <v>OUTROS</v>
          </cell>
        </row>
        <row r="289">
          <cell r="A289">
            <v>520751001</v>
          </cell>
          <cell r="B289" t="str">
            <v>OUTROS</v>
          </cell>
        </row>
        <row r="290">
          <cell r="A290">
            <v>521304097</v>
          </cell>
          <cell r="B290" t="str">
            <v>OUTROS</v>
          </cell>
        </row>
        <row r="291">
          <cell r="A291">
            <v>521304083</v>
          </cell>
          <cell r="B291" t="str">
            <v>OUTROS</v>
          </cell>
        </row>
        <row r="292">
          <cell r="A292">
            <v>521304095</v>
          </cell>
          <cell r="B292" t="str">
            <v>OUTROS</v>
          </cell>
        </row>
        <row r="293">
          <cell r="A293">
            <v>521304096</v>
          </cell>
          <cell r="B293" t="str">
            <v>OUTROS</v>
          </cell>
        </row>
        <row r="294">
          <cell r="A294">
            <v>521355083</v>
          </cell>
          <cell r="B294" t="str">
            <v>OUTROS</v>
          </cell>
        </row>
        <row r="295">
          <cell r="A295">
            <v>411604029</v>
          </cell>
          <cell r="B295" t="str">
            <v>OUTROS</v>
          </cell>
        </row>
        <row r="296">
          <cell r="A296">
            <v>411604056</v>
          </cell>
          <cell r="B296" t="str">
            <v>OUTROS</v>
          </cell>
        </row>
        <row r="297">
          <cell r="A297">
            <v>411604057</v>
          </cell>
          <cell r="B297" t="str">
            <v>OUTROS</v>
          </cell>
        </row>
        <row r="298">
          <cell r="A298">
            <v>411604017</v>
          </cell>
          <cell r="B298" t="str">
            <v>OUTROS</v>
          </cell>
        </row>
        <row r="299">
          <cell r="A299">
            <v>411604030</v>
          </cell>
          <cell r="B299" t="str">
            <v>OUTROS</v>
          </cell>
        </row>
        <row r="300">
          <cell r="A300">
            <v>411604042</v>
          </cell>
          <cell r="B300" t="str">
            <v>OUTROS</v>
          </cell>
        </row>
        <row r="301">
          <cell r="A301">
            <v>413804029</v>
          </cell>
          <cell r="B301" t="str">
            <v>OUTROS</v>
          </cell>
        </row>
        <row r="302">
          <cell r="A302">
            <v>413804034</v>
          </cell>
          <cell r="B302" t="str">
            <v>OUTROS</v>
          </cell>
        </row>
        <row r="303">
          <cell r="A303">
            <v>420612055</v>
          </cell>
          <cell r="B303" t="str">
            <v>OUTROS</v>
          </cell>
        </row>
        <row r="304">
          <cell r="A304">
            <v>420612010</v>
          </cell>
          <cell r="B304" t="str">
            <v>OUTROS</v>
          </cell>
        </row>
        <row r="305">
          <cell r="A305">
            <v>420612029</v>
          </cell>
          <cell r="B305" t="str">
            <v>OUTROS</v>
          </cell>
        </row>
        <row r="306">
          <cell r="A306">
            <v>420612028</v>
          </cell>
          <cell r="B306" t="str">
            <v>OUTROS</v>
          </cell>
        </row>
        <row r="307">
          <cell r="A307">
            <v>420612054</v>
          </cell>
          <cell r="B307" t="str">
            <v>OUTROS</v>
          </cell>
        </row>
        <row r="308">
          <cell r="A308">
            <v>520429079</v>
          </cell>
          <cell r="B308" t="str">
            <v>OUTROS</v>
          </cell>
        </row>
        <row r="309">
          <cell r="A309">
            <v>520429051</v>
          </cell>
          <cell r="B309" t="str">
            <v>OUTROS</v>
          </cell>
        </row>
        <row r="310">
          <cell r="A310">
            <v>520429007</v>
          </cell>
          <cell r="B310" t="str">
            <v>OUTROS</v>
          </cell>
        </row>
        <row r="311">
          <cell r="A311">
            <v>520429014</v>
          </cell>
          <cell r="B311" t="str">
            <v>OUTROS</v>
          </cell>
        </row>
        <row r="312">
          <cell r="A312">
            <v>520429039</v>
          </cell>
          <cell r="B312" t="str">
            <v>OUTROS</v>
          </cell>
        </row>
        <row r="313">
          <cell r="A313">
            <v>520412079</v>
          </cell>
          <cell r="B313" t="str">
            <v>OUTROS</v>
          </cell>
        </row>
        <row r="314">
          <cell r="A314">
            <v>520412027</v>
          </cell>
          <cell r="B314" t="str">
            <v>OUTROS</v>
          </cell>
        </row>
        <row r="315">
          <cell r="A315">
            <v>520412039</v>
          </cell>
          <cell r="B315" t="str">
            <v>OUTROS</v>
          </cell>
        </row>
        <row r="316">
          <cell r="A316">
            <v>520412051</v>
          </cell>
          <cell r="B316" t="str">
            <v>OUTROS</v>
          </cell>
        </row>
        <row r="317">
          <cell r="A317">
            <v>520412014</v>
          </cell>
          <cell r="B317" t="str">
            <v>OUTROS</v>
          </cell>
        </row>
        <row r="318">
          <cell r="A318">
            <v>520412007</v>
          </cell>
          <cell r="B318" t="str">
            <v>OUTROS</v>
          </cell>
        </row>
        <row r="319">
          <cell r="A319">
            <v>520412093</v>
          </cell>
          <cell r="B319" t="str">
            <v>OUTROS</v>
          </cell>
        </row>
        <row r="320">
          <cell r="A320">
            <v>510439079</v>
          </cell>
          <cell r="B320" t="str">
            <v>OUTROS</v>
          </cell>
        </row>
        <row r="321">
          <cell r="A321">
            <v>510439014</v>
          </cell>
          <cell r="B321" t="str">
            <v>OUTROS</v>
          </cell>
        </row>
        <row r="322">
          <cell r="A322">
            <v>510439051</v>
          </cell>
          <cell r="B322" t="str">
            <v>OUTROS</v>
          </cell>
        </row>
        <row r="323">
          <cell r="A323">
            <v>420414022</v>
          </cell>
          <cell r="B323" t="str">
            <v>OUTROS</v>
          </cell>
        </row>
        <row r="324">
          <cell r="A324">
            <v>420414007</v>
          </cell>
          <cell r="B324" t="str">
            <v>OUTROS</v>
          </cell>
        </row>
        <row r="325">
          <cell r="A325">
            <v>420514002</v>
          </cell>
          <cell r="B325" t="str">
            <v>OUTROS</v>
          </cell>
        </row>
        <row r="326">
          <cell r="A326">
            <v>420514036</v>
          </cell>
          <cell r="B326" t="str">
            <v>OUTROS</v>
          </cell>
        </row>
        <row r="327">
          <cell r="A327">
            <v>420514022</v>
          </cell>
          <cell r="B327" t="str">
            <v>OUTROS</v>
          </cell>
        </row>
        <row r="328">
          <cell r="A328">
            <v>420514018</v>
          </cell>
          <cell r="B328" t="str">
            <v>OUTROS</v>
          </cell>
        </row>
        <row r="329">
          <cell r="A329">
            <v>50000034</v>
          </cell>
          <cell r="B329" t="str">
            <v>OUTROS</v>
          </cell>
        </row>
        <row r="330">
          <cell r="A330">
            <v>50000037</v>
          </cell>
          <cell r="B330" t="str">
            <v>OUTROS</v>
          </cell>
        </row>
        <row r="331">
          <cell r="A331">
            <v>50000053</v>
          </cell>
          <cell r="B331" t="str">
            <v>OUTROS</v>
          </cell>
        </row>
        <row r="332">
          <cell r="A332">
            <v>50000060</v>
          </cell>
          <cell r="B332" t="str">
            <v>OUTROS</v>
          </cell>
        </row>
        <row r="333">
          <cell r="A333">
            <v>50000077</v>
          </cell>
          <cell r="B333" t="str">
            <v>OUTROS</v>
          </cell>
        </row>
        <row r="334">
          <cell r="A334">
            <v>50000078</v>
          </cell>
          <cell r="B334" t="str">
            <v>OUTROS</v>
          </cell>
        </row>
        <row r="335">
          <cell r="A335">
            <v>50000033</v>
          </cell>
          <cell r="B335" t="str">
            <v>OUTROS</v>
          </cell>
        </row>
        <row r="336">
          <cell r="A336">
            <v>50000010</v>
          </cell>
          <cell r="B336" t="str">
            <v>OUTROS</v>
          </cell>
        </row>
        <row r="337">
          <cell r="A337">
            <v>50000081</v>
          </cell>
          <cell r="B337" t="str">
            <v>OUTROS</v>
          </cell>
        </row>
        <row r="338">
          <cell r="A338">
            <v>50000035</v>
          </cell>
          <cell r="B338" t="str">
            <v>OUTROS</v>
          </cell>
        </row>
        <row r="339">
          <cell r="A339">
            <v>50000080</v>
          </cell>
          <cell r="B339" t="str">
            <v>OUTROS</v>
          </cell>
        </row>
        <row r="340">
          <cell r="A340">
            <v>50000029</v>
          </cell>
          <cell r="B340" t="str">
            <v>OUTROS</v>
          </cell>
        </row>
        <row r="341">
          <cell r="A341">
            <v>50000055</v>
          </cell>
          <cell r="B341" t="str">
            <v>OUTROS</v>
          </cell>
        </row>
        <row r="342">
          <cell r="A342">
            <v>50000148</v>
          </cell>
          <cell r="B342" t="str">
            <v>OUTROS</v>
          </cell>
        </row>
        <row r="343">
          <cell r="A343">
            <v>50000032</v>
          </cell>
          <cell r="B343" t="str">
            <v>OUTROS</v>
          </cell>
        </row>
        <row r="344">
          <cell r="A344">
            <v>50000082</v>
          </cell>
          <cell r="B344" t="str">
            <v>OUTROS</v>
          </cell>
        </row>
        <row r="345">
          <cell r="A345">
            <v>50000151</v>
          </cell>
          <cell r="B345" t="str">
            <v>OUTROS</v>
          </cell>
        </row>
        <row r="346">
          <cell r="A346">
            <v>50000051</v>
          </cell>
          <cell r="B346" t="str">
            <v>OUTROS</v>
          </cell>
        </row>
        <row r="347">
          <cell r="A347">
            <v>50000149</v>
          </cell>
          <cell r="B347" t="str">
            <v>OUTROS</v>
          </cell>
        </row>
        <row r="348">
          <cell r="A348">
            <v>50000150</v>
          </cell>
          <cell r="B348" t="str">
            <v>OUTROS</v>
          </cell>
        </row>
        <row r="349">
          <cell r="A349">
            <v>50000097</v>
          </cell>
          <cell r="B349" t="str">
            <v>OUTROS</v>
          </cell>
        </row>
        <row r="350">
          <cell r="A350">
            <v>50000165</v>
          </cell>
          <cell r="B350" t="str">
            <v>OUTROS</v>
          </cell>
        </row>
        <row r="351">
          <cell r="A351">
            <v>410722023</v>
          </cell>
          <cell r="B351" t="str">
            <v>OUTROS</v>
          </cell>
        </row>
        <row r="352">
          <cell r="A352">
            <v>410722044</v>
          </cell>
          <cell r="B352" t="str">
            <v>OUTROS</v>
          </cell>
        </row>
        <row r="353">
          <cell r="A353">
            <v>410722015</v>
          </cell>
          <cell r="B353" t="str">
            <v>OUTROS</v>
          </cell>
        </row>
        <row r="354">
          <cell r="A354">
            <v>410722007</v>
          </cell>
          <cell r="B354" t="str">
            <v>OUTROS</v>
          </cell>
        </row>
        <row r="355">
          <cell r="A355">
            <v>410722020</v>
          </cell>
          <cell r="B355" t="str">
            <v>OUTROS</v>
          </cell>
        </row>
        <row r="356">
          <cell r="A356">
            <v>410722022</v>
          </cell>
          <cell r="B356" t="str">
            <v>OUTROS</v>
          </cell>
        </row>
        <row r="357">
          <cell r="A357">
            <v>410722027</v>
          </cell>
          <cell r="B357" t="str">
            <v>OUTROS</v>
          </cell>
        </row>
        <row r="358">
          <cell r="A358">
            <v>410722009</v>
          </cell>
          <cell r="B358" t="str">
            <v>OUTROS</v>
          </cell>
        </row>
        <row r="359">
          <cell r="A359">
            <v>410722079</v>
          </cell>
          <cell r="B359" t="str">
            <v>OUTROS</v>
          </cell>
        </row>
        <row r="360">
          <cell r="A360">
            <v>410722013</v>
          </cell>
          <cell r="B360" t="str">
            <v>OUTROS</v>
          </cell>
        </row>
        <row r="361">
          <cell r="A361">
            <v>410722018</v>
          </cell>
          <cell r="B361" t="str">
            <v>OUTROS</v>
          </cell>
        </row>
        <row r="362">
          <cell r="A362">
            <v>410722039</v>
          </cell>
          <cell r="B362" t="str">
            <v>OUTROS</v>
          </cell>
        </row>
        <row r="363">
          <cell r="A363">
            <v>410722020</v>
          </cell>
          <cell r="B363" t="str">
            <v>OUTROS</v>
          </cell>
        </row>
        <row r="364">
          <cell r="A364">
            <v>410722008</v>
          </cell>
          <cell r="B364" t="str">
            <v>OUTROS</v>
          </cell>
        </row>
        <row r="365">
          <cell r="A365">
            <v>410709115</v>
          </cell>
          <cell r="B365" t="str">
            <v>OUTROS</v>
          </cell>
        </row>
        <row r="366">
          <cell r="A366">
            <v>410709009</v>
          </cell>
          <cell r="B366" t="str">
            <v>OUTROS</v>
          </cell>
        </row>
        <row r="367">
          <cell r="A367">
            <v>410809006</v>
          </cell>
          <cell r="B367" t="str">
            <v>OUTROS</v>
          </cell>
        </row>
        <row r="368">
          <cell r="A368">
            <v>410709079</v>
          </cell>
          <cell r="B368" t="str">
            <v>OUTROS</v>
          </cell>
        </row>
        <row r="369">
          <cell r="A369">
            <v>410709022</v>
          </cell>
          <cell r="B369" t="str">
            <v>OUTROS</v>
          </cell>
        </row>
        <row r="370">
          <cell r="A370">
            <v>410709008</v>
          </cell>
          <cell r="B370" t="str">
            <v>OUTROS</v>
          </cell>
        </row>
        <row r="371">
          <cell r="A371">
            <v>410709027</v>
          </cell>
          <cell r="B371" t="str">
            <v>OUTROS</v>
          </cell>
        </row>
        <row r="372">
          <cell r="A372">
            <v>410809011</v>
          </cell>
          <cell r="B372" t="str">
            <v>OUTROS</v>
          </cell>
        </row>
        <row r="373">
          <cell r="A373">
            <v>410809045</v>
          </cell>
          <cell r="B373" t="str">
            <v>OUTROS</v>
          </cell>
        </row>
        <row r="374">
          <cell r="A374">
            <v>410709020</v>
          </cell>
          <cell r="B374" t="str">
            <v>OUTROS</v>
          </cell>
        </row>
        <row r="375">
          <cell r="A375">
            <v>410709039</v>
          </cell>
          <cell r="B375" t="str">
            <v>OUTROS</v>
          </cell>
        </row>
        <row r="376">
          <cell r="A376">
            <v>410809012</v>
          </cell>
          <cell r="B376" t="str">
            <v>OUTROS</v>
          </cell>
        </row>
        <row r="377">
          <cell r="A377">
            <v>410709018</v>
          </cell>
          <cell r="B377" t="str">
            <v>OUTROS</v>
          </cell>
        </row>
        <row r="378">
          <cell r="A378">
            <v>410709015</v>
          </cell>
          <cell r="B378" t="str">
            <v>OUTROS</v>
          </cell>
        </row>
        <row r="379">
          <cell r="A379">
            <v>410809008</v>
          </cell>
          <cell r="B379" t="str">
            <v>OUTROS</v>
          </cell>
        </row>
        <row r="380">
          <cell r="A380">
            <v>410809013</v>
          </cell>
          <cell r="B380" t="str">
            <v>OUTROS</v>
          </cell>
        </row>
        <row r="381">
          <cell r="A381">
            <v>410709023</v>
          </cell>
          <cell r="B381" t="str">
            <v>OUTROS</v>
          </cell>
        </row>
        <row r="382">
          <cell r="A382">
            <v>410809041</v>
          </cell>
          <cell r="B382" t="str">
            <v>OUTROS</v>
          </cell>
        </row>
        <row r="383">
          <cell r="A383">
            <v>410709013</v>
          </cell>
          <cell r="B383" t="str">
            <v>OUTROS</v>
          </cell>
        </row>
        <row r="384">
          <cell r="A384">
            <v>410713044</v>
          </cell>
          <cell r="B384" t="str">
            <v>OUTROS</v>
          </cell>
        </row>
        <row r="385">
          <cell r="A385">
            <v>410713018</v>
          </cell>
          <cell r="B385" t="str">
            <v>OUTROS</v>
          </cell>
        </row>
        <row r="386">
          <cell r="A386">
            <v>4107131150</v>
          </cell>
          <cell r="B386" t="str">
            <v>OUTROS</v>
          </cell>
        </row>
        <row r="387">
          <cell r="A387">
            <v>410813006</v>
          </cell>
          <cell r="B387" t="str">
            <v>OUTROS</v>
          </cell>
        </row>
        <row r="388">
          <cell r="A388">
            <v>410813012</v>
          </cell>
          <cell r="B388" t="str">
            <v>OUTROS</v>
          </cell>
        </row>
        <row r="389">
          <cell r="A389">
            <v>410713079</v>
          </cell>
          <cell r="B389" t="str">
            <v>OUTROS</v>
          </cell>
        </row>
        <row r="390">
          <cell r="A390">
            <v>410813008</v>
          </cell>
          <cell r="B390" t="str">
            <v>OUTROS</v>
          </cell>
        </row>
        <row r="391">
          <cell r="A391">
            <v>410713119</v>
          </cell>
          <cell r="B391" t="str">
            <v>OUTROS</v>
          </cell>
        </row>
        <row r="392">
          <cell r="A392">
            <v>410813041</v>
          </cell>
          <cell r="B392" t="str">
            <v>OUTROS</v>
          </cell>
        </row>
        <row r="393">
          <cell r="A393">
            <v>410713115</v>
          </cell>
          <cell r="B393" t="str">
            <v>OUTROS</v>
          </cell>
        </row>
        <row r="394">
          <cell r="A394">
            <v>410713039</v>
          </cell>
          <cell r="B394" t="str">
            <v>OUTROS</v>
          </cell>
        </row>
        <row r="395">
          <cell r="A395">
            <v>410713015</v>
          </cell>
          <cell r="B395" t="str">
            <v>OUTROS</v>
          </cell>
        </row>
        <row r="396">
          <cell r="A396">
            <v>410813013</v>
          </cell>
          <cell r="B396" t="str">
            <v>OUTROS</v>
          </cell>
        </row>
        <row r="397">
          <cell r="A397">
            <v>410713120</v>
          </cell>
          <cell r="B397" t="str">
            <v>OUTROS</v>
          </cell>
        </row>
        <row r="398">
          <cell r="A398">
            <v>410713013</v>
          </cell>
          <cell r="B398" t="str">
            <v>OUTROS</v>
          </cell>
        </row>
        <row r="399">
          <cell r="A399">
            <v>410813011</v>
          </cell>
          <cell r="B399" t="str">
            <v>OUTROS</v>
          </cell>
        </row>
        <row r="400">
          <cell r="A400">
            <v>410813045</v>
          </cell>
          <cell r="B400" t="str">
            <v>OUTROS</v>
          </cell>
        </row>
        <row r="401">
          <cell r="A401">
            <v>410713068</v>
          </cell>
          <cell r="B401" t="str">
            <v>OUTROS</v>
          </cell>
        </row>
        <row r="402">
          <cell r="A402">
            <v>410713008</v>
          </cell>
          <cell r="B402" t="str">
            <v>OUTROS</v>
          </cell>
        </row>
        <row r="403">
          <cell r="A403">
            <v>410713027</v>
          </cell>
          <cell r="B403" t="str">
            <v>OUTROS</v>
          </cell>
        </row>
        <row r="404">
          <cell r="A404">
            <v>410713009</v>
          </cell>
          <cell r="B404" t="str">
            <v>OUTROS</v>
          </cell>
        </row>
        <row r="405">
          <cell r="A405">
            <v>410713020</v>
          </cell>
          <cell r="B405" t="str">
            <v>OUTROS</v>
          </cell>
        </row>
        <row r="406">
          <cell r="A406">
            <v>410713122</v>
          </cell>
          <cell r="B406" t="str">
            <v>OUTROS</v>
          </cell>
        </row>
        <row r="407">
          <cell r="A407">
            <v>410713023</v>
          </cell>
          <cell r="B407" t="str">
            <v>OUTROS</v>
          </cell>
        </row>
        <row r="408">
          <cell r="A408">
            <v>410713007</v>
          </cell>
          <cell r="B408" t="str">
            <v>OUTROS</v>
          </cell>
        </row>
        <row r="409">
          <cell r="A409">
            <v>410713022</v>
          </cell>
          <cell r="B409" t="str">
            <v>OUTROS</v>
          </cell>
        </row>
        <row r="410">
          <cell r="A410">
            <v>413609102</v>
          </cell>
          <cell r="B410" t="str">
            <v>OUTROS</v>
          </cell>
        </row>
        <row r="411">
          <cell r="A411">
            <v>413609104</v>
          </cell>
          <cell r="B411" t="str">
            <v>OUTROS</v>
          </cell>
        </row>
        <row r="412">
          <cell r="A412">
            <v>413609103</v>
          </cell>
          <cell r="B412" t="str">
            <v>OUTROS</v>
          </cell>
        </row>
        <row r="413">
          <cell r="A413">
            <v>410923009</v>
          </cell>
          <cell r="B413" t="str">
            <v>OUTROS</v>
          </cell>
        </row>
        <row r="414">
          <cell r="A414">
            <v>411013018</v>
          </cell>
          <cell r="B414" t="str">
            <v>OUTROS</v>
          </cell>
        </row>
        <row r="415">
          <cell r="A415">
            <v>411013009</v>
          </cell>
          <cell r="B415" t="str">
            <v>OUTROS</v>
          </cell>
        </row>
        <row r="416">
          <cell r="A416">
            <v>411122039</v>
          </cell>
          <cell r="B416" t="str">
            <v>OUTROS</v>
          </cell>
        </row>
        <row r="417">
          <cell r="A417">
            <v>411122027</v>
          </cell>
          <cell r="B417" t="str">
            <v>OUTROS</v>
          </cell>
        </row>
        <row r="418">
          <cell r="A418">
            <v>411122020</v>
          </cell>
          <cell r="B418" t="str">
            <v>OUTROS</v>
          </cell>
        </row>
        <row r="419">
          <cell r="A419">
            <v>411122013</v>
          </cell>
          <cell r="B419" t="str">
            <v>OUTROS</v>
          </cell>
        </row>
        <row r="420">
          <cell r="A420">
            <v>411122116</v>
          </cell>
          <cell r="B420" t="str">
            <v>OUTROS</v>
          </cell>
        </row>
        <row r="421">
          <cell r="A421">
            <v>411122023</v>
          </cell>
          <cell r="B421" t="str">
            <v>OUTROS</v>
          </cell>
        </row>
        <row r="422">
          <cell r="A422">
            <v>411122018</v>
          </cell>
          <cell r="B422" t="str">
            <v>OUTROS</v>
          </cell>
        </row>
        <row r="423">
          <cell r="A423">
            <v>411122009</v>
          </cell>
          <cell r="B423" t="str">
            <v>OUTROS</v>
          </cell>
        </row>
        <row r="424">
          <cell r="A424">
            <v>411122022</v>
          </cell>
          <cell r="B424" t="str">
            <v>OUTROS</v>
          </cell>
        </row>
        <row r="425">
          <cell r="A425">
            <v>411122015</v>
          </cell>
          <cell r="B425" t="str">
            <v>OUTROS</v>
          </cell>
        </row>
        <row r="426">
          <cell r="A426">
            <v>411109020</v>
          </cell>
          <cell r="B426" t="str">
            <v>OUTROS</v>
          </cell>
        </row>
        <row r="427">
          <cell r="A427">
            <v>411109018</v>
          </cell>
          <cell r="B427" t="str">
            <v>OUTROS</v>
          </cell>
        </row>
        <row r="428">
          <cell r="A428">
            <v>411109022</v>
          </cell>
          <cell r="B428" t="str">
            <v>OUTROS</v>
          </cell>
        </row>
        <row r="429">
          <cell r="A429">
            <v>411109013</v>
          </cell>
          <cell r="B429" t="str">
            <v>OUTROS</v>
          </cell>
        </row>
        <row r="430">
          <cell r="A430">
            <v>411109015</v>
          </cell>
          <cell r="B430" t="str">
            <v>OUTROS</v>
          </cell>
        </row>
        <row r="431">
          <cell r="A431">
            <v>411109039</v>
          </cell>
          <cell r="B431" t="str">
            <v>OUTROS</v>
          </cell>
        </row>
        <row r="432">
          <cell r="A432">
            <v>411109027</v>
          </cell>
          <cell r="B432" t="str">
            <v>OUTROS</v>
          </cell>
        </row>
        <row r="433">
          <cell r="A433">
            <v>411109116</v>
          </cell>
          <cell r="B433" t="str">
            <v>OUTROS</v>
          </cell>
        </row>
        <row r="434">
          <cell r="A434">
            <v>411109009</v>
          </cell>
          <cell r="B434" t="str">
            <v>OUTROS</v>
          </cell>
        </row>
        <row r="435">
          <cell r="A435">
            <v>411109023</v>
          </cell>
          <cell r="B435" t="str">
            <v>OUTROS</v>
          </cell>
        </row>
        <row r="436">
          <cell r="A436">
            <v>411113116</v>
          </cell>
          <cell r="B436" t="str">
            <v>OUTROS</v>
          </cell>
        </row>
        <row r="437">
          <cell r="A437">
            <v>411113009</v>
          </cell>
          <cell r="B437" t="str">
            <v>OUTROS</v>
          </cell>
        </row>
        <row r="438">
          <cell r="A438">
            <v>411113044</v>
          </cell>
          <cell r="B438" t="str">
            <v>OUTROS</v>
          </cell>
        </row>
        <row r="439">
          <cell r="A439">
            <v>411113039</v>
          </cell>
          <cell r="B439" t="str">
            <v>OUTROS</v>
          </cell>
        </row>
        <row r="440">
          <cell r="A440">
            <v>411113023</v>
          </cell>
          <cell r="B440" t="str">
            <v>OUTROS</v>
          </cell>
        </row>
        <row r="441">
          <cell r="A441">
            <v>411113013</v>
          </cell>
          <cell r="B441" t="str">
            <v>OUTROS</v>
          </cell>
        </row>
        <row r="442">
          <cell r="A442">
            <v>411113018</v>
          </cell>
          <cell r="B442" t="str">
            <v>OUTROS</v>
          </cell>
        </row>
        <row r="443">
          <cell r="A443">
            <v>411113015</v>
          </cell>
          <cell r="B443" t="str">
            <v>OUTROS</v>
          </cell>
        </row>
        <row r="444">
          <cell r="A444">
            <v>411113020</v>
          </cell>
          <cell r="B444" t="str">
            <v>OUTROS</v>
          </cell>
        </row>
        <row r="445">
          <cell r="A445">
            <v>411113022</v>
          </cell>
          <cell r="B445" t="str">
            <v>OUTROS</v>
          </cell>
        </row>
        <row r="446">
          <cell r="A446">
            <v>411113027</v>
          </cell>
          <cell r="B446" t="str">
            <v>OUTROS</v>
          </cell>
        </row>
        <row r="447">
          <cell r="A447">
            <v>411213018</v>
          </cell>
          <cell r="B447" t="str">
            <v>OUTROS</v>
          </cell>
        </row>
        <row r="448">
          <cell r="A448">
            <v>411213009</v>
          </cell>
          <cell r="B448" t="str">
            <v>OUTROS</v>
          </cell>
        </row>
        <row r="449">
          <cell r="A449">
            <v>414013124</v>
          </cell>
          <cell r="B449" t="str">
            <v>OUTROS</v>
          </cell>
        </row>
        <row r="450">
          <cell r="A450">
            <v>414013123</v>
          </cell>
          <cell r="B450" t="str">
            <v>OUTROS</v>
          </cell>
        </row>
        <row r="451">
          <cell r="A451">
            <v>414013126</v>
          </cell>
          <cell r="B451" t="str">
            <v>OUTROS</v>
          </cell>
        </row>
        <row r="452">
          <cell r="A452">
            <v>414113126</v>
          </cell>
          <cell r="B452" t="str">
            <v>OUTROS</v>
          </cell>
        </row>
        <row r="453">
          <cell r="A453">
            <v>414113125</v>
          </cell>
          <cell r="B453" t="str">
            <v>OUTROS</v>
          </cell>
        </row>
        <row r="454">
          <cell r="A454">
            <v>431127001</v>
          </cell>
          <cell r="B454" t="str">
            <v>SACHES</v>
          </cell>
        </row>
        <row r="455">
          <cell r="A455">
            <v>431127003</v>
          </cell>
          <cell r="B455" t="str">
            <v>SACHES</v>
          </cell>
        </row>
        <row r="456">
          <cell r="A456">
            <v>431127001</v>
          </cell>
          <cell r="B456" t="str">
            <v>SACHES</v>
          </cell>
        </row>
        <row r="457">
          <cell r="A457">
            <v>450227040</v>
          </cell>
          <cell r="B457" t="str">
            <v>SACHES</v>
          </cell>
        </row>
        <row r="458">
          <cell r="A458">
            <v>450227024</v>
          </cell>
          <cell r="B458" t="str">
            <v>SACHES</v>
          </cell>
        </row>
        <row r="459">
          <cell r="A459">
            <v>450227033</v>
          </cell>
          <cell r="B459" t="str">
            <v>SACHES</v>
          </cell>
        </row>
        <row r="460">
          <cell r="A460">
            <v>450227074</v>
          </cell>
          <cell r="B460" t="str">
            <v>SACHES</v>
          </cell>
        </row>
        <row r="461">
          <cell r="A461">
            <v>450227046</v>
          </cell>
          <cell r="B461" t="str">
            <v>SACHES</v>
          </cell>
        </row>
        <row r="462">
          <cell r="A462">
            <v>450327025</v>
          </cell>
          <cell r="B462" t="str">
            <v>SACHES</v>
          </cell>
        </row>
        <row r="463">
          <cell r="A463">
            <v>450327033</v>
          </cell>
          <cell r="B463" t="str">
            <v>SACHES</v>
          </cell>
        </row>
        <row r="464">
          <cell r="A464">
            <v>450327026</v>
          </cell>
          <cell r="B464" t="str">
            <v>SACHES</v>
          </cell>
        </row>
        <row r="465">
          <cell r="A465">
            <v>420127031</v>
          </cell>
          <cell r="B465" t="str">
            <v>SACHES</v>
          </cell>
        </row>
        <row r="466">
          <cell r="A466">
            <v>420127037</v>
          </cell>
          <cell r="B466" t="str">
            <v>SACHES</v>
          </cell>
        </row>
        <row r="467">
          <cell r="A467">
            <v>420127034</v>
          </cell>
          <cell r="B467" t="str">
            <v>SACHES</v>
          </cell>
        </row>
        <row r="468">
          <cell r="A468">
            <v>420227032</v>
          </cell>
          <cell r="B468" t="str">
            <v>SACHES</v>
          </cell>
        </row>
        <row r="469">
          <cell r="A469">
            <v>420227002</v>
          </cell>
          <cell r="B469" t="str">
            <v>SACHES</v>
          </cell>
        </row>
        <row r="470">
          <cell r="A470">
            <v>430127039</v>
          </cell>
          <cell r="B470" t="str">
            <v>SACHES</v>
          </cell>
        </row>
        <row r="471">
          <cell r="A471">
            <v>430127014</v>
          </cell>
          <cell r="B471" t="str">
            <v>SACHES</v>
          </cell>
        </row>
        <row r="472">
          <cell r="A472">
            <v>430127009</v>
          </cell>
          <cell r="B472" t="str">
            <v>SACHES</v>
          </cell>
        </row>
        <row r="473">
          <cell r="A473">
            <v>430227004</v>
          </cell>
          <cell r="B473" t="str">
            <v>SACHES</v>
          </cell>
        </row>
        <row r="474">
          <cell r="A474">
            <v>430227032</v>
          </cell>
          <cell r="B474" t="str">
            <v>SACHES</v>
          </cell>
        </row>
        <row r="475">
          <cell r="A475">
            <v>430261021</v>
          </cell>
          <cell r="B475" t="str">
            <v>SACHES</v>
          </cell>
        </row>
        <row r="476">
          <cell r="A476">
            <v>430261047</v>
          </cell>
          <cell r="B476" t="str">
            <v>SACHES</v>
          </cell>
        </row>
        <row r="477">
          <cell r="A477">
            <v>430227036</v>
          </cell>
          <cell r="B477" t="str">
            <v>SACHES</v>
          </cell>
        </row>
        <row r="478">
          <cell r="A478">
            <v>430227021</v>
          </cell>
          <cell r="B478" t="str">
            <v>SACHES</v>
          </cell>
        </row>
        <row r="479">
          <cell r="A479">
            <v>430227035</v>
          </cell>
          <cell r="B479" t="str">
            <v>SACHES</v>
          </cell>
        </row>
        <row r="480">
          <cell r="A480">
            <v>430261083</v>
          </cell>
          <cell r="B480" t="str">
            <v>SACHES</v>
          </cell>
        </row>
        <row r="481">
          <cell r="A481">
            <v>430261029</v>
          </cell>
          <cell r="B481" t="str">
            <v>SACHES</v>
          </cell>
        </row>
        <row r="482">
          <cell r="A482">
            <v>430227019</v>
          </cell>
          <cell r="B482" t="str">
            <v>SACHES</v>
          </cell>
        </row>
        <row r="483">
          <cell r="A483">
            <v>430227005</v>
          </cell>
          <cell r="B483" t="str">
            <v>SACHES</v>
          </cell>
        </row>
        <row r="484">
          <cell r="A484">
            <v>430227083</v>
          </cell>
          <cell r="B484" t="str">
            <v>SACHES</v>
          </cell>
        </row>
        <row r="485">
          <cell r="A485">
            <v>430261004</v>
          </cell>
          <cell r="B485" t="str">
            <v>SACHES</v>
          </cell>
        </row>
        <row r="486">
          <cell r="A486">
            <v>430227047</v>
          </cell>
          <cell r="B486" t="str">
            <v>SACHES</v>
          </cell>
        </row>
        <row r="487">
          <cell r="A487">
            <v>430227029</v>
          </cell>
          <cell r="B487" t="str">
            <v>SACHES</v>
          </cell>
        </row>
        <row r="488">
          <cell r="A488">
            <v>430261036</v>
          </cell>
          <cell r="B488" t="str">
            <v>SACHES</v>
          </cell>
        </row>
        <row r="489">
          <cell r="A489">
            <v>430261019</v>
          </cell>
          <cell r="B489" t="str">
            <v>SACHES</v>
          </cell>
        </row>
        <row r="490">
          <cell r="A490">
            <v>431047001</v>
          </cell>
          <cell r="B490" t="str">
            <v>SACHES</v>
          </cell>
        </row>
        <row r="491">
          <cell r="A491">
            <v>431047003</v>
          </cell>
          <cell r="B491" t="str">
            <v>SACHES</v>
          </cell>
        </row>
        <row r="492">
          <cell r="A492">
            <v>430627031</v>
          </cell>
          <cell r="B492" t="str">
            <v>SACHES</v>
          </cell>
        </row>
        <row r="493">
          <cell r="A493">
            <v>410727044</v>
          </cell>
          <cell r="B493" t="str">
            <v>SACHES</v>
          </cell>
        </row>
        <row r="494">
          <cell r="A494">
            <v>410727120</v>
          </cell>
          <cell r="B494" t="str">
            <v>SACHES</v>
          </cell>
        </row>
        <row r="495">
          <cell r="A495">
            <v>410827045</v>
          </cell>
          <cell r="B495" t="str">
            <v>SACHES</v>
          </cell>
        </row>
        <row r="496">
          <cell r="A496">
            <v>410761120</v>
          </cell>
          <cell r="B496" t="str">
            <v>SACHES</v>
          </cell>
        </row>
        <row r="497">
          <cell r="A497">
            <v>410727068</v>
          </cell>
          <cell r="B497" t="str">
            <v>SACHES</v>
          </cell>
        </row>
        <row r="498">
          <cell r="A498">
            <v>410761122</v>
          </cell>
          <cell r="B498" t="str">
            <v>SACHES</v>
          </cell>
        </row>
        <row r="499">
          <cell r="A499">
            <v>410761068</v>
          </cell>
          <cell r="B499" t="str">
            <v>SACHES</v>
          </cell>
        </row>
        <row r="500">
          <cell r="A500">
            <v>410727115</v>
          </cell>
          <cell r="B500" t="str">
            <v>SACHES</v>
          </cell>
        </row>
        <row r="501">
          <cell r="A501">
            <v>410727013</v>
          </cell>
          <cell r="B501" t="str">
            <v>SACHES</v>
          </cell>
        </row>
        <row r="502">
          <cell r="A502">
            <v>410761013</v>
          </cell>
          <cell r="B502" t="str">
            <v>SACHES</v>
          </cell>
        </row>
        <row r="503">
          <cell r="A503">
            <v>410827012</v>
          </cell>
          <cell r="B503" t="str">
            <v>SACHES</v>
          </cell>
        </row>
        <row r="504">
          <cell r="A504">
            <v>410761015</v>
          </cell>
          <cell r="B504" t="str">
            <v>SACHES</v>
          </cell>
        </row>
        <row r="505">
          <cell r="A505">
            <v>410727023</v>
          </cell>
          <cell r="B505" t="str">
            <v>SACHES</v>
          </cell>
        </row>
        <row r="506">
          <cell r="A506">
            <v>410727018</v>
          </cell>
          <cell r="B506" t="str">
            <v>SACHES</v>
          </cell>
        </row>
        <row r="507">
          <cell r="A507">
            <v>410727027</v>
          </cell>
          <cell r="B507" t="str">
            <v>SACHES</v>
          </cell>
        </row>
        <row r="508">
          <cell r="A508">
            <v>410761027</v>
          </cell>
          <cell r="B508" t="str">
            <v>SACHES</v>
          </cell>
        </row>
        <row r="509">
          <cell r="A509">
            <v>410727015</v>
          </cell>
          <cell r="B509" t="str">
            <v>SACHES</v>
          </cell>
        </row>
        <row r="510">
          <cell r="A510">
            <v>410761009</v>
          </cell>
          <cell r="B510" t="str">
            <v>SACHES</v>
          </cell>
        </row>
        <row r="511">
          <cell r="A511">
            <v>410761020</v>
          </cell>
          <cell r="B511" t="str">
            <v>SACHES</v>
          </cell>
        </row>
        <row r="512">
          <cell r="A512">
            <v>410761039</v>
          </cell>
          <cell r="B512" t="str">
            <v>SACHES</v>
          </cell>
        </row>
        <row r="513">
          <cell r="A513">
            <v>410727039</v>
          </cell>
          <cell r="B513" t="str">
            <v>SACHES</v>
          </cell>
        </row>
        <row r="514">
          <cell r="A514">
            <v>410761018</v>
          </cell>
          <cell r="B514" t="str">
            <v>SACHES</v>
          </cell>
        </row>
        <row r="515">
          <cell r="A515">
            <v>410727009</v>
          </cell>
          <cell r="B515" t="str">
            <v>SACHES</v>
          </cell>
        </row>
        <row r="516">
          <cell r="A516">
            <v>410727122</v>
          </cell>
          <cell r="B516" t="str">
            <v>SACHES</v>
          </cell>
        </row>
        <row r="517">
          <cell r="A517">
            <v>410727008</v>
          </cell>
          <cell r="B517" t="str">
            <v>SACHES</v>
          </cell>
        </row>
        <row r="518">
          <cell r="A518">
            <v>410727119</v>
          </cell>
          <cell r="B518" t="str">
            <v>SACHES</v>
          </cell>
        </row>
        <row r="519">
          <cell r="A519">
            <v>410827011</v>
          </cell>
          <cell r="B519" t="str">
            <v>SACHES</v>
          </cell>
        </row>
        <row r="520">
          <cell r="A520">
            <v>410727020</v>
          </cell>
          <cell r="B520" t="str">
            <v>SACHES</v>
          </cell>
        </row>
        <row r="521">
          <cell r="A521">
            <v>410761119</v>
          </cell>
          <cell r="B521" t="str">
            <v>SACHES</v>
          </cell>
        </row>
        <row r="522">
          <cell r="A522">
            <v>410727022</v>
          </cell>
          <cell r="B522" t="str">
            <v>SACHES</v>
          </cell>
        </row>
        <row r="523">
          <cell r="A523">
            <v>410727079</v>
          </cell>
          <cell r="B523" t="str">
            <v>SACHES</v>
          </cell>
        </row>
        <row r="524">
          <cell r="A524">
            <v>410761044</v>
          </cell>
          <cell r="B524" t="str">
            <v>SACHES</v>
          </cell>
        </row>
        <row r="525">
          <cell r="A525">
            <v>410827013</v>
          </cell>
          <cell r="B525" t="str">
            <v>SACHES</v>
          </cell>
        </row>
        <row r="526">
          <cell r="A526">
            <v>410827008</v>
          </cell>
          <cell r="B526" t="str">
            <v>SACHES</v>
          </cell>
        </row>
        <row r="527">
          <cell r="A527">
            <v>410761115</v>
          </cell>
          <cell r="B527" t="str">
            <v>SACHES</v>
          </cell>
        </row>
        <row r="528">
          <cell r="A528">
            <v>410761022</v>
          </cell>
          <cell r="B528" t="str">
            <v>SACHES</v>
          </cell>
        </row>
        <row r="529">
          <cell r="A529">
            <v>410761023</v>
          </cell>
          <cell r="B529" t="str">
            <v>SACHES</v>
          </cell>
        </row>
        <row r="530">
          <cell r="A530">
            <v>410761079</v>
          </cell>
          <cell r="B530" t="str">
            <v>SACHES</v>
          </cell>
        </row>
        <row r="531">
          <cell r="A531">
            <v>411127022</v>
          </cell>
          <cell r="B531" t="str">
            <v>SACHES</v>
          </cell>
        </row>
        <row r="532">
          <cell r="A532">
            <v>411127009</v>
          </cell>
          <cell r="B532" t="str">
            <v>SACHES</v>
          </cell>
        </row>
        <row r="533">
          <cell r="A533">
            <v>411161020</v>
          </cell>
          <cell r="B533" t="str">
            <v>SACHES</v>
          </cell>
        </row>
        <row r="534">
          <cell r="A534">
            <v>411127027</v>
          </cell>
          <cell r="B534" t="str">
            <v>SACHES</v>
          </cell>
        </row>
        <row r="535">
          <cell r="A535">
            <v>411127018</v>
          </cell>
          <cell r="B535" t="str">
            <v>SACHES</v>
          </cell>
        </row>
        <row r="536">
          <cell r="A536">
            <v>411161027</v>
          </cell>
          <cell r="B536" t="str">
            <v>SACHES</v>
          </cell>
        </row>
        <row r="537">
          <cell r="A537">
            <v>411161022</v>
          </cell>
          <cell r="B537" t="str">
            <v>SACHES</v>
          </cell>
        </row>
        <row r="538">
          <cell r="A538">
            <v>411127039</v>
          </cell>
          <cell r="B538" t="str">
            <v>SACHES</v>
          </cell>
        </row>
        <row r="539">
          <cell r="A539">
            <v>411127044</v>
          </cell>
          <cell r="B539" t="str">
            <v>SACHES</v>
          </cell>
        </row>
        <row r="540">
          <cell r="A540">
            <v>411127015</v>
          </cell>
          <cell r="B540" t="str">
            <v>SACHES</v>
          </cell>
        </row>
        <row r="541">
          <cell r="A541">
            <v>411127020</v>
          </cell>
          <cell r="B541" t="str">
            <v>SACHES</v>
          </cell>
        </row>
        <row r="542">
          <cell r="A542">
            <v>411127013</v>
          </cell>
          <cell r="B542" t="str">
            <v>SACHES</v>
          </cell>
        </row>
        <row r="543">
          <cell r="A543">
            <v>411161023</v>
          </cell>
          <cell r="B543" t="str">
            <v>SACHES</v>
          </cell>
        </row>
        <row r="544">
          <cell r="A544">
            <v>411161018</v>
          </cell>
          <cell r="B544" t="str">
            <v>SACHES</v>
          </cell>
        </row>
        <row r="545">
          <cell r="A545">
            <v>411127023</v>
          </cell>
          <cell r="B545" t="str">
            <v>SACHES</v>
          </cell>
        </row>
        <row r="546">
          <cell r="A546">
            <v>419929009</v>
          </cell>
          <cell r="B546" t="str">
            <v>SACHES</v>
          </cell>
        </row>
        <row r="547">
          <cell r="A547">
            <v>411161009</v>
          </cell>
          <cell r="B547" t="str">
            <v>SACHES</v>
          </cell>
        </row>
        <row r="548">
          <cell r="A548">
            <v>411161015</v>
          </cell>
          <cell r="B548" t="str">
            <v>SACHES</v>
          </cell>
        </row>
        <row r="549">
          <cell r="A549">
            <v>414061124</v>
          </cell>
          <cell r="B549" t="str">
            <v>SACHES</v>
          </cell>
        </row>
        <row r="550">
          <cell r="A550">
            <v>414074124</v>
          </cell>
          <cell r="B550" t="str">
            <v>SACHES</v>
          </cell>
        </row>
        <row r="551">
          <cell r="A551">
            <v>414074123</v>
          </cell>
          <cell r="B551" t="str">
            <v>SACHES</v>
          </cell>
        </row>
        <row r="552">
          <cell r="A552">
            <v>414174125</v>
          </cell>
          <cell r="B552" t="str">
            <v>SACHES</v>
          </cell>
        </row>
        <row r="553">
          <cell r="A553">
            <v>414174126</v>
          </cell>
          <cell r="B553" t="str">
            <v>SACHES</v>
          </cell>
        </row>
        <row r="554">
          <cell r="A554">
            <v>414061123</v>
          </cell>
          <cell r="B554" t="str">
            <v>SACHES</v>
          </cell>
        </row>
        <row r="555">
          <cell r="A555">
            <v>414161126</v>
          </cell>
          <cell r="B555" t="str">
            <v>SACHES</v>
          </cell>
        </row>
        <row r="556">
          <cell r="A556">
            <v>414261131</v>
          </cell>
          <cell r="B556" t="str">
            <v>SACHES</v>
          </cell>
        </row>
        <row r="557">
          <cell r="A557">
            <v>414161125</v>
          </cell>
          <cell r="B557" t="str">
            <v>SACHES</v>
          </cell>
        </row>
        <row r="558">
          <cell r="A558">
            <v>414261127</v>
          </cell>
          <cell r="B558" t="str">
            <v>SACHES</v>
          </cell>
        </row>
        <row r="559">
          <cell r="A559">
            <v>414274127</v>
          </cell>
          <cell r="B559" t="str">
            <v>SACHES</v>
          </cell>
        </row>
        <row r="560">
          <cell r="A560">
            <v>414274131</v>
          </cell>
          <cell r="B560" t="str">
            <v>SACHES</v>
          </cell>
        </row>
        <row r="561">
          <cell r="A561">
            <v>411328020</v>
          </cell>
          <cell r="B561" t="str">
            <v>SHAKES</v>
          </cell>
        </row>
        <row r="562">
          <cell r="A562">
            <v>412828027</v>
          </cell>
          <cell r="B562" t="str">
            <v>SHAKES</v>
          </cell>
        </row>
        <row r="563">
          <cell r="A563">
            <v>412828020</v>
          </cell>
          <cell r="B563" t="str">
            <v>SHAKES</v>
          </cell>
        </row>
        <row r="564">
          <cell r="A564">
            <v>419928027</v>
          </cell>
          <cell r="B564" t="str">
            <v>SHAKES</v>
          </cell>
        </row>
        <row r="565">
          <cell r="A565">
            <v>411328027</v>
          </cell>
          <cell r="B565" t="str">
            <v>SHAKES</v>
          </cell>
        </row>
        <row r="566">
          <cell r="A566">
            <v>411328023</v>
          </cell>
          <cell r="B566" t="str">
            <v>SHAKES</v>
          </cell>
        </row>
        <row r="567">
          <cell r="A567">
            <v>419928020</v>
          </cell>
          <cell r="B567" t="str">
            <v>SHAKES</v>
          </cell>
        </row>
        <row r="568">
          <cell r="A568">
            <v>412828023</v>
          </cell>
          <cell r="B568" t="str">
            <v>SHAKES</v>
          </cell>
        </row>
        <row r="569">
          <cell r="A569">
            <v>419928023</v>
          </cell>
          <cell r="B569" t="str">
            <v>SHAKES</v>
          </cell>
        </row>
        <row r="570">
          <cell r="A570">
            <v>412828022</v>
          </cell>
          <cell r="B570" t="str">
            <v>SHAKES</v>
          </cell>
        </row>
        <row r="571">
          <cell r="A571">
            <v>419928018</v>
          </cell>
          <cell r="B571" t="str">
            <v>SHAKES</v>
          </cell>
        </row>
        <row r="572">
          <cell r="A572">
            <v>412828075</v>
          </cell>
          <cell r="B572" t="str">
            <v>SHAKES</v>
          </cell>
        </row>
        <row r="573">
          <cell r="A573">
            <v>411328018</v>
          </cell>
          <cell r="B573" t="str">
            <v>SHAKES</v>
          </cell>
        </row>
        <row r="574">
          <cell r="A574">
            <v>412828018</v>
          </cell>
          <cell r="B574" t="str">
            <v>SHAKES</v>
          </cell>
        </row>
        <row r="575">
          <cell r="A575">
            <v>410115001</v>
          </cell>
          <cell r="B575" t="str">
            <v>VITAMINAS</v>
          </cell>
        </row>
        <row r="576">
          <cell r="A576">
            <v>410103002</v>
          </cell>
          <cell r="B576" t="str">
            <v>VITAMINAS</v>
          </cell>
        </row>
        <row r="577">
          <cell r="A577">
            <v>410103032</v>
          </cell>
          <cell r="B577" t="str">
            <v>VITAMINAS</v>
          </cell>
        </row>
        <row r="578">
          <cell r="A578">
            <v>410103031</v>
          </cell>
          <cell r="B578" t="str">
            <v>VITAMINAS</v>
          </cell>
        </row>
        <row r="579">
          <cell r="A579">
            <v>411517001</v>
          </cell>
          <cell r="B579" t="str">
            <v>VITAMINAS</v>
          </cell>
        </row>
        <row r="580">
          <cell r="A580">
            <v>411519001</v>
          </cell>
          <cell r="B580" t="str">
            <v>VITAMINAS</v>
          </cell>
        </row>
        <row r="581">
          <cell r="A581">
            <v>411540001</v>
          </cell>
          <cell r="B581" t="str">
            <v>VITAMINAS</v>
          </cell>
        </row>
        <row r="582">
          <cell r="A582">
            <v>411520001</v>
          </cell>
          <cell r="B582" t="str">
            <v>VITAMINAS</v>
          </cell>
        </row>
        <row r="583">
          <cell r="A583">
            <v>433463001</v>
          </cell>
          <cell r="B583" t="str">
            <v>VITAMINAS</v>
          </cell>
        </row>
        <row r="584">
          <cell r="A584">
            <v>431317001</v>
          </cell>
          <cell r="B584" t="str">
            <v>VITAMINAS</v>
          </cell>
        </row>
        <row r="585">
          <cell r="A585">
            <v>431318001</v>
          </cell>
          <cell r="B585" t="str">
            <v>VITAMINAS</v>
          </cell>
        </row>
        <row r="586">
          <cell r="A586">
            <v>433317001</v>
          </cell>
          <cell r="B586" t="str">
            <v>VITAMINAS</v>
          </cell>
        </row>
        <row r="587">
          <cell r="A587">
            <v>433318001</v>
          </cell>
          <cell r="B587" t="str">
            <v>VITAMINAS</v>
          </cell>
        </row>
        <row r="588">
          <cell r="A588">
            <v>431517001</v>
          </cell>
          <cell r="B588" t="str">
            <v>VITAMINAS</v>
          </cell>
        </row>
        <row r="589">
          <cell r="A589">
            <v>440118001</v>
          </cell>
          <cell r="B589" t="str">
            <v>VITAMINAS</v>
          </cell>
        </row>
        <row r="590">
          <cell r="A590">
            <v>440218001</v>
          </cell>
          <cell r="B590" t="str">
            <v>VITAMINAS</v>
          </cell>
        </row>
        <row r="591">
          <cell r="A591">
            <v>430917001</v>
          </cell>
          <cell r="B591" t="str">
            <v>VITAMINAS</v>
          </cell>
        </row>
        <row r="592">
          <cell r="A592">
            <v>430918001</v>
          </cell>
          <cell r="B592" t="str">
            <v>VITAMINAS</v>
          </cell>
        </row>
        <row r="593">
          <cell r="A593">
            <v>430816001</v>
          </cell>
          <cell r="B593" t="str">
            <v>VITAMINAS</v>
          </cell>
        </row>
        <row r="594">
          <cell r="A594">
            <v>430856001</v>
          </cell>
          <cell r="B594" t="str">
            <v>VITAMINAS</v>
          </cell>
        </row>
        <row r="595">
          <cell r="A595">
            <v>430818001</v>
          </cell>
          <cell r="B595" t="str">
            <v>VITAMINAS</v>
          </cell>
        </row>
        <row r="596">
          <cell r="A596">
            <v>430821001</v>
          </cell>
          <cell r="B596" t="str">
            <v>VITAMINAS</v>
          </cell>
        </row>
        <row r="597">
          <cell r="A597">
            <v>433617001</v>
          </cell>
          <cell r="B597" t="str">
            <v>VITAMINAS</v>
          </cell>
        </row>
        <row r="598">
          <cell r="A598">
            <v>450418001</v>
          </cell>
          <cell r="B598" t="str">
            <v>VITAMINAS</v>
          </cell>
        </row>
        <row r="599">
          <cell r="A599">
            <v>451550001</v>
          </cell>
          <cell r="B599" t="str">
            <v>VITAMINAS</v>
          </cell>
        </row>
        <row r="600">
          <cell r="A600">
            <v>450518001</v>
          </cell>
          <cell r="B600" t="str">
            <v>VITAMINAS</v>
          </cell>
        </row>
        <row r="601">
          <cell r="A601">
            <v>450617001</v>
          </cell>
          <cell r="B601" t="str">
            <v>VITAMINAS</v>
          </cell>
        </row>
        <row r="602">
          <cell r="A602">
            <v>450918001</v>
          </cell>
          <cell r="B602" t="str">
            <v>VITAMINAS</v>
          </cell>
        </row>
        <row r="603">
          <cell r="A603">
            <v>433019001</v>
          </cell>
          <cell r="B603" t="str">
            <v>VITAMINAS</v>
          </cell>
        </row>
        <row r="604">
          <cell r="A604">
            <v>431648036</v>
          </cell>
          <cell r="B604" t="str">
            <v>VITAMINAS</v>
          </cell>
        </row>
        <row r="605">
          <cell r="A605">
            <v>411417001</v>
          </cell>
          <cell r="B605" t="str">
            <v>VITAMINAS</v>
          </cell>
        </row>
        <row r="606">
          <cell r="A606">
            <v>411419001</v>
          </cell>
          <cell r="B606" t="str">
            <v>VITAMINAS</v>
          </cell>
        </row>
        <row r="607">
          <cell r="A607">
            <v>433518001</v>
          </cell>
          <cell r="B607" t="str">
            <v>VITAMINAS</v>
          </cell>
        </row>
        <row r="608">
          <cell r="A608">
            <v>433117001</v>
          </cell>
          <cell r="B608" t="str">
            <v>VITAMINAS</v>
          </cell>
        </row>
        <row r="609">
          <cell r="A609">
            <v>433118001</v>
          </cell>
          <cell r="B609" t="str">
            <v>VITAMINAS</v>
          </cell>
        </row>
        <row r="610">
          <cell r="A610">
            <v>450718001</v>
          </cell>
          <cell r="B610" t="str">
            <v>VITAMINAS</v>
          </cell>
        </row>
        <row r="611">
          <cell r="A611">
            <v>451618001</v>
          </cell>
          <cell r="B611" t="str">
            <v>VITAMINAS</v>
          </cell>
        </row>
        <row r="612">
          <cell r="A612">
            <v>430317001</v>
          </cell>
          <cell r="B612" t="str">
            <v>VITAMINAS</v>
          </cell>
        </row>
        <row r="613">
          <cell r="A613">
            <v>430318001</v>
          </cell>
          <cell r="B613" t="str">
            <v>VITAMINAS</v>
          </cell>
        </row>
        <row r="614">
          <cell r="A614">
            <v>430344001</v>
          </cell>
          <cell r="B614" t="str">
            <v>VITAMINAS</v>
          </cell>
        </row>
        <row r="615">
          <cell r="A615">
            <v>440318001</v>
          </cell>
          <cell r="B615" t="str">
            <v>VITAMINAS</v>
          </cell>
        </row>
        <row r="616">
          <cell r="A616">
            <v>450818001</v>
          </cell>
          <cell r="B616" t="str">
            <v>VITAMINAS</v>
          </cell>
        </row>
        <row r="617">
          <cell r="A617">
            <v>430418001</v>
          </cell>
          <cell r="B617" t="str">
            <v>VITAMINAS</v>
          </cell>
        </row>
        <row r="618">
          <cell r="A618">
            <v>432148082</v>
          </cell>
          <cell r="B618" t="str">
            <v>VITAMINAS</v>
          </cell>
        </row>
        <row r="619">
          <cell r="A619">
            <v>430503031</v>
          </cell>
          <cell r="B619" t="str">
            <v>VITAMINAS</v>
          </cell>
        </row>
        <row r="620">
          <cell r="A620">
            <v>430503001</v>
          </cell>
          <cell r="B620" t="str">
            <v>VITAMINAS</v>
          </cell>
        </row>
        <row r="621">
          <cell r="A621">
            <v>431448032</v>
          </cell>
          <cell r="B621" t="str">
            <v>VITAMINAS</v>
          </cell>
        </row>
        <row r="622">
          <cell r="A622">
            <v>430716001</v>
          </cell>
          <cell r="B622" t="str">
            <v>VITAMINAS</v>
          </cell>
        </row>
        <row r="623">
          <cell r="A623">
            <v>430725001</v>
          </cell>
          <cell r="B623" t="str">
            <v>VITAMINAS</v>
          </cell>
        </row>
        <row r="624">
          <cell r="A624">
            <v>430718001</v>
          </cell>
          <cell r="B624" t="str">
            <v>VITAMINAS</v>
          </cell>
        </row>
        <row r="625">
          <cell r="A625">
            <v>411571001</v>
          </cell>
          <cell r="B625" t="str">
            <v>VITAMINAS</v>
          </cell>
        </row>
        <row r="626">
          <cell r="A626">
            <v>411572001</v>
          </cell>
          <cell r="B626" t="str">
            <v>VITAMINAS</v>
          </cell>
        </row>
        <row r="627">
          <cell r="A627">
            <v>430870001</v>
          </cell>
          <cell r="B627" t="str">
            <v>VITAMINAS</v>
          </cell>
        </row>
        <row r="628">
          <cell r="A628">
            <v>430274029</v>
          </cell>
          <cell r="B628" t="str">
            <v>SACHES</v>
          </cell>
        </row>
        <row r="629">
          <cell r="A629">
            <v>411471001</v>
          </cell>
          <cell r="B629" t="str">
            <v>VITAMINAS</v>
          </cell>
        </row>
        <row r="630">
          <cell r="A630">
            <v>411472001</v>
          </cell>
          <cell r="B630" t="str">
            <v>VITAMINAS</v>
          </cell>
        </row>
        <row r="631">
          <cell r="A631">
            <v>410774015</v>
          </cell>
          <cell r="B631" t="str">
            <v>SACHES</v>
          </cell>
        </row>
        <row r="632">
          <cell r="A632">
            <v>410774018</v>
          </cell>
          <cell r="B632" t="str">
            <v>SACHES</v>
          </cell>
        </row>
        <row r="633">
          <cell r="A633">
            <v>410774020</v>
          </cell>
          <cell r="B633" t="str">
            <v>SACHES</v>
          </cell>
        </row>
        <row r="634">
          <cell r="A634">
            <v>410774023</v>
          </cell>
          <cell r="B634" t="str">
            <v>SACHES</v>
          </cell>
        </row>
        <row r="635">
          <cell r="A635">
            <v>410774027</v>
          </cell>
          <cell r="B635" t="str">
            <v>SACHES</v>
          </cell>
        </row>
        <row r="636">
          <cell r="A636">
            <v>410774044</v>
          </cell>
          <cell r="B636" t="str">
            <v>SACHES</v>
          </cell>
        </row>
        <row r="637">
          <cell r="A637">
            <v>411174018</v>
          </cell>
          <cell r="B637" t="str">
            <v>SACHES</v>
          </cell>
        </row>
        <row r="638">
          <cell r="A638">
            <v>411174020</v>
          </cell>
          <cell r="B638" t="str">
            <v>SACHES</v>
          </cell>
        </row>
        <row r="639">
          <cell r="A639">
            <v>411174023</v>
          </cell>
          <cell r="B639" t="str">
            <v>SACHES</v>
          </cell>
        </row>
        <row r="640">
          <cell r="A640">
            <v>411174044</v>
          </cell>
          <cell r="B640" t="str">
            <v>SACHES</v>
          </cell>
        </row>
        <row r="641">
          <cell r="A641">
            <v>430274134</v>
          </cell>
          <cell r="B641" t="str">
            <v>SACHES</v>
          </cell>
        </row>
        <row r="642">
          <cell r="A642">
            <v>430274133</v>
          </cell>
          <cell r="B642" t="str">
            <v>SACHES</v>
          </cell>
        </row>
        <row r="643">
          <cell r="A643">
            <v>410774039</v>
          </cell>
          <cell r="B643" t="str">
            <v>SACHES</v>
          </cell>
        </row>
        <row r="644">
          <cell r="A644">
            <v>414174125</v>
          </cell>
          <cell r="B644" t="str">
            <v>SACHES</v>
          </cell>
        </row>
        <row r="645">
          <cell r="A645">
            <v>414074123</v>
          </cell>
          <cell r="B645" t="str">
            <v>SACHES</v>
          </cell>
        </row>
        <row r="646">
          <cell r="A646">
            <v>414074124</v>
          </cell>
          <cell r="B646" t="str">
            <v>SACHES</v>
          </cell>
        </row>
        <row r="647">
          <cell r="A647">
            <v>433971001</v>
          </cell>
          <cell r="B647" t="str">
            <v>VITAMINAS</v>
          </cell>
        </row>
        <row r="648">
          <cell r="A648">
            <v>414576001</v>
          </cell>
          <cell r="B648" t="str">
            <v>CREATINAS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9391-15A9-411D-8247-DC1EA1C1FEF7}">
  <sheetPr codeName="Planilha2">
    <tabColor rgb="FFB7E7E0"/>
  </sheetPr>
  <dimension ref="A1:U933"/>
  <sheetViews>
    <sheetView showGridLines="0" tabSelected="1" zoomScale="88" zoomScaleNormal="90" zoomScaleSheetLayoutView="70" workbookViewId="0">
      <pane xSplit="2" ySplit="16" topLeftCell="C17" activePane="bottomRight" state="frozen"/>
      <selection pane="topRight" activeCell="C1" sqref="C1"/>
      <selection pane="bottomLeft" activeCell="A16" sqref="A16"/>
      <selection pane="bottomRight" activeCell="J290" sqref="J290"/>
    </sheetView>
  </sheetViews>
  <sheetFormatPr defaultColWidth="16.85546875" defaultRowHeight="15" customHeight="1"/>
  <cols>
    <col min="1" max="1" width="25.42578125" style="1337" customWidth="1"/>
    <col min="2" max="2" width="20.85546875" style="1338" customWidth="1"/>
    <col min="3" max="3" width="48" style="1339" customWidth="1"/>
    <col min="4" max="4" width="35.42578125" style="1340" bestFit="1" customWidth="1"/>
    <col min="5" max="5" width="19.42578125" style="1340" customWidth="1"/>
    <col min="6" max="6" width="13.85546875" style="1340" hidden="1" customWidth="1"/>
    <col min="7" max="7" width="14.7109375" style="1339" bestFit="1" customWidth="1"/>
    <col min="8" max="8" width="14" style="1341" customWidth="1"/>
    <col min="9" max="9" width="10.85546875" style="1342" hidden="1" customWidth="1"/>
    <col min="10" max="10" width="32.42578125" style="1675" customWidth="1"/>
    <col min="11" max="11" width="20.140625" style="1339" customWidth="1"/>
    <col min="12" max="12" width="16.28515625" style="1339" customWidth="1"/>
    <col min="13" max="13" width="15.42578125" style="1339" customWidth="1"/>
    <col min="14" max="14" width="3.85546875" style="1339" hidden="1" customWidth="1"/>
    <col min="15" max="15" width="7.42578125" style="1355" hidden="1" customWidth="1"/>
    <col min="16" max="16" width="6.42578125" style="1355" hidden="1" customWidth="1"/>
    <col min="17" max="18" width="16.85546875" style="1339"/>
    <col min="19" max="21" width="16.85546875" style="1339" hidden="1" customWidth="1"/>
    <col min="22" max="16384" width="16.85546875" style="1339"/>
  </cols>
  <sheetData>
    <row r="1" spans="1:16" ht="16.2" thickBot="1">
      <c r="A1" s="1622"/>
      <c r="B1" s="1623"/>
      <c r="C1" s="1624"/>
      <c r="D1" s="1625" t="s">
        <v>198</v>
      </c>
      <c r="E1" s="1626"/>
      <c r="F1" s="1626"/>
      <c r="G1" s="1626"/>
      <c r="H1" s="1627"/>
      <c r="I1" s="1628"/>
      <c r="J1" s="1628"/>
      <c r="K1" s="1629"/>
      <c r="L1" s="1630"/>
      <c r="M1" s="1624"/>
    </row>
    <row r="2" spans="1:16" ht="17.25" customHeight="1">
      <c r="A2" s="1631"/>
      <c r="B2" s="1632"/>
      <c r="C2" s="1633" t="s">
        <v>0</v>
      </c>
      <c r="D2" s="1634">
        <v>46204</v>
      </c>
      <c r="E2" s="1635"/>
      <c r="F2" s="1635"/>
      <c r="G2" s="1635"/>
      <c r="H2" s="1636"/>
      <c r="I2" s="1637"/>
      <c r="J2" s="1637"/>
      <c r="K2" s="1638"/>
      <c r="L2" s="1639"/>
      <c r="M2" s="1640"/>
    </row>
    <row r="3" spans="1:16" ht="24.75" customHeight="1">
      <c r="A3" s="1631"/>
      <c r="B3" s="1632"/>
      <c r="C3" s="1641" t="s">
        <v>774</v>
      </c>
      <c r="D3" s="1642" t="s">
        <v>813</v>
      </c>
      <c r="E3" s="1635"/>
      <c r="F3" s="1635"/>
      <c r="G3" s="1635"/>
      <c r="H3" s="1636"/>
      <c r="I3" s="1637"/>
      <c r="J3" s="1637"/>
      <c r="K3" s="1638"/>
      <c r="L3" s="1639"/>
      <c r="M3" s="1640"/>
    </row>
    <row r="4" spans="1:16" ht="26.25" customHeight="1" thickBot="1">
      <c r="A4" s="1643"/>
      <c r="B4" s="1644"/>
      <c r="C4" s="1645" t="s">
        <v>2</v>
      </c>
      <c r="D4" s="1646">
        <f>SUMPRODUCT(K17:K307)</f>
        <v>0</v>
      </c>
      <c r="E4" s="1647"/>
      <c r="F4" s="1647"/>
      <c r="G4" s="1647"/>
      <c r="H4" s="1648"/>
      <c r="I4" s="1649"/>
      <c r="J4" s="1649"/>
      <c r="K4" s="1650"/>
      <c r="L4" s="1651"/>
      <c r="M4" s="1652"/>
      <c r="O4" s="1653"/>
      <c r="P4" s="1653"/>
    </row>
    <row r="5" spans="1:16" ht="18.75" hidden="1" customHeight="1" thickBot="1">
      <c r="A5" s="1654"/>
      <c r="B5" s="1632"/>
      <c r="C5" s="1655" t="s">
        <v>542</v>
      </c>
      <c r="D5" s="1656" t="s">
        <v>543</v>
      </c>
      <c r="E5" s="1635"/>
      <c r="F5" s="1635"/>
      <c r="G5" s="1635"/>
      <c r="H5" s="1636"/>
      <c r="I5" s="1637"/>
      <c r="J5" s="1637"/>
      <c r="K5" s="1638"/>
      <c r="L5" s="1639"/>
      <c r="M5" s="1640"/>
      <c r="O5" s="1653"/>
      <c r="P5" s="1653"/>
    </row>
    <row r="6" spans="1:16" ht="18.75" hidden="1" customHeight="1" thickBot="1">
      <c r="A6" s="1654"/>
      <c r="B6" s="1632"/>
      <c r="C6" s="1655" t="s">
        <v>537</v>
      </c>
      <c r="D6" s="1656" t="s">
        <v>544</v>
      </c>
      <c r="E6" s="1635"/>
      <c r="F6" s="1635"/>
      <c r="G6" s="1635"/>
      <c r="H6" s="1636"/>
      <c r="I6" s="1637"/>
      <c r="J6" s="1637"/>
      <c r="K6" s="1638"/>
      <c r="L6" s="1639"/>
      <c r="M6" s="1640"/>
      <c r="N6" s="1657" t="s">
        <v>214</v>
      </c>
      <c r="O6" s="1653"/>
    </row>
    <row r="7" spans="1:16" ht="19.5" customHeight="1" thickBot="1">
      <c r="C7" s="1658"/>
      <c r="D7" s="1659"/>
      <c r="E7" s="1347"/>
      <c r="F7" s="1347"/>
      <c r="G7" s="1660"/>
      <c r="I7" s="1661"/>
      <c r="K7" s="1662"/>
      <c r="L7" s="1663"/>
      <c r="M7" s="1664"/>
      <c r="N7" s="1664"/>
      <c r="O7" s="1653"/>
    </row>
    <row r="8" spans="1:16" ht="15.75" customHeight="1">
      <c r="A8" s="1778" t="s">
        <v>767</v>
      </c>
      <c r="B8" s="1665">
        <f>SUMIFS($K$17:$K$292,$F$17:$F$292,$A8)</f>
        <v>0</v>
      </c>
      <c r="C8" s="1666"/>
      <c r="D8" s="1667"/>
      <c r="E8" s="1668"/>
      <c r="F8" s="1668"/>
      <c r="G8" s="1669"/>
      <c r="H8" s="1670"/>
      <c r="I8" s="1661"/>
      <c r="J8" s="1823"/>
      <c r="K8" s="1662"/>
      <c r="N8" s="1671"/>
      <c r="O8" s="1672"/>
    </row>
    <row r="9" spans="1:16" ht="15.75" customHeight="1">
      <c r="A9" s="1677" t="s">
        <v>768</v>
      </c>
      <c r="B9" s="1674">
        <f>SUMIFS($K$17:$K$292,$F$17:$F$292,$A9)</f>
        <v>0</v>
      </c>
      <c r="C9" s="1666"/>
      <c r="D9" s="1667"/>
      <c r="E9" s="1347"/>
      <c r="F9" s="1347"/>
      <c r="I9" s="1675"/>
      <c r="J9" s="1824"/>
      <c r="K9" s="1676"/>
      <c r="N9" s="1671"/>
      <c r="O9" s="1672"/>
    </row>
    <row r="10" spans="1:16" ht="15.75" customHeight="1">
      <c r="A10" s="1779" t="s">
        <v>770</v>
      </c>
      <c r="B10" s="1674">
        <f>SUMIFS($K$17:$K$292,$F$17:$F$292,$A10)</f>
        <v>0</v>
      </c>
      <c r="C10" s="1666"/>
      <c r="D10" s="1667"/>
      <c r="E10" s="1347"/>
      <c r="F10" s="1347"/>
      <c r="I10" s="1675"/>
      <c r="J10" s="1824"/>
      <c r="K10" s="1676"/>
      <c r="N10" s="1671"/>
      <c r="O10" s="1672"/>
    </row>
    <row r="11" spans="1:16" ht="16.2">
      <c r="A11" s="1673" t="s">
        <v>771</v>
      </c>
      <c r="B11" s="1674">
        <f>SUMIFS($K$17:$K$292,$F$17:$F$292,$A11)</f>
        <v>0</v>
      </c>
      <c r="C11" s="1666"/>
      <c r="D11" s="1678"/>
      <c r="E11" s="1863"/>
      <c r="F11" s="1863"/>
      <c r="G11" s="1863"/>
      <c r="H11" s="1863"/>
      <c r="I11" s="1675"/>
      <c r="J11" s="1823"/>
      <c r="K11" s="1676"/>
      <c r="N11" s="1671"/>
      <c r="O11" s="1672"/>
    </row>
    <row r="12" spans="1:16" ht="16.8" thickBot="1">
      <c r="A12" s="1780" t="s">
        <v>772</v>
      </c>
      <c r="B12" s="1679">
        <f>SUMIFS($K$17:$K$292,$F$17:$F$292,$A12)</f>
        <v>0</v>
      </c>
      <c r="C12" s="1666"/>
      <c r="D12" s="1680"/>
      <c r="E12" s="1347"/>
      <c r="F12" s="1347"/>
      <c r="G12" s="1340"/>
      <c r="H12" s="1681"/>
      <c r="I12" s="1675"/>
      <c r="N12" s="1671"/>
      <c r="O12" s="1672"/>
    </row>
    <row r="13" spans="1:16" ht="32.25" customHeight="1" thickBot="1">
      <c r="A13" s="1682"/>
      <c r="B13" s="1683"/>
      <c r="C13" s="1683"/>
      <c r="D13" s="1684"/>
      <c r="E13" s="1683"/>
      <c r="F13" s="1683"/>
      <c r="G13" s="1683"/>
      <c r="H13" s="1685"/>
      <c r="I13" s="1686"/>
      <c r="J13" s="1687"/>
      <c r="K13" s="1688"/>
      <c r="L13" s="1689"/>
      <c r="M13" s="1690"/>
      <c r="N13" s="1671"/>
      <c r="O13" s="1672"/>
    </row>
    <row r="14" spans="1:16" s="1693" customFormat="1" ht="16.8" thickBot="1">
      <c r="A14" s="1860" t="s">
        <v>218</v>
      </c>
      <c r="B14" s="1691"/>
      <c r="C14" s="1868" t="s">
        <v>20</v>
      </c>
      <c r="D14" s="1869"/>
      <c r="E14" s="1869"/>
      <c r="F14" s="1869"/>
      <c r="G14" s="1870"/>
      <c r="H14" s="1866" t="s">
        <v>21</v>
      </c>
      <c r="I14" s="1867"/>
      <c r="J14" s="1867"/>
      <c r="K14" s="1864" t="s">
        <v>23</v>
      </c>
      <c r="L14" s="1865"/>
      <c r="M14" s="1692"/>
      <c r="N14" s="1859"/>
      <c r="O14" s="1859"/>
      <c r="P14" s="1859"/>
    </row>
    <row r="15" spans="1:16" s="1693" customFormat="1" ht="15.75" customHeight="1">
      <c r="A15" s="1861"/>
      <c r="B15" s="1694"/>
      <c r="C15" s="1695"/>
      <c r="D15" s="1696"/>
      <c r="E15" s="1696"/>
      <c r="F15" s="1696"/>
      <c r="G15" s="1697"/>
      <c r="H15" s="1698"/>
      <c r="I15" s="1699"/>
      <c r="J15" s="1825"/>
      <c r="K15" s="1700"/>
      <c r="L15" s="1701"/>
      <c r="M15" s="1702"/>
      <c r="N15" s="1703"/>
      <c r="O15" s="1704"/>
      <c r="P15" s="1704"/>
    </row>
    <row r="16" spans="1:16" s="1693" customFormat="1" ht="24.75" customHeight="1" thickBot="1">
      <c r="A16" s="1862"/>
      <c r="B16" s="1705" t="s">
        <v>775</v>
      </c>
      <c r="C16" s="1706" t="s">
        <v>26</v>
      </c>
      <c r="D16" s="1707" t="s">
        <v>27</v>
      </c>
      <c r="E16" s="1708" t="s">
        <v>28</v>
      </c>
      <c r="F16" s="1708" t="s">
        <v>773</v>
      </c>
      <c r="G16" s="1709" t="s">
        <v>29</v>
      </c>
      <c r="H16" s="1710" t="s">
        <v>31</v>
      </c>
      <c r="I16" s="1711" t="s">
        <v>32</v>
      </c>
      <c r="J16" s="1826" t="s">
        <v>784</v>
      </c>
      <c r="K16" s="1712" t="s">
        <v>34</v>
      </c>
      <c r="L16" s="1713" t="s">
        <v>37</v>
      </c>
      <c r="M16" s="1714" t="s">
        <v>56</v>
      </c>
      <c r="N16" s="1715"/>
      <c r="O16" s="1716"/>
      <c r="P16" s="1716"/>
    </row>
    <row r="17" spans="1:21" ht="33.75" customHeight="1" thickBot="1">
      <c r="A17" s="1362"/>
      <c r="B17" s="1717">
        <v>520412007</v>
      </c>
      <c r="C17" s="1605" t="s">
        <v>778</v>
      </c>
      <c r="D17" s="1420" t="s">
        <v>687</v>
      </c>
      <c r="E17" s="1606" t="s">
        <v>61</v>
      </c>
      <c r="F17" s="1606" t="str">
        <f>_xlfn.XLOOKUP(B17,Planilha1!A:A,Planilha1!B:B)</f>
        <v>OUTROS</v>
      </c>
      <c r="G17" s="1620" t="s">
        <v>464</v>
      </c>
      <c r="H17" s="1611">
        <v>219.9</v>
      </c>
      <c r="I17" s="1612">
        <f>IFERROR(H17/J17,"")</f>
        <v>1.6599984902242018</v>
      </c>
      <c r="J17" s="1857">
        <v>132.47</v>
      </c>
      <c r="K17" s="1831">
        <f>L17*J17</f>
        <v>0</v>
      </c>
      <c r="L17" s="1334"/>
      <c r="M17" s="1387">
        <v>4</v>
      </c>
      <c r="N17" s="1346"/>
      <c r="O17" s="1343"/>
      <c r="P17" s="1343"/>
      <c r="S17" s="1339">
        <v>6</v>
      </c>
      <c r="T17" s="1339">
        <v>8</v>
      </c>
      <c r="U17" s="1339">
        <v>4</v>
      </c>
    </row>
    <row r="18" spans="1:21" ht="33.75" customHeight="1" thickBot="1">
      <c r="A18" s="1362"/>
      <c r="B18" s="1718">
        <v>520412014</v>
      </c>
      <c r="C18" s="1605" t="s">
        <v>778</v>
      </c>
      <c r="D18" s="1420" t="s">
        <v>72</v>
      </c>
      <c r="E18" s="1606" t="s">
        <v>61</v>
      </c>
      <c r="F18" s="1606" t="str">
        <f>_xlfn.XLOOKUP(B18,Planilha1!A:A,Planilha1!B:B)</f>
        <v>OUTROS</v>
      </c>
      <c r="G18" s="1620" t="s">
        <v>464</v>
      </c>
      <c r="H18" s="1422">
        <v>219.9</v>
      </c>
      <c r="I18" s="1423">
        <f t="shared" ref="I18:I81" si="0">IFERROR(H18/J18,"")</f>
        <v>1.6599984902242018</v>
      </c>
      <c r="J18" s="1857">
        <v>132.47</v>
      </c>
      <c r="K18" s="1832">
        <f t="shared" ref="K18:K43" si="1">L18*J18</f>
        <v>0</v>
      </c>
      <c r="L18" s="1335"/>
      <c r="M18" s="1387">
        <v>4</v>
      </c>
      <c r="N18" s="1346"/>
      <c r="O18" s="1343"/>
      <c r="P18" s="1343"/>
      <c r="S18" s="1339">
        <f>S17+6</f>
        <v>12</v>
      </c>
      <c r="T18" s="1339">
        <f>T17+8</f>
        <v>16</v>
      </c>
      <c r="U18" s="1339">
        <f>U17+4</f>
        <v>8</v>
      </c>
    </row>
    <row r="19" spans="1:21" ht="33.75" customHeight="1" thickBot="1">
      <c r="A19" s="1362"/>
      <c r="B19" s="1718">
        <v>520412051</v>
      </c>
      <c r="C19" s="1605" t="s">
        <v>778</v>
      </c>
      <c r="D19" s="1420" t="s">
        <v>126</v>
      </c>
      <c r="E19" s="1606" t="s">
        <v>61</v>
      </c>
      <c r="F19" s="1606" t="str">
        <f>_xlfn.XLOOKUP(B19,Planilha1!A:A,Planilha1!B:B)</f>
        <v>OUTROS</v>
      </c>
      <c r="G19" s="1620" t="s">
        <v>464</v>
      </c>
      <c r="H19" s="1422">
        <v>219.9</v>
      </c>
      <c r="I19" s="1423">
        <f t="shared" si="0"/>
        <v>1.6599984902242018</v>
      </c>
      <c r="J19" s="1857">
        <v>132.47</v>
      </c>
      <c r="K19" s="1832">
        <f t="shared" si="1"/>
        <v>0</v>
      </c>
      <c r="L19" s="1335"/>
      <c r="M19" s="1387">
        <v>4</v>
      </c>
      <c r="N19" s="1346"/>
      <c r="O19" s="1343"/>
      <c r="P19" s="1343"/>
      <c r="S19" s="1339">
        <f t="shared" ref="S19:S42" si="2">S18+6</f>
        <v>18</v>
      </c>
      <c r="T19" s="1339">
        <f t="shared" ref="T19:T42" si="3">T18+8</f>
        <v>24</v>
      </c>
      <c r="U19" s="1339">
        <f t="shared" ref="U19:U42" si="4">U18+4</f>
        <v>12</v>
      </c>
    </row>
    <row r="20" spans="1:21" ht="33.75" customHeight="1" thickBot="1">
      <c r="A20" s="1362"/>
      <c r="B20" s="1718">
        <v>520412027</v>
      </c>
      <c r="C20" s="1605" t="s">
        <v>778</v>
      </c>
      <c r="D20" s="1420" t="s">
        <v>271</v>
      </c>
      <c r="E20" s="1606" t="s">
        <v>61</v>
      </c>
      <c r="F20" s="1606" t="str">
        <f>_xlfn.XLOOKUP(B20,Planilha1!A:A,Planilha1!B:B)</f>
        <v>OUTROS</v>
      </c>
      <c r="G20" s="1620" t="s">
        <v>464</v>
      </c>
      <c r="H20" s="1422">
        <v>219.9</v>
      </c>
      <c r="I20" s="1423">
        <f t="shared" si="0"/>
        <v>1.6599984902242018</v>
      </c>
      <c r="J20" s="1857">
        <v>132.47</v>
      </c>
      <c r="K20" s="1832">
        <f t="shared" si="1"/>
        <v>0</v>
      </c>
      <c r="L20" s="1335"/>
      <c r="M20" s="1387">
        <v>4</v>
      </c>
      <c r="N20" s="1346"/>
      <c r="O20" s="1343"/>
      <c r="P20" s="1343"/>
      <c r="S20" s="1339">
        <f t="shared" si="2"/>
        <v>24</v>
      </c>
      <c r="T20" s="1339">
        <f t="shared" si="3"/>
        <v>32</v>
      </c>
      <c r="U20" s="1339">
        <f t="shared" si="4"/>
        <v>16</v>
      </c>
    </row>
    <row r="21" spans="1:21" ht="33.75" customHeight="1" thickBot="1">
      <c r="A21" s="1362"/>
      <c r="B21" s="1717">
        <v>520412039</v>
      </c>
      <c r="C21" s="1605" t="s">
        <v>778</v>
      </c>
      <c r="D21" s="1420" t="s">
        <v>74</v>
      </c>
      <c r="E21" s="1606" t="s">
        <v>61</v>
      </c>
      <c r="F21" s="1606" t="str">
        <f>_xlfn.XLOOKUP(B21,Planilha1!A:A,Planilha1!B:B)</f>
        <v>OUTROS</v>
      </c>
      <c r="G21" s="1620" t="s">
        <v>464</v>
      </c>
      <c r="H21" s="1422">
        <v>219.9</v>
      </c>
      <c r="I21" s="1423">
        <f t="shared" si="0"/>
        <v>1.6599984902242018</v>
      </c>
      <c r="J21" s="1857">
        <v>132.47</v>
      </c>
      <c r="K21" s="1832">
        <f t="shared" si="1"/>
        <v>0</v>
      </c>
      <c r="L21" s="1335"/>
      <c r="M21" s="1387">
        <v>4</v>
      </c>
      <c r="N21" s="1346"/>
      <c r="O21" s="1343"/>
      <c r="P21" s="1343"/>
      <c r="S21" s="1339">
        <f t="shared" si="2"/>
        <v>30</v>
      </c>
      <c r="T21" s="1339">
        <f t="shared" si="3"/>
        <v>40</v>
      </c>
      <c r="U21" s="1339">
        <f t="shared" si="4"/>
        <v>20</v>
      </c>
    </row>
    <row r="22" spans="1:21" ht="33.75" customHeight="1" thickBot="1">
      <c r="A22" s="1362"/>
      <c r="B22" s="1717">
        <v>520412093</v>
      </c>
      <c r="C22" s="1605" t="s">
        <v>778</v>
      </c>
      <c r="D22" s="1420" t="s">
        <v>80</v>
      </c>
      <c r="E22" s="1606" t="s">
        <v>61</v>
      </c>
      <c r="F22" s="1606" t="str">
        <f>_xlfn.XLOOKUP(B22,Planilha1!A:A,Planilha1!B:B)</f>
        <v>OUTROS</v>
      </c>
      <c r="G22" s="1620" t="s">
        <v>464</v>
      </c>
      <c r="H22" s="1422">
        <v>219.9</v>
      </c>
      <c r="I22" s="1423">
        <f t="shared" si="0"/>
        <v>1.6599984902242018</v>
      </c>
      <c r="J22" s="1857">
        <v>132.47</v>
      </c>
      <c r="K22" s="1832">
        <f t="shared" si="1"/>
        <v>0</v>
      </c>
      <c r="L22" s="1335"/>
      <c r="M22" s="1387">
        <v>4</v>
      </c>
      <c r="N22" s="1346"/>
      <c r="O22" s="1343"/>
      <c r="P22" s="1343"/>
      <c r="S22" s="1339">
        <f t="shared" si="2"/>
        <v>36</v>
      </c>
      <c r="T22" s="1339">
        <f t="shared" si="3"/>
        <v>48</v>
      </c>
      <c r="U22" s="1339">
        <f t="shared" si="4"/>
        <v>24</v>
      </c>
    </row>
    <row r="23" spans="1:21" s="1346" customFormat="1" ht="33.75" customHeight="1" thickBot="1">
      <c r="A23" s="1386"/>
      <c r="B23" s="1719">
        <v>520412079</v>
      </c>
      <c r="C23" s="1607" t="s">
        <v>778</v>
      </c>
      <c r="D23" s="1426" t="s">
        <v>465</v>
      </c>
      <c r="E23" s="1427" t="s">
        <v>61</v>
      </c>
      <c r="F23" s="1427" t="str">
        <f>_xlfn.XLOOKUP(B23,Planilha1!A:A,Planilha1!B:B)</f>
        <v>OUTROS</v>
      </c>
      <c r="G23" s="1621" t="s">
        <v>464</v>
      </c>
      <c r="H23" s="1429">
        <v>219.9</v>
      </c>
      <c r="I23" s="1423">
        <f t="shared" si="0"/>
        <v>1.6599984902242018</v>
      </c>
      <c r="J23" s="1857">
        <v>132.47</v>
      </c>
      <c r="K23" s="1833">
        <f t="shared" si="1"/>
        <v>0</v>
      </c>
      <c r="L23" s="1336"/>
      <c r="M23" s="1388">
        <v>4</v>
      </c>
      <c r="O23" s="1343"/>
      <c r="P23" s="1343"/>
      <c r="S23" s="1339">
        <f t="shared" si="2"/>
        <v>42</v>
      </c>
      <c r="T23" s="1339">
        <f t="shared" si="3"/>
        <v>56</v>
      </c>
      <c r="U23" s="1339">
        <f t="shared" si="4"/>
        <v>28</v>
      </c>
    </row>
    <row r="24" spans="1:21" s="1346" customFormat="1" ht="30.6" customHeight="1" thickBot="1">
      <c r="A24" s="1362"/>
      <c r="B24" s="1720">
        <v>520349101</v>
      </c>
      <c r="C24" s="1608" t="s">
        <v>779</v>
      </c>
      <c r="D24" s="1609" t="s">
        <v>688</v>
      </c>
      <c r="E24" s="1614" t="s">
        <v>438</v>
      </c>
      <c r="F24" s="1614" t="str">
        <f>_xlfn.XLOOKUP(B24,Planilha1!A:A,Planilha1!B:B)</f>
        <v>BARRAS</v>
      </c>
      <c r="G24" s="1618" t="s">
        <v>681</v>
      </c>
      <c r="H24" s="1611">
        <v>9.9</v>
      </c>
      <c r="I24" s="1423">
        <f t="shared" si="0"/>
        <v>1.5114503816793894</v>
      </c>
      <c r="J24" s="1857">
        <v>6.55</v>
      </c>
      <c r="K24" s="1834">
        <f t="shared" si="1"/>
        <v>0</v>
      </c>
      <c r="L24" s="1311"/>
      <c r="M24" s="1387">
        <v>12</v>
      </c>
      <c r="O24" s="1343"/>
      <c r="P24" s="1343"/>
      <c r="S24" s="1339" t="e">
        <f>#REF!+6</f>
        <v>#REF!</v>
      </c>
      <c r="T24" s="1339" t="e">
        <f>#REF!+8</f>
        <v>#REF!</v>
      </c>
      <c r="U24" s="1339" t="e">
        <f>#REF!+4</f>
        <v>#REF!</v>
      </c>
    </row>
    <row r="25" spans="1:21" s="1346" customFormat="1" ht="30.6" customHeight="1" thickBot="1">
      <c r="A25" s="1424"/>
      <c r="B25" s="1721">
        <v>520349100</v>
      </c>
      <c r="C25" s="1425" t="s">
        <v>779</v>
      </c>
      <c r="D25" s="1420" t="s">
        <v>689</v>
      </c>
      <c r="E25" s="1606" t="s">
        <v>438</v>
      </c>
      <c r="F25" s="1606" t="str">
        <f>_xlfn.XLOOKUP(B25,Planilha1!A:A,Planilha1!B:B)</f>
        <v>BARRAS</v>
      </c>
      <c r="G25" s="1619" t="s">
        <v>681</v>
      </c>
      <c r="H25" s="1429">
        <v>9.9</v>
      </c>
      <c r="I25" s="1423">
        <f t="shared" si="0"/>
        <v>1.5114503816793894</v>
      </c>
      <c r="J25" s="1857">
        <v>6.55</v>
      </c>
      <c r="K25" s="1835">
        <f t="shared" si="1"/>
        <v>0</v>
      </c>
      <c r="L25" s="1327"/>
      <c r="M25" s="1388">
        <v>12</v>
      </c>
      <c r="O25" s="1343"/>
      <c r="P25" s="1343"/>
      <c r="S25" s="1339" t="e">
        <f t="shared" si="2"/>
        <v>#REF!</v>
      </c>
      <c r="T25" s="1339" t="e">
        <f t="shared" si="3"/>
        <v>#REF!</v>
      </c>
      <c r="U25" s="1339" t="e">
        <f t="shared" si="4"/>
        <v>#REF!</v>
      </c>
    </row>
    <row r="26" spans="1:21" ht="33.75" customHeight="1" thickBot="1">
      <c r="A26" s="1362"/>
      <c r="B26" s="1722">
        <v>520349080</v>
      </c>
      <c r="C26" s="1613" t="s">
        <v>780</v>
      </c>
      <c r="D26" s="1609" t="s">
        <v>470</v>
      </c>
      <c r="E26" s="1614" t="s">
        <v>438</v>
      </c>
      <c r="F26" s="1614" t="str">
        <f>_xlfn.XLOOKUP(B26,Planilha1!A:A,Planilha1!B:B)</f>
        <v>BARRAS</v>
      </c>
      <c r="G26" s="1610" t="s">
        <v>471</v>
      </c>
      <c r="H26" s="1611">
        <v>11.9</v>
      </c>
      <c r="I26" s="1423">
        <f t="shared" si="0"/>
        <v>1.5657894736842106</v>
      </c>
      <c r="J26" s="1857">
        <v>7.6</v>
      </c>
      <c r="K26" s="1834">
        <f t="shared" si="1"/>
        <v>0</v>
      </c>
      <c r="L26" s="1311"/>
      <c r="M26" s="1615">
        <v>12</v>
      </c>
      <c r="N26" s="1346"/>
      <c r="O26" s="1343"/>
      <c r="P26" s="1343"/>
      <c r="S26" s="1339" t="e">
        <f t="shared" si="2"/>
        <v>#REF!</v>
      </c>
      <c r="T26" s="1339" t="e">
        <f t="shared" si="3"/>
        <v>#REF!</v>
      </c>
      <c r="U26" s="1339" t="e">
        <f t="shared" si="4"/>
        <v>#REF!</v>
      </c>
    </row>
    <row r="27" spans="1:21" ht="33.75" customHeight="1" thickBot="1">
      <c r="A27" s="1362"/>
      <c r="B27" s="1718">
        <v>520349051</v>
      </c>
      <c r="C27" s="1605" t="s">
        <v>780</v>
      </c>
      <c r="D27" s="1420" t="s">
        <v>472</v>
      </c>
      <c r="E27" s="1606" t="s">
        <v>438</v>
      </c>
      <c r="F27" s="1606" t="str">
        <f>_xlfn.XLOOKUP(B27,Planilha1!A:A,Planilha1!B:B)</f>
        <v>BARRAS</v>
      </c>
      <c r="G27" s="1421" t="s">
        <v>471</v>
      </c>
      <c r="H27" s="1422">
        <v>11.9</v>
      </c>
      <c r="I27" s="1423">
        <f t="shared" si="0"/>
        <v>1.5657894736842106</v>
      </c>
      <c r="J27" s="1857">
        <v>7.6</v>
      </c>
      <c r="K27" s="1836">
        <f t="shared" si="1"/>
        <v>0</v>
      </c>
      <c r="L27" s="1315"/>
      <c r="M27" s="1616">
        <v>12</v>
      </c>
      <c r="N27" s="1346"/>
      <c r="O27" s="1343"/>
      <c r="P27" s="1343"/>
      <c r="S27" s="1339" t="e">
        <f t="shared" si="2"/>
        <v>#REF!</v>
      </c>
      <c r="T27" s="1339" t="e">
        <f t="shared" si="3"/>
        <v>#REF!</v>
      </c>
      <c r="U27" s="1339" t="e">
        <f t="shared" si="4"/>
        <v>#REF!</v>
      </c>
    </row>
    <row r="28" spans="1:21" ht="33.75" customHeight="1" thickBot="1">
      <c r="A28" s="1362"/>
      <c r="B28" s="1718">
        <v>520349027</v>
      </c>
      <c r="C28" s="1605" t="s">
        <v>780</v>
      </c>
      <c r="D28" s="1420" t="s">
        <v>271</v>
      </c>
      <c r="E28" s="1606" t="s">
        <v>438</v>
      </c>
      <c r="F28" s="1606" t="str">
        <f>_xlfn.XLOOKUP(B28,Planilha1!A:A,Planilha1!B:B)</f>
        <v>BARRAS</v>
      </c>
      <c r="G28" s="1421" t="s">
        <v>471</v>
      </c>
      <c r="H28" s="1422">
        <v>11.9</v>
      </c>
      <c r="I28" s="1423">
        <f t="shared" si="0"/>
        <v>1.5657894736842106</v>
      </c>
      <c r="J28" s="1857">
        <v>7.6</v>
      </c>
      <c r="K28" s="1836">
        <f t="shared" si="1"/>
        <v>0</v>
      </c>
      <c r="L28" s="1315"/>
      <c r="M28" s="1616">
        <v>12</v>
      </c>
      <c r="N28" s="1346"/>
      <c r="O28" s="1343"/>
      <c r="P28" s="1343"/>
      <c r="S28" s="1339" t="e">
        <f t="shared" si="2"/>
        <v>#REF!</v>
      </c>
      <c r="T28" s="1339" t="e">
        <f t="shared" si="3"/>
        <v>#REF!</v>
      </c>
      <c r="U28" s="1339" t="e">
        <f t="shared" si="4"/>
        <v>#REF!</v>
      </c>
    </row>
    <row r="29" spans="1:21" ht="33.75" customHeight="1" thickBot="1">
      <c r="A29" s="1362"/>
      <c r="B29" s="1723">
        <v>520349081</v>
      </c>
      <c r="C29" s="1605" t="s">
        <v>780</v>
      </c>
      <c r="D29" s="1420" t="s">
        <v>473</v>
      </c>
      <c r="E29" s="1606" t="s">
        <v>438</v>
      </c>
      <c r="F29" s="1606" t="str">
        <f>_xlfn.XLOOKUP(B29,Planilha1!A:A,Planilha1!B:B)</f>
        <v>BARRAS</v>
      </c>
      <c r="G29" s="1421" t="s">
        <v>471</v>
      </c>
      <c r="H29" s="1422">
        <v>11.9</v>
      </c>
      <c r="I29" s="1423">
        <f t="shared" si="0"/>
        <v>1.5657894736842106</v>
      </c>
      <c r="J29" s="1857">
        <v>7.6</v>
      </c>
      <c r="K29" s="1836">
        <f t="shared" si="1"/>
        <v>0</v>
      </c>
      <c r="L29" s="1315"/>
      <c r="M29" s="1616">
        <v>12</v>
      </c>
      <c r="N29" s="1346"/>
      <c r="O29" s="1343"/>
      <c r="P29" s="1343"/>
      <c r="S29" s="1339" t="e">
        <f t="shared" si="2"/>
        <v>#REF!</v>
      </c>
      <c r="T29" s="1339" t="e">
        <f t="shared" si="3"/>
        <v>#REF!</v>
      </c>
      <c r="U29" s="1339" t="e">
        <f t="shared" si="4"/>
        <v>#REF!</v>
      </c>
    </row>
    <row r="30" spans="1:21" ht="33.75" customHeight="1" thickBot="1">
      <c r="A30" s="1362"/>
      <c r="B30" s="1723">
        <v>520349083</v>
      </c>
      <c r="C30" s="1605" t="s">
        <v>780</v>
      </c>
      <c r="D30" s="1420" t="s">
        <v>595</v>
      </c>
      <c r="E30" s="1606" t="s">
        <v>438</v>
      </c>
      <c r="F30" s="1606" t="str">
        <f>_xlfn.XLOOKUP(B30,Planilha1!A:A,Planilha1!B:B)</f>
        <v>BARRAS</v>
      </c>
      <c r="G30" s="1421" t="s">
        <v>471</v>
      </c>
      <c r="H30" s="1422">
        <v>11.9</v>
      </c>
      <c r="I30" s="1423">
        <f t="shared" si="0"/>
        <v>1.5657894736842106</v>
      </c>
      <c r="J30" s="1857">
        <v>7.6</v>
      </c>
      <c r="K30" s="1836">
        <f t="shared" si="1"/>
        <v>0</v>
      </c>
      <c r="L30" s="1315"/>
      <c r="M30" s="1616">
        <v>12</v>
      </c>
      <c r="N30" s="1346"/>
      <c r="O30" s="1343"/>
      <c r="P30" s="1343"/>
      <c r="S30" s="1339" t="e">
        <f t="shared" si="2"/>
        <v>#REF!</v>
      </c>
      <c r="T30" s="1339" t="e">
        <f t="shared" si="3"/>
        <v>#REF!</v>
      </c>
      <c r="U30" s="1339" t="e">
        <f t="shared" si="4"/>
        <v>#REF!</v>
      </c>
    </row>
    <row r="31" spans="1:21" ht="33.75" customHeight="1" thickBot="1">
      <c r="A31" s="1424"/>
      <c r="B31" s="1724">
        <v>520349079</v>
      </c>
      <c r="C31" s="1607" t="s">
        <v>780</v>
      </c>
      <c r="D31" s="1426" t="s">
        <v>465</v>
      </c>
      <c r="E31" s="1427" t="s">
        <v>438</v>
      </c>
      <c r="F31" s="1427" t="str">
        <f>_xlfn.XLOOKUP(B31,Planilha1!A:A,Planilha1!B:B)</f>
        <v>BARRAS</v>
      </c>
      <c r="G31" s="1428" t="s">
        <v>471</v>
      </c>
      <c r="H31" s="1429">
        <v>11.9</v>
      </c>
      <c r="I31" s="1423">
        <f t="shared" si="0"/>
        <v>1.5657894736842106</v>
      </c>
      <c r="J31" s="1857">
        <v>7.6</v>
      </c>
      <c r="K31" s="1835">
        <f t="shared" si="1"/>
        <v>0</v>
      </c>
      <c r="L31" s="1327"/>
      <c r="M31" s="1617">
        <v>12</v>
      </c>
      <c r="N31" s="1346"/>
      <c r="O31" s="1343"/>
      <c r="P31" s="1343"/>
      <c r="S31" s="1339" t="e">
        <f t="shared" si="2"/>
        <v>#REF!</v>
      </c>
      <c r="T31" s="1339" t="e">
        <f t="shared" si="3"/>
        <v>#REF!</v>
      </c>
      <c r="U31" s="1339" t="e">
        <f t="shared" si="4"/>
        <v>#REF!</v>
      </c>
    </row>
    <row r="32" spans="1:21" ht="33.75" customHeight="1" thickBot="1">
      <c r="A32" s="1362"/>
      <c r="B32" s="1718">
        <v>520204080</v>
      </c>
      <c r="C32" s="1605" t="s">
        <v>474</v>
      </c>
      <c r="D32" s="1420" t="s">
        <v>470</v>
      </c>
      <c r="E32" s="1606" t="s">
        <v>61</v>
      </c>
      <c r="F32" s="1606" t="str">
        <f>_xlfn.XLOOKUP(B32,Planilha1!A:A,Planilha1!B:B)</f>
        <v>OUTROS</v>
      </c>
      <c r="G32" s="1421" t="s">
        <v>284</v>
      </c>
      <c r="H32" s="1422">
        <v>33.9</v>
      </c>
      <c r="I32" s="1423">
        <f t="shared" si="0"/>
        <v>1.6593245227606457</v>
      </c>
      <c r="J32" s="1857">
        <v>20.430000000000003</v>
      </c>
      <c r="K32" s="1836">
        <f t="shared" si="1"/>
        <v>0</v>
      </c>
      <c r="L32" s="1317"/>
      <c r="M32" s="1356">
        <v>6</v>
      </c>
      <c r="N32" s="1346"/>
      <c r="O32" s="1343"/>
      <c r="P32" s="1343"/>
      <c r="S32" s="1339" t="e">
        <f>#REF!+6</f>
        <v>#REF!</v>
      </c>
      <c r="T32" s="1339" t="e">
        <f>#REF!+8</f>
        <v>#REF!</v>
      </c>
      <c r="U32" s="1339" t="e">
        <f>#REF!+4</f>
        <v>#REF!</v>
      </c>
    </row>
    <row r="33" spans="1:21" ht="33.75" customHeight="1" thickBot="1">
      <c r="A33" s="1362"/>
      <c r="B33" s="1718">
        <v>520204078</v>
      </c>
      <c r="C33" s="1605" t="s">
        <v>474</v>
      </c>
      <c r="D33" s="1420" t="s">
        <v>476</v>
      </c>
      <c r="E33" s="1606" t="s">
        <v>61</v>
      </c>
      <c r="F33" s="1606" t="str">
        <f>_xlfn.XLOOKUP(B33,Planilha1!A:A,Planilha1!B:B)</f>
        <v>OUTROS</v>
      </c>
      <c r="G33" s="1421" t="s">
        <v>284</v>
      </c>
      <c r="H33" s="1422">
        <v>33.9</v>
      </c>
      <c r="I33" s="1423">
        <f t="shared" si="0"/>
        <v>1.6593245227606457</v>
      </c>
      <c r="J33" s="1857">
        <v>20.430000000000003</v>
      </c>
      <c r="K33" s="1836">
        <f t="shared" si="1"/>
        <v>0</v>
      </c>
      <c r="L33" s="1317"/>
      <c r="M33" s="1356">
        <v>6</v>
      </c>
      <c r="N33" s="1346"/>
      <c r="O33" s="1343"/>
      <c r="P33" s="1343"/>
      <c r="S33" s="1339" t="e">
        <f>#REF!+6</f>
        <v>#REF!</v>
      </c>
      <c r="T33" s="1339" t="e">
        <f>#REF!+8</f>
        <v>#REF!</v>
      </c>
      <c r="U33" s="1339" t="e">
        <f>#REF!+4</f>
        <v>#REF!</v>
      </c>
    </row>
    <row r="34" spans="1:21" ht="33.75" customHeight="1" thickBot="1">
      <c r="A34" s="1362"/>
      <c r="B34" s="1718">
        <v>520204079</v>
      </c>
      <c r="C34" s="1605" t="s">
        <v>474</v>
      </c>
      <c r="D34" s="1420" t="s">
        <v>465</v>
      </c>
      <c r="E34" s="1606" t="s">
        <v>61</v>
      </c>
      <c r="F34" s="1606" t="str">
        <f>_xlfn.XLOOKUP(B34,Planilha1!A:A,Planilha1!B:B)</f>
        <v>OUTROS</v>
      </c>
      <c r="G34" s="1421" t="s">
        <v>284</v>
      </c>
      <c r="H34" s="1422">
        <v>33.9</v>
      </c>
      <c r="I34" s="1423">
        <f t="shared" si="0"/>
        <v>1.6593245227606457</v>
      </c>
      <c r="J34" s="1857">
        <v>20.430000000000003</v>
      </c>
      <c r="K34" s="1836">
        <f t="shared" si="1"/>
        <v>0</v>
      </c>
      <c r="L34" s="1317"/>
      <c r="M34" s="1356">
        <v>6</v>
      </c>
      <c r="N34" s="1346"/>
      <c r="O34" s="1343"/>
      <c r="P34" s="1343"/>
      <c r="S34" s="1339" t="e">
        <f>#REF!+6</f>
        <v>#REF!</v>
      </c>
      <c r="T34" s="1339" t="e">
        <f>#REF!+8</f>
        <v>#REF!</v>
      </c>
      <c r="U34" s="1339" t="e">
        <f>#REF!+4</f>
        <v>#REF!</v>
      </c>
    </row>
    <row r="35" spans="1:21" ht="33.75" customHeight="1" thickBot="1">
      <c r="A35" s="1362"/>
      <c r="B35" s="1718">
        <v>521304083</v>
      </c>
      <c r="C35" s="1605" t="s">
        <v>685</v>
      </c>
      <c r="D35" s="1420" t="s">
        <v>158</v>
      </c>
      <c r="E35" s="1606" t="s">
        <v>61</v>
      </c>
      <c r="F35" s="1606" t="str">
        <f>_xlfn.XLOOKUP(B35,Planilha1!A:A,Planilha1!B:B)</f>
        <v>OUTROS</v>
      </c>
      <c r="G35" s="1421" t="s">
        <v>284</v>
      </c>
      <c r="H35" s="1422">
        <v>79.900000000000006</v>
      </c>
      <c r="I35" s="1423">
        <f t="shared" si="0"/>
        <v>1.6597424179476528</v>
      </c>
      <c r="J35" s="1857">
        <v>48.14</v>
      </c>
      <c r="K35" s="1836">
        <f t="shared" si="1"/>
        <v>0</v>
      </c>
      <c r="L35" s="1317"/>
      <c r="M35" s="1356">
        <v>6</v>
      </c>
      <c r="N35" s="1346"/>
      <c r="O35" s="1343"/>
      <c r="P35" s="1343"/>
      <c r="S35" s="1339" t="e">
        <f>#REF!+6</f>
        <v>#REF!</v>
      </c>
      <c r="T35" s="1339" t="e">
        <f>#REF!+8</f>
        <v>#REF!</v>
      </c>
      <c r="U35" s="1339" t="e">
        <f>#REF!+4</f>
        <v>#REF!</v>
      </c>
    </row>
    <row r="36" spans="1:21" ht="33.75" customHeight="1" thickBot="1">
      <c r="A36" s="1362"/>
      <c r="B36" s="1718">
        <v>521304095</v>
      </c>
      <c r="C36" s="1605" t="s">
        <v>696</v>
      </c>
      <c r="D36" s="1420" t="s">
        <v>158</v>
      </c>
      <c r="E36" s="1606" t="s">
        <v>61</v>
      </c>
      <c r="F36" s="1606" t="str">
        <f>_xlfn.XLOOKUP(B36,Planilha1!A:A,Planilha1!B:B)</f>
        <v>OUTROS</v>
      </c>
      <c r="G36" s="1421" t="s">
        <v>284</v>
      </c>
      <c r="H36" s="1422">
        <v>79.900000000000006</v>
      </c>
      <c r="I36" s="1423">
        <f t="shared" si="0"/>
        <v>1.6597424179476528</v>
      </c>
      <c r="J36" s="1857">
        <v>48.14</v>
      </c>
      <c r="K36" s="1836">
        <f t="shared" si="1"/>
        <v>0</v>
      </c>
      <c r="L36" s="1317"/>
      <c r="M36" s="1356">
        <v>6</v>
      </c>
      <c r="N36" s="1346"/>
      <c r="O36" s="1343"/>
      <c r="P36" s="1343"/>
      <c r="S36" s="1339" t="e">
        <f t="shared" si="2"/>
        <v>#REF!</v>
      </c>
      <c r="T36" s="1339" t="e">
        <f t="shared" si="3"/>
        <v>#REF!</v>
      </c>
      <c r="U36" s="1339" t="e">
        <f t="shared" si="4"/>
        <v>#REF!</v>
      </c>
    </row>
    <row r="37" spans="1:21" ht="33.75" customHeight="1" thickBot="1">
      <c r="A37" s="1362"/>
      <c r="B37" s="1718">
        <v>521304097</v>
      </c>
      <c r="C37" s="1605" t="s">
        <v>686</v>
      </c>
      <c r="D37" s="1420" t="s">
        <v>158</v>
      </c>
      <c r="E37" s="1606" t="s">
        <v>61</v>
      </c>
      <c r="F37" s="1606" t="str">
        <f>_xlfn.XLOOKUP(B37,Planilha1!A:A,Planilha1!B:B)</f>
        <v>OUTROS</v>
      </c>
      <c r="G37" s="1421" t="s">
        <v>284</v>
      </c>
      <c r="H37" s="1422">
        <v>79.900000000000006</v>
      </c>
      <c r="I37" s="1423">
        <f t="shared" si="0"/>
        <v>1.6597424179476528</v>
      </c>
      <c r="J37" s="1857">
        <v>48.14</v>
      </c>
      <c r="K37" s="1836">
        <f t="shared" si="1"/>
        <v>0</v>
      </c>
      <c r="L37" s="1317"/>
      <c r="M37" s="1356">
        <v>6</v>
      </c>
      <c r="N37" s="1346"/>
      <c r="O37" s="1343"/>
      <c r="P37" s="1343"/>
      <c r="S37" s="1339" t="e">
        <f t="shared" si="2"/>
        <v>#REF!</v>
      </c>
      <c r="T37" s="1339" t="e">
        <f t="shared" si="3"/>
        <v>#REF!</v>
      </c>
      <c r="U37" s="1339" t="e">
        <f t="shared" si="4"/>
        <v>#REF!</v>
      </c>
    </row>
    <row r="38" spans="1:21" ht="33.75" customHeight="1" thickBot="1">
      <c r="A38" s="1362"/>
      <c r="B38" s="1717">
        <v>520104088</v>
      </c>
      <c r="C38" s="1419" t="s">
        <v>692</v>
      </c>
      <c r="D38" s="1420" t="s">
        <v>690</v>
      </c>
      <c r="E38" s="1606" t="s">
        <v>61</v>
      </c>
      <c r="F38" s="1606" t="str">
        <f>_xlfn.XLOOKUP(B38,Planilha1!A:A,Planilha1!B:B)</f>
        <v>OUTROS</v>
      </c>
      <c r="G38" s="1749" t="s">
        <v>284</v>
      </c>
      <c r="H38" s="1422">
        <v>37.9</v>
      </c>
      <c r="I38" s="1423">
        <f t="shared" si="0"/>
        <v>1.2864901561439239</v>
      </c>
      <c r="J38" s="1857">
        <v>29.46</v>
      </c>
      <c r="K38" s="1836">
        <f t="shared" si="1"/>
        <v>0</v>
      </c>
      <c r="L38" s="1315"/>
      <c r="M38" s="1387">
        <v>6</v>
      </c>
      <c r="N38" s="1346"/>
      <c r="O38" s="1343"/>
      <c r="P38" s="1343"/>
      <c r="S38" s="1339" t="e">
        <f>#REF!+6</f>
        <v>#REF!</v>
      </c>
      <c r="T38" s="1339" t="e">
        <f>#REF!+8</f>
        <v>#REF!</v>
      </c>
      <c r="U38" s="1339" t="e">
        <f>#REF!+4</f>
        <v>#REF!</v>
      </c>
    </row>
    <row r="39" spans="1:21" ht="33.75" customHeight="1" thickBot="1">
      <c r="A39" s="1362"/>
      <c r="B39" s="1717">
        <v>520104080</v>
      </c>
      <c r="C39" s="1419" t="s">
        <v>477</v>
      </c>
      <c r="D39" s="1420" t="s">
        <v>470</v>
      </c>
      <c r="E39" s="1606" t="s">
        <v>61</v>
      </c>
      <c r="F39" s="1606" t="str">
        <f>_xlfn.XLOOKUP(B39,Planilha1!A:A,Planilha1!B:B)</f>
        <v>OUTROS</v>
      </c>
      <c r="G39" s="1749" t="s">
        <v>284</v>
      </c>
      <c r="H39" s="1422">
        <v>37.9</v>
      </c>
      <c r="I39" s="1423">
        <f t="shared" si="0"/>
        <v>1.2864901561439239</v>
      </c>
      <c r="J39" s="1857">
        <v>29.46</v>
      </c>
      <c r="K39" s="1836">
        <f t="shared" si="1"/>
        <v>0</v>
      </c>
      <c r="L39" s="1315"/>
      <c r="M39" s="1387">
        <v>6</v>
      </c>
      <c r="N39" s="1346"/>
      <c r="O39" s="1343"/>
      <c r="P39" s="1343"/>
      <c r="S39" s="1339" t="e">
        <f>#REF!+6</f>
        <v>#REF!</v>
      </c>
      <c r="T39" s="1339" t="e">
        <f>#REF!+8</f>
        <v>#REF!</v>
      </c>
      <c r="U39" s="1339" t="e">
        <f>#REF!+4</f>
        <v>#REF!</v>
      </c>
    </row>
    <row r="40" spans="1:21" ht="33.75" customHeight="1" thickBot="1">
      <c r="A40" s="1362"/>
      <c r="B40" s="1717">
        <v>520104051</v>
      </c>
      <c r="C40" s="1419" t="s">
        <v>477</v>
      </c>
      <c r="D40" s="1420" t="s">
        <v>475</v>
      </c>
      <c r="E40" s="1606" t="s">
        <v>61</v>
      </c>
      <c r="F40" s="1606" t="str">
        <f>_xlfn.XLOOKUP(B40,Planilha1!A:A,Planilha1!B:B)</f>
        <v>OUTROS</v>
      </c>
      <c r="G40" s="1749" t="s">
        <v>284</v>
      </c>
      <c r="H40" s="1422">
        <v>37.9</v>
      </c>
      <c r="I40" s="1423">
        <f t="shared" si="0"/>
        <v>1.2864901561439239</v>
      </c>
      <c r="J40" s="1857">
        <v>29.46</v>
      </c>
      <c r="K40" s="1836">
        <f t="shared" si="1"/>
        <v>0</v>
      </c>
      <c r="L40" s="1315"/>
      <c r="M40" s="1387">
        <v>6</v>
      </c>
      <c r="N40" s="1346"/>
      <c r="O40" s="1343"/>
      <c r="P40" s="1343"/>
      <c r="S40" s="1339" t="e">
        <f t="shared" si="2"/>
        <v>#REF!</v>
      </c>
      <c r="T40" s="1339" t="e">
        <f t="shared" si="3"/>
        <v>#REF!</v>
      </c>
      <c r="U40" s="1339" t="e">
        <f t="shared" si="4"/>
        <v>#REF!</v>
      </c>
    </row>
    <row r="41" spans="1:21" ht="33.75" customHeight="1" thickBot="1">
      <c r="A41" s="1362"/>
      <c r="B41" s="1717">
        <v>520104027</v>
      </c>
      <c r="C41" s="1419" t="s">
        <v>477</v>
      </c>
      <c r="D41" s="1420" t="s">
        <v>271</v>
      </c>
      <c r="E41" s="1606" t="s">
        <v>61</v>
      </c>
      <c r="F41" s="1606" t="str">
        <f>_xlfn.XLOOKUP(B41,Planilha1!A:A,Planilha1!B:B)</f>
        <v>OUTROS</v>
      </c>
      <c r="G41" s="1749" t="s">
        <v>284</v>
      </c>
      <c r="H41" s="1422">
        <v>37.9</v>
      </c>
      <c r="I41" s="1423">
        <f t="shared" si="0"/>
        <v>1.2864901561439239</v>
      </c>
      <c r="J41" s="1857">
        <v>29.46</v>
      </c>
      <c r="K41" s="1836">
        <f t="shared" si="1"/>
        <v>0</v>
      </c>
      <c r="L41" s="1315"/>
      <c r="M41" s="1387">
        <v>6</v>
      </c>
      <c r="N41" s="1346"/>
      <c r="O41" s="1343"/>
      <c r="P41" s="1343"/>
      <c r="S41" s="1339" t="e">
        <f t="shared" si="2"/>
        <v>#REF!</v>
      </c>
      <c r="T41" s="1339" t="e">
        <f t="shared" si="3"/>
        <v>#REF!</v>
      </c>
      <c r="U41" s="1339" t="e">
        <f t="shared" si="4"/>
        <v>#REF!</v>
      </c>
    </row>
    <row r="42" spans="1:21" ht="33.75" customHeight="1" thickBot="1">
      <c r="A42" s="1362"/>
      <c r="B42" s="1717">
        <v>520104078</v>
      </c>
      <c r="C42" s="1419" t="s">
        <v>477</v>
      </c>
      <c r="D42" s="1420" t="s">
        <v>476</v>
      </c>
      <c r="E42" s="1606" t="s">
        <v>61</v>
      </c>
      <c r="F42" s="1606" t="str">
        <f>_xlfn.XLOOKUP(B42,Planilha1!A:A,Planilha1!B:B)</f>
        <v>OUTROS</v>
      </c>
      <c r="G42" s="1749" t="s">
        <v>284</v>
      </c>
      <c r="H42" s="1422">
        <v>37.9</v>
      </c>
      <c r="I42" s="1423">
        <f t="shared" si="0"/>
        <v>1.2864901561439239</v>
      </c>
      <c r="J42" s="1857">
        <v>29.46</v>
      </c>
      <c r="K42" s="1836">
        <f t="shared" si="1"/>
        <v>0</v>
      </c>
      <c r="L42" s="1315"/>
      <c r="M42" s="1387">
        <v>6</v>
      </c>
      <c r="N42" s="1346"/>
      <c r="O42" s="1343"/>
      <c r="P42" s="1343"/>
      <c r="S42" s="1339" t="e">
        <f t="shared" si="2"/>
        <v>#REF!</v>
      </c>
      <c r="T42" s="1339" t="e">
        <f t="shared" si="3"/>
        <v>#REF!</v>
      </c>
      <c r="U42" s="1339" t="e">
        <f t="shared" si="4"/>
        <v>#REF!</v>
      </c>
    </row>
    <row r="43" spans="1:21" ht="33.75" customHeight="1" thickBot="1">
      <c r="A43" s="1362"/>
      <c r="B43" s="1717">
        <v>520104094</v>
      </c>
      <c r="C43" s="1419" t="s">
        <v>477</v>
      </c>
      <c r="D43" s="1420" t="s">
        <v>691</v>
      </c>
      <c r="E43" s="1606" t="s">
        <v>61</v>
      </c>
      <c r="F43" s="1606" t="str">
        <f>_xlfn.XLOOKUP(B43,Planilha1!A:A,Planilha1!B:B)</f>
        <v>OUTROS</v>
      </c>
      <c r="G43" s="1749" t="s">
        <v>284</v>
      </c>
      <c r="H43" s="1422">
        <v>37.9</v>
      </c>
      <c r="I43" s="1423">
        <f t="shared" si="0"/>
        <v>1.2864901561439239</v>
      </c>
      <c r="J43" s="1857">
        <v>29.46</v>
      </c>
      <c r="K43" s="1836">
        <f t="shared" si="1"/>
        <v>0</v>
      </c>
      <c r="L43" s="1315"/>
      <c r="M43" s="1387">
        <v>6</v>
      </c>
      <c r="N43" s="1346"/>
      <c r="O43" s="1343"/>
      <c r="P43" s="1343"/>
      <c r="S43" s="1339" t="e">
        <f>#REF!+6</f>
        <v>#REF!</v>
      </c>
      <c r="T43" s="1339" t="e">
        <f>#REF!+8</f>
        <v>#REF!</v>
      </c>
      <c r="U43" s="1339" t="e">
        <f>#REF!+4</f>
        <v>#REF!</v>
      </c>
    </row>
    <row r="44" spans="1:21" ht="33.75" customHeight="1" thickBot="1">
      <c r="A44" s="1424"/>
      <c r="B44" s="1721">
        <v>520104079</v>
      </c>
      <c r="C44" s="1425" t="s">
        <v>477</v>
      </c>
      <c r="D44" s="1426" t="s">
        <v>465</v>
      </c>
      <c r="E44" s="1427" t="s">
        <v>61</v>
      </c>
      <c r="F44" s="1427" t="str">
        <f>_xlfn.XLOOKUP(B44,Planilha1!A:A,Planilha1!B:B)</f>
        <v>OUTROS</v>
      </c>
      <c r="G44" s="1750" t="s">
        <v>284</v>
      </c>
      <c r="H44" s="1429">
        <v>37.9</v>
      </c>
      <c r="I44" s="1423">
        <f t="shared" si="0"/>
        <v>1.2864901561439239</v>
      </c>
      <c r="J44" s="1857">
        <v>29.46</v>
      </c>
      <c r="K44" s="1835">
        <f t="shared" ref="K44:K84" si="5">L44*J44</f>
        <v>0</v>
      </c>
      <c r="L44" s="1327"/>
      <c r="M44" s="1388">
        <v>6</v>
      </c>
      <c r="N44" s="1346"/>
      <c r="O44" s="1343"/>
      <c r="P44" s="1343"/>
      <c r="S44" s="1339" t="e">
        <f>#REF!+6</f>
        <v>#REF!</v>
      </c>
      <c r="T44" s="1339" t="e">
        <f>#REF!+8</f>
        <v>#REF!</v>
      </c>
      <c r="U44" s="1339" t="e">
        <f>#REF!+4</f>
        <v>#REF!</v>
      </c>
    </row>
    <row r="45" spans="1:21" ht="58.5" customHeight="1" thickBot="1">
      <c r="A45" s="1430"/>
      <c r="B45" s="1725">
        <v>50000062</v>
      </c>
      <c r="C45" s="1431" t="s">
        <v>160</v>
      </c>
      <c r="D45" s="1432" t="s">
        <v>161</v>
      </c>
      <c r="E45" s="1433" t="s">
        <v>162</v>
      </c>
      <c r="F45" s="1433" t="str">
        <f>_xlfn.XLOOKUP(B45,Planilha1!A:A,Planilha1!B:B)</f>
        <v>OUTROS</v>
      </c>
      <c r="G45" s="1434">
        <v>1875</v>
      </c>
      <c r="H45" s="1435">
        <v>39.9</v>
      </c>
      <c r="I45" s="1423">
        <f t="shared" si="0"/>
        <v>1.5495145631067961</v>
      </c>
      <c r="J45" s="1857">
        <v>25.75</v>
      </c>
      <c r="K45" s="1837">
        <f t="shared" si="5"/>
        <v>0</v>
      </c>
      <c r="L45" s="1309"/>
      <c r="M45" s="1389">
        <v>5</v>
      </c>
      <c r="N45" s="1346"/>
      <c r="O45" s="1343"/>
      <c r="P45" s="1343"/>
      <c r="S45" s="1339" t="e">
        <f t="shared" ref="S45:S92" si="6">S44+6</f>
        <v>#REF!</v>
      </c>
      <c r="T45" s="1339" t="e">
        <f t="shared" ref="T45:T92" si="7">T44+8</f>
        <v>#REF!</v>
      </c>
      <c r="U45" s="1339" t="e">
        <f t="shared" ref="U45:U92" si="8">U44+4</f>
        <v>#REF!</v>
      </c>
    </row>
    <row r="46" spans="1:21" ht="59.25" customHeight="1" thickBot="1">
      <c r="A46" s="1436"/>
      <c r="B46" s="1726">
        <v>50000030</v>
      </c>
      <c r="C46" s="1437" t="s">
        <v>164</v>
      </c>
      <c r="D46" s="1438" t="s">
        <v>161</v>
      </c>
      <c r="E46" s="1439" t="s">
        <v>162</v>
      </c>
      <c r="F46" s="1439" t="str">
        <f>_xlfn.XLOOKUP(B46,Planilha1!A:A,Planilha1!B:B)</f>
        <v>OUTROS</v>
      </c>
      <c r="G46" s="1440">
        <v>800</v>
      </c>
      <c r="H46" s="1441">
        <v>21.9</v>
      </c>
      <c r="I46" s="1423">
        <f t="shared" si="0"/>
        <v>1.5869565217391302</v>
      </c>
      <c r="J46" s="1857">
        <v>13.8</v>
      </c>
      <c r="K46" s="1838">
        <f t="shared" si="5"/>
        <v>0</v>
      </c>
      <c r="L46" s="1310"/>
      <c r="M46" s="1390">
        <v>12</v>
      </c>
      <c r="N46" s="1346"/>
      <c r="O46" s="1343"/>
      <c r="P46" s="1343"/>
      <c r="S46" s="1339" t="e">
        <f t="shared" si="6"/>
        <v>#REF!</v>
      </c>
      <c r="T46" s="1339" t="e">
        <f t="shared" si="7"/>
        <v>#REF!</v>
      </c>
      <c r="U46" s="1339" t="e">
        <f t="shared" si="8"/>
        <v>#REF!</v>
      </c>
    </row>
    <row r="47" spans="1:21" ht="59.25" customHeight="1" thickBot="1">
      <c r="A47" s="1436"/>
      <c r="B47" s="1726">
        <v>50000075</v>
      </c>
      <c r="C47" s="1442" t="s">
        <v>745</v>
      </c>
      <c r="D47" s="1364" t="s">
        <v>744</v>
      </c>
      <c r="E47" s="1365" t="s">
        <v>162</v>
      </c>
      <c r="F47" s="1365" t="str">
        <f>_xlfn.XLOOKUP(B47,Planilha1!A:A,Planilha1!B:B)</f>
        <v>OUTROS</v>
      </c>
      <c r="G47" s="1443" t="s">
        <v>743</v>
      </c>
      <c r="H47" s="1444">
        <v>209.9</v>
      </c>
      <c r="I47" s="1423">
        <f t="shared" si="0"/>
        <v>1.3832872017925397</v>
      </c>
      <c r="J47" s="1857">
        <v>151.74</v>
      </c>
      <c r="K47" s="1839">
        <f t="shared" si="5"/>
        <v>0</v>
      </c>
      <c r="L47" s="1314"/>
      <c r="M47" s="1387"/>
      <c r="N47" s="1346"/>
      <c r="O47" s="1343"/>
      <c r="P47" s="1343"/>
      <c r="S47" s="1339" t="e">
        <f>#REF!+6</f>
        <v>#REF!</v>
      </c>
      <c r="T47" s="1339" t="e">
        <f>#REF!+8</f>
        <v>#REF!</v>
      </c>
      <c r="U47" s="1339" t="e">
        <f>#REF!+4</f>
        <v>#REF!</v>
      </c>
    </row>
    <row r="48" spans="1:21" ht="59.25" customHeight="1" thickBot="1">
      <c r="A48" s="1436"/>
      <c r="B48" s="1726">
        <v>50000061</v>
      </c>
      <c r="C48" s="1445" t="s">
        <v>745</v>
      </c>
      <c r="D48" s="1438" t="s">
        <v>746</v>
      </c>
      <c r="E48" s="1439" t="s">
        <v>162</v>
      </c>
      <c r="F48" s="1439" t="str">
        <f>_xlfn.XLOOKUP(B48,Planilha1!A:A,Planilha1!B:B)</f>
        <v>OUTROS</v>
      </c>
      <c r="G48" s="1440" t="s">
        <v>743</v>
      </c>
      <c r="H48" s="1446">
        <v>209.9</v>
      </c>
      <c r="I48" s="1423">
        <f t="shared" si="0"/>
        <v>1.3832872017925397</v>
      </c>
      <c r="J48" s="1857">
        <v>151.74</v>
      </c>
      <c r="K48" s="1840">
        <f t="shared" si="5"/>
        <v>0</v>
      </c>
      <c r="L48" s="1312"/>
      <c r="M48" s="1390"/>
      <c r="N48" s="1346"/>
      <c r="O48" s="1343"/>
      <c r="P48" s="1343"/>
      <c r="S48" s="1339" t="e">
        <f t="shared" si="6"/>
        <v>#REF!</v>
      </c>
      <c r="T48" s="1339" t="e">
        <f t="shared" si="7"/>
        <v>#REF!</v>
      </c>
      <c r="U48" s="1339" t="e">
        <f t="shared" si="8"/>
        <v>#REF!</v>
      </c>
    </row>
    <row r="49" spans="1:21" ht="37.5" customHeight="1" thickBot="1">
      <c r="A49" s="1436"/>
      <c r="B49" s="1727">
        <v>50000029</v>
      </c>
      <c r="C49" s="1363" t="s">
        <v>166</v>
      </c>
      <c r="D49" s="1447" t="s">
        <v>169</v>
      </c>
      <c r="E49" s="1383" t="s">
        <v>162</v>
      </c>
      <c r="F49" s="1383" t="str">
        <f>_xlfn.XLOOKUP(B49,Planilha1!A:A,Planilha1!B:B)</f>
        <v>OUTROS</v>
      </c>
      <c r="G49" s="1448">
        <v>800</v>
      </c>
      <c r="H49" s="1441">
        <v>18.899999999999999</v>
      </c>
      <c r="I49" s="1423">
        <f t="shared" si="0"/>
        <v>1.4318181818181819</v>
      </c>
      <c r="J49" s="1857">
        <v>13.2</v>
      </c>
      <c r="K49" s="1838">
        <f t="shared" si="5"/>
        <v>0</v>
      </c>
      <c r="L49" s="1310"/>
      <c r="M49" s="1390" t="s">
        <v>158</v>
      </c>
      <c r="N49" s="1346"/>
      <c r="O49" s="1343"/>
      <c r="P49" s="1343"/>
      <c r="S49" s="1339" t="e">
        <f t="shared" si="6"/>
        <v>#REF!</v>
      </c>
      <c r="T49" s="1339" t="e">
        <f t="shared" si="7"/>
        <v>#REF!</v>
      </c>
      <c r="U49" s="1339" t="e">
        <f t="shared" si="8"/>
        <v>#REF!</v>
      </c>
    </row>
    <row r="50" spans="1:21" ht="20.25" customHeight="1" thickBot="1">
      <c r="A50" s="1362"/>
      <c r="B50" s="1727">
        <v>410103002</v>
      </c>
      <c r="C50" s="1381" t="s">
        <v>84</v>
      </c>
      <c r="D50" s="1382" t="s">
        <v>75</v>
      </c>
      <c r="E50" s="1383" t="s">
        <v>61</v>
      </c>
      <c r="F50" s="1383" t="str">
        <f>_xlfn.XLOOKUP(B50,Planilha1!A:A,Planilha1!B:B)</f>
        <v>VITAMINAS</v>
      </c>
      <c r="G50" s="1449">
        <v>200</v>
      </c>
      <c r="H50" s="1444">
        <v>99.9</v>
      </c>
      <c r="I50" s="1423">
        <f t="shared" si="0"/>
        <v>1.6597441435454396</v>
      </c>
      <c r="J50" s="1857">
        <v>60.19</v>
      </c>
      <c r="K50" s="1839">
        <f t="shared" si="5"/>
        <v>0</v>
      </c>
      <c r="L50" s="1314"/>
      <c r="M50" s="1391">
        <v>12</v>
      </c>
      <c r="N50" s="1346"/>
      <c r="O50" s="1343"/>
      <c r="P50" s="1343"/>
      <c r="S50" s="1339" t="e">
        <f t="shared" si="6"/>
        <v>#REF!</v>
      </c>
      <c r="T50" s="1339" t="e">
        <f t="shared" si="7"/>
        <v>#REF!</v>
      </c>
      <c r="U50" s="1339" t="e">
        <f t="shared" si="8"/>
        <v>#REF!</v>
      </c>
    </row>
    <row r="51" spans="1:21" ht="20.25" customHeight="1" thickBot="1">
      <c r="A51" s="1362"/>
      <c r="B51" s="1727">
        <v>410103031</v>
      </c>
      <c r="C51" s="1363" t="s">
        <v>84</v>
      </c>
      <c r="D51" s="1364" t="s">
        <v>79</v>
      </c>
      <c r="E51" s="1365" t="s">
        <v>61</v>
      </c>
      <c r="F51" s="1365" t="str">
        <f>_xlfn.XLOOKUP(B51,Planilha1!A:A,Planilha1!B:B)</f>
        <v>VITAMINAS</v>
      </c>
      <c r="G51" s="1450">
        <v>200</v>
      </c>
      <c r="H51" s="1451">
        <v>99.9</v>
      </c>
      <c r="I51" s="1423">
        <f t="shared" si="0"/>
        <v>1.6597441435454396</v>
      </c>
      <c r="J51" s="1857">
        <v>60.19</v>
      </c>
      <c r="K51" s="1836">
        <f t="shared" si="5"/>
        <v>0</v>
      </c>
      <c r="L51" s="1315"/>
      <c r="M51" s="1387">
        <v>12</v>
      </c>
      <c r="N51" s="1346"/>
      <c r="O51" s="1343"/>
      <c r="P51" s="1343"/>
      <c r="S51" s="1339" t="e">
        <f t="shared" si="6"/>
        <v>#REF!</v>
      </c>
      <c r="T51" s="1339" t="e">
        <f t="shared" si="7"/>
        <v>#REF!</v>
      </c>
      <c r="U51" s="1339" t="e">
        <f t="shared" si="8"/>
        <v>#REF!</v>
      </c>
    </row>
    <row r="52" spans="1:21" ht="20.25" customHeight="1" thickBot="1">
      <c r="A52" s="1362"/>
      <c r="B52" s="1727">
        <v>410103032</v>
      </c>
      <c r="C52" s="1452" t="s">
        <v>84</v>
      </c>
      <c r="D52" s="1453" t="s">
        <v>76</v>
      </c>
      <c r="E52" s="1454" t="s">
        <v>61</v>
      </c>
      <c r="F52" s="1454" t="str">
        <f>_xlfn.XLOOKUP(B52,Planilha1!A:A,Planilha1!B:B)</f>
        <v>VITAMINAS</v>
      </c>
      <c r="G52" s="1455">
        <v>200</v>
      </c>
      <c r="H52" s="1446">
        <v>99.9</v>
      </c>
      <c r="I52" s="1423">
        <f t="shared" si="0"/>
        <v>1.6597441435454396</v>
      </c>
      <c r="J52" s="1857">
        <v>60.19</v>
      </c>
      <c r="K52" s="1840">
        <f t="shared" si="5"/>
        <v>0</v>
      </c>
      <c r="L52" s="1312"/>
      <c r="M52" s="1392">
        <v>12</v>
      </c>
      <c r="N52" s="1346"/>
      <c r="O52" s="1343"/>
      <c r="P52" s="1343"/>
      <c r="S52" s="1339" t="e">
        <f t="shared" si="6"/>
        <v>#REF!</v>
      </c>
      <c r="T52" s="1339" t="e">
        <f t="shared" si="7"/>
        <v>#REF!</v>
      </c>
      <c r="U52" s="1339" t="e">
        <f t="shared" si="8"/>
        <v>#REF!</v>
      </c>
    </row>
    <row r="53" spans="1:21" ht="36.75" customHeight="1" thickBot="1">
      <c r="A53" s="1362"/>
      <c r="B53" s="1727">
        <v>410201001</v>
      </c>
      <c r="C53" s="1456" t="s">
        <v>368</v>
      </c>
      <c r="D53" s="1457" t="s">
        <v>80</v>
      </c>
      <c r="E53" s="1458" t="s">
        <v>61</v>
      </c>
      <c r="F53" s="1458" t="str">
        <f>_xlfn.XLOOKUP(B53,Planilha1!A:A,Planilha1!B:B)</f>
        <v>CREATINAS</v>
      </c>
      <c r="G53" s="1459">
        <v>100</v>
      </c>
      <c r="H53" s="1441">
        <v>116.9</v>
      </c>
      <c r="I53" s="1423">
        <f t="shared" si="0"/>
        <v>1.6590973602043713</v>
      </c>
      <c r="J53" s="1857">
        <v>70.460000000000008</v>
      </c>
      <c r="K53" s="1838">
        <f t="shared" si="5"/>
        <v>0</v>
      </c>
      <c r="L53" s="1310"/>
      <c r="M53" s="1393">
        <v>27</v>
      </c>
      <c r="N53" s="1346"/>
      <c r="O53" s="1343"/>
      <c r="P53" s="1343"/>
      <c r="S53" s="1339" t="e">
        <f>#REF!+6</f>
        <v>#REF!</v>
      </c>
      <c r="T53" s="1339" t="e">
        <f>#REF!+8</f>
        <v>#REF!</v>
      </c>
      <c r="U53" s="1339" t="e">
        <f>#REF!+4</f>
        <v>#REF!</v>
      </c>
    </row>
    <row r="54" spans="1:21" ht="36.75" customHeight="1" thickBot="1">
      <c r="A54" s="1362"/>
      <c r="B54" s="1728">
        <v>410368001</v>
      </c>
      <c r="C54" s="1456" t="s">
        <v>752</v>
      </c>
      <c r="D54" s="1457" t="s">
        <v>80</v>
      </c>
      <c r="E54" s="1458" t="s">
        <v>61</v>
      </c>
      <c r="F54" s="1458" t="str">
        <f>_xlfn.XLOOKUP(B54,Planilha1!A:A,Planilha1!B:B)</f>
        <v>CREATINAS</v>
      </c>
      <c r="G54" s="1459">
        <v>300</v>
      </c>
      <c r="H54" s="1441">
        <v>69.900000000000006</v>
      </c>
      <c r="I54" s="1423">
        <f t="shared" si="0"/>
        <v>1.5498891352549891</v>
      </c>
      <c r="J54" s="1857">
        <v>45.1</v>
      </c>
      <c r="K54" s="1838">
        <f t="shared" si="5"/>
        <v>0</v>
      </c>
      <c r="L54" s="1310"/>
      <c r="M54" s="1393">
        <v>18</v>
      </c>
      <c r="N54" s="1346"/>
      <c r="O54" s="1343"/>
      <c r="P54" s="1343"/>
      <c r="S54" s="1339" t="e">
        <f>#REF!+6</f>
        <v>#REF!</v>
      </c>
      <c r="T54" s="1339" t="e">
        <f>#REF!+8</f>
        <v>#REF!</v>
      </c>
      <c r="U54" s="1339" t="e">
        <f>#REF!+4</f>
        <v>#REF!</v>
      </c>
    </row>
    <row r="55" spans="1:21" ht="36.75" customHeight="1" thickBot="1">
      <c r="A55" s="1362"/>
      <c r="B55" s="1728">
        <v>414576001</v>
      </c>
      <c r="C55" s="1363" t="s">
        <v>790</v>
      </c>
      <c r="D55" s="1457" t="s">
        <v>80</v>
      </c>
      <c r="E55" s="1458" t="s">
        <v>135</v>
      </c>
      <c r="F55" s="1458" t="str">
        <f>_xlfn.XLOOKUP(B55,[1]Planilha1!A:A,[1]Planilha1!B:B)</f>
        <v>CREATINAS</v>
      </c>
      <c r="G55" s="1810" t="s">
        <v>731</v>
      </c>
      <c r="H55" s="1441">
        <v>101.12</v>
      </c>
      <c r="I55" s="1423">
        <f t="shared" si="0"/>
        <v>1.5499693439607605</v>
      </c>
      <c r="J55" s="1857">
        <v>65.239999999999995</v>
      </c>
      <c r="K55" s="1838">
        <f t="shared" si="5"/>
        <v>0</v>
      </c>
      <c r="L55" s="1310"/>
      <c r="M55" s="1393">
        <v>5</v>
      </c>
      <c r="N55" s="1346"/>
      <c r="O55" s="1343"/>
      <c r="P55" s="1343"/>
    </row>
    <row r="56" spans="1:21" ht="36.75" customHeight="1" thickBot="1">
      <c r="A56" s="1362"/>
      <c r="B56" s="1728">
        <v>410312001</v>
      </c>
      <c r="C56" s="1456" t="s">
        <v>753</v>
      </c>
      <c r="D56" s="1457" t="s">
        <v>80</v>
      </c>
      <c r="E56" s="1458" t="s">
        <v>61</v>
      </c>
      <c r="F56" s="1458" t="str">
        <f>_xlfn.XLOOKUP(B56,Planilha1!A:A,Planilha1!B:B)</f>
        <v>CREATINAS</v>
      </c>
      <c r="G56" s="1459" t="s">
        <v>464</v>
      </c>
      <c r="H56" s="1441">
        <v>118.9</v>
      </c>
      <c r="I56" s="1423">
        <f t="shared" si="0"/>
        <v>1.5508021390374331</v>
      </c>
      <c r="J56" s="1857">
        <v>76.67</v>
      </c>
      <c r="K56" s="1838">
        <f t="shared" si="5"/>
        <v>0</v>
      </c>
      <c r="L56" s="1310"/>
      <c r="M56" s="1393">
        <v>4</v>
      </c>
      <c r="N56" s="1346"/>
      <c r="O56" s="1343"/>
      <c r="P56" s="1343"/>
      <c r="S56" s="1339" t="e">
        <f>S54+6</f>
        <v>#REF!</v>
      </c>
      <c r="T56" s="1339" t="e">
        <f>T54+8</f>
        <v>#REF!</v>
      </c>
      <c r="U56" s="1339" t="e">
        <f>U54+4</f>
        <v>#REF!</v>
      </c>
    </row>
    <row r="57" spans="1:21" ht="46.5" customHeight="1" thickBot="1">
      <c r="A57" s="1362"/>
      <c r="B57" s="1729">
        <v>410468001</v>
      </c>
      <c r="C57" s="1381" t="s">
        <v>754</v>
      </c>
      <c r="D57" s="1382" t="s">
        <v>80</v>
      </c>
      <c r="E57" s="1383" t="s">
        <v>61</v>
      </c>
      <c r="F57" s="1383" t="str">
        <f>_xlfn.XLOOKUP(B57,Planilha1!A:A,Planilha1!B:B)</f>
        <v>OUTROS</v>
      </c>
      <c r="G57" s="1460">
        <v>300</v>
      </c>
      <c r="H57" s="1444">
        <v>94.9</v>
      </c>
      <c r="I57" s="1423">
        <f t="shared" si="0"/>
        <v>1.6599615182788179</v>
      </c>
      <c r="J57" s="1857">
        <v>57.169999999999995</v>
      </c>
      <c r="K57" s="1839">
        <f t="shared" si="5"/>
        <v>0</v>
      </c>
      <c r="L57" s="1314"/>
      <c r="M57" s="1391">
        <v>18</v>
      </c>
      <c r="N57" s="1346"/>
      <c r="O57" s="1343"/>
      <c r="P57" s="1343"/>
      <c r="S57" s="1339" t="e">
        <f>#REF!+6</f>
        <v>#REF!</v>
      </c>
      <c r="T57" s="1339" t="e">
        <f>#REF!+8</f>
        <v>#REF!</v>
      </c>
      <c r="U57" s="1339" t="e">
        <f>#REF!+4</f>
        <v>#REF!</v>
      </c>
    </row>
    <row r="58" spans="1:21" ht="16.2" customHeight="1" thickBot="1">
      <c r="A58" s="1805"/>
      <c r="B58" s="1800">
        <v>420737063</v>
      </c>
      <c r="C58" s="1461" t="s">
        <v>781</v>
      </c>
      <c r="D58" s="1462" t="s">
        <v>454</v>
      </c>
      <c r="E58" s="1463" t="s">
        <v>123</v>
      </c>
      <c r="F58" s="1463" t="str">
        <f>_xlfn.XLOOKUP(B58,Planilha1!A:A,Planilha1!B:B)</f>
        <v>OUTROS</v>
      </c>
      <c r="G58" s="1464">
        <v>30</v>
      </c>
      <c r="H58" s="1379">
        <v>11.9</v>
      </c>
      <c r="I58" s="1423">
        <f t="shared" si="0"/>
        <v>1.5494791666666667</v>
      </c>
      <c r="J58" s="1857">
        <v>7.68</v>
      </c>
      <c r="K58" s="1841">
        <f t="shared" si="5"/>
        <v>0</v>
      </c>
      <c r="L58" s="1311"/>
      <c r="M58" s="1394">
        <v>7</v>
      </c>
      <c r="N58" s="1346"/>
      <c r="O58" s="1343"/>
      <c r="P58" s="1343"/>
      <c r="S58" s="1339" t="e">
        <f t="shared" si="6"/>
        <v>#REF!</v>
      </c>
      <c r="T58" s="1339" t="e">
        <f t="shared" si="7"/>
        <v>#REF!</v>
      </c>
      <c r="U58" s="1339" t="e">
        <f t="shared" si="8"/>
        <v>#REF!</v>
      </c>
    </row>
    <row r="59" spans="1:21" ht="16.5" customHeight="1" thickBot="1">
      <c r="A59" s="1806"/>
      <c r="B59" s="1801">
        <v>420737030</v>
      </c>
      <c r="C59" s="1465" t="s">
        <v>781</v>
      </c>
      <c r="D59" s="1466" t="s">
        <v>747</v>
      </c>
      <c r="E59" s="1467" t="s">
        <v>123</v>
      </c>
      <c r="F59" s="1467" t="str">
        <f>_xlfn.XLOOKUP(B59,Planilha1!A:A,Planilha1!B:B)</f>
        <v>OUTROS</v>
      </c>
      <c r="G59" s="1468">
        <v>30</v>
      </c>
      <c r="H59" s="1367">
        <v>11.9</v>
      </c>
      <c r="I59" s="1423">
        <f t="shared" si="0"/>
        <v>1.5494791666666667</v>
      </c>
      <c r="J59" s="1857">
        <v>7.68</v>
      </c>
      <c r="K59" s="1836">
        <f t="shared" si="5"/>
        <v>0</v>
      </c>
      <c r="L59" s="1315"/>
      <c r="M59" s="1387">
        <v>7</v>
      </c>
      <c r="N59" s="1346"/>
      <c r="O59" s="1343"/>
      <c r="P59" s="1343"/>
      <c r="S59" s="1339" t="e">
        <f t="shared" si="6"/>
        <v>#REF!</v>
      </c>
      <c r="T59" s="1339" t="e">
        <f t="shared" si="7"/>
        <v>#REF!</v>
      </c>
      <c r="U59" s="1339" t="e">
        <f t="shared" si="8"/>
        <v>#REF!</v>
      </c>
    </row>
    <row r="60" spans="1:21" ht="16.5" customHeight="1" thickBot="1">
      <c r="A60" s="1806"/>
      <c r="B60" s="1801">
        <v>420737066</v>
      </c>
      <c r="C60" s="1465" t="s">
        <v>781</v>
      </c>
      <c r="D60" s="1466" t="s">
        <v>455</v>
      </c>
      <c r="E60" s="1467" t="s">
        <v>123</v>
      </c>
      <c r="F60" s="1467" t="str">
        <f>_xlfn.XLOOKUP(B60,Planilha1!A:A,Planilha1!B:B)</f>
        <v>OUTROS</v>
      </c>
      <c r="G60" s="1468">
        <v>30</v>
      </c>
      <c r="H60" s="1367">
        <v>11.9</v>
      </c>
      <c r="I60" s="1423">
        <f t="shared" si="0"/>
        <v>1.5494791666666667</v>
      </c>
      <c r="J60" s="1857">
        <v>7.68</v>
      </c>
      <c r="K60" s="1836">
        <f t="shared" si="5"/>
        <v>0</v>
      </c>
      <c r="L60" s="1315"/>
      <c r="M60" s="1387">
        <v>7</v>
      </c>
      <c r="N60" s="1346"/>
      <c r="O60" s="1343"/>
      <c r="P60" s="1343"/>
      <c r="S60" s="1339" t="e">
        <f t="shared" si="6"/>
        <v>#REF!</v>
      </c>
      <c r="T60" s="1339" t="e">
        <f t="shared" si="7"/>
        <v>#REF!</v>
      </c>
      <c r="U60" s="1339" t="e">
        <f t="shared" si="8"/>
        <v>#REF!</v>
      </c>
    </row>
    <row r="61" spans="1:21" ht="16.5" customHeight="1" thickBot="1">
      <c r="A61" s="1806"/>
      <c r="B61" s="1801">
        <v>420737036</v>
      </c>
      <c r="C61" s="1465" t="s">
        <v>781</v>
      </c>
      <c r="D61" s="1466" t="s">
        <v>275</v>
      </c>
      <c r="E61" s="1467" t="s">
        <v>123</v>
      </c>
      <c r="F61" s="1467" t="str">
        <f>_xlfn.XLOOKUP(B61,Planilha1!A:A,Planilha1!B:B)</f>
        <v>OUTROS</v>
      </c>
      <c r="G61" s="1468">
        <v>30</v>
      </c>
      <c r="H61" s="1367">
        <v>11.9</v>
      </c>
      <c r="I61" s="1423">
        <f t="shared" si="0"/>
        <v>1.5494791666666667</v>
      </c>
      <c r="J61" s="1857">
        <v>7.68</v>
      </c>
      <c r="K61" s="1836">
        <f t="shared" si="5"/>
        <v>0</v>
      </c>
      <c r="L61" s="1315"/>
      <c r="M61" s="1387">
        <v>7</v>
      </c>
      <c r="N61" s="1346"/>
      <c r="O61" s="1343"/>
      <c r="P61" s="1343"/>
      <c r="S61" s="1339" t="e">
        <f t="shared" si="6"/>
        <v>#REF!</v>
      </c>
      <c r="T61" s="1339" t="e">
        <f t="shared" si="7"/>
        <v>#REF!</v>
      </c>
      <c r="U61" s="1339" t="e">
        <f t="shared" si="8"/>
        <v>#REF!</v>
      </c>
    </row>
    <row r="62" spans="1:21" ht="16.5" customHeight="1" thickBot="1">
      <c r="A62" s="1806"/>
      <c r="B62" s="1801">
        <v>420737044</v>
      </c>
      <c r="C62" s="1465" t="s">
        <v>781</v>
      </c>
      <c r="D62" s="1466" t="s">
        <v>326</v>
      </c>
      <c r="E62" s="1467" t="s">
        <v>123</v>
      </c>
      <c r="F62" s="1467" t="str">
        <f>_xlfn.XLOOKUP(B62,Planilha1!A:A,Planilha1!B:B)</f>
        <v>OUTROS</v>
      </c>
      <c r="G62" s="1468">
        <v>30</v>
      </c>
      <c r="H62" s="1367">
        <v>11.9</v>
      </c>
      <c r="I62" s="1423">
        <f t="shared" si="0"/>
        <v>1.5494791666666667</v>
      </c>
      <c r="J62" s="1857">
        <v>7.68</v>
      </c>
      <c r="K62" s="1836">
        <f t="shared" si="5"/>
        <v>0</v>
      </c>
      <c r="L62" s="1315"/>
      <c r="M62" s="1387">
        <v>7</v>
      </c>
      <c r="N62" s="1346"/>
      <c r="O62" s="1343"/>
      <c r="P62" s="1343"/>
      <c r="S62" s="1339" t="e">
        <f t="shared" si="6"/>
        <v>#REF!</v>
      </c>
      <c r="T62" s="1339" t="e">
        <f t="shared" si="7"/>
        <v>#REF!</v>
      </c>
      <c r="U62" s="1339" t="e">
        <f t="shared" si="8"/>
        <v>#REF!</v>
      </c>
    </row>
    <row r="63" spans="1:21" ht="16.5" customHeight="1" thickBot="1">
      <c r="A63" s="1806"/>
      <c r="B63" s="1801">
        <v>420737046</v>
      </c>
      <c r="C63" s="1465" t="s">
        <v>781</v>
      </c>
      <c r="D63" s="1466" t="s">
        <v>329</v>
      </c>
      <c r="E63" s="1467" t="s">
        <v>123</v>
      </c>
      <c r="F63" s="1467" t="str">
        <f>_xlfn.XLOOKUP(B63,Planilha1!A:A,Planilha1!B:B)</f>
        <v>OUTROS</v>
      </c>
      <c r="G63" s="1468">
        <v>30</v>
      </c>
      <c r="H63" s="1367">
        <v>11.9</v>
      </c>
      <c r="I63" s="1423">
        <f t="shared" si="0"/>
        <v>1.5494791666666667</v>
      </c>
      <c r="J63" s="1857">
        <v>7.68</v>
      </c>
      <c r="K63" s="1836">
        <f t="shared" si="5"/>
        <v>0</v>
      </c>
      <c r="L63" s="1315"/>
      <c r="M63" s="1387">
        <v>7</v>
      </c>
      <c r="N63" s="1346"/>
      <c r="O63" s="1343"/>
      <c r="P63" s="1343"/>
      <c r="S63" s="1339" t="e">
        <f t="shared" si="6"/>
        <v>#REF!</v>
      </c>
      <c r="T63" s="1339" t="e">
        <f t="shared" si="7"/>
        <v>#REF!</v>
      </c>
      <c r="U63" s="1339" t="e">
        <f t="shared" si="8"/>
        <v>#REF!</v>
      </c>
    </row>
    <row r="64" spans="1:21" ht="16.5" customHeight="1" thickBot="1">
      <c r="A64" s="1806"/>
      <c r="B64" s="1801">
        <v>420737064</v>
      </c>
      <c r="C64" s="1465" t="s">
        <v>781</v>
      </c>
      <c r="D64" s="1466" t="s">
        <v>456</v>
      </c>
      <c r="E64" s="1467" t="s">
        <v>123</v>
      </c>
      <c r="F64" s="1467" t="str">
        <f>_xlfn.XLOOKUP(B64,Planilha1!A:A,Planilha1!B:B)</f>
        <v>OUTROS</v>
      </c>
      <c r="G64" s="1468">
        <v>30</v>
      </c>
      <c r="H64" s="1367">
        <v>11.9</v>
      </c>
      <c r="I64" s="1423">
        <f t="shared" si="0"/>
        <v>1.5494791666666667</v>
      </c>
      <c r="J64" s="1857">
        <v>7.68</v>
      </c>
      <c r="K64" s="1836">
        <f t="shared" si="5"/>
        <v>0</v>
      </c>
      <c r="L64" s="1315"/>
      <c r="M64" s="1387">
        <v>7</v>
      </c>
      <c r="N64" s="1346"/>
      <c r="O64" s="1343"/>
      <c r="P64" s="1343"/>
      <c r="S64" s="1339" t="e">
        <f t="shared" si="6"/>
        <v>#REF!</v>
      </c>
      <c r="T64" s="1339" t="e">
        <f t="shared" si="7"/>
        <v>#REF!</v>
      </c>
      <c r="U64" s="1339" t="e">
        <f t="shared" si="8"/>
        <v>#REF!</v>
      </c>
    </row>
    <row r="65" spans="1:21" ht="16.5" customHeight="1" thickBot="1">
      <c r="A65" s="1806"/>
      <c r="B65" s="1801">
        <v>420737111</v>
      </c>
      <c r="C65" s="1465" t="s">
        <v>781</v>
      </c>
      <c r="D65" s="1466" t="s">
        <v>748</v>
      </c>
      <c r="E65" s="1467" t="s">
        <v>123</v>
      </c>
      <c r="F65" s="1467" t="str">
        <f>_xlfn.XLOOKUP(B65,Planilha1!A:A,Planilha1!B:B)</f>
        <v>OUTROS</v>
      </c>
      <c r="G65" s="1468">
        <v>30</v>
      </c>
      <c r="H65" s="1367">
        <v>11.9</v>
      </c>
      <c r="I65" s="1423">
        <f t="shared" si="0"/>
        <v>1.5494791666666667</v>
      </c>
      <c r="J65" s="1857">
        <v>7.68</v>
      </c>
      <c r="K65" s="1836">
        <f t="shared" si="5"/>
        <v>0</v>
      </c>
      <c r="L65" s="1315"/>
      <c r="M65" s="1387">
        <v>7</v>
      </c>
      <c r="N65" s="1346"/>
      <c r="O65" s="1343"/>
      <c r="P65" s="1343"/>
      <c r="S65" s="1339" t="e">
        <f t="shared" si="6"/>
        <v>#REF!</v>
      </c>
      <c r="T65" s="1339" t="e">
        <f t="shared" si="7"/>
        <v>#REF!</v>
      </c>
      <c r="U65" s="1339" t="e">
        <f t="shared" si="8"/>
        <v>#REF!</v>
      </c>
    </row>
    <row r="66" spans="1:21" ht="16.5" customHeight="1" thickBot="1">
      <c r="A66" s="1806"/>
      <c r="B66" s="1801">
        <v>420737067</v>
      </c>
      <c r="C66" s="1465" t="s">
        <v>781</v>
      </c>
      <c r="D66" s="1466" t="s">
        <v>457</v>
      </c>
      <c r="E66" s="1467" t="s">
        <v>123</v>
      </c>
      <c r="F66" s="1467" t="str">
        <f>_xlfn.XLOOKUP(B66,Planilha1!A:A,Planilha1!B:B)</f>
        <v>OUTROS</v>
      </c>
      <c r="G66" s="1468">
        <v>30</v>
      </c>
      <c r="H66" s="1367">
        <v>11.9</v>
      </c>
      <c r="I66" s="1423">
        <f t="shared" si="0"/>
        <v>1.5494791666666667</v>
      </c>
      <c r="J66" s="1857">
        <v>7.68</v>
      </c>
      <c r="K66" s="1836">
        <f t="shared" si="5"/>
        <v>0</v>
      </c>
      <c r="L66" s="1315"/>
      <c r="M66" s="1387">
        <v>7</v>
      </c>
      <c r="N66" s="1346"/>
      <c r="O66" s="1343"/>
      <c r="P66" s="1343"/>
      <c r="S66" s="1339" t="e">
        <f t="shared" si="6"/>
        <v>#REF!</v>
      </c>
      <c r="T66" s="1339" t="e">
        <f t="shared" si="7"/>
        <v>#REF!</v>
      </c>
      <c r="U66" s="1339" t="e">
        <f t="shared" si="8"/>
        <v>#REF!</v>
      </c>
    </row>
    <row r="67" spans="1:21" ht="16.5" customHeight="1" thickBot="1">
      <c r="A67" s="1806"/>
      <c r="B67" s="1801">
        <v>420737062</v>
      </c>
      <c r="C67" s="1465" t="s">
        <v>781</v>
      </c>
      <c r="D67" s="1466" t="s">
        <v>458</v>
      </c>
      <c r="E67" s="1467" t="s">
        <v>123</v>
      </c>
      <c r="F67" s="1467" t="str">
        <f>_xlfn.XLOOKUP(B67,Planilha1!A:A,Planilha1!B:B)</f>
        <v>OUTROS</v>
      </c>
      <c r="G67" s="1468">
        <v>30</v>
      </c>
      <c r="H67" s="1367">
        <v>11.9</v>
      </c>
      <c r="I67" s="1423">
        <f t="shared" si="0"/>
        <v>1.5494791666666667</v>
      </c>
      <c r="J67" s="1857">
        <v>7.68</v>
      </c>
      <c r="K67" s="1836">
        <f t="shared" si="5"/>
        <v>0</v>
      </c>
      <c r="L67" s="1315"/>
      <c r="M67" s="1387">
        <v>7</v>
      </c>
      <c r="N67" s="1346"/>
      <c r="O67" s="1343"/>
      <c r="P67" s="1343"/>
      <c r="S67" s="1339" t="e">
        <f t="shared" si="6"/>
        <v>#REF!</v>
      </c>
      <c r="T67" s="1339" t="e">
        <f t="shared" si="7"/>
        <v>#REF!</v>
      </c>
      <c r="U67" s="1339" t="e">
        <f t="shared" si="8"/>
        <v>#REF!</v>
      </c>
    </row>
    <row r="68" spans="1:21" ht="16.5" customHeight="1" thickBot="1">
      <c r="A68" s="1806"/>
      <c r="B68" s="1801">
        <v>420737112</v>
      </c>
      <c r="C68" s="1465" t="s">
        <v>781</v>
      </c>
      <c r="D68" s="1466" t="s">
        <v>749</v>
      </c>
      <c r="E68" s="1467" t="s">
        <v>123</v>
      </c>
      <c r="F68" s="1467" t="str">
        <f>_xlfn.XLOOKUP(B68,Planilha1!A:A,Planilha1!B:B)</f>
        <v>OUTROS</v>
      </c>
      <c r="G68" s="1468">
        <v>30</v>
      </c>
      <c r="H68" s="1367">
        <v>11.9</v>
      </c>
      <c r="I68" s="1423">
        <f t="shared" si="0"/>
        <v>1.5494791666666667</v>
      </c>
      <c r="J68" s="1857">
        <v>7.68</v>
      </c>
      <c r="K68" s="1836">
        <f t="shared" si="5"/>
        <v>0</v>
      </c>
      <c r="L68" s="1315"/>
      <c r="M68" s="1387">
        <v>7</v>
      </c>
      <c r="N68" s="1346"/>
      <c r="O68" s="1343"/>
      <c r="P68" s="1343"/>
      <c r="S68" s="1339" t="e">
        <f t="shared" si="6"/>
        <v>#REF!</v>
      </c>
      <c r="T68" s="1339" t="e">
        <f t="shared" si="7"/>
        <v>#REF!</v>
      </c>
      <c r="U68" s="1339" t="e">
        <f t="shared" si="8"/>
        <v>#REF!</v>
      </c>
    </row>
    <row r="69" spans="1:21" ht="16.5" customHeight="1" thickBot="1">
      <c r="A69" s="1807"/>
      <c r="B69" s="1802">
        <v>420737065</v>
      </c>
      <c r="C69" s="1469" t="s">
        <v>781</v>
      </c>
      <c r="D69" s="1470" t="s">
        <v>459</v>
      </c>
      <c r="E69" s="1471" t="s">
        <v>123</v>
      </c>
      <c r="F69" s="1471" t="str">
        <f>_xlfn.XLOOKUP(B69,Planilha1!A:A,Planilha1!B:B)</f>
        <v>OUTROS</v>
      </c>
      <c r="G69" s="1472">
        <v>30</v>
      </c>
      <c r="H69" s="1373">
        <v>11.9</v>
      </c>
      <c r="I69" s="1423">
        <f t="shared" si="0"/>
        <v>1.5494791666666667</v>
      </c>
      <c r="J69" s="1857">
        <v>7.68</v>
      </c>
      <c r="K69" s="1842">
        <f t="shared" si="5"/>
        <v>0</v>
      </c>
      <c r="L69" s="1316"/>
      <c r="M69" s="1395">
        <v>7</v>
      </c>
      <c r="N69" s="1346"/>
      <c r="O69" s="1343"/>
      <c r="P69" s="1343"/>
      <c r="S69" s="1339" t="e">
        <f t="shared" si="6"/>
        <v>#REF!</v>
      </c>
      <c r="T69" s="1339" t="e">
        <f t="shared" si="7"/>
        <v>#REF!</v>
      </c>
      <c r="U69" s="1339" t="e">
        <f t="shared" si="8"/>
        <v>#REF!</v>
      </c>
    </row>
    <row r="70" spans="1:21" ht="16.5" customHeight="1" thickBot="1">
      <c r="A70" s="1806"/>
      <c r="B70" s="1803">
        <v>420114002</v>
      </c>
      <c r="C70" s="1473" t="s">
        <v>96</v>
      </c>
      <c r="D70" s="1474" t="s">
        <v>75</v>
      </c>
      <c r="E70" s="1475" t="s">
        <v>61</v>
      </c>
      <c r="F70" s="1475" t="str">
        <f>_xlfn.XLOOKUP(B70,Planilha1!A:A,Planilha1!B:B)</f>
        <v>OUTROS</v>
      </c>
      <c r="G70" s="1476">
        <v>1000</v>
      </c>
      <c r="H70" s="1477">
        <v>139.9</v>
      </c>
      <c r="I70" s="1423">
        <f t="shared" si="0"/>
        <v>1.6599430469862364</v>
      </c>
      <c r="J70" s="1857">
        <v>84.28</v>
      </c>
      <c r="K70" s="1843">
        <f t="shared" si="5"/>
        <v>0</v>
      </c>
      <c r="L70" s="1317"/>
      <c r="M70" s="1360">
        <v>5</v>
      </c>
      <c r="N70" s="1346"/>
      <c r="O70" s="1343"/>
      <c r="P70" s="1343"/>
      <c r="S70" s="1339" t="e">
        <f>#REF!+6</f>
        <v>#REF!</v>
      </c>
      <c r="T70" s="1339" t="e">
        <f>#REF!+8</f>
        <v>#REF!</v>
      </c>
      <c r="U70" s="1339" t="e">
        <f>#REF!+4</f>
        <v>#REF!</v>
      </c>
    </row>
    <row r="71" spans="1:21" ht="16.5" customHeight="1" thickBot="1">
      <c r="A71" s="1806"/>
      <c r="B71" s="1803">
        <v>420114031</v>
      </c>
      <c r="C71" s="1465" t="s">
        <v>96</v>
      </c>
      <c r="D71" s="1466" t="s">
        <v>79</v>
      </c>
      <c r="E71" s="1467" t="s">
        <v>61</v>
      </c>
      <c r="F71" s="1467" t="str">
        <f>_xlfn.XLOOKUP(B71,Planilha1!A:A,Planilha1!B:B)</f>
        <v>OUTROS</v>
      </c>
      <c r="G71" s="1468">
        <v>1000</v>
      </c>
      <c r="H71" s="1367">
        <v>139.9</v>
      </c>
      <c r="I71" s="1423">
        <f t="shared" si="0"/>
        <v>1.6599430469862364</v>
      </c>
      <c r="J71" s="1857">
        <v>84.28</v>
      </c>
      <c r="K71" s="1836">
        <f t="shared" si="5"/>
        <v>0</v>
      </c>
      <c r="L71" s="1317"/>
      <c r="M71" s="1356">
        <v>5</v>
      </c>
      <c r="N71" s="1346"/>
      <c r="O71" s="1343"/>
      <c r="P71" s="1343"/>
      <c r="S71" s="1339" t="e">
        <f t="shared" si="6"/>
        <v>#REF!</v>
      </c>
      <c r="T71" s="1339" t="e">
        <f t="shared" si="7"/>
        <v>#REF!</v>
      </c>
      <c r="U71" s="1339" t="e">
        <f t="shared" si="8"/>
        <v>#REF!</v>
      </c>
    </row>
    <row r="72" spans="1:21" ht="16.5" customHeight="1" thickBot="1">
      <c r="A72" s="1806"/>
      <c r="B72" s="1803">
        <v>420114032</v>
      </c>
      <c r="C72" s="1465" t="s">
        <v>96</v>
      </c>
      <c r="D72" s="1466" t="s">
        <v>76</v>
      </c>
      <c r="E72" s="1467" t="s">
        <v>61</v>
      </c>
      <c r="F72" s="1467" t="str">
        <f>_xlfn.XLOOKUP(B72,Planilha1!A:A,Planilha1!B:B)</f>
        <v>OUTROS</v>
      </c>
      <c r="G72" s="1468">
        <v>1000</v>
      </c>
      <c r="H72" s="1367">
        <v>139.9</v>
      </c>
      <c r="I72" s="1423">
        <f t="shared" si="0"/>
        <v>1.6599430469862364</v>
      </c>
      <c r="J72" s="1857">
        <v>84.28</v>
      </c>
      <c r="K72" s="1836">
        <f t="shared" si="5"/>
        <v>0</v>
      </c>
      <c r="L72" s="1317"/>
      <c r="M72" s="1356">
        <v>5</v>
      </c>
      <c r="N72" s="1346"/>
      <c r="O72" s="1343"/>
      <c r="P72" s="1343"/>
      <c r="S72" s="1339" t="e">
        <f t="shared" si="6"/>
        <v>#REF!</v>
      </c>
      <c r="T72" s="1339" t="e">
        <f t="shared" si="7"/>
        <v>#REF!</v>
      </c>
      <c r="U72" s="1339" t="e">
        <f t="shared" si="8"/>
        <v>#REF!</v>
      </c>
    </row>
    <row r="73" spans="1:21" ht="16.5" customHeight="1" thickBot="1">
      <c r="A73" s="1806"/>
      <c r="B73" s="1803">
        <v>420114037</v>
      </c>
      <c r="C73" s="1465" t="s">
        <v>96</v>
      </c>
      <c r="D73" s="1466" t="s">
        <v>100</v>
      </c>
      <c r="E73" s="1467" t="s">
        <v>61</v>
      </c>
      <c r="F73" s="1467" t="str">
        <f>_xlfn.XLOOKUP(B73,Planilha1!A:A,Planilha1!B:B)</f>
        <v>OUTROS</v>
      </c>
      <c r="G73" s="1468">
        <v>1000</v>
      </c>
      <c r="H73" s="1367">
        <v>139.9</v>
      </c>
      <c r="I73" s="1423">
        <f t="shared" si="0"/>
        <v>1.6599430469862364</v>
      </c>
      <c r="J73" s="1857">
        <v>84.28</v>
      </c>
      <c r="K73" s="1836">
        <f t="shared" si="5"/>
        <v>0</v>
      </c>
      <c r="L73" s="1317"/>
      <c r="M73" s="1356">
        <v>5</v>
      </c>
      <c r="N73" s="1346"/>
      <c r="O73" s="1343"/>
      <c r="P73" s="1343"/>
      <c r="S73" s="1339" t="e">
        <f t="shared" si="6"/>
        <v>#REF!</v>
      </c>
      <c r="T73" s="1339" t="e">
        <f t="shared" si="7"/>
        <v>#REF!</v>
      </c>
      <c r="U73" s="1339" t="e">
        <f t="shared" si="8"/>
        <v>#REF!</v>
      </c>
    </row>
    <row r="74" spans="1:21" ht="16.5" customHeight="1" thickBot="1">
      <c r="A74" s="1806"/>
      <c r="B74" s="1803">
        <v>420114034</v>
      </c>
      <c r="C74" s="1465" t="s">
        <v>96</v>
      </c>
      <c r="D74" s="1466" t="s">
        <v>102</v>
      </c>
      <c r="E74" s="1467" t="s">
        <v>61</v>
      </c>
      <c r="F74" s="1467" t="str">
        <f>_xlfn.XLOOKUP(B74,Planilha1!A:A,Planilha1!B:B)</f>
        <v>OUTROS</v>
      </c>
      <c r="G74" s="1468">
        <v>1000</v>
      </c>
      <c r="H74" s="1367">
        <v>139.9</v>
      </c>
      <c r="I74" s="1423">
        <f t="shared" si="0"/>
        <v>1.6599430469862364</v>
      </c>
      <c r="J74" s="1857">
        <v>84.28</v>
      </c>
      <c r="K74" s="1844">
        <f t="shared" si="5"/>
        <v>0</v>
      </c>
      <c r="L74" s="1317"/>
      <c r="M74" s="1356">
        <v>5</v>
      </c>
      <c r="N74" s="1346"/>
      <c r="O74" s="1343"/>
      <c r="P74" s="1343"/>
      <c r="S74" s="1339" t="e">
        <f t="shared" si="6"/>
        <v>#REF!</v>
      </c>
      <c r="T74" s="1339" t="e">
        <f t="shared" si="7"/>
        <v>#REF!</v>
      </c>
      <c r="U74" s="1339" t="e">
        <f t="shared" si="8"/>
        <v>#REF!</v>
      </c>
    </row>
    <row r="75" spans="1:21" ht="16.5" customHeight="1" thickBot="1">
      <c r="A75" s="1806"/>
      <c r="B75" s="1803">
        <v>420214002</v>
      </c>
      <c r="C75" s="1473" t="s">
        <v>104</v>
      </c>
      <c r="D75" s="1474" t="s">
        <v>75</v>
      </c>
      <c r="E75" s="1475" t="s">
        <v>61</v>
      </c>
      <c r="F75" s="1475" t="str">
        <f>_xlfn.XLOOKUP(B75,Planilha1!A:A,Planilha1!B:B)</f>
        <v>OUTROS</v>
      </c>
      <c r="G75" s="1476">
        <v>1000</v>
      </c>
      <c r="H75" s="1477">
        <v>139.9</v>
      </c>
      <c r="I75" s="1423">
        <f t="shared" si="0"/>
        <v>1.6599430469862364</v>
      </c>
      <c r="J75" s="1857">
        <v>84.28</v>
      </c>
      <c r="K75" s="1843">
        <f t="shared" si="5"/>
        <v>0</v>
      </c>
      <c r="L75" s="1317"/>
      <c r="M75" s="1360">
        <v>5</v>
      </c>
      <c r="N75" s="1346"/>
      <c r="O75" s="1343"/>
      <c r="P75" s="1343"/>
      <c r="S75" s="1339" t="e">
        <f>#REF!+6</f>
        <v>#REF!</v>
      </c>
      <c r="T75" s="1339" t="e">
        <f>#REF!+8</f>
        <v>#REF!</v>
      </c>
      <c r="U75" s="1339" t="e">
        <f>#REF!+4</f>
        <v>#REF!</v>
      </c>
    </row>
    <row r="76" spans="1:21" ht="16.5" customHeight="1" thickBot="1">
      <c r="A76" s="1806"/>
      <c r="B76" s="1803">
        <v>420214031</v>
      </c>
      <c r="C76" s="1465" t="s">
        <v>104</v>
      </c>
      <c r="D76" s="1466" t="s">
        <v>79</v>
      </c>
      <c r="E76" s="1467" t="s">
        <v>61</v>
      </c>
      <c r="F76" s="1467" t="str">
        <f>_xlfn.XLOOKUP(B76,Planilha1!A:A,Planilha1!B:B)</f>
        <v>OUTROS</v>
      </c>
      <c r="G76" s="1468">
        <v>1000</v>
      </c>
      <c r="H76" s="1367">
        <v>139.9</v>
      </c>
      <c r="I76" s="1423">
        <f t="shared" si="0"/>
        <v>1.6599430469862364</v>
      </c>
      <c r="J76" s="1857">
        <v>84.28</v>
      </c>
      <c r="K76" s="1836">
        <f t="shared" si="5"/>
        <v>0</v>
      </c>
      <c r="L76" s="1317"/>
      <c r="M76" s="1356">
        <v>5</v>
      </c>
      <c r="N76" s="1346"/>
      <c r="O76" s="1343"/>
      <c r="P76" s="1343"/>
      <c r="S76" s="1339" t="e">
        <f t="shared" si="6"/>
        <v>#REF!</v>
      </c>
      <c r="T76" s="1339" t="e">
        <f t="shared" si="7"/>
        <v>#REF!</v>
      </c>
      <c r="U76" s="1339" t="e">
        <f t="shared" si="8"/>
        <v>#REF!</v>
      </c>
    </row>
    <row r="77" spans="1:21" ht="16.5" customHeight="1" thickBot="1">
      <c r="A77" s="1806"/>
      <c r="B77" s="1803">
        <v>420214032</v>
      </c>
      <c r="C77" s="1465" t="s">
        <v>104</v>
      </c>
      <c r="D77" s="1466" t="s">
        <v>76</v>
      </c>
      <c r="E77" s="1467" t="s">
        <v>61</v>
      </c>
      <c r="F77" s="1467" t="str">
        <f>_xlfn.XLOOKUP(B77,Planilha1!A:A,Planilha1!B:B)</f>
        <v>OUTROS</v>
      </c>
      <c r="G77" s="1468">
        <v>1000</v>
      </c>
      <c r="H77" s="1367">
        <v>139.9</v>
      </c>
      <c r="I77" s="1423">
        <f t="shared" si="0"/>
        <v>1.6599430469862364</v>
      </c>
      <c r="J77" s="1857">
        <v>84.28</v>
      </c>
      <c r="K77" s="1844">
        <f t="shared" si="5"/>
        <v>0</v>
      </c>
      <c r="L77" s="1318"/>
      <c r="M77" s="1356">
        <v>5</v>
      </c>
      <c r="N77" s="1346"/>
      <c r="O77" s="1343"/>
      <c r="P77" s="1343"/>
      <c r="S77" s="1339" t="e">
        <f t="shared" si="6"/>
        <v>#REF!</v>
      </c>
      <c r="T77" s="1339" t="e">
        <f t="shared" si="7"/>
        <v>#REF!</v>
      </c>
      <c r="U77" s="1339" t="e">
        <f t="shared" si="8"/>
        <v>#REF!</v>
      </c>
    </row>
    <row r="78" spans="1:21" ht="24.75" customHeight="1" thickBot="1">
      <c r="A78" s="1806"/>
      <c r="B78" s="1803">
        <v>420314031</v>
      </c>
      <c r="C78" s="1473" t="s">
        <v>112</v>
      </c>
      <c r="D78" s="1474" t="s">
        <v>79</v>
      </c>
      <c r="E78" s="1475" t="s">
        <v>61</v>
      </c>
      <c r="F78" s="1475" t="str">
        <f>_xlfn.XLOOKUP(B78,Planilha1!A:A,Planilha1!B:B)</f>
        <v>OUTROS</v>
      </c>
      <c r="G78" s="1476">
        <v>1000</v>
      </c>
      <c r="H78" s="1477">
        <v>99.9</v>
      </c>
      <c r="I78" s="1423">
        <f t="shared" si="0"/>
        <v>1.6597441435454396</v>
      </c>
      <c r="J78" s="1857">
        <v>60.19</v>
      </c>
      <c r="K78" s="1843">
        <f t="shared" si="5"/>
        <v>0</v>
      </c>
      <c r="L78" s="1317"/>
      <c r="M78" s="1360">
        <v>5</v>
      </c>
      <c r="N78" s="1346"/>
      <c r="O78" s="1343"/>
      <c r="P78" s="1343"/>
      <c r="S78" s="1339" t="e">
        <f t="shared" si="6"/>
        <v>#REF!</v>
      </c>
      <c r="T78" s="1339" t="e">
        <f t="shared" si="7"/>
        <v>#REF!</v>
      </c>
      <c r="U78" s="1339" t="e">
        <f t="shared" si="8"/>
        <v>#REF!</v>
      </c>
    </row>
    <row r="79" spans="1:21" ht="24.75" customHeight="1" thickBot="1">
      <c r="A79" s="1806"/>
      <c r="B79" s="1803">
        <v>420314032</v>
      </c>
      <c r="C79" s="1465" t="s">
        <v>112</v>
      </c>
      <c r="D79" s="1466" t="s">
        <v>76</v>
      </c>
      <c r="E79" s="1467" t="s">
        <v>61</v>
      </c>
      <c r="F79" s="1467" t="str">
        <f>_xlfn.XLOOKUP(B79,Planilha1!A:A,Planilha1!B:B)</f>
        <v>OUTROS</v>
      </c>
      <c r="G79" s="1468">
        <v>1000</v>
      </c>
      <c r="H79" s="1367">
        <v>99.9</v>
      </c>
      <c r="I79" s="1423">
        <f t="shared" si="0"/>
        <v>1.6597441435454396</v>
      </c>
      <c r="J79" s="1857">
        <v>60.19</v>
      </c>
      <c r="K79" s="1836">
        <f t="shared" si="5"/>
        <v>0</v>
      </c>
      <c r="L79" s="1317"/>
      <c r="M79" s="1356">
        <v>5</v>
      </c>
      <c r="N79" s="1346"/>
      <c r="O79" s="1343"/>
      <c r="P79" s="1343"/>
      <c r="S79" s="1339" t="e">
        <f t="shared" si="6"/>
        <v>#REF!</v>
      </c>
      <c r="T79" s="1339" t="e">
        <f t="shared" si="7"/>
        <v>#REF!</v>
      </c>
      <c r="U79" s="1339" t="e">
        <f t="shared" si="8"/>
        <v>#REF!</v>
      </c>
    </row>
    <row r="80" spans="1:21" ht="24.75" customHeight="1" thickBot="1">
      <c r="A80" s="1806"/>
      <c r="B80" s="1801">
        <v>420314029</v>
      </c>
      <c r="C80" s="1465" t="s">
        <v>112</v>
      </c>
      <c r="D80" s="1466" t="s">
        <v>67</v>
      </c>
      <c r="E80" s="1467" t="s">
        <v>61</v>
      </c>
      <c r="F80" s="1467" t="str">
        <f>_xlfn.XLOOKUP(B80,Planilha1!A:A,Planilha1!B:B)</f>
        <v>OUTROS</v>
      </c>
      <c r="G80" s="1468">
        <v>1000</v>
      </c>
      <c r="H80" s="1367">
        <v>99.9</v>
      </c>
      <c r="I80" s="1423">
        <f t="shared" si="0"/>
        <v>1.6597441435454396</v>
      </c>
      <c r="J80" s="1857">
        <v>60.19</v>
      </c>
      <c r="K80" s="1844">
        <f t="shared" si="5"/>
        <v>0</v>
      </c>
      <c r="L80" s="1318"/>
      <c r="M80" s="1356">
        <v>5</v>
      </c>
      <c r="N80" s="1346"/>
      <c r="O80" s="1343"/>
      <c r="P80" s="1343"/>
      <c r="S80" s="1339" t="e">
        <f t="shared" si="6"/>
        <v>#REF!</v>
      </c>
      <c r="T80" s="1339" t="e">
        <f t="shared" si="7"/>
        <v>#REF!</v>
      </c>
      <c r="U80" s="1339" t="e">
        <f t="shared" si="8"/>
        <v>#REF!</v>
      </c>
    </row>
    <row r="81" spans="1:21" ht="22.5" customHeight="1" thickBot="1">
      <c r="A81" s="1806"/>
      <c r="B81" s="1803">
        <v>420514002</v>
      </c>
      <c r="C81" s="1473" t="s">
        <v>120</v>
      </c>
      <c r="D81" s="1474" t="s">
        <v>75</v>
      </c>
      <c r="E81" s="1475" t="s">
        <v>61</v>
      </c>
      <c r="F81" s="1475" t="str">
        <f>_xlfn.XLOOKUP(B81,Planilha1!A:A,Planilha1!B:B)</f>
        <v>OUTROS</v>
      </c>
      <c r="G81" s="1476">
        <v>1000</v>
      </c>
      <c r="H81" s="1477">
        <v>149.9</v>
      </c>
      <c r="I81" s="1423">
        <f t="shared" si="0"/>
        <v>1.3515462988008295</v>
      </c>
      <c r="J81" s="1857">
        <v>110.91</v>
      </c>
      <c r="K81" s="1843">
        <f t="shared" si="5"/>
        <v>0</v>
      </c>
      <c r="L81" s="1317"/>
      <c r="M81" s="1360">
        <v>5</v>
      </c>
      <c r="N81" s="1346"/>
      <c r="O81" s="1343"/>
      <c r="P81" s="1343"/>
      <c r="S81" s="1339" t="e">
        <f t="shared" si="6"/>
        <v>#REF!</v>
      </c>
      <c r="T81" s="1339" t="e">
        <f t="shared" si="7"/>
        <v>#REF!</v>
      </c>
      <c r="U81" s="1339" t="e">
        <f t="shared" si="8"/>
        <v>#REF!</v>
      </c>
    </row>
    <row r="82" spans="1:21" ht="22.5" customHeight="1" thickBot="1">
      <c r="A82" s="1806"/>
      <c r="B82" s="1804">
        <v>420514018</v>
      </c>
      <c r="C82" s="1465" t="s">
        <v>120</v>
      </c>
      <c r="D82" s="1466" t="s">
        <v>125</v>
      </c>
      <c r="E82" s="1467" t="s">
        <v>61</v>
      </c>
      <c r="F82" s="1467" t="str">
        <f>_xlfn.XLOOKUP(B82,Planilha1!A:A,Planilha1!B:B)</f>
        <v>OUTROS</v>
      </c>
      <c r="G82" s="1468">
        <v>1000</v>
      </c>
      <c r="H82" s="1367">
        <v>149.9</v>
      </c>
      <c r="I82" s="1423">
        <f t="shared" ref="I82:I145" si="9">IFERROR(H82/J82,"")</f>
        <v>1.3515462988008295</v>
      </c>
      <c r="J82" s="1857">
        <v>110.91</v>
      </c>
      <c r="K82" s="1836">
        <f t="shared" si="5"/>
        <v>0</v>
      </c>
      <c r="L82" s="1317"/>
      <c r="M82" s="1356">
        <v>5</v>
      </c>
      <c r="N82" s="1346"/>
      <c r="O82" s="1343"/>
      <c r="P82" s="1343"/>
      <c r="S82" s="1339" t="e">
        <f t="shared" si="6"/>
        <v>#REF!</v>
      </c>
      <c r="T82" s="1339" t="e">
        <f t="shared" si="7"/>
        <v>#REF!</v>
      </c>
      <c r="U82" s="1339" t="e">
        <f t="shared" si="8"/>
        <v>#REF!</v>
      </c>
    </row>
    <row r="83" spans="1:21" ht="22.5" customHeight="1" thickBot="1">
      <c r="A83" s="1806"/>
      <c r="B83" s="1803">
        <v>420514022</v>
      </c>
      <c r="C83" s="1465" t="s">
        <v>120</v>
      </c>
      <c r="D83" s="1466" t="s">
        <v>118</v>
      </c>
      <c r="E83" s="1467" t="s">
        <v>61</v>
      </c>
      <c r="F83" s="1467" t="str">
        <f>_xlfn.XLOOKUP(B83,Planilha1!A:A,Planilha1!B:B)</f>
        <v>OUTROS</v>
      </c>
      <c r="G83" s="1468">
        <v>1000</v>
      </c>
      <c r="H83" s="1367">
        <v>149.9</v>
      </c>
      <c r="I83" s="1423">
        <f t="shared" si="9"/>
        <v>1.3515462988008295</v>
      </c>
      <c r="J83" s="1857">
        <v>110.91</v>
      </c>
      <c r="K83" s="1836">
        <f t="shared" si="5"/>
        <v>0</v>
      </c>
      <c r="L83" s="1317"/>
      <c r="M83" s="1356">
        <v>5</v>
      </c>
      <c r="N83" s="1346"/>
      <c r="O83" s="1343"/>
      <c r="P83" s="1343"/>
      <c r="S83" s="1339" t="e">
        <f t="shared" si="6"/>
        <v>#REF!</v>
      </c>
      <c r="T83" s="1339" t="e">
        <f t="shared" si="7"/>
        <v>#REF!</v>
      </c>
      <c r="U83" s="1339" t="e">
        <f t="shared" si="8"/>
        <v>#REF!</v>
      </c>
    </row>
    <row r="84" spans="1:21" ht="22.5" customHeight="1" thickBot="1">
      <c r="A84" s="1808"/>
      <c r="B84" s="1802">
        <v>420514036</v>
      </c>
      <c r="C84" s="1478" t="s">
        <v>120</v>
      </c>
      <c r="D84" s="1479" t="s">
        <v>275</v>
      </c>
      <c r="E84" s="1480" t="s">
        <v>61</v>
      </c>
      <c r="F84" s="1480" t="str">
        <f>_xlfn.XLOOKUP(B84,Planilha1!A:A,Planilha1!B:B)</f>
        <v>OUTROS</v>
      </c>
      <c r="G84" s="1481">
        <v>1000</v>
      </c>
      <c r="H84" s="1373">
        <v>149.9</v>
      </c>
      <c r="I84" s="1423">
        <f t="shared" si="9"/>
        <v>1.3515462988008295</v>
      </c>
      <c r="J84" s="1857">
        <v>110.91</v>
      </c>
      <c r="K84" s="1842">
        <f t="shared" si="5"/>
        <v>0</v>
      </c>
      <c r="L84" s="1319"/>
      <c r="M84" s="1396">
        <v>5</v>
      </c>
      <c r="N84" s="1346"/>
      <c r="O84" s="1343"/>
      <c r="P84" s="1343"/>
      <c r="S84" s="1339" t="e">
        <f t="shared" si="6"/>
        <v>#REF!</v>
      </c>
      <c r="T84" s="1339" t="e">
        <f t="shared" si="7"/>
        <v>#REF!</v>
      </c>
      <c r="U84" s="1339" t="e">
        <f t="shared" si="8"/>
        <v>#REF!</v>
      </c>
    </row>
    <row r="85" spans="1:21" ht="70.2" customHeight="1" thickBot="1">
      <c r="A85" s="1809"/>
      <c r="B85" s="1345">
        <v>421864129</v>
      </c>
      <c r="C85" s="1465" t="s">
        <v>788</v>
      </c>
      <c r="D85" s="1466" t="s">
        <v>786</v>
      </c>
      <c r="E85" s="1467" t="s">
        <v>61</v>
      </c>
      <c r="F85" s="1467" t="s">
        <v>769</v>
      </c>
      <c r="G85" s="1468" t="s">
        <v>785</v>
      </c>
      <c r="H85" s="1367">
        <v>209.9</v>
      </c>
      <c r="I85" s="1423">
        <f t="shared" si="9"/>
        <v>1.6600759253400823</v>
      </c>
      <c r="J85" s="1857">
        <v>126.44</v>
      </c>
      <c r="K85" s="1836">
        <f t="shared" ref="K85:K86" si="10">L85*J85</f>
        <v>0</v>
      </c>
      <c r="L85" s="1317"/>
      <c r="M85" s="1356">
        <v>6</v>
      </c>
      <c r="N85" s="1346"/>
      <c r="O85" s="1343"/>
      <c r="P85" s="1343"/>
      <c r="S85" s="1339" t="e">
        <f t="shared" si="6"/>
        <v>#REF!</v>
      </c>
      <c r="T85" s="1339" t="e">
        <f t="shared" si="7"/>
        <v>#REF!</v>
      </c>
      <c r="U85" s="1339" t="e">
        <f t="shared" si="8"/>
        <v>#REF!</v>
      </c>
    </row>
    <row r="86" spans="1:21" ht="70.2" customHeight="1" thickBot="1">
      <c r="A86" s="1808"/>
      <c r="B86" s="1345">
        <v>421864130</v>
      </c>
      <c r="C86" s="1478" t="s">
        <v>788</v>
      </c>
      <c r="D86" s="1479" t="s">
        <v>787</v>
      </c>
      <c r="E86" s="1480" t="s">
        <v>61</v>
      </c>
      <c r="F86" s="1480" t="s">
        <v>769</v>
      </c>
      <c r="G86" s="1468" t="s">
        <v>785</v>
      </c>
      <c r="H86" s="1373">
        <v>209.9</v>
      </c>
      <c r="I86" s="1423">
        <f t="shared" si="9"/>
        <v>1.6600759253400823</v>
      </c>
      <c r="J86" s="1857">
        <v>126.44</v>
      </c>
      <c r="K86" s="1842">
        <f t="shared" si="10"/>
        <v>0</v>
      </c>
      <c r="L86" s="1319"/>
      <c r="M86" s="1396">
        <v>6</v>
      </c>
      <c r="N86" s="1346"/>
      <c r="O86" s="1343"/>
      <c r="P86" s="1343"/>
      <c r="S86" s="1339" t="e">
        <f t="shared" si="6"/>
        <v>#REF!</v>
      </c>
      <c r="T86" s="1339" t="e">
        <f t="shared" si="7"/>
        <v>#REF!</v>
      </c>
      <c r="U86" s="1339" t="e">
        <f t="shared" si="8"/>
        <v>#REF!</v>
      </c>
    </row>
    <row r="87" spans="1:21" ht="27.75" customHeight="1" thickBot="1">
      <c r="B87" s="1730">
        <v>413804029</v>
      </c>
      <c r="C87" s="1751" t="s">
        <v>723</v>
      </c>
      <c r="D87" s="1482" t="s">
        <v>67</v>
      </c>
      <c r="E87" s="1752" t="s">
        <v>61</v>
      </c>
      <c r="F87" s="1752" t="str">
        <f>_xlfn.XLOOKUP(B87,Planilha1!A:A,Planilha1!B:B)</f>
        <v>OUTROS</v>
      </c>
      <c r="G87" s="1483">
        <v>300</v>
      </c>
      <c r="H87" s="1379">
        <v>129.9</v>
      </c>
      <c r="I87" s="1423">
        <f t="shared" si="9"/>
        <v>1.6598517761308458</v>
      </c>
      <c r="J87" s="1857">
        <v>78.260000000000005</v>
      </c>
      <c r="K87" s="1841">
        <f t="shared" ref="K87:K92" si="11">L87*J87</f>
        <v>0</v>
      </c>
      <c r="L87" s="1323"/>
      <c r="M87" s="1397">
        <v>14</v>
      </c>
      <c r="N87" s="1346"/>
      <c r="O87" s="1343"/>
      <c r="P87" s="1343"/>
      <c r="S87" s="1339" t="e">
        <f t="shared" si="6"/>
        <v>#REF!</v>
      </c>
      <c r="T87" s="1339" t="e">
        <f t="shared" si="7"/>
        <v>#REF!</v>
      </c>
      <c r="U87" s="1339" t="e">
        <f t="shared" si="8"/>
        <v>#REF!</v>
      </c>
    </row>
    <row r="88" spans="1:21" ht="27.75" customHeight="1" thickBot="1">
      <c r="A88" s="1362"/>
      <c r="B88" s="1728">
        <v>413804034</v>
      </c>
      <c r="C88" s="1753" t="s">
        <v>723</v>
      </c>
      <c r="D88" s="1754" t="s">
        <v>102</v>
      </c>
      <c r="E88" s="1755" t="s">
        <v>61</v>
      </c>
      <c r="F88" s="1755" t="str">
        <f>_xlfn.XLOOKUP(B88,Planilha1!A:A,Planilha1!B:B)</f>
        <v>OUTROS</v>
      </c>
      <c r="G88" s="1756">
        <v>300</v>
      </c>
      <c r="H88" s="1571">
        <v>129.9</v>
      </c>
      <c r="I88" s="1423">
        <f t="shared" si="9"/>
        <v>1.6598517761308458</v>
      </c>
      <c r="J88" s="1857">
        <v>78.260000000000005</v>
      </c>
      <c r="K88" s="1845">
        <f t="shared" si="11"/>
        <v>0</v>
      </c>
      <c r="L88" s="1757"/>
      <c r="M88" s="1410">
        <v>14</v>
      </c>
      <c r="N88" s="1346"/>
      <c r="O88" s="1343"/>
      <c r="P88" s="1343"/>
      <c r="S88" s="1339" t="e">
        <f t="shared" si="6"/>
        <v>#REF!</v>
      </c>
      <c r="T88" s="1339" t="e">
        <f t="shared" si="7"/>
        <v>#REF!</v>
      </c>
      <c r="U88" s="1339" t="e">
        <f t="shared" si="8"/>
        <v>#REF!</v>
      </c>
    </row>
    <row r="89" spans="1:21" ht="27.75" customHeight="1" thickBot="1">
      <c r="A89" s="1488"/>
      <c r="B89" s="1728">
        <v>411604029</v>
      </c>
      <c r="C89" s="1363" t="s">
        <v>237</v>
      </c>
      <c r="D89" s="1364" t="s">
        <v>67</v>
      </c>
      <c r="E89" s="1365" t="s">
        <v>61</v>
      </c>
      <c r="F89" s="1365" t="str">
        <f>_xlfn.XLOOKUP(B89,Planilha1!A:A,Planilha1!B:B)</f>
        <v>OUTROS</v>
      </c>
      <c r="G89" s="1366">
        <v>300</v>
      </c>
      <c r="H89" s="1367">
        <v>129.9</v>
      </c>
      <c r="I89" s="1423">
        <f t="shared" si="9"/>
        <v>1.6598517761308458</v>
      </c>
      <c r="J89" s="1857">
        <v>78.260000000000005</v>
      </c>
      <c r="K89" s="1836">
        <f t="shared" si="11"/>
        <v>0</v>
      </c>
      <c r="L89" s="1299"/>
      <c r="M89" s="1356">
        <v>14</v>
      </c>
      <c r="N89" s="1346"/>
      <c r="O89" s="1343"/>
      <c r="P89" s="1343"/>
      <c r="S89" s="1339" t="e">
        <f t="shared" si="6"/>
        <v>#REF!</v>
      </c>
      <c r="T89" s="1339" t="e">
        <f t="shared" si="7"/>
        <v>#REF!</v>
      </c>
      <c r="U89" s="1339" t="e">
        <f t="shared" si="8"/>
        <v>#REF!</v>
      </c>
    </row>
    <row r="90" spans="1:21" ht="27.75" customHeight="1" thickBot="1">
      <c r="A90" s="1488"/>
      <c r="B90" s="1728">
        <v>411604042</v>
      </c>
      <c r="C90" s="1363" t="s">
        <v>237</v>
      </c>
      <c r="D90" s="1364" t="s">
        <v>235</v>
      </c>
      <c r="E90" s="1365" t="s">
        <v>61</v>
      </c>
      <c r="F90" s="1365" t="str">
        <f>_xlfn.XLOOKUP(B90,Planilha1!A:A,Planilha1!B:B)</f>
        <v>OUTROS</v>
      </c>
      <c r="G90" s="1366">
        <v>300</v>
      </c>
      <c r="H90" s="1367">
        <v>129.9</v>
      </c>
      <c r="I90" s="1423">
        <f t="shared" si="9"/>
        <v>1.6598517761308458</v>
      </c>
      <c r="J90" s="1857">
        <v>78.260000000000005</v>
      </c>
      <c r="K90" s="1836">
        <f t="shared" si="11"/>
        <v>0</v>
      </c>
      <c r="L90" s="1299"/>
      <c r="M90" s="1356">
        <v>14</v>
      </c>
      <c r="N90" s="1346"/>
      <c r="O90" s="1343"/>
      <c r="P90" s="1343"/>
      <c r="S90" s="1339" t="e">
        <f t="shared" si="6"/>
        <v>#REF!</v>
      </c>
      <c r="T90" s="1339" t="e">
        <f t="shared" si="7"/>
        <v>#REF!</v>
      </c>
      <c r="U90" s="1339" t="e">
        <f t="shared" si="8"/>
        <v>#REF!</v>
      </c>
    </row>
    <row r="91" spans="1:21" ht="27.75" customHeight="1" thickBot="1">
      <c r="A91" s="1488"/>
      <c r="B91" s="1728">
        <v>411604056</v>
      </c>
      <c r="C91" s="1363" t="s">
        <v>237</v>
      </c>
      <c r="D91" s="1364" t="s">
        <v>102</v>
      </c>
      <c r="E91" s="1365" t="s">
        <v>61</v>
      </c>
      <c r="F91" s="1365" t="str">
        <f>_xlfn.XLOOKUP(B91,Planilha1!A:A,Planilha1!B:B)</f>
        <v>OUTROS</v>
      </c>
      <c r="G91" s="1366">
        <v>300</v>
      </c>
      <c r="H91" s="1367">
        <v>129.9</v>
      </c>
      <c r="I91" s="1423">
        <f t="shared" si="9"/>
        <v>1.6598517761308458</v>
      </c>
      <c r="J91" s="1857">
        <v>78.260000000000005</v>
      </c>
      <c r="K91" s="1836">
        <f t="shared" si="11"/>
        <v>0</v>
      </c>
      <c r="L91" s="1299"/>
      <c r="M91" s="1356">
        <v>14</v>
      </c>
      <c r="N91" s="1346"/>
      <c r="O91" s="1343"/>
      <c r="P91" s="1343"/>
      <c r="S91" s="1339" t="e">
        <f>#REF!+6</f>
        <v>#REF!</v>
      </c>
      <c r="T91" s="1339" t="e">
        <f>#REF!+8</f>
        <v>#REF!</v>
      </c>
      <c r="U91" s="1339" t="e">
        <f>#REF!+4</f>
        <v>#REF!</v>
      </c>
    </row>
    <row r="92" spans="1:21" ht="27.75" customHeight="1" thickBot="1">
      <c r="A92" s="1488"/>
      <c r="B92" s="1728">
        <v>411604057</v>
      </c>
      <c r="C92" s="1484" t="s">
        <v>237</v>
      </c>
      <c r="D92" s="1485" t="s">
        <v>389</v>
      </c>
      <c r="E92" s="1486" t="s">
        <v>61</v>
      </c>
      <c r="F92" s="1486" t="str">
        <f>_xlfn.XLOOKUP(B92,Planilha1!A:A,Planilha1!B:B)</f>
        <v>OUTROS</v>
      </c>
      <c r="G92" s="1490">
        <v>300</v>
      </c>
      <c r="H92" s="1487">
        <v>129.9</v>
      </c>
      <c r="I92" s="1423">
        <f t="shared" si="9"/>
        <v>1.6598517761308458</v>
      </c>
      <c r="J92" s="1857">
        <v>78.260000000000005</v>
      </c>
      <c r="K92" s="1844">
        <f t="shared" si="11"/>
        <v>0</v>
      </c>
      <c r="L92" s="1302"/>
      <c r="M92" s="1399">
        <v>14</v>
      </c>
      <c r="N92" s="1346"/>
      <c r="O92" s="1343"/>
      <c r="P92" s="1343"/>
      <c r="S92" s="1339" t="e">
        <f t="shared" si="6"/>
        <v>#REF!</v>
      </c>
      <c r="T92" s="1339" t="e">
        <f t="shared" si="7"/>
        <v>#REF!</v>
      </c>
      <c r="U92" s="1339" t="e">
        <f t="shared" si="8"/>
        <v>#REF!</v>
      </c>
    </row>
    <row r="93" spans="1:21" ht="67.5" customHeight="1" thickBot="1">
      <c r="A93" s="1798"/>
      <c r="B93" s="1732">
        <v>440218001</v>
      </c>
      <c r="C93" s="1758" t="s">
        <v>88</v>
      </c>
      <c r="D93" s="1759" t="s">
        <v>80</v>
      </c>
      <c r="E93" s="1760" t="s">
        <v>61</v>
      </c>
      <c r="F93" s="1760" t="str">
        <f>_xlfn.XLOOKUP(B93,Planilha1!A:A,Planilha1!B:B)</f>
        <v>VITAMINAS</v>
      </c>
      <c r="G93" s="1761">
        <v>60</v>
      </c>
      <c r="H93" s="1762">
        <v>75.900000000000006</v>
      </c>
      <c r="I93" s="1423">
        <f t="shared" si="9"/>
        <v>1.5601233299075028</v>
      </c>
      <c r="J93" s="1857">
        <v>48.65</v>
      </c>
      <c r="K93" s="1846">
        <f t="shared" ref="K93:K152" si="12">L93*J93</f>
        <v>0</v>
      </c>
      <c r="L93" s="1763"/>
      <c r="M93" s="1400">
        <v>24</v>
      </c>
      <c r="N93" s="1346"/>
      <c r="O93" s="1343"/>
      <c r="P93" s="1343"/>
      <c r="S93" s="1339" t="e">
        <f>#REF!+6</f>
        <v>#REF!</v>
      </c>
      <c r="T93" s="1339" t="e">
        <f>#REF!+8</f>
        <v>#REF!</v>
      </c>
      <c r="U93" s="1339" t="e">
        <f>#REF!+4</f>
        <v>#REF!</v>
      </c>
    </row>
    <row r="94" spans="1:21" ht="69.75" customHeight="1" thickBot="1">
      <c r="A94" s="1488"/>
      <c r="B94" s="1727">
        <v>440118001</v>
      </c>
      <c r="C94" s="1456" t="s">
        <v>90</v>
      </c>
      <c r="D94" s="1457" t="s">
        <v>80</v>
      </c>
      <c r="E94" s="1458" t="s">
        <v>61</v>
      </c>
      <c r="F94" s="1458" t="str">
        <f>_xlfn.XLOOKUP(B94,Planilha1!A:A,Planilha1!B:B)</f>
        <v>VITAMINAS</v>
      </c>
      <c r="G94" s="1491">
        <v>60</v>
      </c>
      <c r="H94" s="1492">
        <v>65.900000000000006</v>
      </c>
      <c r="I94" s="1423">
        <f t="shared" si="9"/>
        <v>1.5590253134610836</v>
      </c>
      <c r="J94" s="1857">
        <v>42.27</v>
      </c>
      <c r="K94" s="1847">
        <f t="shared" si="12"/>
        <v>0</v>
      </c>
      <c r="L94" s="1318"/>
      <c r="M94" s="1401">
        <v>24</v>
      </c>
      <c r="N94" s="1346"/>
      <c r="O94" s="1343"/>
      <c r="P94" s="1343"/>
      <c r="S94" s="1339" t="e">
        <f t="shared" ref="S94:S109" si="13">S93+6</f>
        <v>#REF!</v>
      </c>
      <c r="T94" s="1339" t="e">
        <f t="shared" ref="T94:T109" si="14">T93+8</f>
        <v>#REF!</v>
      </c>
      <c r="U94" s="1339" t="e">
        <f t="shared" ref="U94:U109" si="15">U93+4</f>
        <v>#REF!</v>
      </c>
    </row>
    <row r="95" spans="1:21" ht="72.75" customHeight="1" thickBot="1">
      <c r="A95" s="1799"/>
      <c r="B95" s="1729">
        <v>440318001</v>
      </c>
      <c r="C95" s="1764" t="s">
        <v>92</v>
      </c>
      <c r="D95" s="1765" t="s">
        <v>80</v>
      </c>
      <c r="E95" s="1766" t="s">
        <v>61</v>
      </c>
      <c r="F95" s="1766" t="str">
        <f>_xlfn.XLOOKUP(B95,Planilha1!A:A,Planilha1!B:B)</f>
        <v>VITAMINAS</v>
      </c>
      <c r="G95" s="1767">
        <v>60</v>
      </c>
      <c r="H95" s="1768">
        <v>79.900000000000006</v>
      </c>
      <c r="I95" s="1423">
        <f t="shared" si="9"/>
        <v>1.6597424179476528</v>
      </c>
      <c r="J95" s="1857">
        <v>48.14</v>
      </c>
      <c r="K95" s="1848">
        <f t="shared" si="12"/>
        <v>0</v>
      </c>
      <c r="L95" s="1326"/>
      <c r="M95" s="1402">
        <v>24</v>
      </c>
      <c r="N95" s="1346"/>
      <c r="O95" s="1343"/>
      <c r="P95" s="1343"/>
      <c r="S95" s="1339" t="e">
        <f t="shared" si="13"/>
        <v>#REF!</v>
      </c>
      <c r="T95" s="1339" t="e">
        <f t="shared" si="14"/>
        <v>#REF!</v>
      </c>
      <c r="U95" s="1339" t="e">
        <f t="shared" si="15"/>
        <v>#REF!</v>
      </c>
    </row>
    <row r="96" spans="1:21" ht="74.25" customHeight="1" thickBot="1">
      <c r="A96" s="1488"/>
      <c r="B96" s="1727">
        <v>410608001</v>
      </c>
      <c r="C96" s="1753" t="s">
        <v>117</v>
      </c>
      <c r="D96" s="1754" t="s">
        <v>80</v>
      </c>
      <c r="E96" s="1755" t="s">
        <v>61</v>
      </c>
      <c r="F96" s="1755" t="str">
        <f>_xlfn.XLOOKUP(B96,Planilha1!A:A,Planilha1!B:B)</f>
        <v>OUTROS</v>
      </c>
      <c r="G96" s="1756">
        <v>400</v>
      </c>
      <c r="H96" s="1571">
        <v>79.900000000000006</v>
      </c>
      <c r="I96" s="1423">
        <f t="shared" si="9"/>
        <v>1.6597424179476528</v>
      </c>
      <c r="J96" s="1857">
        <v>48.14</v>
      </c>
      <c r="K96" s="1845">
        <f t="shared" si="12"/>
        <v>0</v>
      </c>
      <c r="L96" s="1757"/>
      <c r="M96" s="1773">
        <v>18</v>
      </c>
      <c r="N96" s="1346"/>
      <c r="O96" s="1343"/>
      <c r="P96" s="1343"/>
      <c r="S96" s="1339" t="e">
        <f t="shared" si="13"/>
        <v>#REF!</v>
      </c>
      <c r="T96" s="1339" t="e">
        <f t="shared" si="14"/>
        <v>#REF!</v>
      </c>
      <c r="U96" s="1339" t="e">
        <f t="shared" si="15"/>
        <v>#REF!</v>
      </c>
    </row>
    <row r="97" spans="1:21" ht="51" customHeight="1" thickBot="1">
      <c r="A97" s="1362"/>
      <c r="B97" s="1728">
        <v>430317001</v>
      </c>
      <c r="C97" s="1769" t="s">
        <v>449</v>
      </c>
      <c r="D97" s="1770" t="s">
        <v>80</v>
      </c>
      <c r="E97" s="1771" t="s">
        <v>61</v>
      </c>
      <c r="F97" s="1771" t="str">
        <f>_xlfn.XLOOKUP(B97,Planilha1!A:A,Planilha1!B:B)</f>
        <v>VITAMINAS</v>
      </c>
      <c r="G97" s="1772">
        <v>30</v>
      </c>
      <c r="H97" s="1487">
        <v>77.900000000000006</v>
      </c>
      <c r="I97" s="1423">
        <f t="shared" si="9"/>
        <v>1.6599190283400811</v>
      </c>
      <c r="J97" s="1857">
        <v>46.93</v>
      </c>
      <c r="K97" s="1844">
        <f t="shared" si="12"/>
        <v>0</v>
      </c>
      <c r="L97" s="1302"/>
      <c r="M97" s="1399">
        <v>60</v>
      </c>
      <c r="N97" s="1346"/>
      <c r="O97" s="1343"/>
      <c r="P97" s="1343"/>
      <c r="S97" s="1339" t="e">
        <f t="shared" si="13"/>
        <v>#REF!</v>
      </c>
      <c r="T97" s="1339" t="e">
        <f t="shared" si="14"/>
        <v>#REF!</v>
      </c>
      <c r="U97" s="1339" t="e">
        <f t="shared" si="15"/>
        <v>#REF!</v>
      </c>
    </row>
    <row r="98" spans="1:21" ht="51" customHeight="1" thickBot="1">
      <c r="A98" s="1362"/>
      <c r="B98" s="1728">
        <v>431448032</v>
      </c>
      <c r="C98" s="1495" t="s">
        <v>605</v>
      </c>
      <c r="D98" s="1496" t="s">
        <v>76</v>
      </c>
      <c r="E98" s="1497" t="s">
        <v>608</v>
      </c>
      <c r="F98" s="1497" t="str">
        <f>_xlfn.XLOOKUP(B98,Planilha1!A:A,Planilha1!B:B)</f>
        <v>VITAMINAS</v>
      </c>
      <c r="G98" s="1498" t="s">
        <v>603</v>
      </c>
      <c r="H98" s="1499">
        <v>109.9</v>
      </c>
      <c r="I98" s="1423">
        <f t="shared" si="9"/>
        <v>1.6598701102552484</v>
      </c>
      <c r="J98" s="1857">
        <v>66.210000000000008</v>
      </c>
      <c r="K98" s="1847">
        <f t="shared" si="12"/>
        <v>0</v>
      </c>
      <c r="L98" s="1301"/>
      <c r="M98" s="1398">
        <v>16</v>
      </c>
      <c r="N98" s="1346"/>
      <c r="O98" s="1343"/>
      <c r="P98" s="1343"/>
      <c r="S98" s="1339" t="e">
        <f t="shared" si="13"/>
        <v>#REF!</v>
      </c>
      <c r="T98" s="1339" t="e">
        <f t="shared" si="14"/>
        <v>#REF!</v>
      </c>
      <c r="U98" s="1339" t="e">
        <f t="shared" si="15"/>
        <v>#REF!</v>
      </c>
    </row>
    <row r="99" spans="1:21" ht="51" customHeight="1" thickBot="1">
      <c r="A99" s="1362"/>
      <c r="B99" s="1728">
        <v>430718001</v>
      </c>
      <c r="C99" s="1495" t="s">
        <v>607</v>
      </c>
      <c r="D99" s="1496" t="s">
        <v>158</v>
      </c>
      <c r="E99" s="1497" t="s">
        <v>61</v>
      </c>
      <c r="F99" s="1497" t="str">
        <f>_xlfn.XLOOKUP(B99,Planilha1!A:A,Planilha1!B:B)</f>
        <v>VITAMINAS</v>
      </c>
      <c r="G99" s="1498" t="s">
        <v>354</v>
      </c>
      <c r="H99" s="1499">
        <v>45.9</v>
      </c>
      <c r="I99" s="1423">
        <f t="shared" si="9"/>
        <v>1.6745713243341847</v>
      </c>
      <c r="J99" s="1857">
        <v>27.41</v>
      </c>
      <c r="K99" s="1847">
        <f t="shared" si="12"/>
        <v>0</v>
      </c>
      <c r="L99" s="1301"/>
      <c r="M99" s="1398">
        <v>15</v>
      </c>
      <c r="N99" s="1346"/>
      <c r="O99" s="1343"/>
      <c r="P99" s="1343"/>
      <c r="S99" s="1339" t="e">
        <f t="shared" si="13"/>
        <v>#REF!</v>
      </c>
      <c r="T99" s="1339" t="e">
        <f t="shared" si="14"/>
        <v>#REF!</v>
      </c>
      <c r="U99" s="1339" t="e">
        <f t="shared" si="15"/>
        <v>#REF!</v>
      </c>
    </row>
    <row r="100" spans="1:21" ht="51" customHeight="1" thickBot="1">
      <c r="A100" s="1362"/>
      <c r="B100" s="1728">
        <v>430716001</v>
      </c>
      <c r="C100" s="1495" t="s">
        <v>607</v>
      </c>
      <c r="D100" s="1496" t="s">
        <v>158</v>
      </c>
      <c r="E100" s="1497" t="s">
        <v>61</v>
      </c>
      <c r="F100" s="1497" t="str">
        <f>_xlfn.XLOOKUP(B100,Planilha1!A:A,Planilha1!B:B)</f>
        <v>VITAMINAS</v>
      </c>
      <c r="G100" s="1498" t="s">
        <v>604</v>
      </c>
      <c r="H100" s="1499">
        <v>77.900000000000006</v>
      </c>
      <c r="I100" s="1423">
        <f t="shared" si="9"/>
        <v>1.6599190283400811</v>
      </c>
      <c r="J100" s="1857">
        <v>46.93</v>
      </c>
      <c r="K100" s="1847">
        <f t="shared" si="12"/>
        <v>0</v>
      </c>
      <c r="L100" s="1301"/>
      <c r="M100" s="1398">
        <v>15</v>
      </c>
      <c r="N100" s="1346"/>
      <c r="O100" s="1343"/>
      <c r="P100" s="1343"/>
      <c r="S100" s="1339" t="e">
        <f t="shared" si="13"/>
        <v>#REF!</v>
      </c>
      <c r="T100" s="1339" t="e">
        <f t="shared" si="14"/>
        <v>#REF!</v>
      </c>
      <c r="U100" s="1339" t="e">
        <f t="shared" si="15"/>
        <v>#REF!</v>
      </c>
    </row>
    <row r="101" spans="1:21" ht="51" customHeight="1" thickBot="1">
      <c r="A101" s="1362"/>
      <c r="B101" s="1728">
        <v>431317001</v>
      </c>
      <c r="C101" s="1495" t="s">
        <v>587</v>
      </c>
      <c r="D101" s="1496" t="s">
        <v>80</v>
      </c>
      <c r="E101" s="1497" t="s">
        <v>61</v>
      </c>
      <c r="F101" s="1497" t="str">
        <f>_xlfn.XLOOKUP(B101,Planilha1!A:A,Planilha1!B:B)</f>
        <v>VITAMINAS</v>
      </c>
      <c r="G101" s="1498">
        <v>30</v>
      </c>
      <c r="H101" s="1499">
        <v>99.9</v>
      </c>
      <c r="I101" s="1423">
        <f t="shared" si="9"/>
        <v>1.6683366733466936</v>
      </c>
      <c r="J101" s="1857">
        <v>59.879999999999995</v>
      </c>
      <c r="K101" s="1847">
        <f t="shared" si="12"/>
        <v>0</v>
      </c>
      <c r="L101" s="1301"/>
      <c r="M101" s="1398">
        <v>15</v>
      </c>
      <c r="N101" s="1346"/>
      <c r="O101" s="1343"/>
      <c r="P101" s="1343"/>
      <c r="S101" s="1339" t="e">
        <f t="shared" si="13"/>
        <v>#REF!</v>
      </c>
      <c r="T101" s="1339" t="e">
        <f t="shared" si="14"/>
        <v>#REF!</v>
      </c>
      <c r="U101" s="1339" t="e">
        <f t="shared" si="15"/>
        <v>#REF!</v>
      </c>
    </row>
    <row r="102" spans="1:21" ht="51" customHeight="1" thickBot="1">
      <c r="A102" s="1362"/>
      <c r="B102" s="1728">
        <v>431318001</v>
      </c>
      <c r="C102" s="1495" t="s">
        <v>587</v>
      </c>
      <c r="D102" s="1496" t="s">
        <v>80</v>
      </c>
      <c r="E102" s="1497" t="s">
        <v>61</v>
      </c>
      <c r="F102" s="1497" t="str">
        <f>_xlfn.XLOOKUP(B102,Planilha1!A:A,Planilha1!B:B)</f>
        <v>VITAMINAS</v>
      </c>
      <c r="G102" s="1498">
        <v>60</v>
      </c>
      <c r="H102" s="1499">
        <v>169.9</v>
      </c>
      <c r="I102" s="1423">
        <f t="shared" si="9"/>
        <v>1.659990229604299</v>
      </c>
      <c r="J102" s="1857">
        <v>102.35000000000001</v>
      </c>
      <c r="K102" s="1847">
        <f t="shared" si="12"/>
        <v>0</v>
      </c>
      <c r="L102" s="1301"/>
      <c r="M102" s="1398">
        <v>15</v>
      </c>
      <c r="N102" s="1346"/>
      <c r="O102" s="1343"/>
      <c r="P102" s="1343"/>
      <c r="S102" s="1339" t="e">
        <f t="shared" si="13"/>
        <v>#REF!</v>
      </c>
      <c r="T102" s="1339" t="e">
        <f t="shared" si="14"/>
        <v>#REF!</v>
      </c>
      <c r="U102" s="1339" t="e">
        <f t="shared" si="15"/>
        <v>#REF!</v>
      </c>
    </row>
    <row r="103" spans="1:21" ht="51" customHeight="1" thickBot="1">
      <c r="A103" s="1362"/>
      <c r="B103" s="1728">
        <v>431517001</v>
      </c>
      <c r="C103" s="1495" t="s">
        <v>612</v>
      </c>
      <c r="D103" s="1496" t="s">
        <v>80</v>
      </c>
      <c r="E103" s="1497" t="s">
        <v>61</v>
      </c>
      <c r="F103" s="1497" t="str">
        <f>_xlfn.XLOOKUP(B103,Planilha1!A:A,Planilha1!B:B)</f>
        <v>VITAMINAS</v>
      </c>
      <c r="G103" s="1498">
        <v>30</v>
      </c>
      <c r="H103" s="1499">
        <v>45.9</v>
      </c>
      <c r="I103" s="1423">
        <f t="shared" si="9"/>
        <v>1.6594360086767894</v>
      </c>
      <c r="J103" s="1857">
        <v>27.66</v>
      </c>
      <c r="K103" s="1847">
        <f t="shared" si="12"/>
        <v>0</v>
      </c>
      <c r="L103" s="1306"/>
      <c r="M103" s="1398">
        <v>15</v>
      </c>
      <c r="N103" s="1346"/>
      <c r="O103" s="1343"/>
      <c r="P103" s="1343"/>
      <c r="S103" s="1339" t="e">
        <f t="shared" si="13"/>
        <v>#REF!</v>
      </c>
      <c r="T103" s="1339" t="e">
        <f t="shared" si="14"/>
        <v>#REF!</v>
      </c>
      <c r="U103" s="1339" t="e">
        <f t="shared" si="15"/>
        <v>#REF!</v>
      </c>
    </row>
    <row r="104" spans="1:21" ht="88.2" customHeight="1" thickBot="1">
      <c r="A104" s="1362"/>
      <c r="B104" s="1728">
        <v>430917001</v>
      </c>
      <c r="C104" s="1495" t="s">
        <v>613</v>
      </c>
      <c r="D104" s="1496" t="s">
        <v>80</v>
      </c>
      <c r="E104" s="1497" t="s">
        <v>61</v>
      </c>
      <c r="F104" s="1497" t="str">
        <f>_xlfn.XLOOKUP(B104,Planilha1!A:A,Planilha1!B:B)</f>
        <v>VITAMINAS</v>
      </c>
      <c r="G104" s="1498">
        <v>30</v>
      </c>
      <c r="H104" s="1499">
        <v>81.900000000000006</v>
      </c>
      <c r="I104" s="1423">
        <f t="shared" si="9"/>
        <v>1.6599108228617756</v>
      </c>
      <c r="J104" s="1857">
        <v>49.339999999999996</v>
      </c>
      <c r="K104" s="1847">
        <f t="shared" si="12"/>
        <v>0</v>
      </c>
      <c r="L104" s="1301"/>
      <c r="M104" s="1398">
        <v>15</v>
      </c>
      <c r="N104" s="1346"/>
      <c r="O104" s="1343"/>
      <c r="P104" s="1343"/>
      <c r="S104" s="1339" t="e">
        <f t="shared" si="13"/>
        <v>#REF!</v>
      </c>
      <c r="T104" s="1339" t="e">
        <f t="shared" si="14"/>
        <v>#REF!</v>
      </c>
      <c r="U104" s="1339" t="e">
        <f t="shared" si="15"/>
        <v>#REF!</v>
      </c>
    </row>
    <row r="105" spans="1:21" ht="93" customHeight="1" thickBot="1">
      <c r="A105" s="1362"/>
      <c r="B105" s="1728">
        <v>430918001</v>
      </c>
      <c r="C105" s="1495" t="s">
        <v>613</v>
      </c>
      <c r="D105" s="1496" t="s">
        <v>80</v>
      </c>
      <c r="E105" s="1497" t="s">
        <v>61</v>
      </c>
      <c r="F105" s="1497" t="str">
        <f>_xlfn.XLOOKUP(B105,Planilha1!A:A,Planilha1!B:B)</f>
        <v>VITAMINAS</v>
      </c>
      <c r="G105" s="1498">
        <v>60</v>
      </c>
      <c r="H105" s="1499">
        <v>129.9</v>
      </c>
      <c r="I105" s="1423">
        <f t="shared" si="9"/>
        <v>1.6598517761308458</v>
      </c>
      <c r="J105" s="1857">
        <v>78.260000000000005</v>
      </c>
      <c r="K105" s="1847">
        <f t="shared" si="12"/>
        <v>0</v>
      </c>
      <c r="L105" s="1301"/>
      <c r="M105" s="1398">
        <v>15</v>
      </c>
      <c r="N105" s="1346"/>
      <c r="O105" s="1343"/>
      <c r="P105" s="1343"/>
      <c r="S105" s="1339" t="e">
        <f t="shared" si="13"/>
        <v>#REF!</v>
      </c>
      <c r="T105" s="1339" t="e">
        <f t="shared" si="14"/>
        <v>#REF!</v>
      </c>
      <c r="U105" s="1339" t="e">
        <f t="shared" si="15"/>
        <v>#REF!</v>
      </c>
    </row>
    <row r="106" spans="1:21" ht="93" customHeight="1" thickBot="1">
      <c r="A106" s="1362"/>
      <c r="B106" s="1733">
        <v>432148082</v>
      </c>
      <c r="C106" s="1495" t="s">
        <v>693</v>
      </c>
      <c r="D106" s="1496" t="s">
        <v>694</v>
      </c>
      <c r="E106" s="1497" t="s">
        <v>608</v>
      </c>
      <c r="F106" s="1497" t="str">
        <f>_xlfn.XLOOKUP(B106,Planilha1!A:A,Planilha1!B:B)</f>
        <v>VITAMINAS</v>
      </c>
      <c r="G106" s="1498" t="s">
        <v>603</v>
      </c>
      <c r="H106" s="1499">
        <v>55.9</v>
      </c>
      <c r="I106" s="1423">
        <f t="shared" si="9"/>
        <v>1.6597387173396674</v>
      </c>
      <c r="J106" s="1857">
        <v>33.68</v>
      </c>
      <c r="K106" s="1847">
        <f t="shared" si="12"/>
        <v>0</v>
      </c>
      <c r="L106" s="1301"/>
      <c r="M106" s="1398">
        <v>16</v>
      </c>
      <c r="N106" s="1346"/>
      <c r="O106" s="1343"/>
      <c r="P106" s="1343"/>
      <c r="S106" s="1339" t="e">
        <f t="shared" si="13"/>
        <v>#REF!</v>
      </c>
      <c r="T106" s="1339" t="e">
        <f t="shared" si="14"/>
        <v>#REF!</v>
      </c>
      <c r="U106" s="1339" t="e">
        <f t="shared" si="15"/>
        <v>#REF!</v>
      </c>
    </row>
    <row r="107" spans="1:21" ht="39.6" customHeight="1" thickBot="1">
      <c r="A107" s="1362"/>
      <c r="B107" s="1733">
        <v>431648036</v>
      </c>
      <c r="C107" s="1495" t="s">
        <v>695</v>
      </c>
      <c r="D107" s="1496" t="s">
        <v>275</v>
      </c>
      <c r="E107" s="1497" t="s">
        <v>608</v>
      </c>
      <c r="F107" s="1497" t="str">
        <f>_xlfn.XLOOKUP(B107,Planilha1!A:A,Planilha1!B:B)</f>
        <v>VITAMINAS</v>
      </c>
      <c r="G107" s="1498" t="s">
        <v>603</v>
      </c>
      <c r="H107" s="1499">
        <v>49.9</v>
      </c>
      <c r="I107" s="1423">
        <f t="shared" si="9"/>
        <v>1.6594612570668439</v>
      </c>
      <c r="J107" s="1857">
        <v>30.07</v>
      </c>
      <c r="K107" s="1847">
        <f t="shared" si="12"/>
        <v>0</v>
      </c>
      <c r="L107" s="1301"/>
      <c r="M107" s="1398">
        <v>16</v>
      </c>
      <c r="N107" s="1346"/>
      <c r="O107" s="1343"/>
      <c r="P107" s="1343"/>
      <c r="S107" s="1339" t="e">
        <f t="shared" si="13"/>
        <v>#REF!</v>
      </c>
      <c r="T107" s="1339" t="e">
        <f t="shared" si="14"/>
        <v>#REF!</v>
      </c>
      <c r="U107" s="1339" t="e">
        <f t="shared" si="15"/>
        <v>#REF!</v>
      </c>
    </row>
    <row r="108" spans="1:21" ht="39.6" customHeight="1" thickBot="1">
      <c r="A108" s="1362"/>
      <c r="B108" s="1734">
        <v>433019001</v>
      </c>
      <c r="C108" s="1500" t="s">
        <v>724</v>
      </c>
      <c r="D108" s="1496" t="s">
        <v>80</v>
      </c>
      <c r="E108" s="1497" t="s">
        <v>61</v>
      </c>
      <c r="F108" s="1497" t="str">
        <f>_xlfn.XLOOKUP(B108,Planilha1!A:A,Planilha1!B:B)</f>
        <v>VITAMINAS</v>
      </c>
      <c r="G108" s="1501">
        <v>90</v>
      </c>
      <c r="H108" s="1499">
        <v>89.9</v>
      </c>
      <c r="I108" s="1423">
        <f t="shared" si="9"/>
        <v>1.6598966026587889</v>
      </c>
      <c r="J108" s="1857">
        <v>54.16</v>
      </c>
      <c r="K108" s="1847">
        <f t="shared" si="12"/>
        <v>0</v>
      </c>
      <c r="L108" s="1301"/>
      <c r="M108" s="1398">
        <v>10</v>
      </c>
      <c r="N108" s="1346"/>
      <c r="O108" s="1343"/>
      <c r="P108" s="1343"/>
      <c r="S108" s="1339" t="e">
        <f t="shared" si="13"/>
        <v>#REF!</v>
      </c>
      <c r="T108" s="1339" t="e">
        <f t="shared" si="14"/>
        <v>#REF!</v>
      </c>
      <c r="U108" s="1339" t="e">
        <f t="shared" si="15"/>
        <v>#REF!</v>
      </c>
    </row>
    <row r="109" spans="1:21" ht="39" customHeight="1" thickBot="1">
      <c r="A109" s="1362"/>
      <c r="B109" s="1735">
        <v>433117001</v>
      </c>
      <c r="C109" s="1500" t="s">
        <v>729</v>
      </c>
      <c r="D109" s="1496" t="s">
        <v>80</v>
      </c>
      <c r="E109" s="1497" t="s">
        <v>61</v>
      </c>
      <c r="F109" s="1497" t="str">
        <f>_xlfn.XLOOKUP(B109,Planilha1!A:A,Planilha1!B:B)</f>
        <v>VITAMINAS</v>
      </c>
      <c r="G109" s="1498" t="s">
        <v>727</v>
      </c>
      <c r="H109" s="1499">
        <v>64.900000000000006</v>
      </c>
      <c r="I109" s="1423">
        <f t="shared" si="9"/>
        <v>1.659846547314578</v>
      </c>
      <c r="J109" s="1857">
        <v>39.1</v>
      </c>
      <c r="K109" s="1843">
        <f t="shared" si="12"/>
        <v>0</v>
      </c>
      <c r="L109" s="1301"/>
      <c r="M109" s="1398">
        <v>10</v>
      </c>
      <c r="N109" s="1346"/>
      <c r="O109" s="1343"/>
      <c r="P109" s="1343"/>
      <c r="S109" s="1339" t="e">
        <f t="shared" si="13"/>
        <v>#REF!</v>
      </c>
      <c r="T109" s="1339" t="e">
        <f t="shared" si="14"/>
        <v>#REF!</v>
      </c>
      <c r="U109" s="1339" t="e">
        <f t="shared" si="15"/>
        <v>#REF!</v>
      </c>
    </row>
    <row r="110" spans="1:21" ht="39" customHeight="1" thickBot="1">
      <c r="A110" s="1362"/>
      <c r="B110" s="1735">
        <v>433118001</v>
      </c>
      <c r="C110" s="1774" t="s">
        <v>729</v>
      </c>
      <c r="D110" s="1504" t="s">
        <v>80</v>
      </c>
      <c r="E110" s="1502" t="s">
        <v>61</v>
      </c>
      <c r="F110" s="1502" t="str">
        <f>_xlfn.XLOOKUP(B110,Planilha1!A:A,Planilha1!B:B)</f>
        <v>VITAMINAS</v>
      </c>
      <c r="G110" s="1505" t="s">
        <v>354</v>
      </c>
      <c r="H110" s="1367">
        <v>104.9</v>
      </c>
      <c r="I110" s="1423">
        <f t="shared" si="9"/>
        <v>1.6598101265822787</v>
      </c>
      <c r="J110" s="1857">
        <v>63.199999999999996</v>
      </c>
      <c r="K110" s="1836">
        <f t="shared" si="12"/>
        <v>0</v>
      </c>
      <c r="L110" s="1299"/>
      <c r="M110" s="1356">
        <v>10</v>
      </c>
      <c r="N110" s="1346"/>
      <c r="O110" s="1343"/>
      <c r="P110" s="1343"/>
    </row>
    <row r="111" spans="1:21" ht="40.799999999999997" customHeight="1" thickBot="1">
      <c r="A111" s="1488"/>
      <c r="B111" s="1728">
        <v>433317001</v>
      </c>
      <c r="C111" s="1775" t="s">
        <v>730</v>
      </c>
      <c r="D111" s="1572" t="s">
        <v>80</v>
      </c>
      <c r="E111" s="1573" t="s">
        <v>61</v>
      </c>
      <c r="F111" s="1573" t="str">
        <f>_xlfn.XLOOKUP(B111,Planilha1!A:A,Planilha1!B:B)</f>
        <v>VITAMINAS</v>
      </c>
      <c r="G111" s="1776" t="s">
        <v>727</v>
      </c>
      <c r="H111" s="1574">
        <v>99.9</v>
      </c>
      <c r="I111" s="1423">
        <f t="shared" si="9"/>
        <v>1.6683366733466936</v>
      </c>
      <c r="J111" s="1857">
        <v>59.879999999999995</v>
      </c>
      <c r="K111" s="1849">
        <f t="shared" si="12"/>
        <v>0</v>
      </c>
      <c r="L111" s="1325"/>
      <c r="M111" s="1411">
        <v>10</v>
      </c>
      <c r="N111" s="1346"/>
      <c r="O111" s="1343"/>
      <c r="P111" s="1343"/>
    </row>
    <row r="112" spans="1:21" ht="40.799999999999997" customHeight="1" thickBot="1">
      <c r="A112" s="1488"/>
      <c r="B112" s="1728">
        <v>433318001</v>
      </c>
      <c r="C112" s="1777" t="s">
        <v>730</v>
      </c>
      <c r="D112" s="1506" t="s">
        <v>80</v>
      </c>
      <c r="E112" s="1570" t="s">
        <v>61</v>
      </c>
      <c r="F112" s="1570" t="str">
        <f>_xlfn.XLOOKUP(B112,Planilha1!A:A,Planilha1!B:B)</f>
        <v>VITAMINAS</v>
      </c>
      <c r="G112" s="1507" t="s">
        <v>728</v>
      </c>
      <c r="H112" s="1571">
        <v>169.9</v>
      </c>
      <c r="I112" s="1423">
        <f t="shared" si="9"/>
        <v>1.659990229604299</v>
      </c>
      <c r="J112" s="1857">
        <v>102.35000000000001</v>
      </c>
      <c r="K112" s="1845">
        <f t="shared" si="12"/>
        <v>0</v>
      </c>
      <c r="L112" s="1757"/>
      <c r="M112" s="1410">
        <v>10</v>
      </c>
      <c r="N112" s="1403"/>
      <c r="O112" s="1404"/>
      <c r="P112" s="1404"/>
    </row>
    <row r="113" spans="1:16" ht="40.799999999999997" customHeight="1" thickBot="1">
      <c r="A113" s="1362"/>
      <c r="B113" s="1736">
        <v>430818001</v>
      </c>
      <c r="C113" s="1503" t="s">
        <v>108</v>
      </c>
      <c r="D113" s="1504" t="s">
        <v>80</v>
      </c>
      <c r="E113" s="1573" t="s">
        <v>61</v>
      </c>
      <c r="F113" s="1573" t="str">
        <f>_xlfn.XLOOKUP(B113,Planilha1!A:A,Planilha1!B:B)</f>
        <v>VITAMINAS</v>
      </c>
      <c r="G113" s="1776">
        <v>60</v>
      </c>
      <c r="H113" s="1367">
        <v>88.9</v>
      </c>
      <c r="I113" s="1423">
        <f t="shared" si="9"/>
        <v>1.6598207617625096</v>
      </c>
      <c r="J113" s="1857">
        <v>53.559999999999995</v>
      </c>
      <c r="K113" s="1836">
        <f t="shared" si="12"/>
        <v>0</v>
      </c>
      <c r="L113" s="1299"/>
      <c r="M113" s="1411">
        <v>10</v>
      </c>
      <c r="N113" s="1346"/>
      <c r="O113" s="1343"/>
      <c r="P113" s="1343"/>
    </row>
    <row r="114" spans="1:16" ht="49.5" customHeight="1" thickBot="1">
      <c r="A114" s="1362"/>
      <c r="B114" s="1727">
        <v>430870001</v>
      </c>
      <c r="C114" s="1503" t="s">
        <v>777</v>
      </c>
      <c r="D114" s="1504" t="s">
        <v>80</v>
      </c>
      <c r="E114" s="1502" t="s">
        <v>61</v>
      </c>
      <c r="F114" s="1502" t="str">
        <f>_xlfn.XLOOKUP(B114,Planilha1!A:A,Planilha1!B:B)</f>
        <v>VITAMINAS</v>
      </c>
      <c r="G114" s="1505">
        <v>120</v>
      </c>
      <c r="H114" s="1367">
        <v>149.9</v>
      </c>
      <c r="I114" s="1423">
        <f t="shared" si="9"/>
        <v>1.6598383346251799</v>
      </c>
      <c r="J114" s="1857">
        <v>90.31</v>
      </c>
      <c r="K114" s="1836">
        <f t="shared" si="12"/>
        <v>0</v>
      </c>
      <c r="L114" s="1299"/>
      <c r="M114" s="1356">
        <v>24</v>
      </c>
      <c r="N114" s="1346"/>
      <c r="O114" s="1343"/>
      <c r="P114" s="1343"/>
    </row>
    <row r="115" spans="1:16" ht="49.5" customHeight="1" thickBot="1">
      <c r="A115" s="1362"/>
      <c r="B115" s="1728">
        <v>430856001</v>
      </c>
      <c r="C115" s="1503" t="s">
        <v>108</v>
      </c>
      <c r="D115" s="1504" t="s">
        <v>80</v>
      </c>
      <c r="E115" s="1570" t="s">
        <v>61</v>
      </c>
      <c r="F115" s="1570" t="str">
        <f>_xlfn.XLOOKUP(B115,Planilha1!A:A,Planilha1!B:B)</f>
        <v>VITAMINAS</v>
      </c>
      <c r="G115" s="1507">
        <v>180</v>
      </c>
      <c r="H115" s="1367">
        <v>189.9</v>
      </c>
      <c r="I115" s="1423">
        <f t="shared" si="9"/>
        <v>1.659965034965035</v>
      </c>
      <c r="J115" s="1857">
        <v>114.4</v>
      </c>
      <c r="K115" s="1836">
        <f t="shared" si="12"/>
        <v>0</v>
      </c>
      <c r="L115" s="1299"/>
      <c r="M115" s="1410">
        <v>8</v>
      </c>
      <c r="N115" s="1346"/>
      <c r="O115" s="1343"/>
      <c r="P115" s="1343"/>
    </row>
    <row r="116" spans="1:16" ht="49.5" customHeight="1" thickBot="1">
      <c r="A116" s="1362"/>
      <c r="B116" s="1728">
        <v>411471001</v>
      </c>
      <c r="C116" s="1775" t="s">
        <v>782</v>
      </c>
      <c r="D116" s="1572" t="s">
        <v>80</v>
      </c>
      <c r="E116" s="1573" t="s">
        <v>61</v>
      </c>
      <c r="F116" s="1573" t="str">
        <f>_xlfn.XLOOKUP(B116,Planilha1!A:A,Planilha1!B:B)</f>
        <v>VITAMINAS</v>
      </c>
      <c r="G116" s="1776">
        <v>30</v>
      </c>
      <c r="H116" s="1574">
        <v>56.9</v>
      </c>
      <c r="I116" s="1423">
        <f t="shared" si="9"/>
        <v>1.6598599766627771</v>
      </c>
      <c r="J116" s="1857">
        <v>34.28</v>
      </c>
      <c r="K116" s="1849">
        <f t="shared" si="12"/>
        <v>0</v>
      </c>
      <c r="L116" s="1325"/>
      <c r="M116" s="1411">
        <v>60</v>
      </c>
      <c r="N116" s="1346"/>
      <c r="O116" s="1343"/>
      <c r="P116" s="1343"/>
    </row>
    <row r="117" spans="1:16" ht="49.5" customHeight="1" thickBot="1">
      <c r="A117" s="1362"/>
      <c r="B117" s="1727">
        <v>411472001</v>
      </c>
      <c r="C117" s="1564" t="s">
        <v>782</v>
      </c>
      <c r="D117" s="1504" t="s">
        <v>80</v>
      </c>
      <c r="E117" s="1502" t="s">
        <v>61</v>
      </c>
      <c r="F117" s="1502" t="str">
        <f>_xlfn.XLOOKUP(B117,Planilha1!A:A,Planilha1!B:B)</f>
        <v>VITAMINAS</v>
      </c>
      <c r="G117" s="1505">
        <v>90</v>
      </c>
      <c r="H117" s="1571">
        <v>89.9</v>
      </c>
      <c r="I117" s="1423">
        <f t="shared" si="9"/>
        <v>1.6598966026587889</v>
      </c>
      <c r="J117" s="1857">
        <v>54.16</v>
      </c>
      <c r="K117" s="1845">
        <f t="shared" si="12"/>
        <v>0</v>
      </c>
      <c r="L117" s="1757"/>
      <c r="M117" s="1410">
        <v>60</v>
      </c>
      <c r="N117" s="1346"/>
      <c r="O117" s="1343"/>
      <c r="P117" s="1343"/>
    </row>
    <row r="118" spans="1:16" ht="49.5" customHeight="1" thickBot="1">
      <c r="A118" s="1362"/>
      <c r="B118" s="1727">
        <v>433518001</v>
      </c>
      <c r="C118" s="1794" t="s">
        <v>750</v>
      </c>
      <c r="D118" s="1795" t="s">
        <v>80</v>
      </c>
      <c r="E118" s="1796" t="s">
        <v>61</v>
      </c>
      <c r="F118" s="1796" t="str">
        <f>_xlfn.XLOOKUP(B118,Planilha1!A:A,Planilha1!B:B)</f>
        <v>VITAMINAS</v>
      </c>
      <c r="G118" s="1797">
        <v>60</v>
      </c>
      <c r="H118" s="1494">
        <v>99.9</v>
      </c>
      <c r="I118" s="1423">
        <f t="shared" si="9"/>
        <v>1.6597441435454396</v>
      </c>
      <c r="J118" s="1857">
        <v>60.19</v>
      </c>
      <c r="K118" s="1844">
        <f t="shared" si="12"/>
        <v>0</v>
      </c>
      <c r="L118" s="1302"/>
      <c r="M118" s="1400">
        <v>60</v>
      </c>
      <c r="N118" s="1346"/>
      <c r="O118" s="1343"/>
      <c r="P118" s="1343"/>
    </row>
    <row r="119" spans="1:16" ht="49.5" customHeight="1" thickBot="1">
      <c r="A119" s="1362"/>
      <c r="B119" s="1727">
        <v>433463001</v>
      </c>
      <c r="C119" s="1508" t="s">
        <v>751</v>
      </c>
      <c r="D119" s="1509" t="s">
        <v>80</v>
      </c>
      <c r="E119" s="1510" t="s">
        <v>61</v>
      </c>
      <c r="F119" s="1510" t="str">
        <f>_xlfn.XLOOKUP(B119,Planilha1!A:A,Planilha1!B:B)</f>
        <v>VITAMINAS</v>
      </c>
      <c r="G119" s="1511">
        <v>28</v>
      </c>
      <c r="H119" s="1494">
        <v>59.9</v>
      </c>
      <c r="I119" s="1423">
        <f t="shared" si="9"/>
        <v>1.659739540038792</v>
      </c>
      <c r="J119" s="1857">
        <v>36.089999999999996</v>
      </c>
      <c r="K119" s="1847">
        <f t="shared" si="12"/>
        <v>0</v>
      </c>
      <c r="L119" s="1300"/>
      <c r="M119" s="1400">
        <v>60</v>
      </c>
      <c r="N119" s="1346"/>
      <c r="O119" s="1343"/>
      <c r="P119" s="1343"/>
    </row>
    <row r="120" spans="1:16" ht="49.5" customHeight="1" thickBot="1">
      <c r="A120" s="1362"/>
      <c r="B120" s="1728">
        <v>411571001</v>
      </c>
      <c r="C120" s="1508" t="s">
        <v>776</v>
      </c>
      <c r="D120" s="1509" t="s">
        <v>80</v>
      </c>
      <c r="E120" s="1510" t="s">
        <v>61</v>
      </c>
      <c r="F120" s="1510" t="str">
        <f>_xlfn.XLOOKUP(B120,Planilha1!A:A,Planilha1!B:B)</f>
        <v>VITAMINAS</v>
      </c>
      <c r="G120" s="1511">
        <v>30</v>
      </c>
      <c r="H120" s="1494">
        <v>34.9</v>
      </c>
      <c r="I120" s="1423">
        <f t="shared" si="9"/>
        <v>1.6698564593301435</v>
      </c>
      <c r="J120" s="1857">
        <v>20.9</v>
      </c>
      <c r="K120" s="1847">
        <f t="shared" si="12"/>
        <v>0</v>
      </c>
      <c r="L120" s="1300"/>
      <c r="M120" s="1400">
        <v>60</v>
      </c>
      <c r="N120" s="1346"/>
      <c r="O120" s="1343"/>
      <c r="P120" s="1343"/>
    </row>
    <row r="121" spans="1:16" ht="24.75" customHeight="1" thickBot="1">
      <c r="A121" s="1362"/>
      <c r="B121" s="1727">
        <v>411572001</v>
      </c>
      <c r="C121" s="1513" t="s">
        <v>776</v>
      </c>
      <c r="D121" s="1514" t="s">
        <v>80</v>
      </c>
      <c r="E121" s="1515" t="s">
        <v>61</v>
      </c>
      <c r="F121" s="1515" t="str">
        <f>_xlfn.XLOOKUP(B121,Planilha1!A:A,Planilha1!B:B)</f>
        <v>VITAMINAS</v>
      </c>
      <c r="G121" s="1516">
        <v>90</v>
      </c>
      <c r="H121" s="1477">
        <v>65.900000000000006</v>
      </c>
      <c r="I121" s="1423">
        <f t="shared" si="9"/>
        <v>1.6599496221662471</v>
      </c>
      <c r="J121" s="1857">
        <v>39.699999999999996</v>
      </c>
      <c r="K121" s="1843">
        <f t="shared" si="12"/>
        <v>0</v>
      </c>
      <c r="L121" s="1301"/>
      <c r="M121" s="1360">
        <v>60</v>
      </c>
      <c r="N121" s="1346"/>
      <c r="O121" s="1343"/>
      <c r="P121" s="1343"/>
    </row>
    <row r="122" spans="1:16" ht="24.75" customHeight="1" thickBot="1">
      <c r="A122" s="1512"/>
      <c r="B122" s="1729">
        <v>433617001</v>
      </c>
      <c r="C122" s="1513" t="s">
        <v>783</v>
      </c>
      <c r="D122" s="1514" t="s">
        <v>80</v>
      </c>
      <c r="E122" s="1515" t="s">
        <v>61</v>
      </c>
      <c r="F122" s="1515" t="str">
        <f>_xlfn.XLOOKUP(B122,Planilha1!A:A,Planilha1!B:B)</f>
        <v>VITAMINAS</v>
      </c>
      <c r="G122" s="1516">
        <v>30</v>
      </c>
      <c r="H122" s="1477">
        <v>132.9</v>
      </c>
      <c r="I122" s="1423">
        <f t="shared" si="9"/>
        <v>1.5119453924914676</v>
      </c>
      <c r="J122" s="1857">
        <v>87.9</v>
      </c>
      <c r="K122" s="1843">
        <f t="shared" ref="K122" si="16">L122*J122</f>
        <v>0</v>
      </c>
      <c r="L122" s="1301"/>
      <c r="M122" s="1360">
        <v>60</v>
      </c>
      <c r="N122" s="1346"/>
      <c r="O122" s="1343"/>
      <c r="P122" s="1343"/>
    </row>
    <row r="123" spans="1:16" ht="24.75" customHeight="1" thickBot="1">
      <c r="A123" s="1512"/>
      <c r="B123" s="1729">
        <v>433971001</v>
      </c>
      <c r="C123" s="1513" t="s">
        <v>789</v>
      </c>
      <c r="D123" s="1514" t="s">
        <v>80</v>
      </c>
      <c r="E123" s="1515" t="s">
        <v>61</v>
      </c>
      <c r="F123" s="1515" t="str">
        <f>_xlfn.XLOOKUP(B123,[1]Planilha1!A:A,[1]Planilha1!B:B)</f>
        <v>VITAMINAS</v>
      </c>
      <c r="G123" s="1516">
        <v>30</v>
      </c>
      <c r="H123" s="1477">
        <v>83.9</v>
      </c>
      <c r="I123" s="1423">
        <f t="shared" si="9"/>
        <v>1.5499722889340477</v>
      </c>
      <c r="J123" s="1857">
        <v>54.13</v>
      </c>
      <c r="K123" s="1843">
        <f>L123*J123</f>
        <v>0</v>
      </c>
      <c r="L123" s="1301"/>
      <c r="M123" s="1360">
        <v>6</v>
      </c>
      <c r="N123" s="1346"/>
      <c r="O123" s="1343"/>
      <c r="P123" s="1343"/>
    </row>
    <row r="124" spans="1:16" ht="24.75" customHeight="1" thickBot="1">
      <c r="A124" s="1488"/>
      <c r="B124" s="1730">
        <v>450227074</v>
      </c>
      <c r="C124" s="1517" t="s">
        <v>320</v>
      </c>
      <c r="D124" s="1518" t="s">
        <v>460</v>
      </c>
      <c r="E124" s="1519" t="s">
        <v>123</v>
      </c>
      <c r="F124" s="1519" t="str">
        <f>_xlfn.XLOOKUP(B124,Planilha1!A:A,Planilha1!B:B)</f>
        <v>SACHES</v>
      </c>
      <c r="G124" s="1520" t="s">
        <v>322</v>
      </c>
      <c r="H124" s="1521">
        <v>7.9</v>
      </c>
      <c r="I124" s="1423">
        <f t="shared" si="9"/>
        <v>1.8720379146919433</v>
      </c>
      <c r="J124" s="1857">
        <v>4.22</v>
      </c>
      <c r="K124" s="1850">
        <f t="shared" si="12"/>
        <v>0</v>
      </c>
      <c r="L124" s="1320"/>
      <c r="M124" s="1359">
        <v>10</v>
      </c>
      <c r="N124" s="1346"/>
      <c r="O124" s="1343"/>
      <c r="P124" s="1343"/>
    </row>
    <row r="125" spans="1:16" ht="24.75" customHeight="1" thickBot="1">
      <c r="A125" s="1488"/>
      <c r="B125" s="1728">
        <v>450227024</v>
      </c>
      <c r="C125" s="1522" t="s">
        <v>320</v>
      </c>
      <c r="D125" s="1523" t="s">
        <v>321</v>
      </c>
      <c r="E125" s="1524" t="s">
        <v>123</v>
      </c>
      <c r="F125" s="1524" t="str">
        <f>_xlfn.XLOOKUP(B125,Planilha1!A:A,Planilha1!B:B)</f>
        <v>SACHES</v>
      </c>
      <c r="G125" s="1525" t="s">
        <v>322</v>
      </c>
      <c r="H125" s="1367">
        <v>7.9</v>
      </c>
      <c r="I125" s="1423">
        <f t="shared" si="9"/>
        <v>1.8720379146919433</v>
      </c>
      <c r="J125" s="1857">
        <v>4.22</v>
      </c>
      <c r="K125" s="1836">
        <f t="shared" si="12"/>
        <v>0</v>
      </c>
      <c r="L125" s="1315"/>
      <c r="M125" s="1356">
        <v>10</v>
      </c>
      <c r="N125" s="1346"/>
      <c r="O125" s="1343"/>
      <c r="P125" s="1343"/>
    </row>
    <row r="126" spans="1:16" ht="24.75" customHeight="1" thickBot="1">
      <c r="A126" s="1488"/>
      <c r="B126" s="1728">
        <v>450227033</v>
      </c>
      <c r="C126" s="1522" t="s">
        <v>320</v>
      </c>
      <c r="D126" s="1523" t="s">
        <v>324</v>
      </c>
      <c r="E126" s="1524" t="s">
        <v>123</v>
      </c>
      <c r="F126" s="1524" t="str">
        <f>_xlfn.XLOOKUP(B126,Planilha1!A:A,Planilha1!B:B)</f>
        <v>SACHES</v>
      </c>
      <c r="G126" s="1525" t="s">
        <v>322</v>
      </c>
      <c r="H126" s="1367">
        <v>7.9</v>
      </c>
      <c r="I126" s="1423">
        <f t="shared" si="9"/>
        <v>1.8720379146919433</v>
      </c>
      <c r="J126" s="1857">
        <v>4.22</v>
      </c>
      <c r="K126" s="1836">
        <f t="shared" si="12"/>
        <v>0</v>
      </c>
      <c r="L126" s="1315"/>
      <c r="M126" s="1356">
        <v>10</v>
      </c>
      <c r="N126" s="1346"/>
      <c r="O126" s="1343"/>
      <c r="P126" s="1343"/>
    </row>
    <row r="127" spans="1:16" ht="24.75" customHeight="1" thickBot="1">
      <c r="A127" s="1488"/>
      <c r="B127" s="1728">
        <v>450227040</v>
      </c>
      <c r="C127" s="1522" t="s">
        <v>320</v>
      </c>
      <c r="D127" s="1523" t="s">
        <v>326</v>
      </c>
      <c r="E127" s="1524" t="s">
        <v>123</v>
      </c>
      <c r="F127" s="1524" t="str">
        <f>_xlfn.XLOOKUP(B127,Planilha1!A:A,Planilha1!B:B)</f>
        <v>SACHES</v>
      </c>
      <c r="G127" s="1525" t="s">
        <v>327</v>
      </c>
      <c r="H127" s="1367">
        <v>7.9</v>
      </c>
      <c r="I127" s="1423">
        <f t="shared" si="9"/>
        <v>1.8720379146919433</v>
      </c>
      <c r="J127" s="1857">
        <v>4.22</v>
      </c>
      <c r="K127" s="1836">
        <f t="shared" si="12"/>
        <v>0</v>
      </c>
      <c r="L127" s="1315"/>
      <c r="M127" s="1356">
        <v>10</v>
      </c>
      <c r="N127" s="1346"/>
      <c r="O127" s="1343"/>
      <c r="P127" s="1343"/>
    </row>
    <row r="128" spans="1:16" ht="24.75" customHeight="1" thickBot="1">
      <c r="A128" s="1488"/>
      <c r="B128" s="1731">
        <v>450227046</v>
      </c>
      <c r="C128" s="1526" t="s">
        <v>320</v>
      </c>
      <c r="D128" s="1527" t="s">
        <v>329</v>
      </c>
      <c r="E128" s="1528" t="s">
        <v>123</v>
      </c>
      <c r="F128" s="1528" t="str">
        <f>_xlfn.XLOOKUP(B128,Planilha1!A:A,Planilha1!B:B)</f>
        <v>SACHES</v>
      </c>
      <c r="G128" s="1529" t="s">
        <v>322</v>
      </c>
      <c r="H128" s="1530">
        <v>7.9</v>
      </c>
      <c r="I128" s="1423">
        <f t="shared" si="9"/>
        <v>1.8720379146919433</v>
      </c>
      <c r="J128" s="1857">
        <v>4.22</v>
      </c>
      <c r="K128" s="1851">
        <f t="shared" si="12"/>
        <v>0</v>
      </c>
      <c r="L128" s="1321"/>
      <c r="M128" s="1357">
        <v>10</v>
      </c>
      <c r="N128" s="1346"/>
      <c r="O128" s="1343"/>
      <c r="P128" s="1343"/>
    </row>
    <row r="129" spans="1:16" ht="24.75" customHeight="1" thickBot="1">
      <c r="A129" s="1488"/>
      <c r="B129" s="1730">
        <v>450206074</v>
      </c>
      <c r="C129" s="1517" t="s">
        <v>332</v>
      </c>
      <c r="D129" s="1518" t="s">
        <v>460</v>
      </c>
      <c r="E129" s="1519" t="s">
        <v>61</v>
      </c>
      <c r="F129" s="1519" t="str">
        <f>_xlfn.XLOOKUP(B129,Planilha1!A:A,Planilha1!B:B)</f>
        <v>OUTROS</v>
      </c>
      <c r="G129" s="1520" t="s">
        <v>333</v>
      </c>
      <c r="H129" s="1521">
        <v>139.9</v>
      </c>
      <c r="I129" s="1423">
        <f t="shared" si="9"/>
        <v>1.6599430469862364</v>
      </c>
      <c r="J129" s="1857">
        <v>84.28</v>
      </c>
      <c r="K129" s="1850">
        <f t="shared" si="12"/>
        <v>0</v>
      </c>
      <c r="L129" s="1303"/>
      <c r="M129" s="1359">
        <v>9</v>
      </c>
      <c r="N129" s="1346"/>
      <c r="O129" s="1343"/>
      <c r="P129" s="1343"/>
    </row>
    <row r="130" spans="1:16" ht="24.75" customHeight="1" thickBot="1">
      <c r="A130" s="1488"/>
      <c r="B130" s="1728">
        <v>450206024</v>
      </c>
      <c r="C130" s="1522" t="s">
        <v>332</v>
      </c>
      <c r="D130" s="1523" t="s">
        <v>321</v>
      </c>
      <c r="E130" s="1524" t="s">
        <v>61</v>
      </c>
      <c r="F130" s="1524" t="str">
        <f>_xlfn.XLOOKUP(B130,Planilha1!A:A,Planilha1!B:B)</f>
        <v>OUTROS</v>
      </c>
      <c r="G130" s="1525" t="s">
        <v>333</v>
      </c>
      <c r="H130" s="1367">
        <v>139.9</v>
      </c>
      <c r="I130" s="1423">
        <f t="shared" si="9"/>
        <v>1.6599430469862364</v>
      </c>
      <c r="J130" s="1857">
        <v>84.28</v>
      </c>
      <c r="K130" s="1836">
        <f t="shared" si="12"/>
        <v>0</v>
      </c>
      <c r="L130" s="1299"/>
      <c r="M130" s="1356">
        <v>9</v>
      </c>
      <c r="N130" s="1346"/>
      <c r="O130" s="1343"/>
      <c r="P130" s="1343"/>
    </row>
    <row r="131" spans="1:16" ht="24.75" customHeight="1" thickBot="1">
      <c r="A131" s="1488"/>
      <c r="B131" s="1728">
        <v>450206033</v>
      </c>
      <c r="C131" s="1522" t="s">
        <v>332</v>
      </c>
      <c r="D131" s="1523" t="s">
        <v>324</v>
      </c>
      <c r="E131" s="1524" t="s">
        <v>61</v>
      </c>
      <c r="F131" s="1524" t="str">
        <f>_xlfn.XLOOKUP(B131,Planilha1!A:A,Planilha1!B:B)</f>
        <v>OUTROS</v>
      </c>
      <c r="G131" s="1525" t="s">
        <v>333</v>
      </c>
      <c r="H131" s="1367">
        <v>139.9</v>
      </c>
      <c r="I131" s="1423">
        <f t="shared" si="9"/>
        <v>1.6599430469862364</v>
      </c>
      <c r="J131" s="1857">
        <v>84.28</v>
      </c>
      <c r="K131" s="1836">
        <f t="shared" si="12"/>
        <v>0</v>
      </c>
      <c r="L131" s="1299"/>
      <c r="M131" s="1356">
        <v>9</v>
      </c>
      <c r="N131" s="1346"/>
      <c r="O131" s="1343"/>
      <c r="P131" s="1343"/>
    </row>
    <row r="132" spans="1:16" ht="24.75" customHeight="1" thickBot="1">
      <c r="A132" s="1488"/>
      <c r="B132" s="1728">
        <v>450205040</v>
      </c>
      <c r="C132" s="1522" t="s">
        <v>332</v>
      </c>
      <c r="D132" s="1523" t="s">
        <v>326</v>
      </c>
      <c r="E132" s="1524" t="s">
        <v>61</v>
      </c>
      <c r="F132" s="1524" t="str">
        <f>_xlfn.XLOOKUP(B132,Planilha1!A:A,Planilha1!B:B)</f>
        <v>OUTROS</v>
      </c>
      <c r="G132" s="1525" t="s">
        <v>336</v>
      </c>
      <c r="H132" s="1367">
        <v>139.9</v>
      </c>
      <c r="I132" s="1423">
        <f t="shared" si="9"/>
        <v>1.6599430469862364</v>
      </c>
      <c r="J132" s="1857">
        <v>84.28</v>
      </c>
      <c r="K132" s="1836">
        <f t="shared" si="12"/>
        <v>0</v>
      </c>
      <c r="L132" s="1299"/>
      <c r="M132" s="1356">
        <v>9</v>
      </c>
      <c r="N132" s="1346"/>
      <c r="O132" s="1343"/>
      <c r="P132" s="1343"/>
    </row>
    <row r="133" spans="1:16" ht="24.75" customHeight="1" thickBot="1">
      <c r="A133" s="1488"/>
      <c r="B133" s="1731">
        <v>450206046</v>
      </c>
      <c r="C133" s="1526" t="s">
        <v>332</v>
      </c>
      <c r="D133" s="1527" t="s">
        <v>329</v>
      </c>
      <c r="E133" s="1528" t="s">
        <v>61</v>
      </c>
      <c r="F133" s="1528" t="str">
        <f>_xlfn.XLOOKUP(B133,Planilha1!A:A,Planilha1!B:B)</f>
        <v>OUTROS</v>
      </c>
      <c r="G133" s="1529" t="s">
        <v>333</v>
      </c>
      <c r="H133" s="1530">
        <v>139.9</v>
      </c>
      <c r="I133" s="1423">
        <f t="shared" si="9"/>
        <v>1.6599430469862364</v>
      </c>
      <c r="J133" s="1857">
        <v>84.28</v>
      </c>
      <c r="K133" s="1851">
        <f t="shared" si="12"/>
        <v>0</v>
      </c>
      <c r="L133" s="1304"/>
      <c r="M133" s="1357">
        <v>9</v>
      </c>
      <c r="N133" s="1346"/>
      <c r="O133" s="1343"/>
      <c r="P133" s="1343"/>
    </row>
    <row r="134" spans="1:16" ht="24.75" customHeight="1" thickBot="1">
      <c r="A134" s="1488"/>
      <c r="B134" s="1730">
        <v>450311025</v>
      </c>
      <c r="C134" s="1517" t="s">
        <v>348</v>
      </c>
      <c r="D134" s="1518" t="s">
        <v>341</v>
      </c>
      <c r="E134" s="1519" t="s">
        <v>61</v>
      </c>
      <c r="F134" s="1519" t="str">
        <f>_xlfn.XLOOKUP(B134,Planilha1!A:A,Planilha1!B:B)</f>
        <v>OUTROS</v>
      </c>
      <c r="G134" s="1520" t="s">
        <v>349</v>
      </c>
      <c r="H134" s="1521">
        <v>274.89999999999998</v>
      </c>
      <c r="I134" s="1423">
        <f t="shared" si="9"/>
        <v>1.6599239176378238</v>
      </c>
      <c r="J134" s="1857">
        <v>165.60999999999999</v>
      </c>
      <c r="K134" s="1850">
        <f t="shared" si="12"/>
        <v>0</v>
      </c>
      <c r="L134" s="1303"/>
      <c r="M134" s="1359">
        <v>6</v>
      </c>
      <c r="N134" s="1346"/>
      <c r="O134" s="1343"/>
      <c r="P134" s="1343"/>
    </row>
    <row r="135" spans="1:16" ht="24.75" customHeight="1" thickBot="1">
      <c r="A135" s="1488"/>
      <c r="B135" s="1728">
        <v>450311033</v>
      </c>
      <c r="C135" s="1522" t="s">
        <v>348</v>
      </c>
      <c r="D135" s="1523" t="s">
        <v>324</v>
      </c>
      <c r="E135" s="1524" t="s">
        <v>61</v>
      </c>
      <c r="F135" s="1524" t="str">
        <f>_xlfn.XLOOKUP(B135,Planilha1!A:A,Planilha1!B:B)</f>
        <v>OUTROS</v>
      </c>
      <c r="G135" s="1525" t="s">
        <v>349</v>
      </c>
      <c r="H135" s="1367">
        <v>274.89999999999998</v>
      </c>
      <c r="I135" s="1423">
        <f t="shared" si="9"/>
        <v>1.6599239176378238</v>
      </c>
      <c r="J135" s="1857">
        <v>165.60999999999999</v>
      </c>
      <c r="K135" s="1836">
        <f t="shared" si="12"/>
        <v>0</v>
      </c>
      <c r="L135" s="1299"/>
      <c r="M135" s="1356">
        <v>6</v>
      </c>
      <c r="N135" s="1346"/>
      <c r="O135" s="1343"/>
      <c r="P135" s="1343"/>
    </row>
    <row r="136" spans="1:16" ht="51.6" customHeight="1" thickBot="1">
      <c r="A136" s="1488"/>
      <c r="B136" s="1728">
        <v>450311107</v>
      </c>
      <c r="C136" s="1522" t="s">
        <v>348</v>
      </c>
      <c r="D136" s="1523" t="s">
        <v>726</v>
      </c>
      <c r="E136" s="1524" t="s">
        <v>61</v>
      </c>
      <c r="F136" s="1524" t="str">
        <f>_xlfn.XLOOKUP(B136,Planilha1!A:A,Planilha1!B:B)</f>
        <v>OUTROS</v>
      </c>
      <c r="G136" s="1525" t="s">
        <v>349</v>
      </c>
      <c r="H136" s="1367">
        <v>274.89999999999998</v>
      </c>
      <c r="I136" s="1423">
        <f t="shared" si="9"/>
        <v>1.6599239176378238</v>
      </c>
      <c r="J136" s="1857">
        <v>165.60999999999999</v>
      </c>
      <c r="K136" s="1836">
        <f t="shared" si="12"/>
        <v>0</v>
      </c>
      <c r="L136" s="1299"/>
      <c r="M136" s="1356">
        <v>6</v>
      </c>
      <c r="N136" s="1346"/>
      <c r="O136" s="1343"/>
      <c r="P136" s="1343"/>
    </row>
    <row r="137" spans="1:16" ht="66" customHeight="1" thickBot="1">
      <c r="A137" s="1488"/>
      <c r="B137" s="1731">
        <v>450307026</v>
      </c>
      <c r="C137" s="1526" t="s">
        <v>348</v>
      </c>
      <c r="D137" s="1527" t="s">
        <v>345</v>
      </c>
      <c r="E137" s="1528" t="s">
        <v>61</v>
      </c>
      <c r="F137" s="1528" t="str">
        <f>_xlfn.XLOOKUP(B137,Planilha1!A:A,Planilha1!B:B)</f>
        <v>OUTROS</v>
      </c>
      <c r="G137" s="1529" t="s">
        <v>349</v>
      </c>
      <c r="H137" s="1530">
        <v>274.89999999999998</v>
      </c>
      <c r="I137" s="1423">
        <f t="shared" si="9"/>
        <v>1.6599239176378238</v>
      </c>
      <c r="J137" s="1857">
        <v>165.60999999999999</v>
      </c>
      <c r="K137" s="1851">
        <f t="shared" si="12"/>
        <v>0</v>
      </c>
      <c r="L137" s="1304"/>
      <c r="M137" s="1357">
        <v>6</v>
      </c>
      <c r="N137" s="1346"/>
      <c r="O137" s="1343"/>
      <c r="P137" s="1343"/>
    </row>
    <row r="138" spans="1:16" ht="66" customHeight="1" thickBot="1">
      <c r="A138" s="1488"/>
      <c r="B138" s="1737">
        <v>451618001</v>
      </c>
      <c r="C138" s="1531" t="s">
        <v>732</v>
      </c>
      <c r="D138" s="1532" t="s">
        <v>80</v>
      </c>
      <c r="E138" s="1533" t="s">
        <v>61</v>
      </c>
      <c r="F138" s="1533" t="str">
        <f>_xlfn.XLOOKUP(B138,Planilha1!A:A,Planilha1!B:B)</f>
        <v>VITAMINAS</v>
      </c>
      <c r="G138" s="1534" t="s">
        <v>354</v>
      </c>
      <c r="H138" s="1535">
        <v>159.9</v>
      </c>
      <c r="I138" s="1423">
        <f t="shared" si="9"/>
        <v>1.6599190283400811</v>
      </c>
      <c r="J138" s="1857">
        <v>96.33</v>
      </c>
      <c r="K138" s="1852">
        <f t="shared" si="12"/>
        <v>0</v>
      </c>
      <c r="L138" s="1322"/>
      <c r="M138" s="1405">
        <v>10</v>
      </c>
      <c r="N138" s="1346"/>
      <c r="O138" s="1343"/>
      <c r="P138" s="1343"/>
    </row>
    <row r="139" spans="1:16" ht="32.25" customHeight="1" thickBot="1">
      <c r="A139" s="1488"/>
      <c r="B139" s="1737">
        <v>450418001</v>
      </c>
      <c r="C139" s="1531" t="s">
        <v>353</v>
      </c>
      <c r="D139" s="1532" t="s">
        <v>80</v>
      </c>
      <c r="E139" s="1533" t="s">
        <v>61</v>
      </c>
      <c r="F139" s="1533" t="str">
        <f>_xlfn.XLOOKUP(B139,Planilha1!A:A,Planilha1!B:B)</f>
        <v>VITAMINAS</v>
      </c>
      <c r="G139" s="1534" t="s">
        <v>354</v>
      </c>
      <c r="H139" s="1536">
        <v>109.9</v>
      </c>
      <c r="I139" s="1423">
        <f t="shared" si="9"/>
        <v>1.6598701102552484</v>
      </c>
      <c r="J139" s="1857">
        <v>66.210000000000008</v>
      </c>
      <c r="K139" s="1852">
        <f t="shared" si="12"/>
        <v>0</v>
      </c>
      <c r="L139" s="1322"/>
      <c r="M139" s="1405">
        <v>50</v>
      </c>
      <c r="N139" s="1346"/>
      <c r="O139" s="1343">
        <v>24</v>
      </c>
      <c r="P139" s="1343">
        <v>12</v>
      </c>
    </row>
    <row r="140" spans="1:16" ht="32.25" customHeight="1" thickBot="1">
      <c r="A140" s="1537"/>
      <c r="B140" s="1727">
        <v>412828075</v>
      </c>
      <c r="C140" s="1538" t="s">
        <v>359</v>
      </c>
      <c r="D140" s="1539" t="s">
        <v>590</v>
      </c>
      <c r="E140" s="1540" t="s">
        <v>269</v>
      </c>
      <c r="F140" s="1540" t="str">
        <f>_xlfn.XLOOKUP(B140,Planilha1!A:A,Planilha1!B:B)</f>
        <v>SHAKES</v>
      </c>
      <c r="G140" s="1541">
        <v>250</v>
      </c>
      <c r="H140" s="1379">
        <v>9.9</v>
      </c>
      <c r="I140" s="1423">
        <f t="shared" si="9"/>
        <v>1.5492957746478875</v>
      </c>
      <c r="J140" s="1857">
        <v>6.39</v>
      </c>
      <c r="K140" s="1841">
        <f t="shared" si="12"/>
        <v>0</v>
      </c>
      <c r="L140" s="1323"/>
      <c r="M140" s="1406">
        <v>12</v>
      </c>
      <c r="N140" s="1346"/>
      <c r="O140" s="1343" t="e">
        <f>#REF!+24</f>
        <v>#REF!</v>
      </c>
      <c r="P140" s="1343" t="e">
        <f>#REF!+12</f>
        <v>#REF!</v>
      </c>
    </row>
    <row r="141" spans="1:16" ht="32.25" customHeight="1" thickBot="1">
      <c r="A141" s="1488"/>
      <c r="B141" s="1727">
        <v>412828022</v>
      </c>
      <c r="C141" s="1538" t="s">
        <v>359</v>
      </c>
      <c r="D141" s="1539" t="s">
        <v>118</v>
      </c>
      <c r="E141" s="1540" t="s">
        <v>269</v>
      </c>
      <c r="F141" s="1540" t="str">
        <f>_xlfn.XLOOKUP(B141,Planilha1!A:A,Planilha1!B:B)</f>
        <v>SHAKES</v>
      </c>
      <c r="G141" s="1541">
        <v>250</v>
      </c>
      <c r="H141" s="1367">
        <v>9.9</v>
      </c>
      <c r="I141" s="1423">
        <f t="shared" si="9"/>
        <v>1.5492957746478875</v>
      </c>
      <c r="J141" s="1857">
        <v>6.39</v>
      </c>
      <c r="K141" s="1836">
        <f t="shared" si="12"/>
        <v>0</v>
      </c>
      <c r="L141" s="1299"/>
      <c r="M141" s="1407">
        <v>12</v>
      </c>
      <c r="N141" s="1346"/>
      <c r="O141" s="1343" t="e">
        <f t="shared" ref="O141:O192" si="17">O140+24</f>
        <v>#REF!</v>
      </c>
      <c r="P141" s="1343" t="e">
        <f t="shared" ref="P141:P217" si="18">P140+12</f>
        <v>#REF!</v>
      </c>
    </row>
    <row r="142" spans="1:16" ht="32.25" customHeight="1" thickBot="1">
      <c r="A142" s="1488"/>
      <c r="B142" s="1728">
        <v>412828023</v>
      </c>
      <c r="C142" s="1538" t="s">
        <v>359</v>
      </c>
      <c r="D142" s="1539" t="s">
        <v>126</v>
      </c>
      <c r="E142" s="1540" t="s">
        <v>269</v>
      </c>
      <c r="F142" s="1540" t="str">
        <f>_xlfn.XLOOKUP(B142,Planilha1!A:A,Planilha1!B:B)</f>
        <v>SHAKES</v>
      </c>
      <c r="G142" s="1541">
        <v>250</v>
      </c>
      <c r="H142" s="1367">
        <v>9.9</v>
      </c>
      <c r="I142" s="1423">
        <f t="shared" si="9"/>
        <v>1.5492957746478875</v>
      </c>
      <c r="J142" s="1857">
        <v>6.39</v>
      </c>
      <c r="K142" s="1836">
        <f t="shared" si="12"/>
        <v>0</v>
      </c>
      <c r="L142" s="1299"/>
      <c r="M142" s="1407">
        <v>12</v>
      </c>
      <c r="N142" s="1346"/>
      <c r="O142" s="1343" t="e">
        <f t="shared" si="17"/>
        <v>#REF!</v>
      </c>
      <c r="P142" s="1343" t="e">
        <f t="shared" si="18"/>
        <v>#REF!</v>
      </c>
    </row>
    <row r="143" spans="1:16" ht="32.25" customHeight="1" thickBot="1">
      <c r="A143" s="1488"/>
      <c r="B143" s="1728">
        <v>412828027</v>
      </c>
      <c r="C143" s="1538" t="s">
        <v>359</v>
      </c>
      <c r="D143" s="1539" t="s">
        <v>271</v>
      </c>
      <c r="E143" s="1540" t="s">
        <v>269</v>
      </c>
      <c r="F143" s="1540" t="str">
        <f>_xlfn.XLOOKUP(B143,Planilha1!A:A,Planilha1!B:B)</f>
        <v>SHAKES</v>
      </c>
      <c r="G143" s="1541">
        <v>250</v>
      </c>
      <c r="H143" s="1367">
        <v>9.9</v>
      </c>
      <c r="I143" s="1423">
        <f t="shared" si="9"/>
        <v>1.5492957746478875</v>
      </c>
      <c r="J143" s="1857">
        <v>6.39</v>
      </c>
      <c r="K143" s="1836">
        <f t="shared" si="12"/>
        <v>0</v>
      </c>
      <c r="L143" s="1299"/>
      <c r="M143" s="1407">
        <v>12</v>
      </c>
      <c r="N143" s="1346"/>
      <c r="O143" s="1343" t="e">
        <f t="shared" si="17"/>
        <v>#REF!</v>
      </c>
      <c r="P143" s="1343" t="e">
        <f t="shared" si="18"/>
        <v>#REF!</v>
      </c>
    </row>
    <row r="144" spans="1:16" ht="32.25" customHeight="1" thickBot="1">
      <c r="A144" s="1488"/>
      <c r="B144" s="1728">
        <v>412828018</v>
      </c>
      <c r="C144" s="1538" t="s">
        <v>359</v>
      </c>
      <c r="D144" s="1539" t="s">
        <v>125</v>
      </c>
      <c r="E144" s="1540" t="s">
        <v>269</v>
      </c>
      <c r="F144" s="1540" t="str">
        <f>_xlfn.XLOOKUP(B144,Planilha1!A:A,Planilha1!B:B)</f>
        <v>SHAKES</v>
      </c>
      <c r="G144" s="1541">
        <v>250</v>
      </c>
      <c r="H144" s="1367">
        <v>9.9</v>
      </c>
      <c r="I144" s="1423">
        <f t="shared" si="9"/>
        <v>1.5492957746478875</v>
      </c>
      <c r="J144" s="1857">
        <v>6.39</v>
      </c>
      <c r="K144" s="1836">
        <f t="shared" si="12"/>
        <v>0</v>
      </c>
      <c r="L144" s="1299"/>
      <c r="M144" s="1407">
        <v>12</v>
      </c>
      <c r="N144" s="1346"/>
      <c r="O144" s="1343" t="e">
        <f t="shared" si="17"/>
        <v>#REF!</v>
      </c>
      <c r="P144" s="1343" t="e">
        <f t="shared" si="18"/>
        <v>#REF!</v>
      </c>
    </row>
    <row r="145" spans="1:16" ht="32.25" customHeight="1" thickBot="1">
      <c r="A145" s="1488"/>
      <c r="B145" s="1728">
        <v>412828020</v>
      </c>
      <c r="C145" s="1538" t="s">
        <v>359</v>
      </c>
      <c r="D145" s="1539" t="s">
        <v>274</v>
      </c>
      <c r="E145" s="1540" t="s">
        <v>269</v>
      </c>
      <c r="F145" s="1540" t="str">
        <f>_xlfn.XLOOKUP(B145,Planilha1!A:A,Planilha1!B:B)</f>
        <v>SHAKES</v>
      </c>
      <c r="G145" s="1541">
        <v>250</v>
      </c>
      <c r="H145" s="1373">
        <v>9.9</v>
      </c>
      <c r="I145" s="1423">
        <f t="shared" si="9"/>
        <v>1.5492957746478875</v>
      </c>
      <c r="J145" s="1857">
        <v>6.39</v>
      </c>
      <c r="K145" s="1842">
        <f t="shared" si="12"/>
        <v>0</v>
      </c>
      <c r="L145" s="1305"/>
      <c r="M145" s="1408">
        <v>12</v>
      </c>
      <c r="N145" s="1346"/>
      <c r="O145" s="1343" t="e">
        <f t="shared" si="17"/>
        <v>#REF!</v>
      </c>
      <c r="P145" s="1343" t="e">
        <f t="shared" si="18"/>
        <v>#REF!</v>
      </c>
    </row>
    <row r="146" spans="1:16" ht="32.25" customHeight="1" thickBot="1">
      <c r="A146" s="1542"/>
      <c r="B146" s="1738">
        <v>460158019</v>
      </c>
      <c r="C146" s="1543" t="s">
        <v>734</v>
      </c>
      <c r="D146" s="1544" t="s">
        <v>443</v>
      </c>
      <c r="E146" s="1545" t="s">
        <v>438</v>
      </c>
      <c r="F146" s="1545" t="str">
        <f>_xlfn.XLOOKUP(B146,Planilha1!A:A,Planilha1!B:B)</f>
        <v>BARRAS</v>
      </c>
      <c r="G146" s="1546" t="s">
        <v>681</v>
      </c>
      <c r="H146" s="1367">
        <v>7.9</v>
      </c>
      <c r="I146" s="1423">
        <f t="shared" ref="I146:I209" si="19">IFERROR(H146/J146,"")</f>
        <v>1.6056910569105691</v>
      </c>
      <c r="J146" s="1857">
        <v>4.92</v>
      </c>
      <c r="K146" s="1841">
        <f t="shared" si="12"/>
        <v>0</v>
      </c>
      <c r="L146" s="1324"/>
      <c r="M146" s="1356">
        <v>6</v>
      </c>
      <c r="N146" s="1346"/>
      <c r="O146" s="1343" t="e">
        <f t="shared" si="17"/>
        <v>#REF!</v>
      </c>
      <c r="P146" s="1343" t="e">
        <f t="shared" si="18"/>
        <v>#REF!</v>
      </c>
    </row>
    <row r="147" spans="1:16" ht="38.25" customHeight="1" thickBot="1">
      <c r="A147" s="1547"/>
      <c r="B147" s="1728">
        <v>460158069</v>
      </c>
      <c r="C147" s="1538" t="s">
        <v>734</v>
      </c>
      <c r="D147" s="1539" t="s">
        <v>441</v>
      </c>
      <c r="E147" s="1540" t="s">
        <v>438</v>
      </c>
      <c r="F147" s="1540" t="str">
        <f>_xlfn.XLOOKUP(B147,Planilha1!A:A,Planilha1!B:B)</f>
        <v>BARRAS</v>
      </c>
      <c r="G147" s="1541" t="s">
        <v>681</v>
      </c>
      <c r="H147" s="1367">
        <v>7.9</v>
      </c>
      <c r="I147" s="1423">
        <f t="shared" si="19"/>
        <v>1.6056910569105691</v>
      </c>
      <c r="J147" s="1857">
        <v>4.92</v>
      </c>
      <c r="K147" s="1836">
        <f t="shared" si="12"/>
        <v>0</v>
      </c>
      <c r="L147" s="1317"/>
      <c r="M147" s="1356">
        <v>6</v>
      </c>
      <c r="N147" s="1346"/>
      <c r="O147" s="1343" t="e">
        <f t="shared" si="17"/>
        <v>#REF!</v>
      </c>
      <c r="P147" s="1343" t="e">
        <f t="shared" si="18"/>
        <v>#REF!</v>
      </c>
    </row>
    <row r="148" spans="1:16" ht="38.25" customHeight="1" thickBot="1">
      <c r="A148" s="1548"/>
      <c r="B148" s="1739">
        <v>460158070</v>
      </c>
      <c r="C148" s="1549" t="s">
        <v>734</v>
      </c>
      <c r="D148" s="1550" t="s">
        <v>550</v>
      </c>
      <c r="E148" s="1551" t="s">
        <v>438</v>
      </c>
      <c r="F148" s="1551" t="str">
        <f>_xlfn.XLOOKUP(B148,Planilha1!A:A,Planilha1!B:B)</f>
        <v>BARRAS</v>
      </c>
      <c r="G148" s="1552" t="s">
        <v>681</v>
      </c>
      <c r="H148" s="1553">
        <v>7.9</v>
      </c>
      <c r="I148" s="1423">
        <f t="shared" si="19"/>
        <v>1.6056910569105691</v>
      </c>
      <c r="J148" s="1857">
        <v>4.92</v>
      </c>
      <c r="K148" s="1842">
        <f t="shared" si="12"/>
        <v>0</v>
      </c>
      <c r="L148" s="1319"/>
      <c r="M148" s="1409">
        <v>6</v>
      </c>
      <c r="N148" s="1346"/>
      <c r="O148" s="1343" t="e">
        <f t="shared" si="17"/>
        <v>#REF!</v>
      </c>
      <c r="P148" s="1343" t="e">
        <f t="shared" si="18"/>
        <v>#REF!</v>
      </c>
    </row>
    <row r="149" spans="1:16" ht="38.25" customHeight="1" thickBot="1">
      <c r="A149" s="1488"/>
      <c r="B149" s="1728">
        <v>460135068</v>
      </c>
      <c r="C149" s="1538" t="s">
        <v>436</v>
      </c>
      <c r="D149" s="1539" t="s">
        <v>548</v>
      </c>
      <c r="E149" s="1540" t="s">
        <v>438</v>
      </c>
      <c r="F149" s="1540" t="str">
        <f>_xlfn.XLOOKUP(B149,Planilha1!A:A,Planilha1!B:B)</f>
        <v>BARRAS</v>
      </c>
      <c r="G149" s="1541" t="s">
        <v>439</v>
      </c>
      <c r="H149" s="1367">
        <v>12.9</v>
      </c>
      <c r="I149" s="1423">
        <f t="shared" si="19"/>
        <v>1.5750915750915753</v>
      </c>
      <c r="J149" s="1857">
        <v>8.19</v>
      </c>
      <c r="K149" s="1841">
        <f t="shared" si="12"/>
        <v>0</v>
      </c>
      <c r="L149" s="1324"/>
      <c r="M149" s="1356">
        <v>6</v>
      </c>
      <c r="N149" s="1346"/>
      <c r="O149" s="1343" t="e">
        <f t="shared" si="17"/>
        <v>#REF!</v>
      </c>
      <c r="P149" s="1343" t="e">
        <f t="shared" si="18"/>
        <v>#REF!</v>
      </c>
    </row>
    <row r="150" spans="1:16" ht="38.25" customHeight="1" thickBot="1">
      <c r="A150" s="1488"/>
      <c r="B150" s="1728">
        <v>460135023</v>
      </c>
      <c r="C150" s="1538" t="s">
        <v>436</v>
      </c>
      <c r="D150" s="1539" t="s">
        <v>126</v>
      </c>
      <c r="E150" s="1540" t="s">
        <v>438</v>
      </c>
      <c r="F150" s="1540" t="str">
        <f>_xlfn.XLOOKUP(B150,Planilha1!A:A,Planilha1!B:B)</f>
        <v>BARRAS</v>
      </c>
      <c r="G150" s="1541" t="s">
        <v>439</v>
      </c>
      <c r="H150" s="1367">
        <v>12.9</v>
      </c>
      <c r="I150" s="1423">
        <f t="shared" si="19"/>
        <v>1.5750915750915753</v>
      </c>
      <c r="J150" s="1857">
        <v>8.19</v>
      </c>
      <c r="K150" s="1836">
        <f t="shared" si="12"/>
        <v>0</v>
      </c>
      <c r="L150" s="1317"/>
      <c r="M150" s="1356">
        <v>6</v>
      </c>
      <c r="N150" s="1346"/>
      <c r="O150" s="1343" t="e">
        <f t="shared" si="17"/>
        <v>#REF!</v>
      </c>
      <c r="P150" s="1343" t="e">
        <f t="shared" si="18"/>
        <v>#REF!</v>
      </c>
    </row>
    <row r="151" spans="1:16" ht="38.25" customHeight="1" thickBot="1">
      <c r="A151" s="1488"/>
      <c r="B151" s="1728">
        <v>460135116</v>
      </c>
      <c r="C151" s="1538" t="s">
        <v>436</v>
      </c>
      <c r="D151" s="1539" t="s">
        <v>591</v>
      </c>
      <c r="E151" s="1540" t="s">
        <v>438</v>
      </c>
      <c r="F151" s="1540" t="str">
        <f>_xlfn.XLOOKUP(B151,Planilha1!A:A,Planilha1!B:B)</f>
        <v>BARRAS</v>
      </c>
      <c r="G151" s="1541" t="s">
        <v>439</v>
      </c>
      <c r="H151" s="1367">
        <v>12.9</v>
      </c>
      <c r="I151" s="1423">
        <f t="shared" si="19"/>
        <v>1.5750915750915753</v>
      </c>
      <c r="J151" s="1857">
        <v>8.19</v>
      </c>
      <c r="K151" s="1836">
        <f t="shared" si="12"/>
        <v>0</v>
      </c>
      <c r="L151" s="1317"/>
      <c r="M151" s="1356">
        <v>6</v>
      </c>
      <c r="N151" s="1346"/>
      <c r="O151" s="1343" t="e">
        <f t="shared" si="17"/>
        <v>#REF!</v>
      </c>
      <c r="P151" s="1343" t="e">
        <f t="shared" si="18"/>
        <v>#REF!</v>
      </c>
    </row>
    <row r="152" spans="1:16" ht="38.25" customHeight="1" thickBot="1">
      <c r="A152" s="1488"/>
      <c r="B152" s="1728">
        <v>460135070</v>
      </c>
      <c r="C152" s="1538" t="s">
        <v>436</v>
      </c>
      <c r="D152" s="1539" t="s">
        <v>550</v>
      </c>
      <c r="E152" s="1540" t="s">
        <v>438</v>
      </c>
      <c r="F152" s="1540" t="str">
        <f>_xlfn.XLOOKUP(B152,Planilha1!A:A,Planilha1!B:B)</f>
        <v>BARRAS</v>
      </c>
      <c r="G152" s="1541" t="s">
        <v>439</v>
      </c>
      <c r="H152" s="1367">
        <v>12.9</v>
      </c>
      <c r="I152" s="1423">
        <f t="shared" si="19"/>
        <v>1.5750915750915753</v>
      </c>
      <c r="J152" s="1857">
        <v>8.19</v>
      </c>
      <c r="K152" s="1836">
        <f t="shared" si="12"/>
        <v>0</v>
      </c>
      <c r="L152" s="1317"/>
      <c r="M152" s="1356">
        <v>6</v>
      </c>
      <c r="N152" s="1346"/>
      <c r="O152" s="1343" t="e">
        <f t="shared" si="17"/>
        <v>#REF!</v>
      </c>
      <c r="P152" s="1343" t="e">
        <f t="shared" si="18"/>
        <v>#REF!</v>
      </c>
    </row>
    <row r="153" spans="1:16" ht="38.25" customHeight="1" thickBot="1">
      <c r="A153" s="1488"/>
      <c r="B153" s="1728">
        <v>460135072</v>
      </c>
      <c r="C153" s="1538" t="s">
        <v>436</v>
      </c>
      <c r="D153" s="1539" t="s">
        <v>437</v>
      </c>
      <c r="E153" s="1540" t="s">
        <v>438</v>
      </c>
      <c r="F153" s="1540" t="str">
        <f>_xlfn.XLOOKUP(B153,Planilha1!A:A,Planilha1!B:B)</f>
        <v>BARRAS</v>
      </c>
      <c r="G153" s="1541" t="s">
        <v>439</v>
      </c>
      <c r="H153" s="1367">
        <v>12.9</v>
      </c>
      <c r="I153" s="1423">
        <f t="shared" si="19"/>
        <v>1.5750915750915753</v>
      </c>
      <c r="J153" s="1857">
        <v>8.19</v>
      </c>
      <c r="K153" s="1836">
        <f t="shared" ref="K153:K202" si="20">L153*J153</f>
        <v>0</v>
      </c>
      <c r="L153" s="1317"/>
      <c r="M153" s="1356">
        <v>6</v>
      </c>
      <c r="N153" s="1346"/>
      <c r="O153" s="1343" t="e">
        <f t="shared" si="17"/>
        <v>#REF!</v>
      </c>
      <c r="P153" s="1343" t="e">
        <f t="shared" si="18"/>
        <v>#REF!</v>
      </c>
    </row>
    <row r="154" spans="1:16" ht="38.25" customHeight="1" thickBot="1">
      <c r="A154" s="1488"/>
      <c r="B154" s="1728">
        <v>460135069</v>
      </c>
      <c r="C154" s="1538" t="s">
        <v>436</v>
      </c>
      <c r="D154" s="1539" t="s">
        <v>441</v>
      </c>
      <c r="E154" s="1540" t="s">
        <v>438</v>
      </c>
      <c r="F154" s="1540" t="str">
        <f>_xlfn.XLOOKUP(B154,Planilha1!A:A,Planilha1!B:B)</f>
        <v>BARRAS</v>
      </c>
      <c r="G154" s="1541" t="s">
        <v>439</v>
      </c>
      <c r="H154" s="1367">
        <v>12.9</v>
      </c>
      <c r="I154" s="1423">
        <f t="shared" si="19"/>
        <v>1.5750915750915753</v>
      </c>
      <c r="J154" s="1857">
        <v>8.19</v>
      </c>
      <c r="K154" s="1836">
        <f t="shared" si="20"/>
        <v>0</v>
      </c>
      <c r="L154" s="1317"/>
      <c r="M154" s="1356">
        <v>6</v>
      </c>
      <c r="N154" s="1346"/>
      <c r="O154" s="1343" t="e">
        <f t="shared" si="17"/>
        <v>#REF!</v>
      </c>
      <c r="P154" s="1343" t="e">
        <f t="shared" si="18"/>
        <v>#REF!</v>
      </c>
    </row>
    <row r="155" spans="1:16" ht="61.2" customHeight="1" thickBot="1">
      <c r="A155" s="1488"/>
      <c r="B155" s="1728">
        <v>460135115</v>
      </c>
      <c r="C155" s="1538" t="s">
        <v>436</v>
      </c>
      <c r="D155" s="1539" t="s">
        <v>733</v>
      </c>
      <c r="E155" s="1540" t="s">
        <v>438</v>
      </c>
      <c r="F155" s="1540" t="str">
        <f>_xlfn.XLOOKUP(B155,Planilha1!A:A,Planilha1!B:B)</f>
        <v>BARRAS</v>
      </c>
      <c r="G155" s="1541" t="s">
        <v>439</v>
      </c>
      <c r="H155" s="1367">
        <v>12.9</v>
      </c>
      <c r="I155" s="1423">
        <f t="shared" si="19"/>
        <v>1.5750915750915753</v>
      </c>
      <c r="J155" s="1857">
        <v>8.19</v>
      </c>
      <c r="K155" s="1836">
        <f t="shared" si="20"/>
        <v>0</v>
      </c>
      <c r="L155" s="1317"/>
      <c r="M155" s="1356">
        <v>6</v>
      </c>
      <c r="N155" s="1346"/>
      <c r="O155" s="1343" t="e">
        <f t="shared" si="17"/>
        <v>#REF!</v>
      </c>
      <c r="P155" s="1343" t="e">
        <f t="shared" si="18"/>
        <v>#REF!</v>
      </c>
    </row>
    <row r="156" spans="1:16" ht="36" customHeight="1" thickBot="1">
      <c r="A156" s="1554"/>
      <c r="B156" s="1728">
        <v>460135019</v>
      </c>
      <c r="C156" s="1555" t="s">
        <v>436</v>
      </c>
      <c r="D156" s="1556" t="s">
        <v>443</v>
      </c>
      <c r="E156" s="1557" t="s">
        <v>438</v>
      </c>
      <c r="F156" s="1557" t="str">
        <f>_xlfn.XLOOKUP(B156,Planilha1!A:A,Planilha1!B:B)</f>
        <v>BARRAS</v>
      </c>
      <c r="G156" s="1558" t="s">
        <v>439</v>
      </c>
      <c r="H156" s="1367">
        <v>12.9</v>
      </c>
      <c r="I156" s="1423">
        <f t="shared" si="19"/>
        <v>1.5750915750915753</v>
      </c>
      <c r="J156" s="1857">
        <v>8.19</v>
      </c>
      <c r="K156" s="1836">
        <f t="shared" si="20"/>
        <v>0</v>
      </c>
      <c r="L156" s="1317"/>
      <c r="M156" s="1356">
        <v>6</v>
      </c>
      <c r="N156" s="1346"/>
      <c r="O156" s="1343" t="e">
        <f t="shared" si="17"/>
        <v>#REF!</v>
      </c>
      <c r="P156" s="1343" t="e">
        <f t="shared" si="18"/>
        <v>#REF!</v>
      </c>
    </row>
    <row r="157" spans="1:16" ht="36" customHeight="1" thickBot="1">
      <c r="A157" s="1559" t="s">
        <v>755</v>
      </c>
      <c r="B157" s="1737">
        <v>460469001</v>
      </c>
      <c r="C157" s="1538" t="s">
        <v>755</v>
      </c>
      <c r="D157" s="1539"/>
      <c r="E157" s="1540" t="s">
        <v>135</v>
      </c>
      <c r="F157" s="1540" t="s">
        <v>769</v>
      </c>
      <c r="G157" s="1541" t="s">
        <v>756</v>
      </c>
      <c r="H157" s="1379">
        <v>59.9</v>
      </c>
      <c r="I157" s="1423">
        <f t="shared" si="19"/>
        <v>1.48598362689159</v>
      </c>
      <c r="J157" s="1857">
        <v>40.31</v>
      </c>
      <c r="K157" s="1841">
        <f t="shared" si="20"/>
        <v>0</v>
      </c>
      <c r="L157" s="1323"/>
      <c r="M157" s="1397">
        <v>10</v>
      </c>
      <c r="N157" s="1346"/>
      <c r="O157" s="1343" t="e">
        <f t="shared" si="17"/>
        <v>#REF!</v>
      </c>
      <c r="P157" s="1343" t="e">
        <f t="shared" si="18"/>
        <v>#REF!</v>
      </c>
    </row>
    <row r="158" spans="1:16" ht="36" customHeight="1" thickBot="1">
      <c r="A158" s="1537"/>
      <c r="B158" s="1730">
        <v>431042003</v>
      </c>
      <c r="C158" s="1560" t="s">
        <v>504</v>
      </c>
      <c r="D158" s="1561" t="s">
        <v>503</v>
      </c>
      <c r="E158" s="1562" t="s">
        <v>61</v>
      </c>
      <c r="F158" s="1562" t="str">
        <f>_xlfn.XLOOKUP(B158,Planilha1!A:A,Planilha1!B:B)</f>
        <v>OUTROS</v>
      </c>
      <c r="G158" s="1563">
        <v>475</v>
      </c>
      <c r="H158" s="1521">
        <v>279.89999999999998</v>
      </c>
      <c r="I158" s="1423">
        <f t="shared" si="19"/>
        <v>1.65994543944965</v>
      </c>
      <c r="J158" s="1857">
        <v>168.62</v>
      </c>
      <c r="K158" s="1850">
        <f t="shared" si="20"/>
        <v>0</v>
      </c>
      <c r="L158" s="1303"/>
      <c r="M158" s="1359">
        <v>6</v>
      </c>
      <c r="N158" s="1346"/>
      <c r="O158" s="1343" t="e">
        <f t="shared" si="17"/>
        <v>#REF!</v>
      </c>
      <c r="P158" s="1343" t="e">
        <f t="shared" si="18"/>
        <v>#REF!</v>
      </c>
    </row>
    <row r="159" spans="1:16" ht="36" customHeight="1" thickBot="1">
      <c r="A159" s="1488"/>
      <c r="B159" s="1728">
        <v>431042029</v>
      </c>
      <c r="C159" s="1564" t="s">
        <v>504</v>
      </c>
      <c r="D159" s="1504" t="s">
        <v>67</v>
      </c>
      <c r="E159" s="1502" t="s">
        <v>61</v>
      </c>
      <c r="F159" s="1502" t="str">
        <f>_xlfn.XLOOKUP(B159,Planilha1!A:A,Planilha1!B:B)</f>
        <v>OUTROS</v>
      </c>
      <c r="G159" s="1565">
        <v>475</v>
      </c>
      <c r="H159" s="1367">
        <v>279.89999999999998</v>
      </c>
      <c r="I159" s="1423">
        <f t="shared" si="19"/>
        <v>1.65994543944965</v>
      </c>
      <c r="J159" s="1857">
        <v>168.62</v>
      </c>
      <c r="K159" s="1836">
        <f t="shared" si="20"/>
        <v>0</v>
      </c>
      <c r="L159" s="1299"/>
      <c r="M159" s="1356">
        <v>6</v>
      </c>
      <c r="N159" s="1346"/>
      <c r="O159" s="1343" t="e">
        <f t="shared" si="17"/>
        <v>#REF!</v>
      </c>
      <c r="P159" s="1343" t="e">
        <f t="shared" si="18"/>
        <v>#REF!</v>
      </c>
    </row>
    <row r="160" spans="1:16" ht="36" customHeight="1" thickBot="1">
      <c r="A160" s="1554"/>
      <c r="B160" s="1731">
        <v>431009001</v>
      </c>
      <c r="C160" s="1566" t="s">
        <v>504</v>
      </c>
      <c r="D160" s="1567" t="s">
        <v>326</v>
      </c>
      <c r="E160" s="1568" t="s">
        <v>61</v>
      </c>
      <c r="F160" s="1568" t="str">
        <f>_xlfn.XLOOKUP(B160,Planilha1!A:A,Planilha1!B:B)</f>
        <v>OUTROS</v>
      </c>
      <c r="G160" s="1569">
        <v>450</v>
      </c>
      <c r="H160" s="1530">
        <v>279.89999999999998</v>
      </c>
      <c r="I160" s="1423">
        <f t="shared" si="19"/>
        <v>1.65994543944965</v>
      </c>
      <c r="J160" s="1857">
        <v>168.62</v>
      </c>
      <c r="K160" s="1851">
        <f t="shared" si="20"/>
        <v>0</v>
      </c>
      <c r="L160" s="1304"/>
      <c r="M160" s="1357">
        <v>6</v>
      </c>
      <c r="N160" s="1346"/>
      <c r="O160" s="1343" t="e">
        <f t="shared" si="17"/>
        <v>#REF!</v>
      </c>
      <c r="P160" s="1343" t="e">
        <f t="shared" si="18"/>
        <v>#REF!</v>
      </c>
    </row>
    <row r="161" spans="1:16" ht="24.75" customHeight="1" thickBot="1">
      <c r="A161" s="1362"/>
      <c r="B161" s="1728">
        <v>430227004</v>
      </c>
      <c r="C161" s="1564" t="s">
        <v>209</v>
      </c>
      <c r="D161" s="1504" t="s">
        <v>60</v>
      </c>
      <c r="E161" s="1502" t="s">
        <v>123</v>
      </c>
      <c r="F161" s="1502" t="str">
        <f>_xlfn.XLOOKUP(B161,Planilha1!A:A,Planilha1!B:B)</f>
        <v>SACHES</v>
      </c>
      <c r="G161" s="1565">
        <v>29</v>
      </c>
      <c r="H161" s="1367">
        <v>16.899999999999999</v>
      </c>
      <c r="I161" s="1423">
        <f t="shared" si="19"/>
        <v>1.5156950672645739</v>
      </c>
      <c r="J161" s="1857">
        <v>11.15</v>
      </c>
      <c r="K161" s="1850">
        <f t="shared" si="20"/>
        <v>0</v>
      </c>
      <c r="L161" s="1320"/>
      <c r="M161" s="1359">
        <v>10</v>
      </c>
      <c r="N161" s="1346"/>
      <c r="O161" s="1343" t="e">
        <f>#REF!+24</f>
        <v>#REF!</v>
      </c>
      <c r="P161" s="1343" t="e">
        <f>#REF!+12</f>
        <v>#REF!</v>
      </c>
    </row>
    <row r="162" spans="1:16" ht="24.75" customHeight="1" thickBot="1">
      <c r="A162" s="1362"/>
      <c r="B162" s="1728">
        <v>430227019</v>
      </c>
      <c r="C162" s="1564" t="s">
        <v>209</v>
      </c>
      <c r="D162" s="1504" t="s">
        <v>63</v>
      </c>
      <c r="E162" s="1502" t="s">
        <v>123</v>
      </c>
      <c r="F162" s="1502" t="str">
        <f>_xlfn.XLOOKUP(B162,Planilha1!A:A,Planilha1!B:B)</f>
        <v>SACHES</v>
      </c>
      <c r="G162" s="1575">
        <v>31</v>
      </c>
      <c r="H162" s="1367">
        <v>16.899999999999999</v>
      </c>
      <c r="I162" s="1423">
        <f t="shared" si="19"/>
        <v>1.5156950672645739</v>
      </c>
      <c r="J162" s="1857">
        <v>11.15</v>
      </c>
      <c r="K162" s="1836">
        <f t="shared" si="20"/>
        <v>0</v>
      </c>
      <c r="L162" s="1315"/>
      <c r="M162" s="1356">
        <v>10</v>
      </c>
      <c r="N162" s="1346"/>
      <c r="O162" s="1343" t="e">
        <f>#REF!+24</f>
        <v>#REF!</v>
      </c>
      <c r="P162" s="1343" t="e">
        <f>#REF!+12</f>
        <v>#REF!</v>
      </c>
    </row>
    <row r="163" spans="1:16" ht="24.75" customHeight="1" thickBot="1">
      <c r="A163" s="1362"/>
      <c r="B163" s="1728">
        <v>430227021</v>
      </c>
      <c r="C163" s="1564" t="s">
        <v>209</v>
      </c>
      <c r="D163" s="1504" t="s">
        <v>65</v>
      </c>
      <c r="E163" s="1502" t="s">
        <v>123</v>
      </c>
      <c r="F163" s="1502" t="str">
        <f>_xlfn.XLOOKUP(B163,Planilha1!A:A,Planilha1!B:B)</f>
        <v>SACHES</v>
      </c>
      <c r="G163" s="1575">
        <v>31</v>
      </c>
      <c r="H163" s="1367">
        <v>16.899999999999999</v>
      </c>
      <c r="I163" s="1423">
        <f t="shared" si="19"/>
        <v>1.5156950672645739</v>
      </c>
      <c r="J163" s="1857">
        <v>11.15</v>
      </c>
      <c r="K163" s="1836">
        <f t="shared" si="20"/>
        <v>0</v>
      </c>
      <c r="L163" s="1315"/>
      <c r="M163" s="1356">
        <v>10</v>
      </c>
      <c r="N163" s="1346"/>
      <c r="O163" s="1343" t="e">
        <f t="shared" si="17"/>
        <v>#REF!</v>
      </c>
      <c r="P163" s="1343" t="e">
        <f t="shared" si="18"/>
        <v>#REF!</v>
      </c>
    </row>
    <row r="164" spans="1:16" ht="24.75" customHeight="1" thickBot="1">
      <c r="A164" s="1362"/>
      <c r="B164" s="1728">
        <v>430274029</v>
      </c>
      <c r="C164" s="1564" t="s">
        <v>209</v>
      </c>
      <c r="D164" s="1504" t="s">
        <v>67</v>
      </c>
      <c r="E164" s="1502" t="s">
        <v>123</v>
      </c>
      <c r="F164" s="1502" t="str">
        <f>_xlfn.XLOOKUP(B164,Planilha1!A:A,Planilha1!B:B)</f>
        <v>SACHES</v>
      </c>
      <c r="G164" s="1575">
        <v>29</v>
      </c>
      <c r="H164" s="1367">
        <v>16.899999999999999</v>
      </c>
      <c r="I164" s="1423">
        <f t="shared" si="19"/>
        <v>1.5156950672645739</v>
      </c>
      <c r="J164" s="1857">
        <v>11.15</v>
      </c>
      <c r="K164" s="1836">
        <f t="shared" si="20"/>
        <v>0</v>
      </c>
      <c r="L164" s="1315"/>
      <c r="M164" s="1356">
        <v>10</v>
      </c>
      <c r="N164" s="1346"/>
      <c r="O164" s="1343" t="e">
        <f t="shared" si="17"/>
        <v>#REF!</v>
      </c>
      <c r="P164" s="1343" t="e">
        <f t="shared" si="18"/>
        <v>#REF!</v>
      </c>
    </row>
    <row r="165" spans="1:16" ht="24.75" customHeight="1" thickBot="1">
      <c r="A165" s="1362"/>
      <c r="B165" s="1728">
        <v>430227036</v>
      </c>
      <c r="C165" s="1564" t="s">
        <v>209</v>
      </c>
      <c r="D165" s="1504" t="s">
        <v>275</v>
      </c>
      <c r="E165" s="1502" t="s">
        <v>123</v>
      </c>
      <c r="F165" s="1502" t="str">
        <f>_xlfn.XLOOKUP(B165,Planilha1!A:A,Planilha1!B:B)</f>
        <v>SACHES</v>
      </c>
      <c r="G165" s="1575">
        <v>29</v>
      </c>
      <c r="H165" s="1367">
        <v>16.899999999999999</v>
      </c>
      <c r="I165" s="1423">
        <f t="shared" si="19"/>
        <v>1.5156950672645739</v>
      </c>
      <c r="J165" s="1857">
        <v>11.15</v>
      </c>
      <c r="K165" s="1836">
        <f t="shared" si="20"/>
        <v>0</v>
      </c>
      <c r="L165" s="1315"/>
      <c r="M165" s="1356">
        <v>10</v>
      </c>
      <c r="N165" s="1346"/>
      <c r="O165" s="1343" t="e">
        <f>#REF!+24</f>
        <v>#REF!</v>
      </c>
      <c r="P165" s="1343" t="e">
        <f>#REF!+12</f>
        <v>#REF!</v>
      </c>
    </row>
    <row r="166" spans="1:16" ht="24.75" customHeight="1" thickBot="1">
      <c r="A166" s="1362"/>
      <c r="B166" s="1728">
        <v>430227083</v>
      </c>
      <c r="C166" s="1564" t="s">
        <v>209</v>
      </c>
      <c r="D166" s="1504" t="s">
        <v>725</v>
      </c>
      <c r="E166" s="1502" t="s">
        <v>123</v>
      </c>
      <c r="F166" s="1502" t="str">
        <f>_xlfn.XLOOKUP(B166,Planilha1!A:A,Planilha1!B:B)</f>
        <v>SACHES</v>
      </c>
      <c r="G166" s="1575">
        <v>29</v>
      </c>
      <c r="H166" s="1367">
        <v>16.899999999999999</v>
      </c>
      <c r="I166" s="1423">
        <f t="shared" si="19"/>
        <v>1.5156950672645739</v>
      </c>
      <c r="J166" s="1857">
        <v>11.15</v>
      </c>
      <c r="K166" s="1836">
        <f t="shared" si="20"/>
        <v>0</v>
      </c>
      <c r="L166" s="1315"/>
      <c r="M166" s="1356">
        <v>10</v>
      </c>
      <c r="N166" s="1346"/>
      <c r="O166" s="1343"/>
      <c r="P166" s="1343"/>
    </row>
    <row r="167" spans="1:16" ht="24.75" customHeight="1" thickBot="1">
      <c r="A167" s="1362"/>
      <c r="B167" s="1740">
        <v>430227047</v>
      </c>
      <c r="C167" s="1576" t="s">
        <v>209</v>
      </c>
      <c r="D167" s="1509" t="s">
        <v>276</v>
      </c>
      <c r="E167" s="1510" t="s">
        <v>123</v>
      </c>
      <c r="F167" s="1510" t="str">
        <f>_xlfn.XLOOKUP(B167,Planilha1!A:A,Planilha1!B:B)</f>
        <v>SACHES</v>
      </c>
      <c r="G167" s="1577">
        <v>30</v>
      </c>
      <c r="H167" s="1494">
        <v>16.899999999999999</v>
      </c>
      <c r="I167" s="1423">
        <f t="shared" si="19"/>
        <v>1.5156950672645739</v>
      </c>
      <c r="J167" s="1857">
        <v>11.15</v>
      </c>
      <c r="K167" s="1845">
        <f t="shared" si="20"/>
        <v>0</v>
      </c>
      <c r="L167" s="1312"/>
      <c r="M167" s="1410">
        <v>10</v>
      </c>
      <c r="N167" s="1346"/>
      <c r="O167" s="1343"/>
      <c r="P167" s="1343"/>
    </row>
    <row r="168" spans="1:16" ht="24.75" customHeight="1" thickBot="1">
      <c r="A168" s="1362"/>
      <c r="B168" s="1728">
        <v>430274134</v>
      </c>
      <c r="C168" s="1564" t="s">
        <v>209</v>
      </c>
      <c r="D168" s="1504" t="s">
        <v>757</v>
      </c>
      <c r="E168" s="1502" t="s">
        <v>123</v>
      </c>
      <c r="F168" s="1502" t="str">
        <f>_xlfn.XLOOKUP(B168,Planilha1!A:A,Planilha1!B:B)</f>
        <v>SACHES</v>
      </c>
      <c r="G168" s="1575">
        <v>30</v>
      </c>
      <c r="H168" s="1367">
        <v>16.899999999999999</v>
      </c>
      <c r="I168" s="1423">
        <f t="shared" si="19"/>
        <v>1.5156950672645739</v>
      </c>
      <c r="J168" s="1857">
        <v>11.15</v>
      </c>
      <c r="K168" s="1836">
        <f t="shared" si="20"/>
        <v>0</v>
      </c>
      <c r="L168" s="1299"/>
      <c r="M168" s="1356">
        <v>10</v>
      </c>
      <c r="N168" s="1346"/>
      <c r="O168" s="1343" t="e">
        <f>O165+24</f>
        <v>#REF!</v>
      </c>
      <c r="P168" s="1343" t="e">
        <f>P165+12</f>
        <v>#REF!</v>
      </c>
    </row>
    <row r="169" spans="1:16" ht="24.75" customHeight="1" thickBot="1">
      <c r="A169" s="1362"/>
      <c r="B169" s="1740">
        <v>430274133</v>
      </c>
      <c r="C169" s="1564" t="s">
        <v>209</v>
      </c>
      <c r="D169" s="1504" t="s">
        <v>758</v>
      </c>
      <c r="E169" s="1502" t="s">
        <v>123</v>
      </c>
      <c r="F169" s="1502" t="str">
        <f>_xlfn.XLOOKUP(B169,Planilha1!A:A,Planilha1!B:B)</f>
        <v>SACHES</v>
      </c>
      <c r="G169" s="1575">
        <v>30</v>
      </c>
      <c r="H169" s="1380">
        <v>16.899999999999999</v>
      </c>
      <c r="I169" s="1423">
        <f t="shared" si="19"/>
        <v>1.5156950672645739</v>
      </c>
      <c r="J169" s="1857">
        <v>11.15</v>
      </c>
      <c r="K169" s="1844">
        <f t="shared" si="20"/>
        <v>0</v>
      </c>
      <c r="L169" s="1792"/>
      <c r="M169" s="1793">
        <v>10</v>
      </c>
      <c r="N169" s="1346"/>
      <c r="O169" s="1343" t="e">
        <f t="shared" si="17"/>
        <v>#REF!</v>
      </c>
      <c r="P169" s="1343" t="e">
        <f t="shared" si="18"/>
        <v>#REF!</v>
      </c>
    </row>
    <row r="170" spans="1:16" ht="24.6" customHeight="1" thickBot="1">
      <c r="A170" s="1362"/>
      <c r="B170" s="1728">
        <v>430209004</v>
      </c>
      <c r="C170" s="1578" t="s">
        <v>59</v>
      </c>
      <c r="D170" s="1514" t="s">
        <v>60</v>
      </c>
      <c r="E170" s="1515" t="s">
        <v>61</v>
      </c>
      <c r="F170" s="1515" t="str">
        <f>_xlfn.XLOOKUP(B170,Planilha1!A:A,Planilha1!B:B)</f>
        <v>OUTROS</v>
      </c>
      <c r="G170" s="1579">
        <v>450</v>
      </c>
      <c r="H170" s="1367">
        <v>191.9</v>
      </c>
      <c r="I170" s="1423">
        <f t="shared" si="19"/>
        <v>1.4847195357833656</v>
      </c>
      <c r="J170" s="1857">
        <v>129.25</v>
      </c>
      <c r="K170" s="1836">
        <f t="shared" si="20"/>
        <v>0</v>
      </c>
      <c r="L170" s="1317"/>
      <c r="M170" s="1356">
        <v>4</v>
      </c>
      <c r="N170" s="1346"/>
      <c r="O170" s="1343" t="e">
        <f t="shared" si="17"/>
        <v>#REF!</v>
      </c>
      <c r="P170" s="1343" t="e">
        <f t="shared" si="18"/>
        <v>#REF!</v>
      </c>
    </row>
    <row r="171" spans="1:16" ht="24.75" customHeight="1" thickBot="1">
      <c r="A171" s="1362"/>
      <c r="B171" s="1728">
        <v>430209019</v>
      </c>
      <c r="C171" s="1564" t="s">
        <v>59</v>
      </c>
      <c r="D171" s="1504" t="s">
        <v>63</v>
      </c>
      <c r="E171" s="1502" t="s">
        <v>61</v>
      </c>
      <c r="F171" s="1502" t="str">
        <f>_xlfn.XLOOKUP(B171,Planilha1!A:A,Planilha1!B:B)</f>
        <v>OUTROS</v>
      </c>
      <c r="G171" s="1575">
        <v>450</v>
      </c>
      <c r="H171" s="1367">
        <v>191.9</v>
      </c>
      <c r="I171" s="1423">
        <f t="shared" si="19"/>
        <v>1.4847195357833656</v>
      </c>
      <c r="J171" s="1857">
        <v>129.25</v>
      </c>
      <c r="K171" s="1836">
        <f t="shared" si="20"/>
        <v>0</v>
      </c>
      <c r="L171" s="1317"/>
      <c r="M171" s="1356">
        <v>4</v>
      </c>
      <c r="N171" s="1346"/>
      <c r="O171" s="1343" t="e">
        <f>#REF!+24</f>
        <v>#REF!</v>
      </c>
      <c r="P171" s="1343" t="e">
        <f>#REF!+12</f>
        <v>#REF!</v>
      </c>
    </row>
    <row r="172" spans="1:16" ht="24.75" customHeight="1" thickBot="1">
      <c r="A172" s="1362"/>
      <c r="B172" s="1728">
        <v>430209021</v>
      </c>
      <c r="C172" s="1564" t="s">
        <v>59</v>
      </c>
      <c r="D172" s="1504" t="s">
        <v>65</v>
      </c>
      <c r="E172" s="1502" t="s">
        <v>61</v>
      </c>
      <c r="F172" s="1502" t="str">
        <f>_xlfn.XLOOKUP(B172,Planilha1!A:A,Planilha1!B:B)</f>
        <v>OUTROS</v>
      </c>
      <c r="G172" s="1575">
        <v>450</v>
      </c>
      <c r="H172" s="1367">
        <v>191.9</v>
      </c>
      <c r="I172" s="1423">
        <f t="shared" si="19"/>
        <v>1.4847195357833656</v>
      </c>
      <c r="J172" s="1857">
        <v>129.25</v>
      </c>
      <c r="K172" s="1836">
        <f t="shared" si="20"/>
        <v>0</v>
      </c>
      <c r="L172" s="1317"/>
      <c r="M172" s="1356">
        <v>4</v>
      </c>
      <c r="N172" s="1346"/>
      <c r="O172" s="1343" t="e">
        <f t="shared" si="17"/>
        <v>#REF!</v>
      </c>
      <c r="P172" s="1343" t="e">
        <f t="shared" si="18"/>
        <v>#REF!</v>
      </c>
    </row>
    <row r="173" spans="1:16" ht="24.75" customHeight="1" thickBot="1">
      <c r="A173" s="1362"/>
      <c r="B173" s="1728">
        <v>430209029</v>
      </c>
      <c r="C173" s="1564" t="s">
        <v>59</v>
      </c>
      <c r="D173" s="1504" t="s">
        <v>67</v>
      </c>
      <c r="E173" s="1502" t="s">
        <v>61</v>
      </c>
      <c r="F173" s="1502" t="str">
        <f>_xlfn.XLOOKUP(B173,Planilha1!A:A,Planilha1!B:B)</f>
        <v>OUTROS</v>
      </c>
      <c r="G173" s="1575">
        <v>450</v>
      </c>
      <c r="H173" s="1367">
        <v>191.9</v>
      </c>
      <c r="I173" s="1423">
        <f t="shared" si="19"/>
        <v>1.4847195357833656</v>
      </c>
      <c r="J173" s="1857">
        <v>129.25</v>
      </c>
      <c r="K173" s="1836">
        <f t="shared" si="20"/>
        <v>0</v>
      </c>
      <c r="L173" s="1317"/>
      <c r="M173" s="1356">
        <v>4</v>
      </c>
      <c r="N173" s="1346"/>
      <c r="O173" s="1343" t="e">
        <f t="shared" si="17"/>
        <v>#REF!</v>
      </c>
      <c r="P173" s="1343" t="e">
        <f t="shared" si="18"/>
        <v>#REF!</v>
      </c>
    </row>
    <row r="174" spans="1:16" ht="24.75" customHeight="1" thickBot="1">
      <c r="A174" s="1362"/>
      <c r="B174" s="1728">
        <v>430209036</v>
      </c>
      <c r="C174" s="1564" t="s">
        <v>59</v>
      </c>
      <c r="D174" s="1504" t="s">
        <v>275</v>
      </c>
      <c r="E174" s="1502" t="s">
        <v>61</v>
      </c>
      <c r="F174" s="1502" t="str">
        <f>_xlfn.XLOOKUP(B174,Planilha1!A:A,Planilha1!B:B)</f>
        <v>OUTROS</v>
      </c>
      <c r="G174" s="1575">
        <v>450</v>
      </c>
      <c r="H174" s="1367">
        <v>191.9</v>
      </c>
      <c r="I174" s="1423">
        <f t="shared" si="19"/>
        <v>1.4847195357833656</v>
      </c>
      <c r="J174" s="1857">
        <v>129.25</v>
      </c>
      <c r="K174" s="1836">
        <f t="shared" si="20"/>
        <v>0</v>
      </c>
      <c r="L174" s="1317"/>
      <c r="M174" s="1356">
        <v>4</v>
      </c>
      <c r="N174" s="1346"/>
      <c r="O174" s="1343" t="e">
        <f>#REF!+24</f>
        <v>#REF!</v>
      </c>
      <c r="P174" s="1343" t="e">
        <f>#REF!+12</f>
        <v>#REF!</v>
      </c>
    </row>
    <row r="175" spans="1:16" ht="24.75" customHeight="1" thickBot="1">
      <c r="A175" s="1362"/>
      <c r="B175" s="1728">
        <v>430209083</v>
      </c>
      <c r="C175" s="1564" t="s">
        <v>59</v>
      </c>
      <c r="D175" s="1504" t="s">
        <v>725</v>
      </c>
      <c r="E175" s="1502" t="s">
        <v>61</v>
      </c>
      <c r="F175" s="1502" t="str">
        <f>_xlfn.XLOOKUP(B175,Planilha1!A:A,Planilha1!B:B)</f>
        <v>OUTROS</v>
      </c>
      <c r="G175" s="1575">
        <v>450</v>
      </c>
      <c r="H175" s="1367">
        <v>191.9</v>
      </c>
      <c r="I175" s="1423">
        <f t="shared" si="19"/>
        <v>1.4847195357833656</v>
      </c>
      <c r="J175" s="1857">
        <v>129.25</v>
      </c>
      <c r="K175" s="1836">
        <f t="shared" si="20"/>
        <v>0</v>
      </c>
      <c r="L175" s="1317"/>
      <c r="M175" s="1356">
        <v>4</v>
      </c>
      <c r="N175" s="1346"/>
      <c r="O175" s="1343" t="e">
        <f t="shared" si="17"/>
        <v>#REF!</v>
      </c>
      <c r="P175" s="1343" t="e">
        <f t="shared" si="18"/>
        <v>#REF!</v>
      </c>
    </row>
    <row r="176" spans="1:16" ht="24.75" customHeight="1" thickBot="1">
      <c r="A176" s="1362"/>
      <c r="B176" s="1728">
        <v>430209047</v>
      </c>
      <c r="C176" s="1576" t="s">
        <v>59</v>
      </c>
      <c r="D176" s="1509" t="s">
        <v>276</v>
      </c>
      <c r="E176" s="1510" t="s">
        <v>61</v>
      </c>
      <c r="F176" s="1510" t="str">
        <f>_xlfn.XLOOKUP(B176,Planilha1!A:A,Planilha1!B:B)</f>
        <v>OUTROS</v>
      </c>
      <c r="G176" s="1577">
        <v>450</v>
      </c>
      <c r="H176" s="1494">
        <v>191.9</v>
      </c>
      <c r="I176" s="1423">
        <f t="shared" si="19"/>
        <v>1.4847195357833656</v>
      </c>
      <c r="J176" s="1857">
        <v>129.25</v>
      </c>
      <c r="K176" s="1844">
        <f t="shared" si="20"/>
        <v>0</v>
      </c>
      <c r="L176" s="1318"/>
      <c r="M176" s="1400">
        <v>4</v>
      </c>
      <c r="N176" s="1346"/>
      <c r="O176" s="1343" t="e">
        <f t="shared" si="17"/>
        <v>#REF!</v>
      </c>
      <c r="P176" s="1343" t="e">
        <f t="shared" si="18"/>
        <v>#REF!</v>
      </c>
    </row>
    <row r="177" spans="1:16" ht="24.75" customHeight="1" thickBot="1">
      <c r="A177" s="1362"/>
      <c r="B177" s="1727">
        <v>430213004</v>
      </c>
      <c r="C177" s="1578" t="s">
        <v>59</v>
      </c>
      <c r="D177" s="1514" t="s">
        <v>60</v>
      </c>
      <c r="E177" s="1515" t="s">
        <v>61</v>
      </c>
      <c r="F177" s="1515" t="str">
        <f>_xlfn.XLOOKUP(B177,Planilha1!A:A,Planilha1!B:B)</f>
        <v>OUTROS</v>
      </c>
      <c r="G177" s="1579">
        <v>900</v>
      </c>
      <c r="H177" s="1477">
        <v>329.9</v>
      </c>
      <c r="I177" s="1423">
        <f t="shared" si="19"/>
        <v>1.4804343923891581</v>
      </c>
      <c r="J177" s="1857">
        <v>222.84</v>
      </c>
      <c r="K177" s="1843">
        <f t="shared" si="20"/>
        <v>0</v>
      </c>
      <c r="L177" s="1317"/>
      <c r="M177" s="1360">
        <v>4</v>
      </c>
      <c r="N177" s="1346"/>
      <c r="O177" s="1343" t="e">
        <f t="shared" si="17"/>
        <v>#REF!</v>
      </c>
      <c r="P177" s="1343" t="e">
        <f t="shared" si="18"/>
        <v>#REF!</v>
      </c>
    </row>
    <row r="178" spans="1:16" ht="24.75" customHeight="1" thickBot="1">
      <c r="A178" s="1362"/>
      <c r="B178" s="1727">
        <v>430213005</v>
      </c>
      <c r="C178" s="1564" t="s">
        <v>59</v>
      </c>
      <c r="D178" s="1504" t="s">
        <v>293</v>
      </c>
      <c r="E178" s="1502" t="s">
        <v>61</v>
      </c>
      <c r="F178" s="1502" t="str">
        <f>_xlfn.XLOOKUP(B178,Planilha1!A:A,Planilha1!B:B)</f>
        <v>OUTROS</v>
      </c>
      <c r="G178" s="1565">
        <v>900</v>
      </c>
      <c r="H178" s="1367">
        <v>329.9</v>
      </c>
      <c r="I178" s="1423">
        <f t="shared" si="19"/>
        <v>1.4804343923891581</v>
      </c>
      <c r="J178" s="1857">
        <v>222.84</v>
      </c>
      <c r="K178" s="1836">
        <f t="shared" si="20"/>
        <v>0</v>
      </c>
      <c r="L178" s="1317"/>
      <c r="M178" s="1356">
        <v>4</v>
      </c>
      <c r="N178" s="1346"/>
      <c r="O178" s="1343" t="e">
        <f t="shared" si="17"/>
        <v>#REF!</v>
      </c>
      <c r="P178" s="1343" t="e">
        <f t="shared" si="18"/>
        <v>#REF!</v>
      </c>
    </row>
    <row r="179" spans="1:16" ht="24.75" customHeight="1" thickBot="1">
      <c r="A179" s="1362"/>
      <c r="B179" s="1727">
        <v>430213019</v>
      </c>
      <c r="C179" s="1564" t="s">
        <v>59</v>
      </c>
      <c r="D179" s="1504" t="s">
        <v>63</v>
      </c>
      <c r="E179" s="1502" t="s">
        <v>61</v>
      </c>
      <c r="F179" s="1502" t="str">
        <f>_xlfn.XLOOKUP(B179,Planilha1!A:A,Planilha1!B:B)</f>
        <v>OUTROS</v>
      </c>
      <c r="G179" s="1575">
        <v>900</v>
      </c>
      <c r="H179" s="1367">
        <v>329.9</v>
      </c>
      <c r="I179" s="1423">
        <f t="shared" si="19"/>
        <v>1.4804343923891581</v>
      </c>
      <c r="J179" s="1857">
        <v>222.84</v>
      </c>
      <c r="K179" s="1836">
        <f t="shared" si="20"/>
        <v>0</v>
      </c>
      <c r="L179" s="1317"/>
      <c r="M179" s="1356">
        <v>4</v>
      </c>
      <c r="N179" s="1346"/>
      <c r="O179" s="1343" t="e">
        <f t="shared" si="17"/>
        <v>#REF!</v>
      </c>
      <c r="P179" s="1343" t="e">
        <f t="shared" si="18"/>
        <v>#REF!</v>
      </c>
    </row>
    <row r="180" spans="1:16" ht="24.75" customHeight="1" thickBot="1">
      <c r="A180" s="1362"/>
      <c r="B180" s="1727">
        <v>430213021</v>
      </c>
      <c r="C180" s="1564" t="s">
        <v>59</v>
      </c>
      <c r="D180" s="1504" t="s">
        <v>65</v>
      </c>
      <c r="E180" s="1502" t="s">
        <v>61</v>
      </c>
      <c r="F180" s="1502" t="str">
        <f>_xlfn.XLOOKUP(B180,Planilha1!A:A,Planilha1!B:B)</f>
        <v>OUTROS</v>
      </c>
      <c r="G180" s="1575">
        <v>900</v>
      </c>
      <c r="H180" s="1367">
        <v>329.9</v>
      </c>
      <c r="I180" s="1423">
        <f t="shared" si="19"/>
        <v>1.4804343923891581</v>
      </c>
      <c r="J180" s="1857">
        <v>222.84</v>
      </c>
      <c r="K180" s="1836">
        <f t="shared" si="20"/>
        <v>0</v>
      </c>
      <c r="L180" s="1317"/>
      <c r="M180" s="1356">
        <v>4</v>
      </c>
      <c r="N180" s="1346"/>
      <c r="O180" s="1343" t="e">
        <f t="shared" si="17"/>
        <v>#REF!</v>
      </c>
      <c r="P180" s="1343" t="e">
        <f t="shared" si="18"/>
        <v>#REF!</v>
      </c>
    </row>
    <row r="181" spans="1:16" ht="24.75" customHeight="1" thickBot="1">
      <c r="A181" s="1362"/>
      <c r="B181" s="1727">
        <v>430213029</v>
      </c>
      <c r="C181" s="1564" t="s">
        <v>59</v>
      </c>
      <c r="D181" s="1504" t="s">
        <v>67</v>
      </c>
      <c r="E181" s="1502" t="s">
        <v>61</v>
      </c>
      <c r="F181" s="1502" t="str">
        <f>_xlfn.XLOOKUP(B181,Planilha1!A:A,Planilha1!B:B)</f>
        <v>OUTROS</v>
      </c>
      <c r="G181" s="1575">
        <v>900</v>
      </c>
      <c r="H181" s="1367">
        <v>329.9</v>
      </c>
      <c r="I181" s="1423">
        <f t="shared" si="19"/>
        <v>1.4804343923891581</v>
      </c>
      <c r="J181" s="1857">
        <v>222.84</v>
      </c>
      <c r="K181" s="1836">
        <f t="shared" si="20"/>
        <v>0</v>
      </c>
      <c r="L181" s="1317"/>
      <c r="M181" s="1356">
        <v>4</v>
      </c>
      <c r="N181" s="1346"/>
      <c r="O181" s="1343" t="e">
        <f t="shared" si="17"/>
        <v>#REF!</v>
      </c>
      <c r="P181" s="1343" t="e">
        <f t="shared" si="18"/>
        <v>#REF!</v>
      </c>
    </row>
    <row r="182" spans="1:16" ht="24.75" customHeight="1" thickBot="1">
      <c r="A182" s="1362"/>
      <c r="B182" s="1727">
        <v>430213032</v>
      </c>
      <c r="C182" s="1564" t="s">
        <v>59</v>
      </c>
      <c r="D182" s="1504" t="s">
        <v>76</v>
      </c>
      <c r="E182" s="1502" t="s">
        <v>61</v>
      </c>
      <c r="F182" s="1502" t="str">
        <f>_xlfn.XLOOKUP(B182,Planilha1!A:A,Planilha1!B:B)</f>
        <v>OUTROS</v>
      </c>
      <c r="G182" s="1575">
        <v>900</v>
      </c>
      <c r="H182" s="1367">
        <v>329.9</v>
      </c>
      <c r="I182" s="1423">
        <f t="shared" si="19"/>
        <v>1.4804343923891581</v>
      </c>
      <c r="J182" s="1857">
        <v>222.84</v>
      </c>
      <c r="K182" s="1836">
        <f t="shared" si="20"/>
        <v>0</v>
      </c>
      <c r="L182" s="1317"/>
      <c r="M182" s="1356">
        <v>4</v>
      </c>
      <c r="N182" s="1346"/>
      <c r="O182" s="1343" t="e">
        <f t="shared" si="17"/>
        <v>#REF!</v>
      </c>
      <c r="P182" s="1343" t="e">
        <f t="shared" si="18"/>
        <v>#REF!</v>
      </c>
    </row>
    <row r="183" spans="1:16" ht="24.75" customHeight="1" thickBot="1">
      <c r="A183" s="1362"/>
      <c r="B183" s="1728">
        <v>430213036</v>
      </c>
      <c r="C183" s="1564" t="s">
        <v>59</v>
      </c>
      <c r="D183" s="1504" t="s">
        <v>275</v>
      </c>
      <c r="E183" s="1502" t="s">
        <v>61</v>
      </c>
      <c r="F183" s="1502" t="str">
        <f>_xlfn.XLOOKUP(B183,Planilha1!A:A,Planilha1!B:B)</f>
        <v>OUTROS</v>
      </c>
      <c r="G183" s="1575">
        <v>900</v>
      </c>
      <c r="H183" s="1367">
        <v>329.9</v>
      </c>
      <c r="I183" s="1423">
        <f t="shared" si="19"/>
        <v>1.4804343923891581</v>
      </c>
      <c r="J183" s="1857">
        <v>222.84</v>
      </c>
      <c r="K183" s="1836">
        <f t="shared" si="20"/>
        <v>0</v>
      </c>
      <c r="L183" s="1317"/>
      <c r="M183" s="1356">
        <v>4</v>
      </c>
      <c r="N183" s="1346"/>
      <c r="O183" s="1343" t="e">
        <f t="shared" si="17"/>
        <v>#REF!</v>
      </c>
      <c r="P183" s="1343" t="e">
        <f t="shared" si="18"/>
        <v>#REF!</v>
      </c>
    </row>
    <row r="184" spans="1:16" ht="24.75" customHeight="1" thickBot="1">
      <c r="A184" s="1362"/>
      <c r="B184" s="1728">
        <v>430213083</v>
      </c>
      <c r="C184" s="1564" t="s">
        <v>59</v>
      </c>
      <c r="D184" s="1504" t="s">
        <v>725</v>
      </c>
      <c r="E184" s="1502" t="s">
        <v>61</v>
      </c>
      <c r="F184" s="1502" t="str">
        <f>_xlfn.XLOOKUP(B184,Planilha1!A:A,Planilha1!B:B)</f>
        <v>OUTROS</v>
      </c>
      <c r="G184" s="1575">
        <v>900</v>
      </c>
      <c r="H184" s="1367">
        <v>329.9</v>
      </c>
      <c r="I184" s="1423">
        <f t="shared" si="19"/>
        <v>1.4804343923891581</v>
      </c>
      <c r="J184" s="1857">
        <v>222.84</v>
      </c>
      <c r="K184" s="1836">
        <f t="shared" si="20"/>
        <v>0</v>
      </c>
      <c r="L184" s="1317"/>
      <c r="M184" s="1356">
        <v>4</v>
      </c>
      <c r="N184" s="1346"/>
      <c r="O184" s="1343" t="e">
        <f t="shared" si="17"/>
        <v>#REF!</v>
      </c>
      <c r="P184" s="1343" t="e">
        <f t="shared" si="18"/>
        <v>#REF!</v>
      </c>
    </row>
    <row r="185" spans="1:16" ht="24.75" customHeight="1" thickBot="1">
      <c r="A185" s="1362"/>
      <c r="B185" s="1728">
        <v>430213047</v>
      </c>
      <c r="C185" s="1564" t="s">
        <v>59</v>
      </c>
      <c r="D185" s="1504" t="s">
        <v>276</v>
      </c>
      <c r="E185" s="1502" t="s">
        <v>61</v>
      </c>
      <c r="F185" s="1502" t="str">
        <f>_xlfn.XLOOKUP(B185,Planilha1!A:A,Planilha1!B:B)</f>
        <v>OUTROS</v>
      </c>
      <c r="G185" s="1575">
        <v>900</v>
      </c>
      <c r="H185" s="1367">
        <v>329.9</v>
      </c>
      <c r="I185" s="1423">
        <f t="shared" si="19"/>
        <v>1.4804343923891581</v>
      </c>
      <c r="J185" s="1857">
        <v>222.84</v>
      </c>
      <c r="K185" s="1836">
        <f t="shared" si="20"/>
        <v>0</v>
      </c>
      <c r="L185" s="1317"/>
      <c r="M185" s="1356">
        <v>4</v>
      </c>
      <c r="N185" s="1346"/>
      <c r="O185" s="1343" t="e">
        <f t="shared" si="17"/>
        <v>#REF!</v>
      </c>
      <c r="P185" s="1343" t="e">
        <f t="shared" si="18"/>
        <v>#REF!</v>
      </c>
    </row>
    <row r="186" spans="1:16" ht="24.75" customHeight="1" thickBot="1">
      <c r="A186" s="1362"/>
      <c r="B186" s="1728">
        <v>430213134</v>
      </c>
      <c r="C186" s="1564" t="s">
        <v>59</v>
      </c>
      <c r="D186" s="1504" t="s">
        <v>757</v>
      </c>
      <c r="E186" s="1502" t="s">
        <v>61</v>
      </c>
      <c r="F186" s="1502" t="s">
        <v>769</v>
      </c>
      <c r="G186" s="1575">
        <v>900</v>
      </c>
      <c r="H186" s="1367">
        <v>329.9</v>
      </c>
      <c r="I186" s="1423">
        <f t="shared" si="19"/>
        <v>1.4804343923891581</v>
      </c>
      <c r="J186" s="1857">
        <v>222.84</v>
      </c>
      <c r="K186" s="1836">
        <f t="shared" si="20"/>
        <v>0</v>
      </c>
      <c r="L186" s="1317"/>
      <c r="M186" s="1356">
        <v>4</v>
      </c>
      <c r="N186" s="1346"/>
      <c r="O186" s="1343" t="e">
        <f t="shared" si="17"/>
        <v>#REF!</v>
      </c>
      <c r="P186" s="1343" t="e">
        <f t="shared" si="18"/>
        <v>#REF!</v>
      </c>
    </row>
    <row r="187" spans="1:16" ht="35.25" customHeight="1" thickBot="1">
      <c r="A187" s="1362"/>
      <c r="B187" s="1728">
        <v>430213133</v>
      </c>
      <c r="C187" s="1564" t="s">
        <v>59</v>
      </c>
      <c r="D187" s="1504" t="s">
        <v>758</v>
      </c>
      <c r="E187" s="1502" t="s">
        <v>61</v>
      </c>
      <c r="F187" s="1502" t="s">
        <v>769</v>
      </c>
      <c r="G187" s="1575">
        <v>900</v>
      </c>
      <c r="H187" s="1367">
        <v>329.9</v>
      </c>
      <c r="I187" s="1423">
        <f t="shared" si="19"/>
        <v>1.4804343923891581</v>
      </c>
      <c r="J187" s="1857">
        <v>222.84</v>
      </c>
      <c r="K187" s="1851">
        <f t="shared" si="20"/>
        <v>0</v>
      </c>
      <c r="L187" s="1326"/>
      <c r="M187" s="1356">
        <v>4</v>
      </c>
      <c r="N187" s="1346"/>
      <c r="O187" s="1343" t="e">
        <f t="shared" si="17"/>
        <v>#REF!</v>
      </c>
      <c r="P187" s="1343" t="e">
        <f t="shared" si="18"/>
        <v>#REF!</v>
      </c>
    </row>
    <row r="188" spans="1:16" ht="35.25" customHeight="1" thickBot="1">
      <c r="A188" s="1580"/>
      <c r="B188" s="1743">
        <v>431909009</v>
      </c>
      <c r="C188" s="1582" t="s">
        <v>69</v>
      </c>
      <c r="D188" s="1583" t="s">
        <v>70</v>
      </c>
      <c r="E188" s="1584" t="s">
        <v>61</v>
      </c>
      <c r="F188" s="1584" t="str">
        <f>_xlfn.XLOOKUP(B188,Planilha1!A:A,Planilha1!B:B)</f>
        <v>OUTROS</v>
      </c>
      <c r="G188" s="1585" t="s">
        <v>731</v>
      </c>
      <c r="H188" s="1586">
        <v>194.9</v>
      </c>
      <c r="I188" s="1423">
        <f t="shared" si="19"/>
        <v>1.659994889702751</v>
      </c>
      <c r="J188" s="1857">
        <v>117.41000000000001</v>
      </c>
      <c r="K188" s="1853">
        <f t="shared" si="20"/>
        <v>0</v>
      </c>
      <c r="L188" s="1328"/>
      <c r="M188" s="1356">
        <v>4</v>
      </c>
      <c r="N188" s="1346"/>
      <c r="O188" s="1343" t="e">
        <f>#REF!+24</f>
        <v>#REF!</v>
      </c>
      <c r="P188" s="1343" t="e">
        <f>#REF!+12</f>
        <v>#REF!</v>
      </c>
    </row>
    <row r="189" spans="1:16" ht="35.25" customHeight="1" thickBot="1">
      <c r="A189" s="1580"/>
      <c r="B189" s="1741">
        <v>431909014</v>
      </c>
      <c r="C189" s="1503" t="s">
        <v>69</v>
      </c>
      <c r="D189" s="1504" t="s">
        <v>72</v>
      </c>
      <c r="E189" s="1502" t="s">
        <v>61</v>
      </c>
      <c r="F189" s="1502" t="str">
        <f>_xlfn.XLOOKUP(B189,Planilha1!A:A,Planilha1!B:B)</f>
        <v>OUTROS</v>
      </c>
      <c r="G189" s="1565" t="s">
        <v>731</v>
      </c>
      <c r="H189" s="1367">
        <v>194.9</v>
      </c>
      <c r="I189" s="1423">
        <f t="shared" si="19"/>
        <v>1.659994889702751</v>
      </c>
      <c r="J189" s="1857">
        <v>117.41000000000001</v>
      </c>
      <c r="K189" s="1836">
        <f t="shared" si="20"/>
        <v>0</v>
      </c>
      <c r="L189" s="1317"/>
      <c r="M189" s="1356">
        <v>4</v>
      </c>
      <c r="N189" s="1346"/>
      <c r="O189" s="1343" t="e">
        <f>O188+24</f>
        <v>#REF!</v>
      </c>
      <c r="P189" s="1343" t="e">
        <f>P188+12</f>
        <v>#REF!</v>
      </c>
    </row>
    <row r="190" spans="1:16" ht="35.25" customHeight="1" thickBot="1">
      <c r="A190" s="1580"/>
      <c r="B190" s="1744">
        <v>431909039</v>
      </c>
      <c r="C190" s="1587" t="s">
        <v>69</v>
      </c>
      <c r="D190" s="1588" t="s">
        <v>74</v>
      </c>
      <c r="E190" s="1589" t="s">
        <v>61</v>
      </c>
      <c r="F190" s="1589" t="str">
        <f>_xlfn.XLOOKUP(B190,Planilha1!A:A,Planilha1!B:B)</f>
        <v>OUTROS</v>
      </c>
      <c r="G190" s="1590" t="s">
        <v>731</v>
      </c>
      <c r="H190" s="1553">
        <v>194.9</v>
      </c>
      <c r="I190" s="1423">
        <f t="shared" si="19"/>
        <v>1.659994889702751</v>
      </c>
      <c r="J190" s="1857">
        <v>117.41000000000001</v>
      </c>
      <c r="K190" s="1854">
        <f t="shared" si="20"/>
        <v>0</v>
      </c>
      <c r="L190" s="1329"/>
      <c r="M190" s="1413">
        <v>4</v>
      </c>
      <c r="N190" s="1346"/>
      <c r="O190" s="1343" t="e">
        <f>O189+24</f>
        <v>#REF!</v>
      </c>
      <c r="P190" s="1343" t="e">
        <f>P189+12</f>
        <v>#REF!</v>
      </c>
    </row>
    <row r="191" spans="1:16" ht="35.25" customHeight="1" thickBot="1">
      <c r="A191" s="1580"/>
      <c r="B191" s="1741">
        <v>414013123</v>
      </c>
      <c r="C191" s="1363" t="s">
        <v>759</v>
      </c>
      <c r="D191" s="1364" t="s">
        <v>760</v>
      </c>
      <c r="E191" s="1365" t="s">
        <v>61</v>
      </c>
      <c r="F191" s="1365" t="str">
        <f>_xlfn.XLOOKUP(B191,Planilha1!A:A,Planilha1!B:B)</f>
        <v>OUTROS</v>
      </c>
      <c r="G191" s="1591" t="s">
        <v>761</v>
      </c>
      <c r="H191" s="1592">
        <v>271.89999999999998</v>
      </c>
      <c r="I191" s="1423">
        <f t="shared" si="19"/>
        <v>1.4107819228973175</v>
      </c>
      <c r="J191" s="1857">
        <v>192.73</v>
      </c>
      <c r="K191" s="1855">
        <f t="shared" si="20"/>
        <v>0</v>
      </c>
      <c r="L191" s="1330"/>
      <c r="M191" s="1412">
        <v>4</v>
      </c>
      <c r="N191" s="1346"/>
      <c r="O191" s="1343" t="e">
        <f t="shared" si="17"/>
        <v>#REF!</v>
      </c>
      <c r="P191" s="1343" t="e">
        <f t="shared" si="18"/>
        <v>#REF!</v>
      </c>
    </row>
    <row r="192" spans="1:16" ht="35.25" customHeight="1" thickBot="1">
      <c r="A192" s="1580"/>
      <c r="B192" s="1741">
        <v>414013124</v>
      </c>
      <c r="C192" s="1363" t="s">
        <v>759</v>
      </c>
      <c r="D192" s="1364" t="s">
        <v>762</v>
      </c>
      <c r="E192" s="1365" t="s">
        <v>61</v>
      </c>
      <c r="F192" s="1365" t="str">
        <f>_xlfn.XLOOKUP(B192,Planilha1!A:A,Planilha1!B:B)</f>
        <v>OUTROS</v>
      </c>
      <c r="G192" s="1591" t="s">
        <v>761</v>
      </c>
      <c r="H192" s="1367">
        <v>271.89999999999998</v>
      </c>
      <c r="I192" s="1423">
        <f t="shared" si="19"/>
        <v>1.4107819228973175</v>
      </c>
      <c r="J192" s="1857">
        <v>192.73</v>
      </c>
      <c r="K192" s="1836">
        <f t="shared" si="20"/>
        <v>0</v>
      </c>
      <c r="L192" s="1317"/>
      <c r="M192" s="1356">
        <v>4</v>
      </c>
      <c r="N192" s="1346"/>
      <c r="O192" s="1343" t="e">
        <f t="shared" si="17"/>
        <v>#REF!</v>
      </c>
      <c r="P192" s="1343" t="e">
        <f t="shared" si="18"/>
        <v>#REF!</v>
      </c>
    </row>
    <row r="193" spans="1:16" ht="35.25" customHeight="1" thickBot="1">
      <c r="A193" s="1580"/>
      <c r="B193" s="1741">
        <v>414113126</v>
      </c>
      <c r="C193" s="1363" t="s">
        <v>759</v>
      </c>
      <c r="D193" s="1364" t="s">
        <v>763</v>
      </c>
      <c r="E193" s="1365" t="s">
        <v>61</v>
      </c>
      <c r="F193" s="1365" t="str">
        <f>_xlfn.XLOOKUP(B193,Planilha1!A:A,Planilha1!B:B)</f>
        <v>OUTROS</v>
      </c>
      <c r="G193" s="1591" t="s">
        <v>761</v>
      </c>
      <c r="H193" s="1367">
        <v>271.89999999999998</v>
      </c>
      <c r="I193" s="1423">
        <f t="shared" si="19"/>
        <v>1.4107819228973175</v>
      </c>
      <c r="J193" s="1857">
        <v>192.73</v>
      </c>
      <c r="K193" s="1836">
        <f t="shared" si="20"/>
        <v>0</v>
      </c>
      <c r="L193" s="1317"/>
      <c r="M193" s="1356">
        <v>4</v>
      </c>
      <c r="N193" s="1346"/>
      <c r="O193" s="1343"/>
      <c r="P193" s="1343"/>
    </row>
    <row r="194" spans="1:16" ht="35.25" customHeight="1" thickBot="1">
      <c r="A194" s="1580"/>
      <c r="B194" s="1742">
        <v>414113125</v>
      </c>
      <c r="C194" s="1785" t="s">
        <v>759</v>
      </c>
      <c r="D194" s="1786" t="s">
        <v>764</v>
      </c>
      <c r="E194" s="1787" t="s">
        <v>61</v>
      </c>
      <c r="F194" s="1787" t="str">
        <f>_xlfn.XLOOKUP(B194,Planilha1!A:A,Planilha1!B:B)</f>
        <v>OUTROS</v>
      </c>
      <c r="G194" s="1788" t="s">
        <v>761</v>
      </c>
      <c r="H194" s="1581">
        <v>271.89999999999998</v>
      </c>
      <c r="I194" s="1423">
        <f t="shared" si="19"/>
        <v>1.4107819228973175</v>
      </c>
      <c r="J194" s="1857">
        <v>192.73</v>
      </c>
      <c r="K194" s="1856">
        <f t="shared" si="20"/>
        <v>0</v>
      </c>
      <c r="L194" s="1789"/>
      <c r="M194" s="1790">
        <v>4</v>
      </c>
      <c r="N194" s="1346"/>
      <c r="O194" s="1343"/>
      <c r="P194" s="1343"/>
    </row>
    <row r="195" spans="1:16" ht="33" customHeight="1" thickBot="1">
      <c r="A195" s="1580"/>
      <c r="B195" s="1741">
        <v>414174125</v>
      </c>
      <c r="C195" s="1363" t="s">
        <v>759</v>
      </c>
      <c r="D195" s="1364" t="s">
        <v>764</v>
      </c>
      <c r="E195" s="1365" t="s">
        <v>123</v>
      </c>
      <c r="F195" s="1365" t="s">
        <v>770</v>
      </c>
      <c r="G195" s="1591">
        <v>28</v>
      </c>
      <c r="H195" s="1367">
        <v>15.9</v>
      </c>
      <c r="I195" s="1423">
        <f t="shared" si="19"/>
        <v>1.423455684870188</v>
      </c>
      <c r="J195" s="1857">
        <v>11.17</v>
      </c>
      <c r="K195" s="1836">
        <f t="shared" si="20"/>
        <v>0</v>
      </c>
      <c r="L195" s="1335"/>
      <c r="M195" s="1356">
        <v>40</v>
      </c>
      <c r="N195" s="1346"/>
      <c r="O195" s="1343" t="e">
        <f>O192+24</f>
        <v>#REF!</v>
      </c>
      <c r="P195" s="1343" t="e">
        <f>P192+12</f>
        <v>#REF!</v>
      </c>
    </row>
    <row r="196" spans="1:16" ht="33" customHeight="1" thickBot="1">
      <c r="A196" s="1580"/>
      <c r="B196" s="1744">
        <v>414074123</v>
      </c>
      <c r="C196" s="1781" t="s">
        <v>759</v>
      </c>
      <c r="D196" s="1782" t="s">
        <v>760</v>
      </c>
      <c r="E196" s="1783" t="s">
        <v>123</v>
      </c>
      <c r="F196" s="1783" t="s">
        <v>770</v>
      </c>
      <c r="G196" s="1784">
        <v>28</v>
      </c>
      <c r="H196" s="1553">
        <v>15.9</v>
      </c>
      <c r="I196" s="1423">
        <f t="shared" si="19"/>
        <v>1.423455684870188</v>
      </c>
      <c r="J196" s="1857">
        <v>11.17</v>
      </c>
      <c r="K196" s="1854">
        <f t="shared" si="20"/>
        <v>0</v>
      </c>
      <c r="L196" s="1336"/>
      <c r="M196" s="1409">
        <v>40</v>
      </c>
      <c r="N196" s="1346"/>
      <c r="O196" s="1343" t="e">
        <f t="shared" ref="O196:O255" si="21">O195+24</f>
        <v>#REF!</v>
      </c>
      <c r="P196" s="1343" t="e">
        <f t="shared" si="18"/>
        <v>#REF!</v>
      </c>
    </row>
    <row r="197" spans="1:16" ht="33" customHeight="1" thickBot="1">
      <c r="A197" s="1362"/>
      <c r="B197" s="1728">
        <v>410727009</v>
      </c>
      <c r="C197" s="1363" t="s">
        <v>122</v>
      </c>
      <c r="D197" s="1364" t="s">
        <v>70</v>
      </c>
      <c r="E197" s="1365" t="s">
        <v>123</v>
      </c>
      <c r="F197" s="1365" t="str">
        <f>_xlfn.XLOOKUP(B197,Planilha1!A:A,Planilha1!B:B)</f>
        <v>SACHES</v>
      </c>
      <c r="G197" s="1591">
        <v>28</v>
      </c>
      <c r="H197" s="1367">
        <v>12.9</v>
      </c>
      <c r="I197" s="1423">
        <f t="shared" si="19"/>
        <v>1.4269911504424782</v>
      </c>
      <c r="J197" s="1857">
        <v>9.0399999999999991</v>
      </c>
      <c r="K197" s="1836">
        <f t="shared" si="20"/>
        <v>0</v>
      </c>
      <c r="L197" s="1315"/>
      <c r="M197" s="1356">
        <v>10</v>
      </c>
      <c r="N197" s="1346"/>
      <c r="O197" s="1343" t="e">
        <f t="shared" si="21"/>
        <v>#REF!</v>
      </c>
      <c r="P197" s="1343" t="e">
        <f t="shared" si="18"/>
        <v>#REF!</v>
      </c>
    </row>
    <row r="198" spans="1:16" ht="33" customHeight="1" thickBot="1">
      <c r="A198" s="1362"/>
      <c r="B198" s="1728">
        <v>410727013</v>
      </c>
      <c r="C198" s="1363" t="s">
        <v>122</v>
      </c>
      <c r="D198" s="1364" t="s">
        <v>312</v>
      </c>
      <c r="E198" s="1365" t="s">
        <v>123</v>
      </c>
      <c r="F198" s="1365" t="str">
        <f>_xlfn.XLOOKUP(B198,Planilha1!A:A,Planilha1!B:B)</f>
        <v>SACHES</v>
      </c>
      <c r="G198" s="1366">
        <v>28</v>
      </c>
      <c r="H198" s="1367">
        <v>12.9</v>
      </c>
      <c r="I198" s="1423">
        <f t="shared" si="19"/>
        <v>1.4269911504424782</v>
      </c>
      <c r="J198" s="1857">
        <v>9.0399999999999991</v>
      </c>
      <c r="K198" s="1836">
        <f t="shared" si="20"/>
        <v>0</v>
      </c>
      <c r="L198" s="1315"/>
      <c r="M198" s="1356">
        <v>10</v>
      </c>
      <c r="N198" s="1346"/>
      <c r="O198" s="1343" t="e">
        <f t="shared" si="21"/>
        <v>#REF!</v>
      </c>
      <c r="P198" s="1343" t="e">
        <f t="shared" si="18"/>
        <v>#REF!</v>
      </c>
    </row>
    <row r="199" spans="1:16" ht="33" customHeight="1" thickBot="1">
      <c r="A199" s="1362"/>
      <c r="B199" s="1728">
        <v>410774015</v>
      </c>
      <c r="C199" s="1363" t="s">
        <v>122</v>
      </c>
      <c r="D199" s="1364" t="s">
        <v>124</v>
      </c>
      <c r="E199" s="1365" t="s">
        <v>123</v>
      </c>
      <c r="F199" s="1365" t="str">
        <f>_xlfn.XLOOKUP(B199,Planilha1!A:A,Planilha1!B:B)</f>
        <v>SACHES</v>
      </c>
      <c r="G199" s="1366">
        <v>28</v>
      </c>
      <c r="H199" s="1367">
        <v>12.9</v>
      </c>
      <c r="I199" s="1423">
        <f t="shared" si="19"/>
        <v>1.4269911504424782</v>
      </c>
      <c r="J199" s="1857">
        <v>9.0399999999999991</v>
      </c>
      <c r="K199" s="1836">
        <f t="shared" si="20"/>
        <v>0</v>
      </c>
      <c r="L199" s="1315"/>
      <c r="M199" s="1356">
        <v>10</v>
      </c>
      <c r="N199" s="1346"/>
      <c r="O199" s="1343" t="e">
        <f t="shared" si="21"/>
        <v>#REF!</v>
      </c>
      <c r="P199" s="1343" t="e">
        <f t="shared" si="18"/>
        <v>#REF!</v>
      </c>
    </row>
    <row r="200" spans="1:16" ht="33" customHeight="1" thickBot="1">
      <c r="A200" s="1362"/>
      <c r="B200" s="1728">
        <v>410727079</v>
      </c>
      <c r="C200" s="1363" t="s">
        <v>122</v>
      </c>
      <c r="D200" s="1364" t="s">
        <v>591</v>
      </c>
      <c r="E200" s="1365" t="s">
        <v>123</v>
      </c>
      <c r="F200" s="1365" t="str">
        <f>_xlfn.XLOOKUP(B200,Planilha1!A:A,Planilha1!B:B)</f>
        <v>SACHES</v>
      </c>
      <c r="G200" s="1366">
        <v>28</v>
      </c>
      <c r="H200" s="1367">
        <v>12.9</v>
      </c>
      <c r="I200" s="1423">
        <f t="shared" si="19"/>
        <v>1.4269911504424782</v>
      </c>
      <c r="J200" s="1857">
        <v>9.0399999999999991</v>
      </c>
      <c r="K200" s="1836">
        <f t="shared" si="20"/>
        <v>0</v>
      </c>
      <c r="L200" s="1315"/>
      <c r="M200" s="1356">
        <v>10</v>
      </c>
      <c r="N200" s="1346"/>
      <c r="O200" s="1343" t="e">
        <f t="shared" si="21"/>
        <v>#REF!</v>
      </c>
      <c r="P200" s="1343" t="e">
        <f t="shared" si="18"/>
        <v>#REF!</v>
      </c>
    </row>
    <row r="201" spans="1:16" ht="33" customHeight="1" thickBot="1">
      <c r="A201" s="1362"/>
      <c r="B201" s="1727">
        <v>410774018</v>
      </c>
      <c r="C201" s="1363" t="s">
        <v>122</v>
      </c>
      <c r="D201" s="1364" t="s">
        <v>125</v>
      </c>
      <c r="E201" s="1365" t="s">
        <v>123</v>
      </c>
      <c r="F201" s="1365" t="str">
        <f>_xlfn.XLOOKUP(B201,Planilha1!A:A,Planilha1!B:B)</f>
        <v>SACHES</v>
      </c>
      <c r="G201" s="1366">
        <v>28</v>
      </c>
      <c r="H201" s="1367">
        <v>12.9</v>
      </c>
      <c r="I201" s="1423">
        <f t="shared" si="19"/>
        <v>1.4269911504424782</v>
      </c>
      <c r="J201" s="1857">
        <v>9.0399999999999991</v>
      </c>
      <c r="K201" s="1836">
        <f t="shared" si="20"/>
        <v>0</v>
      </c>
      <c r="L201" s="1315"/>
      <c r="M201" s="1356">
        <v>10</v>
      </c>
      <c r="N201" s="1346"/>
      <c r="O201" s="1343" t="e">
        <f t="shared" si="21"/>
        <v>#REF!</v>
      </c>
      <c r="P201" s="1343" t="e">
        <f t="shared" si="18"/>
        <v>#REF!</v>
      </c>
    </row>
    <row r="202" spans="1:16" ht="33" customHeight="1" thickBot="1">
      <c r="A202" s="1362"/>
      <c r="B202" s="1728">
        <v>410774020</v>
      </c>
      <c r="C202" s="1363" t="s">
        <v>122</v>
      </c>
      <c r="D202" s="1364" t="s">
        <v>274</v>
      </c>
      <c r="E202" s="1365" t="s">
        <v>123</v>
      </c>
      <c r="F202" s="1365" t="str">
        <f>_xlfn.XLOOKUP(B202,Planilha1!A:A,Planilha1!B:B)</f>
        <v>SACHES</v>
      </c>
      <c r="G202" s="1366">
        <v>28</v>
      </c>
      <c r="H202" s="1367">
        <v>12.9</v>
      </c>
      <c r="I202" s="1423">
        <f t="shared" si="19"/>
        <v>1.4269911504424782</v>
      </c>
      <c r="J202" s="1857">
        <v>9.0399999999999991</v>
      </c>
      <c r="K202" s="1836">
        <f t="shared" si="20"/>
        <v>0</v>
      </c>
      <c r="L202" s="1315"/>
      <c r="M202" s="1356">
        <v>10</v>
      </c>
      <c r="N202" s="1346"/>
      <c r="O202" s="1343" t="e">
        <f t="shared" si="21"/>
        <v>#REF!</v>
      </c>
      <c r="P202" s="1343" t="e">
        <f t="shared" si="18"/>
        <v>#REF!</v>
      </c>
    </row>
    <row r="203" spans="1:16" ht="33" customHeight="1" thickBot="1">
      <c r="A203" s="1362"/>
      <c r="B203" s="1728">
        <v>410727022</v>
      </c>
      <c r="C203" s="1363" t="s">
        <v>122</v>
      </c>
      <c r="D203" s="1364" t="s">
        <v>118</v>
      </c>
      <c r="E203" s="1365" t="s">
        <v>123</v>
      </c>
      <c r="F203" s="1365" t="str">
        <f>_xlfn.XLOOKUP(B203,Planilha1!A:A,Planilha1!B:B)</f>
        <v>SACHES</v>
      </c>
      <c r="G203" s="1366">
        <v>28</v>
      </c>
      <c r="H203" s="1367">
        <v>12.9</v>
      </c>
      <c r="I203" s="1423">
        <f t="shared" si="19"/>
        <v>1.4269911504424782</v>
      </c>
      <c r="J203" s="1857">
        <v>9.0399999999999991</v>
      </c>
      <c r="K203" s="1836">
        <f t="shared" ref="K203:K262" si="22">L203*J203</f>
        <v>0</v>
      </c>
      <c r="L203" s="1315"/>
      <c r="M203" s="1356">
        <v>10</v>
      </c>
      <c r="N203" s="1346"/>
      <c r="O203" s="1343" t="e">
        <f t="shared" si="21"/>
        <v>#REF!</v>
      </c>
      <c r="P203" s="1343" t="e">
        <f t="shared" si="18"/>
        <v>#REF!</v>
      </c>
    </row>
    <row r="204" spans="1:16" ht="33" customHeight="1" thickBot="1">
      <c r="A204" s="1362"/>
      <c r="B204" s="1728">
        <v>410774023</v>
      </c>
      <c r="C204" s="1363" t="s">
        <v>122</v>
      </c>
      <c r="D204" s="1364" t="s">
        <v>126</v>
      </c>
      <c r="E204" s="1365" t="s">
        <v>123</v>
      </c>
      <c r="F204" s="1365" t="str">
        <f>_xlfn.XLOOKUP(B204,Planilha1!A:A,Planilha1!B:B)</f>
        <v>SACHES</v>
      </c>
      <c r="G204" s="1366">
        <v>28</v>
      </c>
      <c r="H204" s="1367">
        <v>12.9</v>
      </c>
      <c r="I204" s="1423">
        <f t="shared" si="19"/>
        <v>1.4269911504424782</v>
      </c>
      <c r="J204" s="1857">
        <v>9.0399999999999991</v>
      </c>
      <c r="K204" s="1836">
        <f t="shared" si="22"/>
        <v>0</v>
      </c>
      <c r="L204" s="1315"/>
      <c r="M204" s="1356">
        <v>10</v>
      </c>
      <c r="N204" s="1346"/>
      <c r="O204" s="1343" t="e">
        <f t="shared" si="21"/>
        <v>#REF!</v>
      </c>
      <c r="P204" s="1343" t="e">
        <f t="shared" si="18"/>
        <v>#REF!</v>
      </c>
    </row>
    <row r="205" spans="1:16" s="1415" customFormat="1" ht="33" customHeight="1" thickBot="1">
      <c r="A205" s="1362"/>
      <c r="B205" s="1728">
        <v>410774027</v>
      </c>
      <c r="C205" s="1363" t="s">
        <v>122</v>
      </c>
      <c r="D205" s="1364" t="s">
        <v>271</v>
      </c>
      <c r="E205" s="1365" t="s">
        <v>123</v>
      </c>
      <c r="F205" s="1365" t="str">
        <f>_xlfn.XLOOKUP(B205,Planilha1!A:A,Planilha1!B:B)</f>
        <v>SACHES</v>
      </c>
      <c r="G205" s="1366">
        <v>28</v>
      </c>
      <c r="H205" s="1367">
        <v>12.9</v>
      </c>
      <c r="I205" s="1423">
        <f t="shared" si="19"/>
        <v>1.4269911504424782</v>
      </c>
      <c r="J205" s="1857">
        <v>9.0399999999999991</v>
      </c>
      <c r="K205" s="1836">
        <f t="shared" si="22"/>
        <v>0</v>
      </c>
      <c r="L205" s="1315"/>
      <c r="M205" s="1356">
        <v>10</v>
      </c>
      <c r="N205" s="1414"/>
      <c r="O205" s="1343" t="e">
        <f t="shared" si="21"/>
        <v>#REF!</v>
      </c>
      <c r="P205" s="1343" t="e">
        <f t="shared" si="18"/>
        <v>#REF!</v>
      </c>
    </row>
    <row r="206" spans="1:16" s="1415" customFormat="1" ht="33" customHeight="1" thickBot="1">
      <c r="A206" s="1362"/>
      <c r="B206" s="1728">
        <v>410774039</v>
      </c>
      <c r="C206" s="1363" t="s">
        <v>122</v>
      </c>
      <c r="D206" s="1364" t="s">
        <v>74</v>
      </c>
      <c r="E206" s="1365" t="s">
        <v>123</v>
      </c>
      <c r="F206" s="1365" t="str">
        <f>_xlfn.XLOOKUP(B206,Planilha1!A:A,Planilha1!B:B)</f>
        <v>SACHES</v>
      </c>
      <c r="G206" s="1366">
        <v>28</v>
      </c>
      <c r="H206" s="1367">
        <v>12.9</v>
      </c>
      <c r="I206" s="1423">
        <f t="shared" si="19"/>
        <v>1.4269911504424782</v>
      </c>
      <c r="J206" s="1857">
        <v>9.0399999999999991</v>
      </c>
      <c r="K206" s="1836">
        <f t="shared" si="22"/>
        <v>0</v>
      </c>
      <c r="L206" s="1315"/>
      <c r="M206" s="1356">
        <v>10</v>
      </c>
      <c r="N206" s="1414"/>
      <c r="O206" s="1343" t="e">
        <f t="shared" si="21"/>
        <v>#REF!</v>
      </c>
      <c r="P206" s="1343" t="e">
        <f t="shared" si="18"/>
        <v>#REF!</v>
      </c>
    </row>
    <row r="207" spans="1:16" s="1415" customFormat="1" ht="27" customHeight="1" thickBot="1">
      <c r="A207" s="1362"/>
      <c r="B207" s="1728">
        <v>410774044</v>
      </c>
      <c r="C207" s="1363" t="s">
        <v>122</v>
      </c>
      <c r="D207" s="1364" t="s">
        <v>80</v>
      </c>
      <c r="E207" s="1365" t="s">
        <v>123</v>
      </c>
      <c r="F207" s="1365" t="str">
        <f>_xlfn.XLOOKUP(B207,Planilha1!A:A,Planilha1!B:B)</f>
        <v>SACHES</v>
      </c>
      <c r="G207" s="1366">
        <v>25</v>
      </c>
      <c r="H207" s="1367">
        <v>12.9</v>
      </c>
      <c r="I207" s="1423">
        <f t="shared" si="19"/>
        <v>1.4269911504424782</v>
      </c>
      <c r="J207" s="1857">
        <v>9.0399999999999991</v>
      </c>
      <c r="K207" s="1836">
        <f t="shared" si="22"/>
        <v>0</v>
      </c>
      <c r="L207" s="1315"/>
      <c r="M207" s="1356">
        <v>10</v>
      </c>
      <c r="N207" s="1414"/>
      <c r="O207" s="1343" t="e">
        <f t="shared" si="21"/>
        <v>#REF!</v>
      </c>
      <c r="P207" s="1343" t="e">
        <f t="shared" si="18"/>
        <v>#REF!</v>
      </c>
    </row>
    <row r="208" spans="1:16" s="1415" customFormat="1" ht="27" customHeight="1" thickBot="1">
      <c r="A208" s="1362"/>
      <c r="B208" s="1728">
        <v>410727115</v>
      </c>
      <c r="C208" s="1484" t="s">
        <v>122</v>
      </c>
      <c r="D208" s="1485" t="s">
        <v>733</v>
      </c>
      <c r="E208" s="1486" t="s">
        <v>123</v>
      </c>
      <c r="F208" s="1486" t="str">
        <f>_xlfn.XLOOKUP(B208,Planilha1!A:A,Planilha1!B:B)</f>
        <v>SACHES</v>
      </c>
      <c r="G208" s="1366">
        <v>25</v>
      </c>
      <c r="H208" s="1367">
        <v>12.9</v>
      </c>
      <c r="I208" s="1423">
        <f t="shared" si="19"/>
        <v>1.4269911504424782</v>
      </c>
      <c r="J208" s="1857">
        <v>9.0399999999999991</v>
      </c>
      <c r="K208" s="1836">
        <f t="shared" si="22"/>
        <v>0</v>
      </c>
      <c r="L208" s="1315"/>
      <c r="M208" s="1356">
        <v>10</v>
      </c>
      <c r="N208" s="1414"/>
      <c r="O208" s="1343" t="e">
        <f t="shared" si="21"/>
        <v>#REF!</v>
      </c>
      <c r="P208" s="1343" t="e">
        <f t="shared" si="18"/>
        <v>#REF!</v>
      </c>
    </row>
    <row r="209" spans="1:16" s="1415" customFormat="1" ht="27" customHeight="1" thickBot="1">
      <c r="A209" s="1362"/>
      <c r="B209" s="1745">
        <v>410727068</v>
      </c>
      <c r="C209" s="1593" t="s">
        <v>122</v>
      </c>
      <c r="D209" s="1594" t="s">
        <v>548</v>
      </c>
      <c r="E209" s="1595" t="s">
        <v>123</v>
      </c>
      <c r="F209" s="1595" t="str">
        <f>_xlfn.XLOOKUP(B209,Planilha1!A:A,Planilha1!B:B)</f>
        <v>SACHES</v>
      </c>
      <c r="G209" s="1596">
        <v>30</v>
      </c>
      <c r="H209" s="1385">
        <v>12.9</v>
      </c>
      <c r="I209" s="1423">
        <f t="shared" si="19"/>
        <v>1.4269911504424782</v>
      </c>
      <c r="J209" s="1857">
        <v>9.0399999999999991</v>
      </c>
      <c r="K209" s="1843">
        <f t="shared" si="22"/>
        <v>0</v>
      </c>
      <c r="L209" s="1332"/>
      <c r="M209" s="1416">
        <v>10</v>
      </c>
      <c r="N209" s="1414"/>
      <c r="O209" s="1343" t="e">
        <f t="shared" si="21"/>
        <v>#REF!</v>
      </c>
      <c r="P209" s="1343" t="e">
        <f t="shared" si="18"/>
        <v>#REF!</v>
      </c>
    </row>
    <row r="210" spans="1:16" s="1415" customFormat="1" ht="27" customHeight="1" thickBot="1">
      <c r="A210" s="1362"/>
      <c r="B210" s="1728">
        <v>410727120</v>
      </c>
      <c r="C210" s="1363" t="s">
        <v>122</v>
      </c>
      <c r="D210" s="1364" t="s">
        <v>740</v>
      </c>
      <c r="E210" s="1365" t="s">
        <v>123</v>
      </c>
      <c r="F210" s="1365" t="str">
        <f>_xlfn.XLOOKUP(B210,Planilha1!A:A,Planilha1!B:B)</f>
        <v>SACHES</v>
      </c>
      <c r="G210" s="1366">
        <v>30</v>
      </c>
      <c r="H210" s="1367">
        <v>12.9</v>
      </c>
      <c r="I210" s="1423">
        <f t="shared" ref="I210:I273" si="23">IFERROR(H210/J210,"")</f>
        <v>1.4269911504424782</v>
      </c>
      <c r="J210" s="1857">
        <v>9.0399999999999991</v>
      </c>
      <c r="K210" s="1836">
        <f t="shared" si="22"/>
        <v>0</v>
      </c>
      <c r="L210" s="1315"/>
      <c r="M210" s="1356">
        <v>10</v>
      </c>
      <c r="N210" s="1414"/>
      <c r="O210" s="1343" t="e">
        <f t="shared" si="21"/>
        <v>#REF!</v>
      </c>
      <c r="P210" s="1343" t="e">
        <f t="shared" si="18"/>
        <v>#REF!</v>
      </c>
    </row>
    <row r="211" spans="1:16" ht="33" customHeight="1" thickBot="1">
      <c r="A211" s="1362"/>
      <c r="B211" s="1728">
        <v>410727119</v>
      </c>
      <c r="C211" s="1363" t="s">
        <v>122</v>
      </c>
      <c r="D211" s="1364" t="s">
        <v>741</v>
      </c>
      <c r="E211" s="1365" t="s">
        <v>123</v>
      </c>
      <c r="F211" s="1365" t="str">
        <f>_xlfn.XLOOKUP(B211,Planilha1!A:A,Planilha1!B:B)</f>
        <v>SACHES</v>
      </c>
      <c r="G211" s="1366">
        <v>30</v>
      </c>
      <c r="H211" s="1367">
        <v>12.9</v>
      </c>
      <c r="I211" s="1423">
        <f t="shared" si="23"/>
        <v>1.4269911504424782</v>
      </c>
      <c r="J211" s="1857">
        <v>9.0399999999999991</v>
      </c>
      <c r="K211" s="1836">
        <f t="shared" si="22"/>
        <v>0</v>
      </c>
      <c r="L211" s="1315"/>
      <c r="M211" s="1356">
        <v>10</v>
      </c>
      <c r="N211" s="1346"/>
      <c r="O211" s="1343" t="e">
        <f t="shared" si="21"/>
        <v>#REF!</v>
      </c>
      <c r="P211" s="1343" t="e">
        <f t="shared" si="18"/>
        <v>#REF!</v>
      </c>
    </row>
    <row r="212" spans="1:16" ht="33" customHeight="1" thickBot="1">
      <c r="A212" s="1362"/>
      <c r="B212" s="1746">
        <v>410727122</v>
      </c>
      <c r="C212" s="1597" t="s">
        <v>122</v>
      </c>
      <c r="D212" s="1598" t="s">
        <v>742</v>
      </c>
      <c r="E212" s="1599" t="s">
        <v>123</v>
      </c>
      <c r="F212" s="1599" t="str">
        <f>_xlfn.XLOOKUP(B212,Planilha1!A:A,Planilha1!B:B)</f>
        <v>SACHES</v>
      </c>
      <c r="G212" s="1600">
        <v>30</v>
      </c>
      <c r="H212" s="1380">
        <v>12.9</v>
      </c>
      <c r="I212" s="1423">
        <f t="shared" si="23"/>
        <v>1.4269911504424782</v>
      </c>
      <c r="J212" s="1857">
        <v>9.0399999999999991</v>
      </c>
      <c r="K212" s="1844">
        <f t="shared" si="22"/>
        <v>0</v>
      </c>
      <c r="L212" s="1331"/>
      <c r="M212" s="1417">
        <v>10</v>
      </c>
      <c r="N212" s="1346"/>
      <c r="O212" s="1343" t="e">
        <f t="shared" si="21"/>
        <v>#REF!</v>
      </c>
      <c r="P212" s="1343" t="e">
        <f t="shared" si="18"/>
        <v>#REF!</v>
      </c>
    </row>
    <row r="213" spans="1:16" ht="33" customHeight="1" thickBot="1">
      <c r="A213" s="1601"/>
      <c r="B213" s="1747">
        <v>410709009</v>
      </c>
      <c r="C213" s="1363" t="s">
        <v>128</v>
      </c>
      <c r="D213" s="1364" t="s">
        <v>70</v>
      </c>
      <c r="E213" s="1365" t="s">
        <v>61</v>
      </c>
      <c r="F213" s="1365" t="str">
        <f>_xlfn.XLOOKUP(B213,Planilha1!A:A,Planilha1!B:B)</f>
        <v>OUTROS</v>
      </c>
      <c r="G213" s="1489">
        <v>450</v>
      </c>
      <c r="H213" s="1385">
        <v>144.9</v>
      </c>
      <c r="I213" s="1423">
        <f t="shared" si="23"/>
        <v>1.3827655310621243</v>
      </c>
      <c r="J213" s="1857">
        <v>104.79</v>
      </c>
      <c r="K213" s="1843">
        <f t="shared" si="22"/>
        <v>0</v>
      </c>
      <c r="L213" s="1333"/>
      <c r="M213" s="1398">
        <v>4</v>
      </c>
      <c r="N213" s="1346"/>
      <c r="O213" s="1343" t="e">
        <f t="shared" si="21"/>
        <v>#REF!</v>
      </c>
      <c r="P213" s="1343" t="e">
        <f t="shared" si="18"/>
        <v>#REF!</v>
      </c>
    </row>
    <row r="214" spans="1:16" ht="33" customHeight="1" thickBot="1">
      <c r="A214" s="1362"/>
      <c r="B214" s="1728">
        <v>410709013</v>
      </c>
      <c r="C214" s="1363" t="s">
        <v>128</v>
      </c>
      <c r="D214" s="1364" t="s">
        <v>312</v>
      </c>
      <c r="E214" s="1365" t="s">
        <v>61</v>
      </c>
      <c r="F214" s="1365" t="str">
        <f>_xlfn.XLOOKUP(B214,Planilha1!A:A,Planilha1!B:B)</f>
        <v>OUTROS</v>
      </c>
      <c r="G214" s="1366">
        <v>450</v>
      </c>
      <c r="H214" s="1367">
        <v>144.9</v>
      </c>
      <c r="I214" s="1423">
        <f t="shared" si="23"/>
        <v>1.3827655310621243</v>
      </c>
      <c r="J214" s="1857">
        <v>104.79</v>
      </c>
      <c r="K214" s="1836">
        <f t="shared" si="22"/>
        <v>0</v>
      </c>
      <c r="L214" s="1317"/>
      <c r="M214" s="1356">
        <v>4</v>
      </c>
      <c r="N214" s="1346"/>
      <c r="O214" s="1343" t="e">
        <f t="shared" si="21"/>
        <v>#REF!</v>
      </c>
      <c r="P214" s="1343" t="e">
        <f t="shared" si="18"/>
        <v>#REF!</v>
      </c>
    </row>
    <row r="215" spans="1:16" ht="33" customHeight="1" thickBot="1">
      <c r="A215" s="1362"/>
      <c r="B215" s="1728">
        <v>410709015</v>
      </c>
      <c r="C215" s="1363" t="s">
        <v>128</v>
      </c>
      <c r="D215" s="1364" t="s">
        <v>124</v>
      </c>
      <c r="E215" s="1365" t="s">
        <v>61</v>
      </c>
      <c r="F215" s="1365" t="str">
        <f>_xlfn.XLOOKUP(B215,Planilha1!A:A,Planilha1!B:B)</f>
        <v>OUTROS</v>
      </c>
      <c r="G215" s="1366">
        <v>450</v>
      </c>
      <c r="H215" s="1367">
        <v>144.9</v>
      </c>
      <c r="I215" s="1423">
        <f t="shared" si="23"/>
        <v>1.3827655310621243</v>
      </c>
      <c r="J215" s="1857">
        <v>104.79</v>
      </c>
      <c r="K215" s="1836">
        <f t="shared" si="22"/>
        <v>0</v>
      </c>
      <c r="L215" s="1317"/>
      <c r="M215" s="1356">
        <v>4</v>
      </c>
      <c r="N215" s="1346"/>
      <c r="O215" s="1343" t="e">
        <f t="shared" si="21"/>
        <v>#REF!</v>
      </c>
      <c r="P215" s="1343" t="e">
        <f t="shared" si="18"/>
        <v>#REF!</v>
      </c>
    </row>
    <row r="216" spans="1:16" ht="33" customHeight="1" thickBot="1">
      <c r="A216" s="1362"/>
      <c r="B216" s="1728">
        <v>410709079</v>
      </c>
      <c r="C216" s="1363" t="s">
        <v>128</v>
      </c>
      <c r="D216" s="1364" t="s">
        <v>591</v>
      </c>
      <c r="E216" s="1365" t="s">
        <v>61</v>
      </c>
      <c r="F216" s="1365" t="str">
        <f>_xlfn.XLOOKUP(B216,Planilha1!A:A,Planilha1!B:B)</f>
        <v>OUTROS</v>
      </c>
      <c r="G216" s="1366">
        <v>450</v>
      </c>
      <c r="H216" s="1367">
        <v>144.9</v>
      </c>
      <c r="I216" s="1423">
        <f t="shared" si="23"/>
        <v>1.3827655310621243</v>
      </c>
      <c r="J216" s="1857">
        <v>104.79</v>
      </c>
      <c r="K216" s="1836">
        <f t="shared" si="22"/>
        <v>0</v>
      </c>
      <c r="L216" s="1317"/>
      <c r="M216" s="1356">
        <v>4</v>
      </c>
      <c r="N216" s="1346"/>
      <c r="O216" s="1343" t="e">
        <f t="shared" si="21"/>
        <v>#REF!</v>
      </c>
      <c r="P216" s="1343" t="e">
        <f t="shared" si="18"/>
        <v>#REF!</v>
      </c>
    </row>
    <row r="217" spans="1:16" ht="33" customHeight="1" thickBot="1">
      <c r="A217" s="1362"/>
      <c r="B217" s="1728">
        <v>410709018</v>
      </c>
      <c r="C217" s="1363" t="s">
        <v>128</v>
      </c>
      <c r="D217" s="1364" t="s">
        <v>125</v>
      </c>
      <c r="E217" s="1365" t="s">
        <v>61</v>
      </c>
      <c r="F217" s="1365" t="str">
        <f>_xlfn.XLOOKUP(B217,Planilha1!A:A,Planilha1!B:B)</f>
        <v>OUTROS</v>
      </c>
      <c r="G217" s="1366">
        <v>450</v>
      </c>
      <c r="H217" s="1367">
        <v>144.9</v>
      </c>
      <c r="I217" s="1423">
        <f t="shared" si="23"/>
        <v>1.3827655310621243</v>
      </c>
      <c r="J217" s="1857">
        <v>104.79</v>
      </c>
      <c r="K217" s="1836">
        <f t="shared" si="22"/>
        <v>0</v>
      </c>
      <c r="L217" s="1317"/>
      <c r="M217" s="1356">
        <v>4</v>
      </c>
      <c r="N217" s="1346"/>
      <c r="O217" s="1343" t="e">
        <f t="shared" si="21"/>
        <v>#REF!</v>
      </c>
      <c r="P217" s="1343" t="e">
        <f t="shared" si="18"/>
        <v>#REF!</v>
      </c>
    </row>
    <row r="218" spans="1:16" ht="33" customHeight="1" thickBot="1">
      <c r="A218" s="1362"/>
      <c r="B218" s="1728">
        <v>410709020</v>
      </c>
      <c r="C218" s="1363" t="s">
        <v>128</v>
      </c>
      <c r="D218" s="1364" t="s">
        <v>274</v>
      </c>
      <c r="E218" s="1365" t="s">
        <v>61</v>
      </c>
      <c r="F218" s="1365" t="str">
        <f>_xlfn.XLOOKUP(B218,Planilha1!A:A,Planilha1!B:B)</f>
        <v>OUTROS</v>
      </c>
      <c r="G218" s="1366">
        <v>450</v>
      </c>
      <c r="H218" s="1367">
        <v>144.9</v>
      </c>
      <c r="I218" s="1423">
        <f t="shared" si="23"/>
        <v>1.3827655310621243</v>
      </c>
      <c r="J218" s="1857">
        <v>104.79</v>
      </c>
      <c r="K218" s="1836">
        <f t="shared" si="22"/>
        <v>0</v>
      </c>
      <c r="L218" s="1317"/>
      <c r="M218" s="1356">
        <v>4</v>
      </c>
      <c r="N218" s="1346"/>
      <c r="O218" s="1343" t="e">
        <f t="shared" si="21"/>
        <v>#REF!</v>
      </c>
      <c r="P218" s="1343" t="e">
        <f t="shared" ref="P218:P277" si="24">P217+12</f>
        <v>#REF!</v>
      </c>
    </row>
    <row r="219" spans="1:16" s="1415" customFormat="1" ht="33" customHeight="1" thickBot="1">
      <c r="A219" s="1362"/>
      <c r="B219" s="1728">
        <v>410709022</v>
      </c>
      <c r="C219" s="1363" t="s">
        <v>128</v>
      </c>
      <c r="D219" s="1364" t="s">
        <v>118</v>
      </c>
      <c r="E219" s="1365" t="s">
        <v>61</v>
      </c>
      <c r="F219" s="1365" t="str">
        <f>_xlfn.XLOOKUP(B219,Planilha1!A:A,Planilha1!B:B)</f>
        <v>OUTROS</v>
      </c>
      <c r="G219" s="1366">
        <v>450</v>
      </c>
      <c r="H219" s="1367">
        <v>144.9</v>
      </c>
      <c r="I219" s="1423">
        <f t="shared" si="23"/>
        <v>1.3827655310621243</v>
      </c>
      <c r="J219" s="1857">
        <v>104.79</v>
      </c>
      <c r="K219" s="1836">
        <f t="shared" si="22"/>
        <v>0</v>
      </c>
      <c r="L219" s="1317"/>
      <c r="M219" s="1356">
        <v>4</v>
      </c>
      <c r="N219" s="1414"/>
      <c r="O219" s="1343" t="e">
        <f t="shared" si="21"/>
        <v>#REF!</v>
      </c>
      <c r="P219" s="1343" t="e">
        <f t="shared" si="24"/>
        <v>#REF!</v>
      </c>
    </row>
    <row r="220" spans="1:16" s="1415" customFormat="1" ht="33" customHeight="1" thickBot="1">
      <c r="A220" s="1362"/>
      <c r="B220" s="1728">
        <v>410709023</v>
      </c>
      <c r="C220" s="1363" t="s">
        <v>128</v>
      </c>
      <c r="D220" s="1364" t="s">
        <v>126</v>
      </c>
      <c r="E220" s="1365" t="s">
        <v>61</v>
      </c>
      <c r="F220" s="1365" t="str">
        <f>_xlfn.XLOOKUP(B220,Planilha1!A:A,Planilha1!B:B)</f>
        <v>OUTROS</v>
      </c>
      <c r="G220" s="1366">
        <v>450</v>
      </c>
      <c r="H220" s="1367">
        <v>144.9</v>
      </c>
      <c r="I220" s="1423">
        <f t="shared" si="23"/>
        <v>1.3827655310621243</v>
      </c>
      <c r="J220" s="1857">
        <v>104.79</v>
      </c>
      <c r="K220" s="1836">
        <f t="shared" si="22"/>
        <v>0</v>
      </c>
      <c r="L220" s="1317"/>
      <c r="M220" s="1356">
        <v>4</v>
      </c>
      <c r="N220" s="1414"/>
      <c r="O220" s="1343" t="e">
        <f t="shared" si="21"/>
        <v>#REF!</v>
      </c>
      <c r="P220" s="1343" t="e">
        <f t="shared" si="24"/>
        <v>#REF!</v>
      </c>
    </row>
    <row r="221" spans="1:16" s="1415" customFormat="1" ht="33" customHeight="1" thickBot="1">
      <c r="A221" s="1362"/>
      <c r="B221" s="1728">
        <v>410709027</v>
      </c>
      <c r="C221" s="1363" t="s">
        <v>128</v>
      </c>
      <c r="D221" s="1364" t="s">
        <v>271</v>
      </c>
      <c r="E221" s="1365" t="s">
        <v>61</v>
      </c>
      <c r="F221" s="1365" t="str">
        <f>_xlfn.XLOOKUP(B221,Planilha1!A:A,Planilha1!B:B)</f>
        <v>OUTROS</v>
      </c>
      <c r="G221" s="1366">
        <v>450</v>
      </c>
      <c r="H221" s="1367">
        <v>144.9</v>
      </c>
      <c r="I221" s="1423">
        <f t="shared" si="23"/>
        <v>1.3827655310621243</v>
      </c>
      <c r="J221" s="1857">
        <v>104.79</v>
      </c>
      <c r="K221" s="1836">
        <f t="shared" si="22"/>
        <v>0</v>
      </c>
      <c r="L221" s="1317"/>
      <c r="M221" s="1356">
        <v>4</v>
      </c>
      <c r="N221" s="1414"/>
      <c r="O221" s="1343" t="e">
        <f t="shared" si="21"/>
        <v>#REF!</v>
      </c>
      <c r="P221" s="1343" t="e">
        <f t="shared" si="24"/>
        <v>#REF!</v>
      </c>
    </row>
    <row r="222" spans="1:16" ht="27" customHeight="1" thickBot="1">
      <c r="A222" s="1362"/>
      <c r="B222" s="1728">
        <v>410709039</v>
      </c>
      <c r="C222" s="1363" t="s">
        <v>128</v>
      </c>
      <c r="D222" s="1364" t="s">
        <v>74</v>
      </c>
      <c r="E222" s="1365" t="s">
        <v>61</v>
      </c>
      <c r="F222" s="1365" t="str">
        <f>_xlfn.XLOOKUP(B222,Planilha1!A:A,Planilha1!B:B)</f>
        <v>OUTROS</v>
      </c>
      <c r="G222" s="1366">
        <v>450</v>
      </c>
      <c r="H222" s="1367">
        <v>144.9</v>
      </c>
      <c r="I222" s="1423">
        <f t="shared" si="23"/>
        <v>1.3827655310621243</v>
      </c>
      <c r="J222" s="1857">
        <v>104.79</v>
      </c>
      <c r="K222" s="1836">
        <f t="shared" si="22"/>
        <v>0</v>
      </c>
      <c r="L222" s="1317"/>
      <c r="M222" s="1356">
        <v>4</v>
      </c>
      <c r="N222" s="1346"/>
      <c r="O222" s="1343" t="e">
        <f t="shared" si="21"/>
        <v>#REF!</v>
      </c>
      <c r="P222" s="1343" t="e">
        <f t="shared" si="24"/>
        <v>#REF!</v>
      </c>
    </row>
    <row r="223" spans="1:16" ht="27" customHeight="1" thickBot="1">
      <c r="A223" s="1362"/>
      <c r="B223" s="1728">
        <v>410709115</v>
      </c>
      <c r="C223" s="1363" t="s">
        <v>128</v>
      </c>
      <c r="D223" s="1485" t="s">
        <v>733</v>
      </c>
      <c r="E223" s="1486" t="s">
        <v>61</v>
      </c>
      <c r="F223" s="1486" t="str">
        <f>_xlfn.XLOOKUP(B223,Planilha1!A:A,Planilha1!B:B)</f>
        <v>OUTROS</v>
      </c>
      <c r="G223" s="1490">
        <v>450</v>
      </c>
      <c r="H223" s="1380">
        <v>144.9</v>
      </c>
      <c r="I223" s="1423">
        <f t="shared" si="23"/>
        <v>1.3827655310621243</v>
      </c>
      <c r="J223" s="1857">
        <v>104.79</v>
      </c>
      <c r="K223" s="1844">
        <f t="shared" si="22"/>
        <v>0</v>
      </c>
      <c r="L223" s="1313"/>
      <c r="M223" s="1356">
        <v>4</v>
      </c>
      <c r="N223" s="1346"/>
      <c r="O223" s="1343" t="e">
        <f t="shared" si="21"/>
        <v>#REF!</v>
      </c>
      <c r="P223" s="1343" t="e">
        <f t="shared" si="24"/>
        <v>#REF!</v>
      </c>
    </row>
    <row r="224" spans="1:16" ht="27" customHeight="1" thickBot="1">
      <c r="A224" s="1362"/>
      <c r="B224" s="1748">
        <v>410713009</v>
      </c>
      <c r="C224" s="1602" t="s">
        <v>128</v>
      </c>
      <c r="D224" s="1364" t="s">
        <v>70</v>
      </c>
      <c r="E224" s="1365" t="s">
        <v>61</v>
      </c>
      <c r="F224" s="1365" t="str">
        <f>_xlfn.XLOOKUP(B224,Planilha1!A:A,Planilha1!B:B)</f>
        <v>OUTROS</v>
      </c>
      <c r="G224" s="1366">
        <v>900</v>
      </c>
      <c r="H224" s="1367">
        <v>249.9</v>
      </c>
      <c r="I224" s="1423">
        <f t="shared" si="23"/>
        <v>1.3831848120883379</v>
      </c>
      <c r="J224" s="1857">
        <v>180.67</v>
      </c>
      <c r="K224" s="1843">
        <f t="shared" si="22"/>
        <v>0</v>
      </c>
      <c r="L224" s="1299"/>
      <c r="M224" s="1398">
        <v>4</v>
      </c>
      <c r="N224" s="1346"/>
      <c r="O224" s="1343" t="e">
        <f t="shared" si="21"/>
        <v>#REF!</v>
      </c>
      <c r="P224" s="1343" t="e">
        <f t="shared" si="24"/>
        <v>#REF!</v>
      </c>
    </row>
    <row r="225" spans="1:16" ht="27" customHeight="1" thickBot="1">
      <c r="A225" s="1362"/>
      <c r="B225" s="1728">
        <v>410713013</v>
      </c>
      <c r="C225" s="1363" t="s">
        <v>128</v>
      </c>
      <c r="D225" s="1364" t="s">
        <v>312</v>
      </c>
      <c r="E225" s="1365" t="s">
        <v>61</v>
      </c>
      <c r="F225" s="1365" t="str">
        <f>_xlfn.XLOOKUP(B225,Planilha1!A:A,Planilha1!B:B)</f>
        <v>OUTROS</v>
      </c>
      <c r="G225" s="1366">
        <v>900</v>
      </c>
      <c r="H225" s="1367">
        <v>249.9</v>
      </c>
      <c r="I225" s="1423">
        <f t="shared" si="23"/>
        <v>1.3831848120883379</v>
      </c>
      <c r="J225" s="1857">
        <v>180.67</v>
      </c>
      <c r="K225" s="1836">
        <f t="shared" si="22"/>
        <v>0</v>
      </c>
      <c r="L225" s="1299"/>
      <c r="M225" s="1356">
        <v>4</v>
      </c>
      <c r="N225" s="1346"/>
      <c r="O225" s="1343" t="e">
        <f>#REF!+24</f>
        <v>#REF!</v>
      </c>
      <c r="P225" s="1343" t="e">
        <f>#REF!+12</f>
        <v>#REF!</v>
      </c>
    </row>
    <row r="226" spans="1:16" ht="27" customHeight="1" thickBot="1">
      <c r="A226" s="1362"/>
      <c r="B226" s="1727">
        <v>410713015</v>
      </c>
      <c r="C226" s="1363" t="s">
        <v>128</v>
      </c>
      <c r="D226" s="1364" t="s">
        <v>124</v>
      </c>
      <c r="E226" s="1365" t="s">
        <v>61</v>
      </c>
      <c r="F226" s="1365" t="str">
        <f>_xlfn.XLOOKUP(B226,Planilha1!A:A,Planilha1!B:B)</f>
        <v>OUTROS</v>
      </c>
      <c r="G226" s="1366">
        <v>900</v>
      </c>
      <c r="H226" s="1367">
        <v>249.9</v>
      </c>
      <c r="I226" s="1423">
        <f t="shared" si="23"/>
        <v>1.3831848120883379</v>
      </c>
      <c r="J226" s="1857">
        <v>180.67</v>
      </c>
      <c r="K226" s="1836">
        <f t="shared" si="22"/>
        <v>0</v>
      </c>
      <c r="L226" s="1299"/>
      <c r="M226" s="1356">
        <v>4</v>
      </c>
      <c r="N226" s="1346"/>
      <c r="O226" s="1343" t="e">
        <f t="shared" si="21"/>
        <v>#REF!</v>
      </c>
      <c r="P226" s="1343" t="e">
        <f t="shared" si="24"/>
        <v>#REF!</v>
      </c>
    </row>
    <row r="227" spans="1:16" ht="27" customHeight="1" thickBot="1">
      <c r="A227" s="1362"/>
      <c r="B227" s="1728">
        <v>410713079</v>
      </c>
      <c r="C227" s="1363" t="s">
        <v>128</v>
      </c>
      <c r="D227" s="1364" t="s">
        <v>591</v>
      </c>
      <c r="E227" s="1365" t="s">
        <v>61</v>
      </c>
      <c r="F227" s="1365" t="str">
        <f>_xlfn.XLOOKUP(B227,Planilha1!A:A,Planilha1!B:B)</f>
        <v>OUTROS</v>
      </c>
      <c r="G227" s="1366">
        <v>900</v>
      </c>
      <c r="H227" s="1367">
        <v>249.9</v>
      </c>
      <c r="I227" s="1423">
        <f t="shared" si="23"/>
        <v>1.3831848120883379</v>
      </c>
      <c r="J227" s="1857">
        <v>180.67</v>
      </c>
      <c r="K227" s="1836">
        <f t="shared" si="22"/>
        <v>0</v>
      </c>
      <c r="L227" s="1299"/>
      <c r="M227" s="1356">
        <v>4</v>
      </c>
      <c r="N227" s="1346"/>
      <c r="O227" s="1343" t="e">
        <f t="shared" si="21"/>
        <v>#REF!</v>
      </c>
      <c r="P227" s="1343" t="e">
        <f t="shared" si="24"/>
        <v>#REF!</v>
      </c>
    </row>
    <row r="228" spans="1:16" ht="27" customHeight="1" thickBot="1">
      <c r="A228" s="1362"/>
      <c r="B228" s="1727">
        <v>410713018</v>
      </c>
      <c r="C228" s="1363" t="s">
        <v>128</v>
      </c>
      <c r="D228" s="1364" t="s">
        <v>125</v>
      </c>
      <c r="E228" s="1365" t="s">
        <v>61</v>
      </c>
      <c r="F228" s="1365" t="str">
        <f>_xlfn.XLOOKUP(B228,Planilha1!A:A,Planilha1!B:B)</f>
        <v>OUTROS</v>
      </c>
      <c r="G228" s="1366">
        <v>900</v>
      </c>
      <c r="H228" s="1367">
        <v>249.9</v>
      </c>
      <c r="I228" s="1423">
        <f t="shared" si="23"/>
        <v>1.3831848120883379</v>
      </c>
      <c r="J228" s="1857">
        <v>180.67</v>
      </c>
      <c r="K228" s="1836">
        <f t="shared" si="22"/>
        <v>0</v>
      </c>
      <c r="L228" s="1299"/>
      <c r="M228" s="1356">
        <v>4</v>
      </c>
      <c r="N228" s="1346"/>
      <c r="O228" s="1343" t="e">
        <f t="shared" si="21"/>
        <v>#REF!</v>
      </c>
      <c r="P228" s="1343" t="e">
        <f t="shared" si="24"/>
        <v>#REF!</v>
      </c>
    </row>
    <row r="229" spans="1:16" ht="27" customHeight="1" thickBot="1">
      <c r="A229" s="1362"/>
      <c r="B229" s="1728">
        <v>410713020</v>
      </c>
      <c r="C229" s="1363" t="s">
        <v>128</v>
      </c>
      <c r="D229" s="1364" t="s">
        <v>274</v>
      </c>
      <c r="E229" s="1365" t="s">
        <v>61</v>
      </c>
      <c r="F229" s="1365" t="str">
        <f>_xlfn.XLOOKUP(B229,Planilha1!A:A,Planilha1!B:B)</f>
        <v>OUTROS</v>
      </c>
      <c r="G229" s="1366">
        <v>900</v>
      </c>
      <c r="H229" s="1367">
        <v>249.9</v>
      </c>
      <c r="I229" s="1423">
        <f t="shared" si="23"/>
        <v>1.3831848120883379</v>
      </c>
      <c r="J229" s="1857">
        <v>180.67</v>
      </c>
      <c r="K229" s="1836">
        <f t="shared" si="22"/>
        <v>0</v>
      </c>
      <c r="L229" s="1299"/>
      <c r="M229" s="1356">
        <v>4</v>
      </c>
      <c r="N229" s="1346"/>
      <c r="O229" s="1343" t="e">
        <f t="shared" si="21"/>
        <v>#REF!</v>
      </c>
      <c r="P229" s="1343" t="e">
        <f t="shared" si="24"/>
        <v>#REF!</v>
      </c>
    </row>
    <row r="230" spans="1:16" ht="27" customHeight="1" thickBot="1">
      <c r="A230" s="1362"/>
      <c r="B230" s="1727">
        <v>410713022</v>
      </c>
      <c r="C230" s="1363" t="s">
        <v>128</v>
      </c>
      <c r="D230" s="1364" t="s">
        <v>118</v>
      </c>
      <c r="E230" s="1365" t="s">
        <v>61</v>
      </c>
      <c r="F230" s="1365" t="str">
        <f>_xlfn.XLOOKUP(B230,Planilha1!A:A,Planilha1!B:B)</f>
        <v>OUTROS</v>
      </c>
      <c r="G230" s="1366">
        <v>900</v>
      </c>
      <c r="H230" s="1367">
        <v>249.9</v>
      </c>
      <c r="I230" s="1423">
        <f t="shared" si="23"/>
        <v>1.3831848120883379</v>
      </c>
      <c r="J230" s="1857">
        <v>180.67</v>
      </c>
      <c r="K230" s="1836">
        <f t="shared" si="22"/>
        <v>0</v>
      </c>
      <c r="L230" s="1299"/>
      <c r="M230" s="1356">
        <v>4</v>
      </c>
      <c r="N230" s="1346"/>
      <c r="O230" s="1343" t="e">
        <f t="shared" si="21"/>
        <v>#REF!</v>
      </c>
      <c r="P230" s="1343" t="e">
        <f t="shared" si="24"/>
        <v>#REF!</v>
      </c>
    </row>
    <row r="231" spans="1:16" ht="27" customHeight="1" thickBot="1">
      <c r="A231" s="1362"/>
      <c r="B231" s="1727">
        <v>410713023</v>
      </c>
      <c r="C231" s="1363" t="s">
        <v>128</v>
      </c>
      <c r="D231" s="1364" t="s">
        <v>126</v>
      </c>
      <c r="E231" s="1365" t="s">
        <v>61</v>
      </c>
      <c r="F231" s="1365" t="str">
        <f>_xlfn.XLOOKUP(B231,Planilha1!A:A,Planilha1!B:B)</f>
        <v>OUTROS</v>
      </c>
      <c r="G231" s="1366">
        <v>900</v>
      </c>
      <c r="H231" s="1367">
        <v>249.9</v>
      </c>
      <c r="I231" s="1423">
        <f t="shared" si="23"/>
        <v>1.3831848120883379</v>
      </c>
      <c r="J231" s="1857">
        <v>180.67</v>
      </c>
      <c r="K231" s="1836">
        <f t="shared" si="22"/>
        <v>0</v>
      </c>
      <c r="L231" s="1299"/>
      <c r="M231" s="1356">
        <v>4</v>
      </c>
      <c r="N231" s="1346"/>
      <c r="O231" s="1343" t="e">
        <f t="shared" si="21"/>
        <v>#REF!</v>
      </c>
      <c r="P231" s="1343" t="e">
        <f t="shared" si="24"/>
        <v>#REF!</v>
      </c>
    </row>
    <row r="232" spans="1:16" s="1415" customFormat="1" ht="27" customHeight="1" thickBot="1">
      <c r="A232" s="1362"/>
      <c r="B232" s="1728">
        <v>410713027</v>
      </c>
      <c r="C232" s="1363" t="s">
        <v>128</v>
      </c>
      <c r="D232" s="1364" t="s">
        <v>271</v>
      </c>
      <c r="E232" s="1365" t="s">
        <v>61</v>
      </c>
      <c r="F232" s="1365" t="str">
        <f>_xlfn.XLOOKUP(B232,Planilha1!A:A,Planilha1!B:B)</f>
        <v>OUTROS</v>
      </c>
      <c r="G232" s="1366">
        <v>900</v>
      </c>
      <c r="H232" s="1367">
        <v>249.9</v>
      </c>
      <c r="I232" s="1423">
        <f t="shared" si="23"/>
        <v>1.3831848120883379</v>
      </c>
      <c r="J232" s="1857">
        <v>180.67</v>
      </c>
      <c r="K232" s="1836">
        <f t="shared" si="22"/>
        <v>0</v>
      </c>
      <c r="L232" s="1299"/>
      <c r="M232" s="1356">
        <v>4</v>
      </c>
      <c r="N232" s="1414"/>
      <c r="O232" s="1343" t="e">
        <f t="shared" si="21"/>
        <v>#REF!</v>
      </c>
      <c r="P232" s="1343" t="e">
        <f t="shared" si="24"/>
        <v>#REF!</v>
      </c>
    </row>
    <row r="233" spans="1:16" s="1415" customFormat="1" ht="27" customHeight="1" thickBot="1">
      <c r="A233" s="1362"/>
      <c r="B233" s="1727">
        <v>410713039</v>
      </c>
      <c r="C233" s="1363" t="s">
        <v>128</v>
      </c>
      <c r="D233" s="1364" t="s">
        <v>74</v>
      </c>
      <c r="E233" s="1365" t="s">
        <v>61</v>
      </c>
      <c r="F233" s="1365" t="str">
        <f>_xlfn.XLOOKUP(B233,Planilha1!A:A,Planilha1!B:B)</f>
        <v>OUTROS</v>
      </c>
      <c r="G233" s="1366">
        <v>900</v>
      </c>
      <c r="H233" s="1367">
        <v>249.9</v>
      </c>
      <c r="I233" s="1423">
        <f t="shared" si="23"/>
        <v>1.3831848120883379</v>
      </c>
      <c r="J233" s="1857">
        <v>180.67</v>
      </c>
      <c r="K233" s="1836">
        <f t="shared" si="22"/>
        <v>0</v>
      </c>
      <c r="L233" s="1299"/>
      <c r="M233" s="1356">
        <v>4</v>
      </c>
      <c r="N233" s="1414"/>
      <c r="O233" s="1343" t="e">
        <f t="shared" si="21"/>
        <v>#REF!</v>
      </c>
      <c r="P233" s="1343" t="e">
        <f t="shared" si="24"/>
        <v>#REF!</v>
      </c>
    </row>
    <row r="234" spans="1:16" s="1415" customFormat="1" ht="27" customHeight="1" thickBot="1">
      <c r="A234" s="1362"/>
      <c r="B234" s="1728">
        <v>410713044</v>
      </c>
      <c r="C234" s="1363" t="s">
        <v>128</v>
      </c>
      <c r="D234" s="1364" t="s">
        <v>80</v>
      </c>
      <c r="E234" s="1365" t="s">
        <v>61</v>
      </c>
      <c r="F234" s="1365" t="str">
        <f>_xlfn.XLOOKUP(B234,Planilha1!A:A,Planilha1!B:B)</f>
        <v>OUTROS</v>
      </c>
      <c r="G234" s="1366">
        <v>900</v>
      </c>
      <c r="H234" s="1367">
        <v>249.9</v>
      </c>
      <c r="I234" s="1423">
        <f t="shared" si="23"/>
        <v>1.3831848120883379</v>
      </c>
      <c r="J234" s="1857">
        <v>180.67</v>
      </c>
      <c r="K234" s="1836">
        <f t="shared" si="22"/>
        <v>0</v>
      </c>
      <c r="L234" s="1299"/>
      <c r="M234" s="1356">
        <v>4</v>
      </c>
      <c r="N234" s="1414"/>
      <c r="O234" s="1343" t="e">
        <f t="shared" si="21"/>
        <v>#REF!</v>
      </c>
      <c r="P234" s="1343" t="e">
        <f t="shared" si="24"/>
        <v>#REF!</v>
      </c>
    </row>
    <row r="235" spans="1:16" s="1415" customFormat="1" ht="27" customHeight="1" thickBot="1">
      <c r="A235" s="1362"/>
      <c r="B235" s="1728">
        <v>410713115</v>
      </c>
      <c r="C235" s="1363" t="s">
        <v>128</v>
      </c>
      <c r="D235" s="1364" t="s">
        <v>733</v>
      </c>
      <c r="E235" s="1365" t="s">
        <v>61</v>
      </c>
      <c r="F235" s="1365" t="str">
        <f>_xlfn.XLOOKUP(B235,Planilha1!A:A,Planilha1!B:B)</f>
        <v>OUTROS</v>
      </c>
      <c r="G235" s="1366">
        <v>900</v>
      </c>
      <c r="H235" s="1367">
        <v>249.9</v>
      </c>
      <c r="I235" s="1423">
        <f t="shared" si="23"/>
        <v>1.3831848120883379</v>
      </c>
      <c r="J235" s="1857">
        <v>180.67</v>
      </c>
      <c r="K235" s="1844">
        <f t="shared" si="22"/>
        <v>0</v>
      </c>
      <c r="L235" s="1299"/>
      <c r="M235" s="1356">
        <v>4</v>
      </c>
      <c r="N235" s="1414"/>
      <c r="O235" s="1343" t="e">
        <f t="shared" si="21"/>
        <v>#REF!</v>
      </c>
      <c r="P235" s="1343" t="e">
        <f t="shared" si="24"/>
        <v>#REF!</v>
      </c>
    </row>
    <row r="236" spans="1:16" s="1415" customFormat="1" ht="27" customHeight="1" thickBot="1">
      <c r="A236" s="1362"/>
      <c r="B236" s="1745">
        <v>410713068</v>
      </c>
      <c r="C236" s="1593" t="s">
        <v>128</v>
      </c>
      <c r="D236" s="1594" t="s">
        <v>548</v>
      </c>
      <c r="E236" s="1595" t="s">
        <v>61</v>
      </c>
      <c r="F236" s="1595" t="str">
        <f>_xlfn.XLOOKUP(B236,Planilha1!A:A,Planilha1!B:B)</f>
        <v>OUTROS</v>
      </c>
      <c r="G236" s="1596">
        <v>900</v>
      </c>
      <c r="H236" s="1603">
        <v>249.9</v>
      </c>
      <c r="I236" s="1423">
        <f t="shared" si="23"/>
        <v>1.3831848120883379</v>
      </c>
      <c r="J236" s="1857">
        <v>180.67</v>
      </c>
      <c r="K236" s="1843">
        <f t="shared" si="22"/>
        <v>0</v>
      </c>
      <c r="L236" s="1307"/>
      <c r="M236" s="1416">
        <v>4</v>
      </c>
      <c r="N236" s="1414"/>
      <c r="O236" s="1343" t="e">
        <f t="shared" si="21"/>
        <v>#REF!</v>
      </c>
      <c r="P236" s="1343" t="e">
        <f t="shared" si="24"/>
        <v>#REF!</v>
      </c>
    </row>
    <row r="237" spans="1:16" s="1415" customFormat="1" ht="27" customHeight="1" thickBot="1">
      <c r="A237" s="1362"/>
      <c r="B237" s="1728">
        <v>410713120</v>
      </c>
      <c r="C237" s="1363" t="s">
        <v>128</v>
      </c>
      <c r="D237" s="1364" t="s">
        <v>740</v>
      </c>
      <c r="E237" s="1365" t="s">
        <v>61</v>
      </c>
      <c r="F237" s="1365" t="str">
        <f>_xlfn.XLOOKUP(B237,Planilha1!A:A,Planilha1!B:B)</f>
        <v>OUTROS</v>
      </c>
      <c r="G237" s="1366">
        <v>900</v>
      </c>
      <c r="H237" s="1367">
        <v>249.9</v>
      </c>
      <c r="I237" s="1423">
        <f t="shared" si="23"/>
        <v>1.3831848120883379</v>
      </c>
      <c r="J237" s="1857">
        <v>180.67</v>
      </c>
      <c r="K237" s="1836">
        <f t="shared" si="22"/>
        <v>0</v>
      </c>
      <c r="L237" s="1299"/>
      <c r="M237" s="1356">
        <v>4</v>
      </c>
      <c r="N237" s="1414"/>
      <c r="O237" s="1343" t="e">
        <f t="shared" si="21"/>
        <v>#REF!</v>
      </c>
      <c r="P237" s="1343" t="e">
        <f t="shared" si="24"/>
        <v>#REF!</v>
      </c>
    </row>
    <row r="238" spans="1:16" ht="27" customHeight="1" thickBot="1">
      <c r="A238" s="1362"/>
      <c r="B238" s="1728">
        <v>410713119</v>
      </c>
      <c r="C238" s="1363" t="s">
        <v>128</v>
      </c>
      <c r="D238" s="1364" t="s">
        <v>741</v>
      </c>
      <c r="E238" s="1365" t="s">
        <v>61</v>
      </c>
      <c r="F238" s="1365" t="str">
        <f>_xlfn.XLOOKUP(B238,Planilha1!A:A,Planilha1!B:B)</f>
        <v>OUTROS</v>
      </c>
      <c r="G238" s="1366">
        <v>900</v>
      </c>
      <c r="H238" s="1367">
        <v>249.9</v>
      </c>
      <c r="I238" s="1423">
        <f t="shared" si="23"/>
        <v>1.3831848120883379</v>
      </c>
      <c r="J238" s="1857">
        <v>180.67</v>
      </c>
      <c r="K238" s="1836">
        <f t="shared" si="22"/>
        <v>0</v>
      </c>
      <c r="L238" s="1299"/>
      <c r="M238" s="1356">
        <v>4</v>
      </c>
      <c r="N238" s="1346"/>
      <c r="O238" s="1343" t="e">
        <f t="shared" si="21"/>
        <v>#REF!</v>
      </c>
      <c r="P238" s="1343" t="e">
        <f t="shared" si="24"/>
        <v>#REF!</v>
      </c>
    </row>
    <row r="239" spans="1:16" ht="27" customHeight="1" thickBot="1">
      <c r="A239" s="1362"/>
      <c r="B239" s="1746">
        <v>410713122</v>
      </c>
      <c r="C239" s="1597" t="s">
        <v>128</v>
      </c>
      <c r="D239" s="1598" t="s">
        <v>742</v>
      </c>
      <c r="E239" s="1599" t="s">
        <v>61</v>
      </c>
      <c r="F239" s="1599" t="str">
        <f>_xlfn.XLOOKUP(B239,Planilha1!A:A,Planilha1!B:B)</f>
        <v>OUTROS</v>
      </c>
      <c r="G239" s="1600">
        <v>900</v>
      </c>
      <c r="H239" s="1604">
        <v>249.9</v>
      </c>
      <c r="I239" s="1423">
        <f t="shared" si="23"/>
        <v>1.3831848120883379</v>
      </c>
      <c r="J239" s="1857">
        <v>180.67</v>
      </c>
      <c r="K239" s="1844">
        <f t="shared" si="22"/>
        <v>0</v>
      </c>
      <c r="L239" s="1308"/>
      <c r="M239" s="1417">
        <v>4</v>
      </c>
      <c r="N239" s="1346"/>
      <c r="O239" s="1343" t="e">
        <f t="shared" si="21"/>
        <v>#REF!</v>
      </c>
      <c r="P239" s="1343" t="e">
        <f t="shared" si="24"/>
        <v>#REF!</v>
      </c>
    </row>
    <row r="240" spans="1:16" ht="27" customHeight="1" thickBot="1">
      <c r="A240" s="1362"/>
      <c r="B240" s="1727">
        <v>410722009</v>
      </c>
      <c r="C240" s="1363" t="s">
        <v>128</v>
      </c>
      <c r="D240" s="1364" t="s">
        <v>70</v>
      </c>
      <c r="E240" s="1365" t="s">
        <v>135</v>
      </c>
      <c r="F240" s="1365" t="str">
        <f>_xlfn.XLOOKUP(B240,Planilha1!A:A,Planilha1!B:B)</f>
        <v>OUTROS</v>
      </c>
      <c r="G240" s="1366">
        <v>1800</v>
      </c>
      <c r="H240" s="1367">
        <v>437.9</v>
      </c>
      <c r="I240" s="1423">
        <f t="shared" si="23"/>
        <v>1.3849705863748496</v>
      </c>
      <c r="J240" s="1857">
        <v>316.18</v>
      </c>
      <c r="K240" s="1843">
        <f t="shared" si="22"/>
        <v>0</v>
      </c>
      <c r="L240" s="1299"/>
      <c r="M240" s="1356">
        <v>3</v>
      </c>
      <c r="N240" s="1346"/>
      <c r="O240" s="1343" t="e">
        <f t="shared" si="21"/>
        <v>#REF!</v>
      </c>
      <c r="P240" s="1343" t="e">
        <f t="shared" si="24"/>
        <v>#REF!</v>
      </c>
    </row>
    <row r="241" spans="1:16" ht="27" customHeight="1" thickBot="1">
      <c r="A241" s="1362"/>
      <c r="B241" s="1727">
        <v>410722015</v>
      </c>
      <c r="C241" s="1363" t="s">
        <v>128</v>
      </c>
      <c r="D241" s="1364" t="s">
        <v>124</v>
      </c>
      <c r="E241" s="1365" t="s">
        <v>135</v>
      </c>
      <c r="F241" s="1365" t="str">
        <f>_xlfn.XLOOKUP(B241,Planilha1!A:A,Planilha1!B:B)</f>
        <v>OUTROS</v>
      </c>
      <c r="G241" s="1366">
        <v>1800</v>
      </c>
      <c r="H241" s="1367">
        <v>437.9</v>
      </c>
      <c r="I241" s="1423">
        <f t="shared" si="23"/>
        <v>1.3849705863748496</v>
      </c>
      <c r="J241" s="1857">
        <v>316.18</v>
      </c>
      <c r="K241" s="1836">
        <f t="shared" si="22"/>
        <v>0</v>
      </c>
      <c r="L241" s="1299"/>
      <c r="M241" s="1356">
        <v>3</v>
      </c>
      <c r="N241" s="1346"/>
      <c r="O241" s="1343" t="e">
        <f>#REF!+24</f>
        <v>#REF!</v>
      </c>
      <c r="P241" s="1343" t="e">
        <f>#REF!+12</f>
        <v>#REF!</v>
      </c>
    </row>
    <row r="242" spans="1:16" ht="27" customHeight="1" thickBot="1">
      <c r="A242" s="1362"/>
      <c r="B242" s="1727">
        <v>410722079</v>
      </c>
      <c r="C242" s="1363" t="s">
        <v>128</v>
      </c>
      <c r="D242" s="1364" t="s">
        <v>591</v>
      </c>
      <c r="E242" s="1365" t="s">
        <v>135</v>
      </c>
      <c r="F242" s="1365" t="str">
        <f>_xlfn.XLOOKUP(B242,Planilha1!A:A,Planilha1!B:B)</f>
        <v>OUTROS</v>
      </c>
      <c r="G242" s="1366">
        <v>1800</v>
      </c>
      <c r="H242" s="1367">
        <v>437.9</v>
      </c>
      <c r="I242" s="1423">
        <f t="shared" si="23"/>
        <v>1.3849705863748496</v>
      </c>
      <c r="J242" s="1857">
        <v>316.18</v>
      </c>
      <c r="K242" s="1836">
        <f t="shared" si="22"/>
        <v>0</v>
      </c>
      <c r="L242" s="1299"/>
      <c r="M242" s="1356">
        <v>3</v>
      </c>
      <c r="N242" s="1346"/>
      <c r="O242" s="1343" t="e">
        <f t="shared" si="21"/>
        <v>#REF!</v>
      </c>
      <c r="P242" s="1343" t="e">
        <f t="shared" si="24"/>
        <v>#REF!</v>
      </c>
    </row>
    <row r="243" spans="1:16" ht="27" customHeight="1" thickBot="1">
      <c r="A243" s="1362"/>
      <c r="B243" s="1727">
        <v>410722018</v>
      </c>
      <c r="C243" s="1363" t="s">
        <v>128</v>
      </c>
      <c r="D243" s="1364" t="s">
        <v>125</v>
      </c>
      <c r="E243" s="1365" t="s">
        <v>135</v>
      </c>
      <c r="F243" s="1365" t="str">
        <f>_xlfn.XLOOKUP(B243,Planilha1!A:A,Planilha1!B:B)</f>
        <v>OUTROS</v>
      </c>
      <c r="G243" s="1366">
        <v>1800</v>
      </c>
      <c r="H243" s="1367">
        <v>437.9</v>
      </c>
      <c r="I243" s="1423">
        <f t="shared" si="23"/>
        <v>1.3849705863748496</v>
      </c>
      <c r="J243" s="1857">
        <v>316.18</v>
      </c>
      <c r="K243" s="1836">
        <f t="shared" si="22"/>
        <v>0</v>
      </c>
      <c r="L243" s="1299"/>
      <c r="M243" s="1356">
        <v>3</v>
      </c>
      <c r="N243" s="1346"/>
      <c r="O243" s="1343" t="e">
        <f t="shared" si="21"/>
        <v>#REF!</v>
      </c>
      <c r="P243" s="1343" t="e">
        <f t="shared" si="24"/>
        <v>#REF!</v>
      </c>
    </row>
    <row r="244" spans="1:16" ht="27" customHeight="1" thickBot="1">
      <c r="A244" s="1362"/>
      <c r="B244" s="1728">
        <v>410722020</v>
      </c>
      <c r="C244" s="1363" t="s">
        <v>128</v>
      </c>
      <c r="D244" s="1364" t="s">
        <v>274</v>
      </c>
      <c r="E244" s="1365" t="s">
        <v>135</v>
      </c>
      <c r="F244" s="1365" t="str">
        <f>_xlfn.XLOOKUP(B244,Planilha1!A:A,Planilha1!B:B)</f>
        <v>OUTROS</v>
      </c>
      <c r="G244" s="1366">
        <v>1800</v>
      </c>
      <c r="H244" s="1367">
        <v>437.9</v>
      </c>
      <c r="I244" s="1423">
        <f t="shared" si="23"/>
        <v>1.3849705863748496</v>
      </c>
      <c r="J244" s="1857">
        <v>316.18</v>
      </c>
      <c r="K244" s="1836">
        <f t="shared" si="22"/>
        <v>0</v>
      </c>
      <c r="L244" s="1299"/>
      <c r="M244" s="1356">
        <v>3</v>
      </c>
      <c r="N244" s="1346"/>
      <c r="O244" s="1343" t="e">
        <f t="shared" si="21"/>
        <v>#REF!</v>
      </c>
      <c r="P244" s="1343" t="e">
        <f t="shared" si="24"/>
        <v>#REF!</v>
      </c>
    </row>
    <row r="245" spans="1:16" ht="27" customHeight="1" thickBot="1">
      <c r="A245" s="1362"/>
      <c r="B245" s="1727">
        <v>410722022</v>
      </c>
      <c r="C245" s="1363" t="s">
        <v>128</v>
      </c>
      <c r="D245" s="1364" t="s">
        <v>118</v>
      </c>
      <c r="E245" s="1365" t="s">
        <v>135</v>
      </c>
      <c r="F245" s="1365" t="str">
        <f>_xlfn.XLOOKUP(B245,Planilha1!A:A,Planilha1!B:B)</f>
        <v>OUTROS</v>
      </c>
      <c r="G245" s="1366">
        <v>1800</v>
      </c>
      <c r="H245" s="1367">
        <v>437.9</v>
      </c>
      <c r="I245" s="1423">
        <f t="shared" si="23"/>
        <v>1.3849705863748496</v>
      </c>
      <c r="J245" s="1857">
        <v>316.18</v>
      </c>
      <c r="K245" s="1836">
        <f t="shared" si="22"/>
        <v>0</v>
      </c>
      <c r="L245" s="1299"/>
      <c r="M245" s="1356">
        <v>3</v>
      </c>
      <c r="N245" s="1346"/>
      <c r="O245" s="1343" t="e">
        <f t="shared" si="21"/>
        <v>#REF!</v>
      </c>
      <c r="P245" s="1343" t="e">
        <f t="shared" si="24"/>
        <v>#REF!</v>
      </c>
    </row>
    <row r="246" spans="1:16" ht="27" customHeight="1" thickBot="1">
      <c r="A246" s="1362"/>
      <c r="B246" s="1727">
        <v>410722023</v>
      </c>
      <c r="C246" s="1363" t="s">
        <v>128</v>
      </c>
      <c r="D246" s="1364" t="s">
        <v>126</v>
      </c>
      <c r="E246" s="1365" t="s">
        <v>135</v>
      </c>
      <c r="F246" s="1365" t="str">
        <f>_xlfn.XLOOKUP(B246,Planilha1!A:A,Planilha1!B:B)</f>
        <v>OUTROS</v>
      </c>
      <c r="G246" s="1366">
        <v>1800</v>
      </c>
      <c r="H246" s="1367">
        <v>437.9</v>
      </c>
      <c r="I246" s="1423">
        <f t="shared" si="23"/>
        <v>1.3849705863748496</v>
      </c>
      <c r="J246" s="1857">
        <v>316.18</v>
      </c>
      <c r="K246" s="1836">
        <f t="shared" si="22"/>
        <v>0</v>
      </c>
      <c r="L246" s="1299"/>
      <c r="M246" s="1356">
        <v>3</v>
      </c>
      <c r="N246" s="1346"/>
      <c r="O246" s="1343" t="e">
        <f t="shared" si="21"/>
        <v>#REF!</v>
      </c>
      <c r="P246" s="1343" t="e">
        <f t="shared" si="24"/>
        <v>#REF!</v>
      </c>
    </row>
    <row r="247" spans="1:16" ht="27" customHeight="1" thickBot="1">
      <c r="A247" s="1362"/>
      <c r="B247" s="1728">
        <v>410722027</v>
      </c>
      <c r="C247" s="1363" t="s">
        <v>128</v>
      </c>
      <c r="D247" s="1364" t="s">
        <v>271</v>
      </c>
      <c r="E247" s="1365" t="s">
        <v>135</v>
      </c>
      <c r="F247" s="1365" t="str">
        <f>_xlfn.XLOOKUP(B247,Planilha1!A:A,Planilha1!B:B)</f>
        <v>OUTROS</v>
      </c>
      <c r="G247" s="1366">
        <v>1800</v>
      </c>
      <c r="H247" s="1367">
        <v>437.9</v>
      </c>
      <c r="I247" s="1423">
        <f t="shared" si="23"/>
        <v>1.3849705863748496</v>
      </c>
      <c r="J247" s="1857">
        <v>316.18</v>
      </c>
      <c r="K247" s="1836">
        <f t="shared" si="22"/>
        <v>0</v>
      </c>
      <c r="L247" s="1299"/>
      <c r="M247" s="1356">
        <v>3</v>
      </c>
      <c r="N247" s="1358"/>
      <c r="O247" s="1343" t="e">
        <f t="shared" si="21"/>
        <v>#REF!</v>
      </c>
      <c r="P247" s="1343" t="e">
        <f t="shared" si="24"/>
        <v>#REF!</v>
      </c>
    </row>
    <row r="248" spans="1:16" ht="27" customHeight="1" thickBot="1">
      <c r="A248" s="1362"/>
      <c r="B248" s="1727">
        <v>410722039</v>
      </c>
      <c r="C248" s="1363" t="s">
        <v>128</v>
      </c>
      <c r="D248" s="1364" t="s">
        <v>74</v>
      </c>
      <c r="E248" s="1365" t="s">
        <v>135</v>
      </c>
      <c r="F248" s="1365" t="str">
        <f>_xlfn.XLOOKUP(B248,Planilha1!A:A,Planilha1!B:B)</f>
        <v>OUTROS</v>
      </c>
      <c r="G248" s="1366">
        <v>1800</v>
      </c>
      <c r="H248" s="1367">
        <v>437.9</v>
      </c>
      <c r="I248" s="1423">
        <f t="shared" si="23"/>
        <v>1.3849705863748496</v>
      </c>
      <c r="J248" s="1857">
        <v>316.18</v>
      </c>
      <c r="K248" s="1836">
        <f t="shared" si="22"/>
        <v>0</v>
      </c>
      <c r="L248" s="1299"/>
      <c r="M248" s="1356">
        <v>3</v>
      </c>
      <c r="N248" s="1418"/>
      <c r="O248" s="1343" t="e">
        <f t="shared" si="21"/>
        <v>#REF!</v>
      </c>
      <c r="P248" s="1343" t="e">
        <f t="shared" si="24"/>
        <v>#REF!</v>
      </c>
    </row>
    <row r="249" spans="1:16" ht="27" customHeight="1" thickBot="1">
      <c r="A249" s="1386"/>
      <c r="B249" s="1731">
        <v>410722044</v>
      </c>
      <c r="C249" s="1369" t="s">
        <v>128</v>
      </c>
      <c r="D249" s="1370" t="s">
        <v>80</v>
      </c>
      <c r="E249" s="1371" t="s">
        <v>135</v>
      </c>
      <c r="F249" s="1371" t="str">
        <f>_xlfn.XLOOKUP(B249,Planilha1!A:A,Planilha1!B:B)</f>
        <v>OUTROS</v>
      </c>
      <c r="G249" s="1372">
        <v>1800</v>
      </c>
      <c r="H249" s="1530">
        <v>437.9</v>
      </c>
      <c r="I249" s="1423">
        <f t="shared" si="23"/>
        <v>1.3849705863748496</v>
      </c>
      <c r="J249" s="1857">
        <v>316.18</v>
      </c>
      <c r="K249" s="1842">
        <f t="shared" si="22"/>
        <v>0</v>
      </c>
      <c r="L249" s="1304"/>
      <c r="M249" s="1357">
        <v>3</v>
      </c>
      <c r="N249" s="1346"/>
      <c r="O249" s="1343" t="e">
        <f t="shared" si="21"/>
        <v>#REF!</v>
      </c>
      <c r="P249" s="1343" t="e">
        <f t="shared" si="24"/>
        <v>#REF!</v>
      </c>
    </row>
    <row r="250" spans="1:16" ht="27" customHeight="1" thickBot="1">
      <c r="A250" s="1374"/>
      <c r="B250" s="1730">
        <v>411127009</v>
      </c>
      <c r="C250" s="1375" t="s">
        <v>226</v>
      </c>
      <c r="D250" s="1376" t="s">
        <v>70</v>
      </c>
      <c r="E250" s="1377" t="s">
        <v>123</v>
      </c>
      <c r="F250" s="1377" t="str">
        <f>_xlfn.XLOOKUP(B250,Planilha1!A:A,Planilha1!B:B)</f>
        <v>SACHES</v>
      </c>
      <c r="G250" s="1378">
        <v>30</v>
      </c>
      <c r="H250" s="1521">
        <v>21.9</v>
      </c>
      <c r="I250" s="1423">
        <f t="shared" si="23"/>
        <v>1.4767363452461226</v>
      </c>
      <c r="J250" s="1857">
        <v>14.83</v>
      </c>
      <c r="K250" s="1836">
        <f t="shared" si="22"/>
        <v>0</v>
      </c>
      <c r="L250" s="1332"/>
      <c r="M250" s="1359">
        <v>10</v>
      </c>
      <c r="N250" s="1346"/>
      <c r="O250" s="1343" t="e">
        <f t="shared" si="21"/>
        <v>#REF!</v>
      </c>
      <c r="P250" s="1343" t="e">
        <f t="shared" si="24"/>
        <v>#REF!</v>
      </c>
    </row>
    <row r="251" spans="1:16" ht="27" customHeight="1" thickBot="1">
      <c r="A251" s="1362"/>
      <c r="B251" s="1728">
        <v>411127013</v>
      </c>
      <c r="C251" s="1363" t="s">
        <v>226</v>
      </c>
      <c r="D251" s="1364" t="s">
        <v>312</v>
      </c>
      <c r="E251" s="1365" t="s">
        <v>123</v>
      </c>
      <c r="F251" s="1365" t="str">
        <f>_xlfn.XLOOKUP(B251,Planilha1!A:A,Planilha1!B:B)</f>
        <v>SACHES</v>
      </c>
      <c r="G251" s="1366">
        <v>30</v>
      </c>
      <c r="H251" s="1367">
        <v>21.9</v>
      </c>
      <c r="I251" s="1423">
        <f t="shared" si="23"/>
        <v>1.4767363452461226</v>
      </c>
      <c r="J251" s="1857">
        <v>14.83</v>
      </c>
      <c r="K251" s="1836">
        <f t="shared" si="22"/>
        <v>0</v>
      </c>
      <c r="L251" s="1299"/>
      <c r="M251" s="1356">
        <v>10</v>
      </c>
      <c r="N251" s="1346"/>
      <c r="O251" s="1343" t="e">
        <f t="shared" si="21"/>
        <v>#REF!</v>
      </c>
      <c r="P251" s="1343" t="e">
        <f t="shared" si="24"/>
        <v>#REF!</v>
      </c>
    </row>
    <row r="252" spans="1:16" ht="27" customHeight="1" thickBot="1">
      <c r="A252" s="1362"/>
      <c r="B252" s="1728">
        <v>411127116</v>
      </c>
      <c r="C252" s="1363" t="s">
        <v>226</v>
      </c>
      <c r="D252" s="1364" t="s">
        <v>591</v>
      </c>
      <c r="E252" s="1365" t="s">
        <v>123</v>
      </c>
      <c r="F252" s="1365" t="s">
        <v>770</v>
      </c>
      <c r="G252" s="1366">
        <v>30</v>
      </c>
      <c r="H252" s="1367">
        <v>21.9</v>
      </c>
      <c r="I252" s="1423">
        <f t="shared" si="23"/>
        <v>1.4767363452461226</v>
      </c>
      <c r="J252" s="1857">
        <v>14.83</v>
      </c>
      <c r="K252" s="1836">
        <f t="shared" si="22"/>
        <v>0</v>
      </c>
      <c r="L252" s="1299"/>
      <c r="M252" s="1356">
        <v>10</v>
      </c>
      <c r="N252" s="1346"/>
      <c r="O252" s="1343" t="e">
        <f t="shared" si="21"/>
        <v>#REF!</v>
      </c>
      <c r="P252" s="1343" t="e">
        <f t="shared" si="24"/>
        <v>#REF!</v>
      </c>
    </row>
    <row r="253" spans="1:16" ht="27" customHeight="1" thickBot="1">
      <c r="A253" s="1362"/>
      <c r="B253" s="1728">
        <v>411127015</v>
      </c>
      <c r="C253" s="1363" t="s">
        <v>226</v>
      </c>
      <c r="D253" s="1364" t="s">
        <v>124</v>
      </c>
      <c r="E253" s="1365" t="s">
        <v>123</v>
      </c>
      <c r="F253" s="1365" t="str">
        <f>_xlfn.XLOOKUP(B253,Planilha1!A:A,Planilha1!B:B)</f>
        <v>SACHES</v>
      </c>
      <c r="G253" s="1366">
        <v>30</v>
      </c>
      <c r="H253" s="1367">
        <v>21.9</v>
      </c>
      <c r="I253" s="1423">
        <f t="shared" si="23"/>
        <v>1.4767363452461226</v>
      </c>
      <c r="J253" s="1857">
        <v>14.83</v>
      </c>
      <c r="K253" s="1836">
        <f t="shared" si="22"/>
        <v>0</v>
      </c>
      <c r="L253" s="1299"/>
      <c r="M253" s="1356">
        <v>10</v>
      </c>
      <c r="N253" s="1346"/>
      <c r="O253" s="1343" t="e">
        <f t="shared" si="21"/>
        <v>#REF!</v>
      </c>
      <c r="P253" s="1343" t="e">
        <f t="shared" si="24"/>
        <v>#REF!</v>
      </c>
    </row>
    <row r="254" spans="1:16" ht="27" customHeight="1" thickBot="1">
      <c r="A254" s="1362"/>
      <c r="B254" s="1728">
        <v>411174018</v>
      </c>
      <c r="C254" s="1363" t="s">
        <v>226</v>
      </c>
      <c r="D254" s="1364" t="s">
        <v>125</v>
      </c>
      <c r="E254" s="1365" t="s">
        <v>123</v>
      </c>
      <c r="F254" s="1365" t="str">
        <f>_xlfn.XLOOKUP(B254,Planilha1!A:A,Planilha1!B:B)</f>
        <v>SACHES</v>
      </c>
      <c r="G254" s="1366">
        <v>30</v>
      </c>
      <c r="H254" s="1367">
        <v>21.9</v>
      </c>
      <c r="I254" s="1423">
        <f t="shared" si="23"/>
        <v>1.4767363452461226</v>
      </c>
      <c r="J254" s="1857">
        <v>14.83</v>
      </c>
      <c r="K254" s="1836">
        <f t="shared" si="22"/>
        <v>0</v>
      </c>
      <c r="L254" s="1299"/>
      <c r="M254" s="1356">
        <v>10</v>
      </c>
      <c r="N254" s="1346"/>
      <c r="O254" s="1343" t="e">
        <f t="shared" si="21"/>
        <v>#REF!</v>
      </c>
      <c r="P254" s="1343" t="e">
        <f t="shared" si="24"/>
        <v>#REF!</v>
      </c>
    </row>
    <row r="255" spans="1:16" ht="27" customHeight="1" thickBot="1">
      <c r="A255" s="1362"/>
      <c r="B255" s="1728">
        <v>411174020</v>
      </c>
      <c r="C255" s="1363" t="s">
        <v>226</v>
      </c>
      <c r="D255" s="1364" t="s">
        <v>274</v>
      </c>
      <c r="E255" s="1365" t="s">
        <v>123</v>
      </c>
      <c r="F255" s="1365" t="str">
        <f>_xlfn.XLOOKUP(B255,Planilha1!A:A,Planilha1!B:B)</f>
        <v>SACHES</v>
      </c>
      <c r="G255" s="1366">
        <v>30</v>
      </c>
      <c r="H255" s="1367">
        <v>21.9</v>
      </c>
      <c r="I255" s="1423">
        <f t="shared" si="23"/>
        <v>1.4767363452461226</v>
      </c>
      <c r="J255" s="1857">
        <v>14.83</v>
      </c>
      <c r="K255" s="1836">
        <f t="shared" si="22"/>
        <v>0</v>
      </c>
      <c r="L255" s="1299"/>
      <c r="M255" s="1356">
        <v>10</v>
      </c>
      <c r="N255" s="1346"/>
      <c r="O255" s="1343" t="e">
        <f t="shared" si="21"/>
        <v>#REF!</v>
      </c>
      <c r="P255" s="1343" t="e">
        <f t="shared" si="24"/>
        <v>#REF!</v>
      </c>
    </row>
    <row r="256" spans="1:16" ht="27" customHeight="1" thickBot="1">
      <c r="A256" s="1362"/>
      <c r="B256" s="1728">
        <v>411127022</v>
      </c>
      <c r="C256" s="1363" t="s">
        <v>226</v>
      </c>
      <c r="D256" s="1364" t="s">
        <v>118</v>
      </c>
      <c r="E256" s="1365" t="s">
        <v>123</v>
      </c>
      <c r="F256" s="1365" t="str">
        <f>_xlfn.XLOOKUP(B256,Planilha1!A:A,Planilha1!B:B)</f>
        <v>SACHES</v>
      </c>
      <c r="G256" s="1366">
        <v>30</v>
      </c>
      <c r="H256" s="1367">
        <v>21.9</v>
      </c>
      <c r="I256" s="1423">
        <f t="shared" si="23"/>
        <v>1.4767363452461226</v>
      </c>
      <c r="J256" s="1857">
        <v>14.83</v>
      </c>
      <c r="K256" s="1836">
        <f t="shared" si="22"/>
        <v>0</v>
      </c>
      <c r="L256" s="1299"/>
      <c r="M256" s="1356">
        <v>10</v>
      </c>
      <c r="N256" s="1346"/>
      <c r="O256" s="1343" t="e">
        <f t="shared" ref="O256:O316" si="25">O255+24</f>
        <v>#REF!</v>
      </c>
      <c r="P256" s="1343" t="e">
        <f t="shared" si="24"/>
        <v>#REF!</v>
      </c>
    </row>
    <row r="257" spans="1:16" ht="27" customHeight="1" thickBot="1">
      <c r="A257" s="1362"/>
      <c r="B257" s="1728">
        <v>411174023</v>
      </c>
      <c r="C257" s="1363" t="s">
        <v>226</v>
      </c>
      <c r="D257" s="1364" t="s">
        <v>126</v>
      </c>
      <c r="E257" s="1365" t="s">
        <v>123</v>
      </c>
      <c r="F257" s="1365" t="str">
        <f>_xlfn.XLOOKUP(B257,Planilha1!A:A,Planilha1!B:B)</f>
        <v>SACHES</v>
      </c>
      <c r="G257" s="1366">
        <v>30</v>
      </c>
      <c r="H257" s="1367">
        <v>21.9</v>
      </c>
      <c r="I257" s="1423">
        <f t="shared" si="23"/>
        <v>1.4767363452461226</v>
      </c>
      <c r="J257" s="1857">
        <v>14.83</v>
      </c>
      <c r="K257" s="1836">
        <f t="shared" si="22"/>
        <v>0</v>
      </c>
      <c r="L257" s="1299"/>
      <c r="M257" s="1356">
        <v>10</v>
      </c>
      <c r="N257" s="1346"/>
      <c r="O257" s="1343" t="e">
        <f t="shared" si="25"/>
        <v>#REF!</v>
      </c>
      <c r="P257" s="1343" t="e">
        <f t="shared" si="24"/>
        <v>#REF!</v>
      </c>
    </row>
    <row r="258" spans="1:16" ht="27" customHeight="1" thickBot="1">
      <c r="A258" s="1362"/>
      <c r="B258" s="1728">
        <v>411127027</v>
      </c>
      <c r="C258" s="1363" t="s">
        <v>226</v>
      </c>
      <c r="D258" s="1364" t="s">
        <v>271</v>
      </c>
      <c r="E258" s="1365" t="s">
        <v>123</v>
      </c>
      <c r="F258" s="1365" t="str">
        <f>_xlfn.XLOOKUP(B258,Planilha1!A:A,Planilha1!B:B)</f>
        <v>SACHES</v>
      </c>
      <c r="G258" s="1366">
        <v>30</v>
      </c>
      <c r="H258" s="1367">
        <v>21.9</v>
      </c>
      <c r="I258" s="1423">
        <f t="shared" si="23"/>
        <v>1.4767363452461226</v>
      </c>
      <c r="J258" s="1857">
        <v>14.83</v>
      </c>
      <c r="K258" s="1836">
        <f t="shared" si="22"/>
        <v>0</v>
      </c>
      <c r="L258" s="1299"/>
      <c r="M258" s="1356">
        <v>10</v>
      </c>
      <c r="N258" s="1346"/>
      <c r="O258" s="1343" t="e">
        <f t="shared" si="25"/>
        <v>#REF!</v>
      </c>
      <c r="P258" s="1343" t="e">
        <f t="shared" si="24"/>
        <v>#REF!</v>
      </c>
    </row>
    <row r="259" spans="1:16" ht="27" customHeight="1" thickBot="1">
      <c r="A259" s="1362"/>
      <c r="B259" s="1728">
        <v>411127039</v>
      </c>
      <c r="C259" s="1363" t="s">
        <v>226</v>
      </c>
      <c r="D259" s="1364" t="s">
        <v>74</v>
      </c>
      <c r="E259" s="1365" t="s">
        <v>123</v>
      </c>
      <c r="F259" s="1365" t="str">
        <f>_xlfn.XLOOKUP(B259,Planilha1!A:A,Planilha1!B:B)</f>
        <v>SACHES</v>
      </c>
      <c r="G259" s="1366">
        <v>30</v>
      </c>
      <c r="H259" s="1367">
        <v>21.9</v>
      </c>
      <c r="I259" s="1423">
        <f t="shared" si="23"/>
        <v>1.4767363452461226</v>
      </c>
      <c r="J259" s="1857">
        <v>14.83</v>
      </c>
      <c r="K259" s="1836">
        <f t="shared" si="22"/>
        <v>0</v>
      </c>
      <c r="L259" s="1299"/>
      <c r="M259" s="1356">
        <v>10</v>
      </c>
      <c r="N259" s="1346"/>
      <c r="O259" s="1343" t="e">
        <f t="shared" si="25"/>
        <v>#REF!</v>
      </c>
      <c r="P259" s="1343" t="e">
        <f t="shared" si="24"/>
        <v>#REF!</v>
      </c>
    </row>
    <row r="260" spans="1:16" ht="27" customHeight="1" thickBot="1">
      <c r="A260" s="1362"/>
      <c r="B260" s="1728">
        <v>411174044</v>
      </c>
      <c r="C260" s="1437" t="s">
        <v>226</v>
      </c>
      <c r="D260" s="1438" t="s">
        <v>80</v>
      </c>
      <c r="E260" s="1439" t="s">
        <v>123</v>
      </c>
      <c r="F260" s="1439" t="str">
        <f>_xlfn.XLOOKUP(B260,Planilha1!A:A,Planilha1!B:B)</f>
        <v>SACHES</v>
      </c>
      <c r="G260" s="1493" t="s">
        <v>372</v>
      </c>
      <c r="H260" s="1367">
        <v>21.9</v>
      </c>
      <c r="I260" s="1423">
        <f t="shared" si="23"/>
        <v>1.4767363452461226</v>
      </c>
      <c r="J260" s="1857">
        <v>14.83</v>
      </c>
      <c r="K260" s="1836">
        <f t="shared" si="22"/>
        <v>0</v>
      </c>
      <c r="L260" s="1299"/>
      <c r="M260" s="1399">
        <v>10</v>
      </c>
      <c r="N260" s="1346"/>
      <c r="O260" s="1343" t="e">
        <f t="shared" si="25"/>
        <v>#REF!</v>
      </c>
      <c r="P260" s="1343" t="e">
        <f t="shared" si="24"/>
        <v>#REF!</v>
      </c>
    </row>
    <row r="261" spans="1:16" ht="27" customHeight="1" thickBot="1">
      <c r="A261" s="1362"/>
      <c r="B261" s="1728">
        <v>411109009</v>
      </c>
      <c r="C261" s="1363" t="s">
        <v>142</v>
      </c>
      <c r="D261" s="1364" t="s">
        <v>70</v>
      </c>
      <c r="E261" s="1365" t="s">
        <v>61</v>
      </c>
      <c r="F261" s="1365" t="str">
        <f>_xlfn.XLOOKUP(B261,Planilha1!A:A,Planilha1!B:B)</f>
        <v>OUTROS</v>
      </c>
      <c r="G261" s="1366">
        <v>450</v>
      </c>
      <c r="H261" s="1385">
        <v>248.9</v>
      </c>
      <c r="I261" s="1423">
        <f t="shared" si="23"/>
        <v>1.4477664029781294</v>
      </c>
      <c r="J261" s="1857">
        <v>171.92</v>
      </c>
      <c r="K261" s="1843">
        <f t="shared" si="22"/>
        <v>0</v>
      </c>
      <c r="L261" s="1333"/>
      <c r="M261" s="1356">
        <v>4</v>
      </c>
      <c r="N261" s="1346"/>
      <c r="O261" s="1343" t="e">
        <f t="shared" si="25"/>
        <v>#REF!</v>
      </c>
      <c r="P261" s="1343" t="e">
        <f t="shared" si="24"/>
        <v>#REF!</v>
      </c>
    </row>
    <row r="262" spans="1:16" ht="27" customHeight="1" thickBot="1">
      <c r="A262" s="1362"/>
      <c r="B262" s="1728">
        <v>411109013</v>
      </c>
      <c r="C262" s="1363" t="s">
        <v>142</v>
      </c>
      <c r="D262" s="1364" t="s">
        <v>312</v>
      </c>
      <c r="E262" s="1365" t="s">
        <v>61</v>
      </c>
      <c r="F262" s="1365" t="str">
        <f>_xlfn.XLOOKUP(B262,Planilha1!A:A,Planilha1!B:B)</f>
        <v>OUTROS</v>
      </c>
      <c r="G262" s="1366">
        <v>450</v>
      </c>
      <c r="H262" s="1367">
        <v>248.9</v>
      </c>
      <c r="I262" s="1423">
        <f t="shared" si="23"/>
        <v>1.4477664029781294</v>
      </c>
      <c r="J262" s="1857">
        <v>171.92</v>
      </c>
      <c r="K262" s="1836">
        <f t="shared" si="22"/>
        <v>0</v>
      </c>
      <c r="L262" s="1317"/>
      <c r="M262" s="1356">
        <v>4</v>
      </c>
      <c r="N262" s="1346"/>
      <c r="O262" s="1343" t="e">
        <f t="shared" si="25"/>
        <v>#REF!</v>
      </c>
      <c r="P262" s="1343" t="e">
        <f t="shared" si="24"/>
        <v>#REF!</v>
      </c>
    </row>
    <row r="263" spans="1:16" ht="27" customHeight="1" thickBot="1">
      <c r="A263" s="1362"/>
      <c r="B263" s="1728">
        <v>411109015</v>
      </c>
      <c r="C263" s="1363" t="s">
        <v>142</v>
      </c>
      <c r="D263" s="1364" t="s">
        <v>124</v>
      </c>
      <c r="E263" s="1365" t="s">
        <v>61</v>
      </c>
      <c r="F263" s="1365" t="str">
        <f>_xlfn.XLOOKUP(B263,Planilha1!A:A,Planilha1!B:B)</f>
        <v>OUTROS</v>
      </c>
      <c r="G263" s="1366">
        <v>450</v>
      </c>
      <c r="H263" s="1367">
        <v>248.9</v>
      </c>
      <c r="I263" s="1423">
        <f t="shared" si="23"/>
        <v>1.4477664029781294</v>
      </c>
      <c r="J263" s="1857">
        <v>171.92</v>
      </c>
      <c r="K263" s="1836">
        <f t="shared" ref="K263:K292" si="26">L263*J263</f>
        <v>0</v>
      </c>
      <c r="L263" s="1317"/>
      <c r="M263" s="1356">
        <v>4</v>
      </c>
      <c r="N263" s="1346"/>
      <c r="O263" s="1343" t="e">
        <f>#REF!+24</f>
        <v>#REF!</v>
      </c>
      <c r="P263" s="1343" t="e">
        <f>#REF!+12</f>
        <v>#REF!</v>
      </c>
    </row>
    <row r="264" spans="1:16" ht="27" customHeight="1" thickBot="1">
      <c r="A264" s="1362"/>
      <c r="B264" s="1728">
        <v>411109018</v>
      </c>
      <c r="C264" s="1363" t="s">
        <v>142</v>
      </c>
      <c r="D264" s="1364" t="s">
        <v>125</v>
      </c>
      <c r="E264" s="1365" t="s">
        <v>61</v>
      </c>
      <c r="F264" s="1365" t="str">
        <f>_xlfn.XLOOKUP(B264,Planilha1!A:A,Planilha1!B:B)</f>
        <v>OUTROS</v>
      </c>
      <c r="G264" s="1366">
        <v>450</v>
      </c>
      <c r="H264" s="1367">
        <v>248.9</v>
      </c>
      <c r="I264" s="1423">
        <f t="shared" si="23"/>
        <v>1.4477664029781294</v>
      </c>
      <c r="J264" s="1857">
        <v>171.92</v>
      </c>
      <c r="K264" s="1836">
        <f t="shared" si="26"/>
        <v>0</v>
      </c>
      <c r="L264" s="1317"/>
      <c r="M264" s="1356">
        <v>4</v>
      </c>
      <c r="N264" s="1346"/>
      <c r="O264" s="1343" t="e">
        <f t="shared" si="25"/>
        <v>#REF!</v>
      </c>
      <c r="P264" s="1343" t="e">
        <f t="shared" si="24"/>
        <v>#REF!</v>
      </c>
    </row>
    <row r="265" spans="1:16" ht="27" customHeight="1" thickBot="1">
      <c r="A265" s="1362"/>
      <c r="B265" s="1728">
        <v>411109020</v>
      </c>
      <c r="C265" s="1363" t="s">
        <v>142</v>
      </c>
      <c r="D265" s="1364" t="s">
        <v>274</v>
      </c>
      <c r="E265" s="1365" t="s">
        <v>61</v>
      </c>
      <c r="F265" s="1365" t="str">
        <f>_xlfn.XLOOKUP(B265,Planilha1!A:A,Planilha1!B:B)</f>
        <v>OUTROS</v>
      </c>
      <c r="G265" s="1366">
        <v>450</v>
      </c>
      <c r="H265" s="1367">
        <v>248.9</v>
      </c>
      <c r="I265" s="1423">
        <f t="shared" si="23"/>
        <v>1.4477664029781294</v>
      </c>
      <c r="J265" s="1857">
        <v>171.92</v>
      </c>
      <c r="K265" s="1836">
        <f t="shared" si="26"/>
        <v>0</v>
      </c>
      <c r="L265" s="1317"/>
      <c r="M265" s="1356">
        <v>4</v>
      </c>
      <c r="N265" s="1346"/>
      <c r="O265" s="1343" t="e">
        <f t="shared" si="25"/>
        <v>#REF!</v>
      </c>
      <c r="P265" s="1343" t="e">
        <f t="shared" si="24"/>
        <v>#REF!</v>
      </c>
    </row>
    <row r="266" spans="1:16" ht="27" customHeight="1" thickBot="1">
      <c r="A266" s="1362"/>
      <c r="B266" s="1728">
        <v>411109022</v>
      </c>
      <c r="C266" s="1363" t="s">
        <v>142</v>
      </c>
      <c r="D266" s="1364" t="s">
        <v>118</v>
      </c>
      <c r="E266" s="1365" t="s">
        <v>61</v>
      </c>
      <c r="F266" s="1365" t="str">
        <f>_xlfn.XLOOKUP(B266,Planilha1!A:A,Planilha1!B:B)</f>
        <v>OUTROS</v>
      </c>
      <c r="G266" s="1366">
        <v>450</v>
      </c>
      <c r="H266" s="1367">
        <v>248.9</v>
      </c>
      <c r="I266" s="1423">
        <f t="shared" si="23"/>
        <v>1.4477664029781294</v>
      </c>
      <c r="J266" s="1857">
        <v>171.92</v>
      </c>
      <c r="K266" s="1836">
        <f t="shared" si="26"/>
        <v>0</v>
      </c>
      <c r="L266" s="1317"/>
      <c r="M266" s="1356">
        <v>4</v>
      </c>
      <c r="N266" s="1346"/>
      <c r="O266" s="1343" t="e">
        <f t="shared" si="25"/>
        <v>#REF!</v>
      </c>
      <c r="P266" s="1343" t="e">
        <f t="shared" si="24"/>
        <v>#REF!</v>
      </c>
    </row>
    <row r="267" spans="1:16" ht="27" customHeight="1" thickBot="1">
      <c r="A267" s="1362"/>
      <c r="B267" s="1728">
        <v>411109023</v>
      </c>
      <c r="C267" s="1363" t="s">
        <v>142</v>
      </c>
      <c r="D267" s="1364" t="s">
        <v>126</v>
      </c>
      <c r="E267" s="1365" t="s">
        <v>61</v>
      </c>
      <c r="F267" s="1365" t="str">
        <f>_xlfn.XLOOKUP(B267,Planilha1!A:A,Planilha1!B:B)</f>
        <v>OUTROS</v>
      </c>
      <c r="G267" s="1366">
        <v>450</v>
      </c>
      <c r="H267" s="1367">
        <v>248.9</v>
      </c>
      <c r="I267" s="1423">
        <f t="shared" si="23"/>
        <v>1.4477664029781294</v>
      </c>
      <c r="J267" s="1857">
        <v>171.92</v>
      </c>
      <c r="K267" s="1836">
        <f t="shared" si="26"/>
        <v>0</v>
      </c>
      <c r="L267" s="1317"/>
      <c r="M267" s="1356">
        <v>4</v>
      </c>
      <c r="N267" s="1346"/>
      <c r="O267" s="1343" t="e">
        <f t="shared" si="25"/>
        <v>#REF!</v>
      </c>
      <c r="P267" s="1343" t="e">
        <f t="shared" si="24"/>
        <v>#REF!</v>
      </c>
    </row>
    <row r="268" spans="1:16" ht="24.75" customHeight="1" thickBot="1">
      <c r="A268" s="1362"/>
      <c r="B268" s="1728">
        <v>411109027</v>
      </c>
      <c r="C268" s="1363" t="s">
        <v>142</v>
      </c>
      <c r="D268" s="1364" t="s">
        <v>271</v>
      </c>
      <c r="E268" s="1365" t="s">
        <v>61</v>
      </c>
      <c r="F268" s="1365" t="str">
        <f>_xlfn.XLOOKUP(B268,Planilha1!A:A,Planilha1!B:B)</f>
        <v>OUTROS</v>
      </c>
      <c r="G268" s="1366">
        <v>450</v>
      </c>
      <c r="H268" s="1367">
        <v>248.9</v>
      </c>
      <c r="I268" s="1423">
        <f t="shared" si="23"/>
        <v>1.4477664029781294</v>
      </c>
      <c r="J268" s="1857">
        <v>171.92</v>
      </c>
      <c r="K268" s="1836">
        <f t="shared" si="26"/>
        <v>0</v>
      </c>
      <c r="L268" s="1317"/>
      <c r="M268" s="1356">
        <v>4</v>
      </c>
      <c r="N268" s="1346"/>
      <c r="O268" s="1343" t="e">
        <f t="shared" si="25"/>
        <v>#REF!</v>
      </c>
      <c r="P268" s="1343" t="e">
        <f t="shared" si="24"/>
        <v>#REF!</v>
      </c>
    </row>
    <row r="269" spans="1:16" ht="24.75" customHeight="1" thickBot="1">
      <c r="A269" s="1362"/>
      <c r="B269" s="1728">
        <v>411109039</v>
      </c>
      <c r="C269" s="1363" t="s">
        <v>142</v>
      </c>
      <c r="D269" s="1364" t="s">
        <v>74</v>
      </c>
      <c r="E269" s="1365" t="s">
        <v>61</v>
      </c>
      <c r="F269" s="1365" t="str">
        <f>_xlfn.XLOOKUP(B269,Planilha1!A:A,Planilha1!B:B)</f>
        <v>OUTROS</v>
      </c>
      <c r="G269" s="1366">
        <v>450</v>
      </c>
      <c r="H269" s="1380">
        <v>248.9</v>
      </c>
      <c r="I269" s="1423">
        <f t="shared" si="23"/>
        <v>1.4477664029781294</v>
      </c>
      <c r="J269" s="1857">
        <v>171.92</v>
      </c>
      <c r="K269" s="1844">
        <f t="shared" si="26"/>
        <v>0</v>
      </c>
      <c r="L269" s="1313"/>
      <c r="M269" s="1356">
        <v>4</v>
      </c>
      <c r="N269" s="1346"/>
      <c r="O269" s="1343" t="e">
        <f t="shared" si="25"/>
        <v>#REF!</v>
      </c>
      <c r="P269" s="1343" t="e">
        <f t="shared" si="24"/>
        <v>#REF!</v>
      </c>
    </row>
    <row r="270" spans="1:16" ht="24.75" customHeight="1" thickBot="1">
      <c r="A270" s="1362"/>
      <c r="B270" s="1727">
        <v>411113009</v>
      </c>
      <c r="C270" s="1381" t="s">
        <v>142</v>
      </c>
      <c r="D270" s="1382" t="s">
        <v>70</v>
      </c>
      <c r="E270" s="1383" t="s">
        <v>61</v>
      </c>
      <c r="F270" s="1383" t="str">
        <f>_xlfn.XLOOKUP(B270,Planilha1!A:A,Planilha1!B:B)</f>
        <v>OUTROS</v>
      </c>
      <c r="G270" s="1384">
        <v>900</v>
      </c>
      <c r="H270" s="1385">
        <v>419.9</v>
      </c>
      <c r="I270" s="1423">
        <f t="shared" si="23"/>
        <v>1.4484304932735426</v>
      </c>
      <c r="J270" s="1857">
        <v>289.89999999999998</v>
      </c>
      <c r="K270" s="1843">
        <f t="shared" si="26"/>
        <v>0</v>
      </c>
      <c r="L270" s="1333"/>
      <c r="M270" s="1360">
        <v>4</v>
      </c>
      <c r="N270" s="1346"/>
      <c r="O270" s="1343" t="e">
        <f t="shared" si="25"/>
        <v>#REF!</v>
      </c>
      <c r="P270" s="1343" t="e">
        <f t="shared" si="24"/>
        <v>#REF!</v>
      </c>
    </row>
    <row r="271" spans="1:16" ht="24.75" customHeight="1" thickBot="1">
      <c r="A271" s="1362"/>
      <c r="B271" s="1727">
        <v>411113013</v>
      </c>
      <c r="C271" s="1363" t="s">
        <v>142</v>
      </c>
      <c r="D271" s="1364" t="s">
        <v>312</v>
      </c>
      <c r="E271" s="1365" t="s">
        <v>61</v>
      </c>
      <c r="F271" s="1365" t="str">
        <f>_xlfn.XLOOKUP(B271,Planilha1!A:A,Planilha1!B:B)</f>
        <v>OUTROS</v>
      </c>
      <c r="G271" s="1366">
        <v>900</v>
      </c>
      <c r="H271" s="1367">
        <v>419.9</v>
      </c>
      <c r="I271" s="1423">
        <f t="shared" si="23"/>
        <v>1.4484304932735426</v>
      </c>
      <c r="J271" s="1857">
        <v>289.89999999999998</v>
      </c>
      <c r="K271" s="1836">
        <f t="shared" si="26"/>
        <v>0</v>
      </c>
      <c r="L271" s="1317"/>
      <c r="M271" s="1356">
        <v>4</v>
      </c>
      <c r="N271" s="1346"/>
      <c r="O271" s="1343" t="e">
        <f t="shared" si="25"/>
        <v>#REF!</v>
      </c>
      <c r="P271" s="1343" t="e">
        <f t="shared" si="24"/>
        <v>#REF!</v>
      </c>
    </row>
    <row r="272" spans="1:16" ht="24.75" customHeight="1" thickBot="1">
      <c r="A272" s="1362"/>
      <c r="B272" s="1727">
        <v>411113015</v>
      </c>
      <c r="C272" s="1363" t="s">
        <v>142</v>
      </c>
      <c r="D272" s="1364" t="s">
        <v>124</v>
      </c>
      <c r="E272" s="1365" t="s">
        <v>61</v>
      </c>
      <c r="F272" s="1365" t="str">
        <f>_xlfn.XLOOKUP(B272,Planilha1!A:A,Planilha1!B:B)</f>
        <v>OUTROS</v>
      </c>
      <c r="G272" s="1366">
        <v>900</v>
      </c>
      <c r="H272" s="1367">
        <v>419.9</v>
      </c>
      <c r="I272" s="1423">
        <f t="shared" si="23"/>
        <v>1.4484304932735426</v>
      </c>
      <c r="J272" s="1857">
        <v>289.89999999999998</v>
      </c>
      <c r="K272" s="1836">
        <f t="shared" si="26"/>
        <v>0</v>
      </c>
      <c r="L272" s="1317"/>
      <c r="M272" s="1356">
        <v>4</v>
      </c>
      <c r="N272" s="1346"/>
      <c r="O272" s="1343" t="e">
        <f t="shared" si="25"/>
        <v>#REF!</v>
      </c>
      <c r="P272" s="1343" t="e">
        <f t="shared" si="24"/>
        <v>#REF!</v>
      </c>
    </row>
    <row r="273" spans="1:16" ht="24.75" customHeight="1" thickBot="1">
      <c r="A273" s="1362"/>
      <c r="B273" s="1727">
        <v>411113116</v>
      </c>
      <c r="C273" s="1363" t="s">
        <v>142</v>
      </c>
      <c r="D273" s="1364" t="s">
        <v>591</v>
      </c>
      <c r="E273" s="1365" t="s">
        <v>61</v>
      </c>
      <c r="F273" s="1365" t="str">
        <f>_xlfn.XLOOKUP(B273,Planilha1!A:A,Planilha1!B:B)</f>
        <v>OUTROS</v>
      </c>
      <c r="G273" s="1366">
        <v>900</v>
      </c>
      <c r="H273" s="1367">
        <v>419.9</v>
      </c>
      <c r="I273" s="1423">
        <f t="shared" si="23"/>
        <v>1.4484304932735426</v>
      </c>
      <c r="J273" s="1857">
        <v>289.89999999999998</v>
      </c>
      <c r="K273" s="1836">
        <f t="shared" si="26"/>
        <v>0</v>
      </c>
      <c r="L273" s="1317"/>
      <c r="M273" s="1356">
        <v>4</v>
      </c>
      <c r="N273" s="1346"/>
      <c r="O273" s="1343" t="e">
        <f t="shared" si="25"/>
        <v>#REF!</v>
      </c>
      <c r="P273" s="1343" t="e">
        <f t="shared" si="24"/>
        <v>#REF!</v>
      </c>
    </row>
    <row r="274" spans="1:16" ht="24.75" customHeight="1" thickBot="1">
      <c r="A274" s="1362"/>
      <c r="B274" s="1727">
        <v>411113018</v>
      </c>
      <c r="C274" s="1363" t="s">
        <v>142</v>
      </c>
      <c r="D274" s="1364" t="s">
        <v>125</v>
      </c>
      <c r="E274" s="1365" t="s">
        <v>61</v>
      </c>
      <c r="F274" s="1365" t="str">
        <f>_xlfn.XLOOKUP(B274,Planilha1!A:A,Planilha1!B:B)</f>
        <v>OUTROS</v>
      </c>
      <c r="G274" s="1366">
        <v>900</v>
      </c>
      <c r="H274" s="1367">
        <v>419.9</v>
      </c>
      <c r="I274" s="1423">
        <f t="shared" ref="I274:I291" si="27">IFERROR(H274/J274,"")</f>
        <v>1.4484304932735426</v>
      </c>
      <c r="J274" s="1857">
        <v>289.89999999999998</v>
      </c>
      <c r="K274" s="1836">
        <f t="shared" si="26"/>
        <v>0</v>
      </c>
      <c r="L274" s="1317"/>
      <c r="M274" s="1356">
        <v>4</v>
      </c>
      <c r="N274" s="1346"/>
      <c r="O274" s="1343" t="e">
        <f t="shared" si="25"/>
        <v>#REF!</v>
      </c>
      <c r="P274" s="1343" t="e">
        <f t="shared" si="24"/>
        <v>#REF!</v>
      </c>
    </row>
    <row r="275" spans="1:16" ht="24.75" customHeight="1" thickBot="1">
      <c r="A275" s="1362"/>
      <c r="B275" s="1728">
        <v>411113020</v>
      </c>
      <c r="C275" s="1363" t="s">
        <v>142</v>
      </c>
      <c r="D275" s="1364" t="s">
        <v>274</v>
      </c>
      <c r="E275" s="1365" t="s">
        <v>61</v>
      </c>
      <c r="F275" s="1365" t="str">
        <f>_xlfn.XLOOKUP(B275,Planilha1!A:A,Planilha1!B:B)</f>
        <v>OUTROS</v>
      </c>
      <c r="G275" s="1366">
        <v>900</v>
      </c>
      <c r="H275" s="1367">
        <v>419.9</v>
      </c>
      <c r="I275" s="1423">
        <f t="shared" si="27"/>
        <v>1.4484304932735426</v>
      </c>
      <c r="J275" s="1857">
        <v>289.89999999999998</v>
      </c>
      <c r="K275" s="1836">
        <f t="shared" si="26"/>
        <v>0</v>
      </c>
      <c r="L275" s="1317"/>
      <c r="M275" s="1356">
        <v>4</v>
      </c>
      <c r="N275" s="1346"/>
      <c r="O275" s="1343" t="e">
        <f t="shared" si="25"/>
        <v>#REF!</v>
      </c>
      <c r="P275" s="1343" t="e">
        <f t="shared" si="24"/>
        <v>#REF!</v>
      </c>
    </row>
    <row r="276" spans="1:16" ht="24.75" customHeight="1" thickBot="1">
      <c r="A276" s="1362"/>
      <c r="B276" s="1727">
        <v>411113022</v>
      </c>
      <c r="C276" s="1363" t="s">
        <v>142</v>
      </c>
      <c r="D276" s="1364" t="s">
        <v>118</v>
      </c>
      <c r="E276" s="1365" t="s">
        <v>61</v>
      </c>
      <c r="F276" s="1365" t="str">
        <f>_xlfn.XLOOKUP(B276,Planilha1!A:A,Planilha1!B:B)</f>
        <v>OUTROS</v>
      </c>
      <c r="G276" s="1366">
        <v>900</v>
      </c>
      <c r="H276" s="1367">
        <v>419.9</v>
      </c>
      <c r="I276" s="1423">
        <f t="shared" si="27"/>
        <v>1.4484304932735426</v>
      </c>
      <c r="J276" s="1857">
        <v>289.89999999999998</v>
      </c>
      <c r="K276" s="1836">
        <f t="shared" si="26"/>
        <v>0</v>
      </c>
      <c r="L276" s="1317"/>
      <c r="M276" s="1356">
        <v>4</v>
      </c>
      <c r="N276" s="1346"/>
      <c r="O276" s="1343" t="e">
        <f t="shared" si="25"/>
        <v>#REF!</v>
      </c>
      <c r="P276" s="1343" t="e">
        <f t="shared" si="24"/>
        <v>#REF!</v>
      </c>
    </row>
    <row r="277" spans="1:16" ht="24.75" customHeight="1" thickBot="1">
      <c r="A277" s="1362"/>
      <c r="B277" s="1728">
        <v>411113023</v>
      </c>
      <c r="C277" s="1363" t="s">
        <v>142</v>
      </c>
      <c r="D277" s="1364" t="s">
        <v>126</v>
      </c>
      <c r="E277" s="1365" t="s">
        <v>61</v>
      </c>
      <c r="F277" s="1365" t="str">
        <f>_xlfn.XLOOKUP(B277,Planilha1!A:A,Planilha1!B:B)</f>
        <v>OUTROS</v>
      </c>
      <c r="G277" s="1366">
        <v>900</v>
      </c>
      <c r="H277" s="1367">
        <v>419.9</v>
      </c>
      <c r="I277" s="1423">
        <f t="shared" si="27"/>
        <v>1.4484304932735426</v>
      </c>
      <c r="J277" s="1857">
        <v>289.89999999999998</v>
      </c>
      <c r="K277" s="1836">
        <f t="shared" si="26"/>
        <v>0</v>
      </c>
      <c r="L277" s="1317"/>
      <c r="M277" s="1356">
        <v>4</v>
      </c>
      <c r="N277" s="1346"/>
      <c r="O277" s="1343" t="e">
        <f t="shared" si="25"/>
        <v>#REF!</v>
      </c>
      <c r="P277" s="1343" t="e">
        <f t="shared" si="24"/>
        <v>#REF!</v>
      </c>
    </row>
    <row r="278" spans="1:16" ht="24.75" customHeight="1" thickBot="1">
      <c r="A278" s="1362"/>
      <c r="B278" s="1728">
        <v>411113027</v>
      </c>
      <c r="C278" s="1363" t="s">
        <v>142</v>
      </c>
      <c r="D278" s="1364" t="s">
        <v>271</v>
      </c>
      <c r="E278" s="1365" t="s">
        <v>61</v>
      </c>
      <c r="F278" s="1365" t="str">
        <f>_xlfn.XLOOKUP(B278,Planilha1!A:A,Planilha1!B:B)</f>
        <v>OUTROS</v>
      </c>
      <c r="G278" s="1366">
        <v>900</v>
      </c>
      <c r="H278" s="1367">
        <v>419.9</v>
      </c>
      <c r="I278" s="1423">
        <f t="shared" si="27"/>
        <v>1.4484304932735426</v>
      </c>
      <c r="J278" s="1857">
        <v>289.89999999999998</v>
      </c>
      <c r="K278" s="1836">
        <f t="shared" si="26"/>
        <v>0</v>
      </c>
      <c r="L278" s="1317"/>
      <c r="M278" s="1356">
        <v>4</v>
      </c>
      <c r="N278" s="1346"/>
      <c r="O278" s="1343" t="e">
        <f t="shared" si="25"/>
        <v>#REF!</v>
      </c>
      <c r="P278" s="1343" t="e">
        <f t="shared" ref="P278:P339" si="28">P277+12</f>
        <v>#REF!</v>
      </c>
    </row>
    <row r="279" spans="1:16" ht="27" customHeight="1" thickBot="1">
      <c r="A279" s="1362"/>
      <c r="B279" s="1727">
        <v>411113039</v>
      </c>
      <c r="C279" s="1363" t="s">
        <v>142</v>
      </c>
      <c r="D279" s="1364" t="s">
        <v>74</v>
      </c>
      <c r="E279" s="1365" t="s">
        <v>61</v>
      </c>
      <c r="F279" s="1365" t="str">
        <f>_xlfn.XLOOKUP(B279,Planilha1!A:A,Planilha1!B:B)</f>
        <v>OUTROS</v>
      </c>
      <c r="G279" s="1366">
        <v>900</v>
      </c>
      <c r="H279" s="1367">
        <v>419.9</v>
      </c>
      <c r="I279" s="1423">
        <f t="shared" si="27"/>
        <v>1.4484304932735426</v>
      </c>
      <c r="J279" s="1857">
        <v>289.89999999999998</v>
      </c>
      <c r="K279" s="1836">
        <f t="shared" si="26"/>
        <v>0</v>
      </c>
      <c r="L279" s="1317"/>
      <c r="M279" s="1356">
        <v>4</v>
      </c>
      <c r="N279" s="1346"/>
      <c r="O279" s="1343" t="e">
        <f t="shared" si="25"/>
        <v>#REF!</v>
      </c>
      <c r="P279" s="1343" t="e">
        <f t="shared" si="28"/>
        <v>#REF!</v>
      </c>
    </row>
    <row r="280" spans="1:16" ht="27" customHeight="1" thickBot="1">
      <c r="A280" s="1362"/>
      <c r="B280" s="1728">
        <v>411113044</v>
      </c>
      <c r="C280" s="1437" t="s">
        <v>142</v>
      </c>
      <c r="D280" s="1438" t="s">
        <v>80</v>
      </c>
      <c r="E280" s="1439" t="s">
        <v>61</v>
      </c>
      <c r="F280" s="1439" t="str">
        <f>_xlfn.XLOOKUP(B280,Planilha1!A:A,Planilha1!B:B)</f>
        <v>OUTROS</v>
      </c>
      <c r="G280" s="1493">
        <v>900</v>
      </c>
      <c r="H280" s="1380">
        <v>419.9</v>
      </c>
      <c r="I280" s="1423">
        <f t="shared" si="27"/>
        <v>1.4484304932735426</v>
      </c>
      <c r="J280" s="1857">
        <v>289.89999999999998</v>
      </c>
      <c r="K280" s="1844">
        <f t="shared" si="26"/>
        <v>0</v>
      </c>
      <c r="L280" s="1313"/>
      <c r="M280" s="1400">
        <v>4</v>
      </c>
      <c r="N280" s="1346"/>
      <c r="O280" s="1343" t="e">
        <f t="shared" si="25"/>
        <v>#REF!</v>
      </c>
      <c r="P280" s="1343" t="e">
        <f t="shared" si="28"/>
        <v>#REF!</v>
      </c>
    </row>
    <row r="281" spans="1:16" ht="27" customHeight="1" thickBot="1">
      <c r="A281" s="1362"/>
      <c r="B281" s="1727">
        <v>411122009</v>
      </c>
      <c r="C281" s="1363" t="s">
        <v>142</v>
      </c>
      <c r="D281" s="1364" t="s">
        <v>70</v>
      </c>
      <c r="E281" s="1365" t="s">
        <v>135</v>
      </c>
      <c r="F281" s="1365" t="str">
        <f>_xlfn.XLOOKUP(B281,Planilha1!A:A,Planilha1!B:B)</f>
        <v>OUTROS</v>
      </c>
      <c r="G281" s="1366">
        <v>1800</v>
      </c>
      <c r="H281" s="1385">
        <v>751.9</v>
      </c>
      <c r="I281" s="1423">
        <f t="shared" si="27"/>
        <v>1.4495296113510179</v>
      </c>
      <c r="J281" s="1857">
        <v>518.72</v>
      </c>
      <c r="K281" s="1843">
        <f t="shared" si="26"/>
        <v>0</v>
      </c>
      <c r="L281" s="1333"/>
      <c r="M281" s="1356">
        <v>3</v>
      </c>
      <c r="N281" s="1346"/>
      <c r="O281" s="1343" t="e">
        <f t="shared" si="25"/>
        <v>#REF!</v>
      </c>
      <c r="P281" s="1343" t="e">
        <f t="shared" si="28"/>
        <v>#REF!</v>
      </c>
    </row>
    <row r="282" spans="1:16" ht="27" customHeight="1" thickBot="1">
      <c r="A282" s="1362"/>
      <c r="B282" s="1727">
        <v>411122015</v>
      </c>
      <c r="C282" s="1363" t="s">
        <v>142</v>
      </c>
      <c r="D282" s="1364" t="s">
        <v>124</v>
      </c>
      <c r="E282" s="1365" t="s">
        <v>135</v>
      </c>
      <c r="F282" s="1365" t="str">
        <f>_xlfn.XLOOKUP(B282,Planilha1!A:A,Planilha1!B:B)</f>
        <v>OUTROS</v>
      </c>
      <c r="G282" s="1366">
        <v>1800</v>
      </c>
      <c r="H282" s="1367">
        <v>751.9</v>
      </c>
      <c r="I282" s="1423">
        <f t="shared" si="27"/>
        <v>1.4495296113510179</v>
      </c>
      <c r="J282" s="1857">
        <v>518.72</v>
      </c>
      <c r="K282" s="1836">
        <f t="shared" si="26"/>
        <v>0</v>
      </c>
      <c r="L282" s="1317"/>
      <c r="M282" s="1356">
        <v>3</v>
      </c>
      <c r="N282" s="1346"/>
      <c r="O282" s="1343" t="e">
        <f>#REF!+24</f>
        <v>#REF!</v>
      </c>
      <c r="P282" s="1343" t="e">
        <f>#REF!+12</f>
        <v>#REF!</v>
      </c>
    </row>
    <row r="283" spans="1:16" ht="27" customHeight="1" thickBot="1">
      <c r="A283" s="1362"/>
      <c r="B283" s="1727">
        <v>411122018</v>
      </c>
      <c r="C283" s="1363" t="s">
        <v>142</v>
      </c>
      <c r="D283" s="1364" t="s">
        <v>125</v>
      </c>
      <c r="E283" s="1365" t="s">
        <v>135</v>
      </c>
      <c r="F283" s="1365" t="str">
        <f>_xlfn.XLOOKUP(B283,Planilha1!A:A,Planilha1!B:B)</f>
        <v>OUTROS</v>
      </c>
      <c r="G283" s="1366">
        <v>1800</v>
      </c>
      <c r="H283" s="1367">
        <v>751.9</v>
      </c>
      <c r="I283" s="1423">
        <f t="shared" si="27"/>
        <v>1.4495296113510179</v>
      </c>
      <c r="J283" s="1857">
        <v>518.72</v>
      </c>
      <c r="K283" s="1836">
        <f t="shared" si="26"/>
        <v>0</v>
      </c>
      <c r="L283" s="1317"/>
      <c r="M283" s="1356">
        <v>3</v>
      </c>
      <c r="N283" s="1346"/>
      <c r="O283" s="1343" t="e">
        <f t="shared" si="25"/>
        <v>#REF!</v>
      </c>
      <c r="P283" s="1343" t="e">
        <f t="shared" si="28"/>
        <v>#REF!</v>
      </c>
    </row>
    <row r="284" spans="1:16" ht="27" customHeight="1" thickBot="1">
      <c r="A284" s="1362"/>
      <c r="B284" s="1728">
        <v>411122020</v>
      </c>
      <c r="C284" s="1363" t="s">
        <v>142</v>
      </c>
      <c r="D284" s="1364" t="s">
        <v>274</v>
      </c>
      <c r="E284" s="1365" t="s">
        <v>135</v>
      </c>
      <c r="F284" s="1365" t="str">
        <f>_xlfn.XLOOKUP(B284,Planilha1!A:A,Planilha1!B:B)</f>
        <v>OUTROS</v>
      </c>
      <c r="G284" s="1366">
        <v>1800</v>
      </c>
      <c r="H284" s="1367">
        <v>751.9</v>
      </c>
      <c r="I284" s="1423">
        <f t="shared" si="27"/>
        <v>1.4495296113510179</v>
      </c>
      <c r="J284" s="1857">
        <v>518.72</v>
      </c>
      <c r="K284" s="1836">
        <f t="shared" si="26"/>
        <v>0</v>
      </c>
      <c r="L284" s="1317"/>
      <c r="M284" s="1356">
        <v>3</v>
      </c>
      <c r="N284" s="1346"/>
      <c r="O284" s="1343" t="e">
        <f t="shared" si="25"/>
        <v>#REF!</v>
      </c>
      <c r="P284" s="1343" t="e">
        <f t="shared" si="28"/>
        <v>#REF!</v>
      </c>
    </row>
    <row r="285" spans="1:16" ht="27" customHeight="1" thickBot="1">
      <c r="A285" s="1362"/>
      <c r="B285" s="1727">
        <v>411122022</v>
      </c>
      <c r="C285" s="1363" t="s">
        <v>142</v>
      </c>
      <c r="D285" s="1364" t="s">
        <v>118</v>
      </c>
      <c r="E285" s="1365" t="s">
        <v>135</v>
      </c>
      <c r="F285" s="1365" t="str">
        <f>_xlfn.XLOOKUP(B285,Planilha1!A:A,Planilha1!B:B)</f>
        <v>OUTROS</v>
      </c>
      <c r="G285" s="1366">
        <v>1800</v>
      </c>
      <c r="H285" s="1367">
        <v>751.9</v>
      </c>
      <c r="I285" s="1423">
        <f t="shared" si="27"/>
        <v>1.4495296113510179</v>
      </c>
      <c r="J285" s="1857">
        <v>518.72</v>
      </c>
      <c r="K285" s="1836">
        <f t="shared" si="26"/>
        <v>0</v>
      </c>
      <c r="L285" s="1317"/>
      <c r="M285" s="1356">
        <v>3</v>
      </c>
      <c r="N285" s="1346"/>
      <c r="O285" s="1343" t="e">
        <f t="shared" si="25"/>
        <v>#REF!</v>
      </c>
      <c r="P285" s="1343" t="e">
        <f t="shared" si="28"/>
        <v>#REF!</v>
      </c>
    </row>
    <row r="286" spans="1:16" ht="27" customHeight="1" thickBot="1">
      <c r="A286" s="1362"/>
      <c r="B286" s="1728">
        <v>411122023</v>
      </c>
      <c r="C286" s="1363" t="s">
        <v>142</v>
      </c>
      <c r="D286" s="1364" t="s">
        <v>126</v>
      </c>
      <c r="E286" s="1365" t="s">
        <v>135</v>
      </c>
      <c r="F286" s="1365" t="str">
        <f>_xlfn.XLOOKUP(B286,Planilha1!A:A,Planilha1!B:B)</f>
        <v>OUTROS</v>
      </c>
      <c r="G286" s="1366">
        <v>1800</v>
      </c>
      <c r="H286" s="1367">
        <v>751.9</v>
      </c>
      <c r="I286" s="1423">
        <f t="shared" si="27"/>
        <v>1.4495296113510179</v>
      </c>
      <c r="J286" s="1857">
        <v>518.72</v>
      </c>
      <c r="K286" s="1836">
        <f t="shared" si="26"/>
        <v>0</v>
      </c>
      <c r="L286" s="1317"/>
      <c r="M286" s="1356">
        <v>3</v>
      </c>
      <c r="N286" s="1358"/>
      <c r="O286" s="1343" t="e">
        <f t="shared" si="25"/>
        <v>#REF!</v>
      </c>
      <c r="P286" s="1343" t="e">
        <f t="shared" si="28"/>
        <v>#REF!</v>
      </c>
    </row>
    <row r="287" spans="1:16" ht="51.75" customHeight="1" thickBot="1">
      <c r="A287" s="1362"/>
      <c r="B287" s="1728">
        <v>411122027</v>
      </c>
      <c r="C287" s="1363" t="s">
        <v>142</v>
      </c>
      <c r="D287" s="1364" t="s">
        <v>271</v>
      </c>
      <c r="E287" s="1365" t="s">
        <v>135</v>
      </c>
      <c r="F287" s="1365" t="str">
        <f>_xlfn.XLOOKUP(B287,Planilha1!A:A,Planilha1!B:B)</f>
        <v>OUTROS</v>
      </c>
      <c r="G287" s="1366">
        <v>1800</v>
      </c>
      <c r="H287" s="1367">
        <v>751.9</v>
      </c>
      <c r="I287" s="1423">
        <f t="shared" si="27"/>
        <v>1.4495296113510179</v>
      </c>
      <c r="J287" s="1857">
        <v>518.72</v>
      </c>
      <c r="K287" s="1836">
        <f t="shared" si="26"/>
        <v>0</v>
      </c>
      <c r="L287" s="1317"/>
      <c r="M287" s="1356">
        <v>3</v>
      </c>
      <c r="N287" s="1346"/>
      <c r="O287" s="1343" t="e">
        <f t="shared" si="25"/>
        <v>#REF!</v>
      </c>
      <c r="P287" s="1343" t="e">
        <f t="shared" si="28"/>
        <v>#REF!</v>
      </c>
    </row>
    <row r="288" spans="1:16" ht="51.75" customHeight="1" thickBot="1">
      <c r="A288" s="1362"/>
      <c r="B288" s="1727">
        <v>411122039</v>
      </c>
      <c r="C288" s="1369" t="s">
        <v>142</v>
      </c>
      <c r="D288" s="1370" t="s">
        <v>74</v>
      </c>
      <c r="E288" s="1371" t="s">
        <v>135</v>
      </c>
      <c r="F288" s="1371" t="str">
        <f>_xlfn.XLOOKUP(B288,Planilha1!A:A,Planilha1!B:B)</f>
        <v>OUTROS</v>
      </c>
      <c r="G288" s="1372">
        <v>1800</v>
      </c>
      <c r="H288" s="1373">
        <v>751.9</v>
      </c>
      <c r="I288" s="1423">
        <f t="shared" si="27"/>
        <v>1.4495296113510179</v>
      </c>
      <c r="J288" s="1857">
        <v>518.72</v>
      </c>
      <c r="K288" s="1842">
        <f t="shared" si="26"/>
        <v>0</v>
      </c>
      <c r="L288" s="1319"/>
      <c r="M288" s="1357">
        <v>3</v>
      </c>
      <c r="N288" s="1346"/>
      <c r="O288" s="1343" t="e">
        <f t="shared" si="25"/>
        <v>#REF!</v>
      </c>
      <c r="P288" s="1343" t="e">
        <f t="shared" si="28"/>
        <v>#REF!</v>
      </c>
    </row>
    <row r="289" spans="1:16" ht="51.75" customHeight="1" thickBot="1">
      <c r="A289" s="1374"/>
      <c r="B289" s="1732">
        <v>411213009</v>
      </c>
      <c r="C289" s="1375" t="s">
        <v>227</v>
      </c>
      <c r="D289" s="1376" t="s">
        <v>70</v>
      </c>
      <c r="E289" s="1377" t="s">
        <v>61</v>
      </c>
      <c r="F289" s="1377" t="str">
        <f>_xlfn.XLOOKUP(B289,Planilha1!A:A,Planilha1!B:B)</f>
        <v>OUTROS</v>
      </c>
      <c r="G289" s="1378">
        <v>900</v>
      </c>
      <c r="H289" s="1379">
        <v>429.9</v>
      </c>
      <c r="I289" s="1423">
        <f t="shared" si="27"/>
        <v>1.4503559259134309</v>
      </c>
      <c r="J289" s="1857">
        <v>296.40999999999997</v>
      </c>
      <c r="K289" s="1841">
        <f t="shared" si="26"/>
        <v>0</v>
      </c>
      <c r="L289" s="1324"/>
      <c r="M289" s="1359">
        <v>4</v>
      </c>
      <c r="N289" s="1346"/>
      <c r="O289" s="1343" t="e">
        <f t="shared" si="25"/>
        <v>#REF!</v>
      </c>
      <c r="P289" s="1343" t="e">
        <f t="shared" si="28"/>
        <v>#REF!</v>
      </c>
    </row>
    <row r="290" spans="1:16" ht="51.75" customHeight="1" thickBot="1">
      <c r="A290" s="1362"/>
      <c r="B290" s="1727">
        <v>411213018</v>
      </c>
      <c r="C290" s="1363" t="s">
        <v>227</v>
      </c>
      <c r="D290" s="1364" t="s">
        <v>125</v>
      </c>
      <c r="E290" s="1365" t="s">
        <v>61</v>
      </c>
      <c r="F290" s="1365" t="str">
        <f>_xlfn.XLOOKUP(B290,Planilha1!A:A,Planilha1!B:B)</f>
        <v>OUTROS</v>
      </c>
      <c r="G290" s="1366">
        <v>900</v>
      </c>
      <c r="H290" s="1380">
        <v>429.9</v>
      </c>
      <c r="I290" s="1423">
        <f t="shared" si="27"/>
        <v>1.4503559259134309</v>
      </c>
      <c r="J290" s="1857">
        <v>296.40999999999997</v>
      </c>
      <c r="K290" s="1844">
        <f t="shared" si="26"/>
        <v>0</v>
      </c>
      <c r="L290" s="1313"/>
      <c r="M290" s="1356">
        <v>4</v>
      </c>
      <c r="N290" s="1361"/>
      <c r="O290" s="1343" t="e">
        <f t="shared" si="25"/>
        <v>#REF!</v>
      </c>
      <c r="P290" s="1343" t="e">
        <f t="shared" si="28"/>
        <v>#REF!</v>
      </c>
    </row>
    <row r="291" spans="1:16" ht="15" customHeight="1" thickBot="1">
      <c r="A291" s="1362"/>
      <c r="B291" s="1727">
        <v>411013009</v>
      </c>
      <c r="C291" s="1381" t="s">
        <v>156</v>
      </c>
      <c r="D291" s="1382" t="s">
        <v>70</v>
      </c>
      <c r="E291" s="1383" t="s">
        <v>61</v>
      </c>
      <c r="F291" s="1383" t="str">
        <f>_xlfn.XLOOKUP(B291,Planilha1!A:A,Planilha1!B:B)</f>
        <v>OUTROS</v>
      </c>
      <c r="G291" s="1384">
        <v>900</v>
      </c>
      <c r="H291" s="1385">
        <v>494.9</v>
      </c>
      <c r="I291" s="1423">
        <f t="shared" si="27"/>
        <v>1.4494069409869674</v>
      </c>
      <c r="J291" s="1857">
        <v>341.45</v>
      </c>
      <c r="K291" s="1843">
        <f t="shared" si="26"/>
        <v>0</v>
      </c>
      <c r="L291" s="1333"/>
      <c r="M291" s="1360">
        <v>4</v>
      </c>
      <c r="O291" s="1343" t="e">
        <f t="shared" si="25"/>
        <v>#REF!</v>
      </c>
      <c r="P291" s="1343" t="e">
        <f t="shared" si="28"/>
        <v>#REF!</v>
      </c>
    </row>
    <row r="292" spans="1:16" ht="15" customHeight="1" thickBot="1">
      <c r="A292" s="1362"/>
      <c r="B292" s="1727">
        <v>411013018</v>
      </c>
      <c r="C292" s="1363" t="s">
        <v>156</v>
      </c>
      <c r="D292" s="1364" t="s">
        <v>125</v>
      </c>
      <c r="E292" s="1365" t="s">
        <v>61</v>
      </c>
      <c r="F292" s="1365" t="str">
        <f>_xlfn.XLOOKUP(B292,Planilha1!A:A,Planilha1!B:B)</f>
        <v>OUTROS</v>
      </c>
      <c r="G292" s="1366">
        <v>900</v>
      </c>
      <c r="H292" s="1367">
        <v>494.9</v>
      </c>
      <c r="I292" s="1368">
        <f t="shared" ref="I292:I307" si="29">IFERROR(H292/J292,"")</f>
        <v>1.4494069409869674</v>
      </c>
      <c r="J292" s="1858">
        <v>341.45</v>
      </c>
      <c r="K292" s="1836">
        <f t="shared" si="26"/>
        <v>0</v>
      </c>
      <c r="L292" s="1317"/>
      <c r="M292" s="1356">
        <v>3</v>
      </c>
      <c r="O292" s="1343" t="e">
        <f t="shared" si="25"/>
        <v>#REF!</v>
      </c>
      <c r="P292" s="1343" t="e">
        <f t="shared" si="28"/>
        <v>#REF!</v>
      </c>
    </row>
    <row r="293" spans="1:16" ht="15" customHeight="1" thickBot="1">
      <c r="A293" s="1811"/>
      <c r="B293" s="1828">
        <v>414678155</v>
      </c>
      <c r="C293" s="1816" t="s">
        <v>791</v>
      </c>
      <c r="D293" s="1817" t="s">
        <v>792</v>
      </c>
      <c r="E293" s="1818" t="s">
        <v>135</v>
      </c>
      <c r="F293" s="1818" t="s">
        <v>769</v>
      </c>
      <c r="G293" s="1819" t="s">
        <v>793</v>
      </c>
      <c r="H293" s="1813">
        <v>196.5</v>
      </c>
      <c r="I293" s="1820">
        <f t="shared" si="29"/>
        <v>1</v>
      </c>
      <c r="J293" s="1815">
        <v>196.5</v>
      </c>
      <c r="K293" s="1814">
        <f t="shared" ref="K293:K301" si="30">L293*J293</f>
        <v>0</v>
      </c>
      <c r="L293" s="1821"/>
      <c r="M293" s="1822">
        <v>3</v>
      </c>
      <c r="O293" s="1343" t="e">
        <f t="shared" si="25"/>
        <v>#REF!</v>
      </c>
      <c r="P293" s="1343" t="e">
        <f t="shared" si="28"/>
        <v>#REF!</v>
      </c>
    </row>
    <row r="294" spans="1:16" ht="15" customHeight="1" thickBot="1">
      <c r="A294" s="1809"/>
      <c r="B294" s="1829">
        <v>414678157</v>
      </c>
      <c r="C294" s="1816" t="s">
        <v>794</v>
      </c>
      <c r="D294" s="1817" t="s">
        <v>795</v>
      </c>
      <c r="E294" s="1818" t="s">
        <v>135</v>
      </c>
      <c r="F294" s="1818" t="s">
        <v>769</v>
      </c>
      <c r="G294" s="1819" t="s">
        <v>793</v>
      </c>
      <c r="H294" s="1813">
        <v>196.5</v>
      </c>
      <c r="I294" s="1820">
        <f t="shared" si="29"/>
        <v>1</v>
      </c>
      <c r="J294" s="1813">
        <v>196.5</v>
      </c>
      <c r="K294" s="1814">
        <f t="shared" si="30"/>
        <v>0</v>
      </c>
      <c r="L294" s="1821"/>
      <c r="M294" s="1822">
        <v>3</v>
      </c>
      <c r="O294" s="1343" t="e">
        <f t="shared" si="25"/>
        <v>#REF!</v>
      </c>
      <c r="P294" s="1343" t="e">
        <f t="shared" si="28"/>
        <v>#REF!</v>
      </c>
    </row>
    <row r="295" spans="1:16" ht="15" customHeight="1" thickBot="1">
      <c r="A295" s="1809"/>
      <c r="B295" s="1829">
        <v>414678152</v>
      </c>
      <c r="C295" s="1816" t="s">
        <v>796</v>
      </c>
      <c r="D295" s="1817" t="s">
        <v>797</v>
      </c>
      <c r="E295" s="1818" t="s">
        <v>135</v>
      </c>
      <c r="F295" s="1818" t="s">
        <v>769</v>
      </c>
      <c r="G295" s="1819" t="s">
        <v>793</v>
      </c>
      <c r="H295" s="1813">
        <v>196.5</v>
      </c>
      <c r="I295" s="1820">
        <f t="shared" si="29"/>
        <v>1</v>
      </c>
      <c r="J295" s="1813">
        <v>196.5</v>
      </c>
      <c r="K295" s="1814">
        <f t="shared" si="30"/>
        <v>0</v>
      </c>
      <c r="L295" s="1821"/>
      <c r="M295" s="1822">
        <v>3</v>
      </c>
      <c r="O295" s="1343" t="e">
        <f t="shared" si="25"/>
        <v>#REF!</v>
      </c>
      <c r="P295" s="1343" t="e">
        <f t="shared" si="28"/>
        <v>#REF!</v>
      </c>
    </row>
    <row r="296" spans="1:16" ht="15" customHeight="1" thickBot="1">
      <c r="A296" s="1809"/>
      <c r="B296" s="1829">
        <v>414678156</v>
      </c>
      <c r="C296" s="1816" t="s">
        <v>798</v>
      </c>
      <c r="D296" s="1817" t="s">
        <v>799</v>
      </c>
      <c r="E296" s="1818" t="s">
        <v>135</v>
      </c>
      <c r="F296" s="1818" t="s">
        <v>769</v>
      </c>
      <c r="G296" s="1819" t="s">
        <v>793</v>
      </c>
      <c r="H296" s="1813">
        <v>196.5</v>
      </c>
      <c r="I296" s="1820">
        <f t="shared" si="29"/>
        <v>1</v>
      </c>
      <c r="J296" s="1813">
        <v>196.5</v>
      </c>
      <c r="K296" s="1814">
        <f t="shared" si="30"/>
        <v>0</v>
      </c>
      <c r="L296" s="1821"/>
      <c r="M296" s="1822">
        <v>3</v>
      </c>
      <c r="O296" s="1343" t="e">
        <f t="shared" si="25"/>
        <v>#REF!</v>
      </c>
      <c r="P296" s="1343" t="e">
        <f t="shared" si="28"/>
        <v>#REF!</v>
      </c>
    </row>
    <row r="297" spans="1:16" ht="15" customHeight="1" thickBot="1">
      <c r="A297" s="1809"/>
      <c r="B297" s="1829">
        <v>414678151</v>
      </c>
      <c r="C297" s="1816" t="s">
        <v>800</v>
      </c>
      <c r="D297" s="1817" t="s">
        <v>801</v>
      </c>
      <c r="E297" s="1818" t="s">
        <v>135</v>
      </c>
      <c r="F297" s="1818" t="s">
        <v>769</v>
      </c>
      <c r="G297" s="1819" t="s">
        <v>793</v>
      </c>
      <c r="H297" s="1813">
        <v>196.5</v>
      </c>
      <c r="I297" s="1820">
        <f t="shared" si="29"/>
        <v>1</v>
      </c>
      <c r="J297" s="1813">
        <v>196.5</v>
      </c>
      <c r="K297" s="1814">
        <f t="shared" si="30"/>
        <v>0</v>
      </c>
      <c r="L297" s="1821"/>
      <c r="M297" s="1822">
        <v>3</v>
      </c>
      <c r="O297" s="1343" t="e">
        <f t="shared" si="25"/>
        <v>#REF!</v>
      </c>
      <c r="P297" s="1343" t="e">
        <f t="shared" si="28"/>
        <v>#REF!</v>
      </c>
    </row>
    <row r="298" spans="1:16" ht="15" customHeight="1" thickBot="1">
      <c r="A298" s="1809"/>
      <c r="B298" s="1829">
        <v>414674155</v>
      </c>
      <c r="C298" s="1816" t="s">
        <v>802</v>
      </c>
      <c r="D298" s="1817" t="s">
        <v>792</v>
      </c>
      <c r="E298" s="1818" t="s">
        <v>135</v>
      </c>
      <c r="F298" s="1818" t="s">
        <v>769</v>
      </c>
      <c r="G298" s="1819" t="s">
        <v>793</v>
      </c>
      <c r="H298" s="1813">
        <v>11.99</v>
      </c>
      <c r="I298" s="1820">
        <f t="shared" si="29"/>
        <v>1</v>
      </c>
      <c r="J298" s="1813">
        <v>11.99</v>
      </c>
      <c r="K298" s="1814">
        <f t="shared" si="30"/>
        <v>0</v>
      </c>
      <c r="L298" s="1821"/>
      <c r="M298" s="1822">
        <v>3</v>
      </c>
      <c r="O298" s="1343" t="e">
        <f t="shared" si="25"/>
        <v>#REF!</v>
      </c>
      <c r="P298" s="1343" t="e">
        <f t="shared" si="28"/>
        <v>#REF!</v>
      </c>
    </row>
    <row r="299" spans="1:16" ht="15" customHeight="1" thickBot="1">
      <c r="A299" s="1809"/>
      <c r="B299" s="1829">
        <v>414674157</v>
      </c>
      <c r="C299" s="1816" t="s">
        <v>803</v>
      </c>
      <c r="D299" s="1817" t="s">
        <v>795</v>
      </c>
      <c r="E299" s="1818" t="s">
        <v>123</v>
      </c>
      <c r="F299" s="1818" t="s">
        <v>769</v>
      </c>
      <c r="G299" s="1819" t="s">
        <v>158</v>
      </c>
      <c r="H299" s="1813">
        <v>11.99</v>
      </c>
      <c r="I299" s="1820">
        <f t="shared" si="29"/>
        <v>1</v>
      </c>
      <c r="J299" s="1813">
        <v>11.99</v>
      </c>
      <c r="K299" s="1814">
        <f t="shared" si="30"/>
        <v>0</v>
      </c>
      <c r="L299" s="1821"/>
      <c r="M299" s="1822">
        <v>40</v>
      </c>
      <c r="O299" s="1343" t="e">
        <f t="shared" si="25"/>
        <v>#REF!</v>
      </c>
      <c r="P299" s="1343" t="e">
        <f t="shared" si="28"/>
        <v>#REF!</v>
      </c>
    </row>
    <row r="300" spans="1:16" ht="15" customHeight="1" thickBot="1">
      <c r="A300" s="1809"/>
      <c r="B300" s="1829">
        <v>414674156</v>
      </c>
      <c r="C300" s="1816" t="s">
        <v>804</v>
      </c>
      <c r="D300" s="1817" t="s">
        <v>799</v>
      </c>
      <c r="E300" s="1818" t="s">
        <v>123</v>
      </c>
      <c r="F300" s="1818" t="s">
        <v>769</v>
      </c>
      <c r="G300" s="1819" t="s">
        <v>158</v>
      </c>
      <c r="H300" s="1813">
        <v>11.99</v>
      </c>
      <c r="I300" s="1820">
        <f t="shared" si="29"/>
        <v>1</v>
      </c>
      <c r="J300" s="1813">
        <v>11.99</v>
      </c>
      <c r="K300" s="1814">
        <f t="shared" si="30"/>
        <v>0</v>
      </c>
      <c r="L300" s="1821"/>
      <c r="M300" s="1822">
        <v>40</v>
      </c>
      <c r="O300" s="1343" t="e">
        <f t="shared" si="25"/>
        <v>#REF!</v>
      </c>
      <c r="P300" s="1343" t="e">
        <f t="shared" si="28"/>
        <v>#REF!</v>
      </c>
    </row>
    <row r="301" spans="1:16" ht="15" customHeight="1" thickBot="1">
      <c r="A301" s="1812"/>
      <c r="B301" s="1829">
        <v>414674151</v>
      </c>
      <c r="C301" s="1816" t="s">
        <v>805</v>
      </c>
      <c r="D301" s="1817" t="s">
        <v>801</v>
      </c>
      <c r="E301" s="1818" t="s">
        <v>123</v>
      </c>
      <c r="F301" s="1818" t="s">
        <v>769</v>
      </c>
      <c r="G301" s="1819" t="s">
        <v>158</v>
      </c>
      <c r="H301" s="1813">
        <v>11.99</v>
      </c>
      <c r="I301" s="1820">
        <f t="shared" si="29"/>
        <v>1</v>
      </c>
      <c r="J301" s="1813">
        <v>11.99</v>
      </c>
      <c r="K301" s="1814">
        <f t="shared" si="30"/>
        <v>0</v>
      </c>
      <c r="L301" s="1821"/>
      <c r="M301" s="1822">
        <v>40</v>
      </c>
      <c r="O301" s="1343" t="e">
        <f t="shared" si="25"/>
        <v>#REF!</v>
      </c>
      <c r="P301" s="1343" t="e">
        <f t="shared" si="28"/>
        <v>#REF!</v>
      </c>
    </row>
    <row r="302" spans="1:16" ht="15" customHeight="1" thickBot="1">
      <c r="A302" s="1811"/>
      <c r="B302" s="1829">
        <v>50000179</v>
      </c>
      <c r="C302" s="1816" t="s">
        <v>806</v>
      </c>
      <c r="D302" s="1817" t="s">
        <v>807</v>
      </c>
      <c r="E302" s="1818" t="s">
        <v>162</v>
      </c>
      <c r="F302" s="1818" t="s">
        <v>769</v>
      </c>
      <c r="G302" s="1819" t="s">
        <v>808</v>
      </c>
      <c r="H302" s="1813">
        <v>21</v>
      </c>
      <c r="I302" s="1820">
        <f t="shared" si="29"/>
        <v>1</v>
      </c>
      <c r="J302" s="1813">
        <v>21</v>
      </c>
      <c r="K302" s="1814">
        <f t="shared" ref="K302:K307" si="31">L302*J302</f>
        <v>0</v>
      </c>
      <c r="L302" s="1821"/>
      <c r="M302" s="1822">
        <v>15</v>
      </c>
      <c r="O302" s="1343" t="e">
        <f t="shared" si="25"/>
        <v>#REF!</v>
      </c>
      <c r="P302" s="1343" t="e">
        <f t="shared" si="28"/>
        <v>#REF!</v>
      </c>
    </row>
    <row r="303" spans="1:16" ht="15" customHeight="1" thickBot="1">
      <c r="A303" s="1809"/>
      <c r="B303" s="1829">
        <v>50000178</v>
      </c>
      <c r="C303" s="1816" t="s">
        <v>806</v>
      </c>
      <c r="D303" s="1817" t="s">
        <v>809</v>
      </c>
      <c r="E303" s="1818" t="s">
        <v>162</v>
      </c>
      <c r="F303" s="1818" t="s">
        <v>769</v>
      </c>
      <c r="G303" s="1819" t="s">
        <v>808</v>
      </c>
      <c r="H303" s="1813">
        <v>21</v>
      </c>
      <c r="I303" s="1820">
        <f t="shared" si="29"/>
        <v>1</v>
      </c>
      <c r="J303" s="1813">
        <v>21</v>
      </c>
      <c r="K303" s="1814">
        <f t="shared" si="31"/>
        <v>0</v>
      </c>
      <c r="L303" s="1821"/>
      <c r="M303" s="1822">
        <v>15</v>
      </c>
      <c r="O303" s="1343" t="e">
        <f t="shared" si="25"/>
        <v>#REF!</v>
      </c>
      <c r="P303" s="1343" t="e">
        <f t="shared" si="28"/>
        <v>#REF!</v>
      </c>
    </row>
    <row r="304" spans="1:16" ht="15" customHeight="1" thickBot="1">
      <c r="A304" s="1809"/>
      <c r="B304" s="1829">
        <v>50000180</v>
      </c>
      <c r="C304" s="1816" t="s">
        <v>806</v>
      </c>
      <c r="D304" s="1817" t="s">
        <v>810</v>
      </c>
      <c r="E304" s="1818" t="s">
        <v>162</v>
      </c>
      <c r="F304" s="1818" t="s">
        <v>769</v>
      </c>
      <c r="G304" s="1819" t="s">
        <v>808</v>
      </c>
      <c r="H304" s="1813">
        <v>21</v>
      </c>
      <c r="I304" s="1820">
        <f t="shared" si="29"/>
        <v>1</v>
      </c>
      <c r="J304" s="1813">
        <v>21</v>
      </c>
      <c r="K304" s="1814">
        <f t="shared" si="31"/>
        <v>0</v>
      </c>
      <c r="L304" s="1821"/>
      <c r="M304" s="1822">
        <v>15</v>
      </c>
      <c r="O304" s="1343" t="e">
        <f t="shared" si="25"/>
        <v>#REF!</v>
      </c>
      <c r="P304" s="1343" t="e">
        <f t="shared" si="28"/>
        <v>#REF!</v>
      </c>
    </row>
    <row r="305" spans="1:16" ht="15" customHeight="1" thickBot="1">
      <c r="A305" s="1809"/>
      <c r="B305" s="1829">
        <v>50000177</v>
      </c>
      <c r="C305" s="1816" t="s">
        <v>811</v>
      </c>
      <c r="D305" s="1817" t="s">
        <v>807</v>
      </c>
      <c r="E305" s="1818" t="s">
        <v>162</v>
      </c>
      <c r="F305" s="1818" t="s">
        <v>769</v>
      </c>
      <c r="G305" s="1819" t="s">
        <v>812</v>
      </c>
      <c r="H305" s="1813">
        <v>22.77</v>
      </c>
      <c r="I305" s="1820">
        <f t="shared" si="29"/>
        <v>1</v>
      </c>
      <c r="J305" s="1813">
        <v>22.77</v>
      </c>
      <c r="K305" s="1814">
        <f t="shared" si="31"/>
        <v>0</v>
      </c>
      <c r="L305" s="1821"/>
      <c r="M305" s="1822">
        <v>9</v>
      </c>
      <c r="O305" s="1343" t="e">
        <f t="shared" si="25"/>
        <v>#REF!</v>
      </c>
      <c r="P305" s="1343" t="e">
        <f t="shared" si="28"/>
        <v>#REF!</v>
      </c>
    </row>
    <row r="306" spans="1:16" ht="15" customHeight="1" thickBot="1">
      <c r="A306" s="1809"/>
      <c r="B306" s="1829">
        <v>50000176</v>
      </c>
      <c r="C306" s="1816" t="s">
        <v>811</v>
      </c>
      <c r="D306" s="1817" t="s">
        <v>809</v>
      </c>
      <c r="E306" s="1818" t="s">
        <v>162</v>
      </c>
      <c r="F306" s="1818" t="s">
        <v>769</v>
      </c>
      <c r="G306" s="1819" t="s">
        <v>812</v>
      </c>
      <c r="H306" s="1813">
        <v>22.77</v>
      </c>
      <c r="I306" s="1820">
        <f t="shared" si="29"/>
        <v>1</v>
      </c>
      <c r="J306" s="1813">
        <v>22.77</v>
      </c>
      <c r="K306" s="1814">
        <f t="shared" si="31"/>
        <v>0</v>
      </c>
      <c r="L306" s="1821"/>
      <c r="M306" s="1822">
        <v>9</v>
      </c>
      <c r="O306" s="1343" t="e">
        <f t="shared" si="25"/>
        <v>#REF!</v>
      </c>
      <c r="P306" s="1343" t="e">
        <f t="shared" si="28"/>
        <v>#REF!</v>
      </c>
    </row>
    <row r="307" spans="1:16" ht="15" customHeight="1" thickBot="1">
      <c r="A307" s="1812"/>
      <c r="B307" s="1830">
        <v>50000175</v>
      </c>
      <c r="C307" s="1816" t="s">
        <v>811</v>
      </c>
      <c r="D307" s="1817" t="s">
        <v>810</v>
      </c>
      <c r="E307" s="1818" t="s">
        <v>162</v>
      </c>
      <c r="F307" s="1818" t="s">
        <v>769</v>
      </c>
      <c r="G307" s="1819" t="s">
        <v>812</v>
      </c>
      <c r="H307" s="1813">
        <v>22.77</v>
      </c>
      <c r="I307" s="1820">
        <f t="shared" si="29"/>
        <v>1</v>
      </c>
      <c r="J307" s="1813">
        <v>22.77</v>
      </c>
      <c r="K307" s="1814">
        <f t="shared" si="31"/>
        <v>0</v>
      </c>
      <c r="L307" s="1821"/>
      <c r="M307" s="1822">
        <v>9</v>
      </c>
      <c r="O307" s="1343" t="e">
        <f t="shared" si="25"/>
        <v>#REF!</v>
      </c>
      <c r="P307" s="1343" t="e">
        <f t="shared" si="28"/>
        <v>#REF!</v>
      </c>
    </row>
    <row r="308" spans="1:16" ht="15" customHeight="1">
      <c r="O308" s="1343" t="e">
        <f t="shared" si="25"/>
        <v>#REF!</v>
      </c>
      <c r="P308" s="1343" t="e">
        <f t="shared" si="28"/>
        <v>#REF!</v>
      </c>
    </row>
    <row r="309" spans="1:16" ht="15" customHeight="1">
      <c r="A309" s="1344"/>
      <c r="B309" s="1345"/>
      <c r="C309" s="1346"/>
      <c r="D309" s="1347"/>
      <c r="E309" s="1347"/>
      <c r="F309" s="1347"/>
      <c r="G309" s="1346"/>
      <c r="H309" s="1348"/>
      <c r="I309" s="1349"/>
      <c r="J309" s="1827"/>
      <c r="K309" s="1346"/>
      <c r="L309" s="1346"/>
      <c r="M309" s="1346"/>
      <c r="O309" s="1343" t="e">
        <f t="shared" si="25"/>
        <v>#REF!</v>
      </c>
      <c r="P309" s="1343" t="e">
        <f t="shared" si="28"/>
        <v>#REF!</v>
      </c>
    </row>
    <row r="310" spans="1:16" ht="15" customHeight="1">
      <c r="O310" s="1343" t="e">
        <f t="shared" si="25"/>
        <v>#REF!</v>
      </c>
      <c r="P310" s="1343" t="e">
        <f t="shared" si="28"/>
        <v>#REF!</v>
      </c>
    </row>
    <row r="311" spans="1:16" ht="15" customHeight="1">
      <c r="O311" s="1343" t="e">
        <f t="shared" si="25"/>
        <v>#REF!</v>
      </c>
      <c r="P311" s="1343" t="e">
        <f t="shared" si="28"/>
        <v>#REF!</v>
      </c>
    </row>
    <row r="312" spans="1:16" ht="15.6">
      <c r="M312" s="1350"/>
      <c r="O312" s="1343" t="e">
        <f t="shared" si="25"/>
        <v>#REF!</v>
      </c>
      <c r="P312" s="1343" t="e">
        <f t="shared" si="28"/>
        <v>#REF!</v>
      </c>
    </row>
    <row r="313" spans="1:16" ht="15.6">
      <c r="O313" s="1343" t="e">
        <f t="shared" si="25"/>
        <v>#REF!</v>
      </c>
      <c r="P313" s="1343" t="e">
        <f t="shared" si="28"/>
        <v>#REF!</v>
      </c>
    </row>
    <row r="314" spans="1:16" ht="15.6">
      <c r="G314" s="1340"/>
      <c r="I314" s="1351"/>
      <c r="K314" s="1352"/>
      <c r="L314" s="1353"/>
      <c r="O314" s="1343" t="e">
        <f t="shared" si="25"/>
        <v>#REF!</v>
      </c>
      <c r="P314" s="1343" t="e">
        <f t="shared" si="28"/>
        <v>#REF!</v>
      </c>
    </row>
    <row r="315" spans="1:16" ht="15" customHeight="1">
      <c r="L315" s="1353"/>
      <c r="M315" s="1354"/>
      <c r="O315" s="1343" t="e">
        <f t="shared" si="25"/>
        <v>#REF!</v>
      </c>
      <c r="P315" s="1343" t="e">
        <f t="shared" si="28"/>
        <v>#REF!</v>
      </c>
    </row>
    <row r="316" spans="1:16" ht="15" customHeight="1">
      <c r="M316" s="1354"/>
      <c r="O316" s="1343" t="e">
        <f t="shared" si="25"/>
        <v>#REF!</v>
      </c>
      <c r="P316" s="1343" t="e">
        <f t="shared" si="28"/>
        <v>#REF!</v>
      </c>
    </row>
    <row r="317" spans="1:16" ht="15" customHeight="1">
      <c r="O317" s="1343" t="e">
        <f t="shared" ref="O317:O380" si="32">O316+24</f>
        <v>#REF!</v>
      </c>
      <c r="P317" s="1343" t="e">
        <f t="shared" si="28"/>
        <v>#REF!</v>
      </c>
    </row>
    <row r="318" spans="1:16" ht="15" customHeight="1">
      <c r="O318" s="1343" t="e">
        <f t="shared" si="32"/>
        <v>#REF!</v>
      </c>
      <c r="P318" s="1343" t="e">
        <f t="shared" si="28"/>
        <v>#REF!</v>
      </c>
    </row>
    <row r="319" spans="1:16" ht="15" customHeight="1">
      <c r="O319" s="1343" t="e">
        <f t="shared" si="32"/>
        <v>#REF!</v>
      </c>
      <c r="P319" s="1343" t="e">
        <f t="shared" si="28"/>
        <v>#REF!</v>
      </c>
    </row>
    <row r="320" spans="1:16" ht="15" customHeight="1">
      <c r="O320" s="1343" t="e">
        <f t="shared" si="32"/>
        <v>#REF!</v>
      </c>
      <c r="P320" s="1343" t="e">
        <f t="shared" si="28"/>
        <v>#REF!</v>
      </c>
    </row>
    <row r="321" spans="15:16" ht="15" customHeight="1">
      <c r="O321" s="1343" t="e">
        <f t="shared" si="32"/>
        <v>#REF!</v>
      </c>
      <c r="P321" s="1343" t="e">
        <f t="shared" si="28"/>
        <v>#REF!</v>
      </c>
    </row>
    <row r="322" spans="15:16" ht="15" customHeight="1">
      <c r="O322" s="1343" t="e">
        <f t="shared" si="32"/>
        <v>#REF!</v>
      </c>
      <c r="P322" s="1343" t="e">
        <f t="shared" si="28"/>
        <v>#REF!</v>
      </c>
    </row>
    <row r="323" spans="15:16" ht="15" customHeight="1">
      <c r="O323" s="1343" t="e">
        <f t="shared" si="32"/>
        <v>#REF!</v>
      </c>
      <c r="P323" s="1343" t="e">
        <f t="shared" si="28"/>
        <v>#REF!</v>
      </c>
    </row>
    <row r="324" spans="15:16" ht="15" customHeight="1">
      <c r="O324" s="1343" t="e">
        <f t="shared" si="32"/>
        <v>#REF!</v>
      </c>
      <c r="P324" s="1343" t="e">
        <f t="shared" si="28"/>
        <v>#REF!</v>
      </c>
    </row>
    <row r="325" spans="15:16" ht="15" customHeight="1">
      <c r="O325" s="1343" t="e">
        <f t="shared" si="32"/>
        <v>#REF!</v>
      </c>
      <c r="P325" s="1343" t="e">
        <f t="shared" si="28"/>
        <v>#REF!</v>
      </c>
    </row>
    <row r="326" spans="15:16" ht="15" customHeight="1">
      <c r="O326" s="1343" t="e">
        <f t="shared" si="32"/>
        <v>#REF!</v>
      </c>
      <c r="P326" s="1343" t="e">
        <f t="shared" si="28"/>
        <v>#REF!</v>
      </c>
    </row>
    <row r="327" spans="15:16" ht="15" customHeight="1">
      <c r="O327" s="1343" t="e">
        <f t="shared" si="32"/>
        <v>#REF!</v>
      </c>
      <c r="P327" s="1343" t="e">
        <f t="shared" si="28"/>
        <v>#REF!</v>
      </c>
    </row>
    <row r="328" spans="15:16" ht="15" customHeight="1">
      <c r="O328" s="1343" t="e">
        <f t="shared" si="32"/>
        <v>#REF!</v>
      </c>
      <c r="P328" s="1343" t="e">
        <f t="shared" si="28"/>
        <v>#REF!</v>
      </c>
    </row>
    <row r="329" spans="15:16" ht="15" customHeight="1">
      <c r="O329" s="1343" t="e">
        <f t="shared" si="32"/>
        <v>#REF!</v>
      </c>
      <c r="P329" s="1343" t="e">
        <f t="shared" si="28"/>
        <v>#REF!</v>
      </c>
    </row>
    <row r="330" spans="15:16" ht="15" customHeight="1">
      <c r="O330" s="1343" t="e">
        <f t="shared" si="32"/>
        <v>#REF!</v>
      </c>
      <c r="P330" s="1343" t="e">
        <f t="shared" si="28"/>
        <v>#REF!</v>
      </c>
    </row>
    <row r="331" spans="15:16" ht="15" customHeight="1">
      <c r="O331" s="1343" t="e">
        <f t="shared" si="32"/>
        <v>#REF!</v>
      </c>
      <c r="P331" s="1343" t="e">
        <f t="shared" si="28"/>
        <v>#REF!</v>
      </c>
    </row>
    <row r="332" spans="15:16" ht="15" customHeight="1">
      <c r="O332" s="1343" t="e">
        <f t="shared" si="32"/>
        <v>#REF!</v>
      </c>
      <c r="P332" s="1343" t="e">
        <f t="shared" si="28"/>
        <v>#REF!</v>
      </c>
    </row>
    <row r="333" spans="15:16" ht="15" customHeight="1">
      <c r="O333" s="1343" t="e">
        <f t="shared" si="32"/>
        <v>#REF!</v>
      </c>
      <c r="P333" s="1343" t="e">
        <f t="shared" si="28"/>
        <v>#REF!</v>
      </c>
    </row>
    <row r="334" spans="15:16" ht="15" customHeight="1">
      <c r="O334" s="1343" t="e">
        <f t="shared" si="32"/>
        <v>#REF!</v>
      </c>
      <c r="P334" s="1343" t="e">
        <f t="shared" si="28"/>
        <v>#REF!</v>
      </c>
    </row>
    <row r="335" spans="15:16" ht="15" customHeight="1">
      <c r="O335" s="1343" t="e">
        <f t="shared" si="32"/>
        <v>#REF!</v>
      </c>
      <c r="P335" s="1343" t="e">
        <f t="shared" si="28"/>
        <v>#REF!</v>
      </c>
    </row>
    <row r="336" spans="15:16" ht="15" customHeight="1">
      <c r="O336" s="1343" t="e">
        <f t="shared" si="32"/>
        <v>#REF!</v>
      </c>
      <c r="P336" s="1343" t="e">
        <f t="shared" si="28"/>
        <v>#REF!</v>
      </c>
    </row>
    <row r="337" spans="15:16" ht="15" customHeight="1">
      <c r="O337" s="1343" t="e">
        <f t="shared" si="32"/>
        <v>#REF!</v>
      </c>
      <c r="P337" s="1343" t="e">
        <f t="shared" si="28"/>
        <v>#REF!</v>
      </c>
    </row>
    <row r="338" spans="15:16" ht="15" customHeight="1">
      <c r="O338" s="1343" t="e">
        <f t="shared" si="32"/>
        <v>#REF!</v>
      </c>
      <c r="P338" s="1343" t="e">
        <f t="shared" si="28"/>
        <v>#REF!</v>
      </c>
    </row>
    <row r="339" spans="15:16" ht="15" customHeight="1">
      <c r="O339" s="1343" t="e">
        <f t="shared" si="32"/>
        <v>#REF!</v>
      </c>
      <c r="P339" s="1343" t="e">
        <f t="shared" si="28"/>
        <v>#REF!</v>
      </c>
    </row>
    <row r="340" spans="15:16" ht="15" customHeight="1">
      <c r="O340" s="1343" t="e">
        <f t="shared" si="32"/>
        <v>#REF!</v>
      </c>
      <c r="P340" s="1343" t="e">
        <f t="shared" ref="P340:P403" si="33">P339+12</f>
        <v>#REF!</v>
      </c>
    </row>
    <row r="341" spans="15:16" ht="15" customHeight="1">
      <c r="O341" s="1343" t="e">
        <f t="shared" si="32"/>
        <v>#REF!</v>
      </c>
      <c r="P341" s="1343" t="e">
        <f t="shared" si="33"/>
        <v>#REF!</v>
      </c>
    </row>
    <row r="342" spans="15:16" ht="15" customHeight="1">
      <c r="O342" s="1343" t="e">
        <f t="shared" si="32"/>
        <v>#REF!</v>
      </c>
      <c r="P342" s="1343" t="e">
        <f t="shared" si="33"/>
        <v>#REF!</v>
      </c>
    </row>
    <row r="343" spans="15:16" ht="15" customHeight="1">
      <c r="O343" s="1343" t="e">
        <f t="shared" si="32"/>
        <v>#REF!</v>
      </c>
      <c r="P343" s="1343" t="e">
        <f t="shared" si="33"/>
        <v>#REF!</v>
      </c>
    </row>
    <row r="344" spans="15:16" ht="15" customHeight="1">
      <c r="O344" s="1343" t="e">
        <f t="shared" si="32"/>
        <v>#REF!</v>
      </c>
      <c r="P344" s="1343" t="e">
        <f t="shared" si="33"/>
        <v>#REF!</v>
      </c>
    </row>
    <row r="345" spans="15:16" ht="15" customHeight="1">
      <c r="O345" s="1343" t="e">
        <f t="shared" si="32"/>
        <v>#REF!</v>
      </c>
      <c r="P345" s="1343" t="e">
        <f t="shared" si="33"/>
        <v>#REF!</v>
      </c>
    </row>
    <row r="346" spans="15:16" ht="15" customHeight="1">
      <c r="O346" s="1343" t="e">
        <f t="shared" si="32"/>
        <v>#REF!</v>
      </c>
      <c r="P346" s="1343" t="e">
        <f t="shared" si="33"/>
        <v>#REF!</v>
      </c>
    </row>
    <row r="347" spans="15:16" ht="15" customHeight="1">
      <c r="O347" s="1343" t="e">
        <f t="shared" si="32"/>
        <v>#REF!</v>
      </c>
      <c r="P347" s="1343" t="e">
        <f t="shared" si="33"/>
        <v>#REF!</v>
      </c>
    </row>
    <row r="348" spans="15:16" ht="15" customHeight="1">
      <c r="O348" s="1343" t="e">
        <f t="shared" si="32"/>
        <v>#REF!</v>
      </c>
      <c r="P348" s="1343" t="e">
        <f t="shared" si="33"/>
        <v>#REF!</v>
      </c>
    </row>
    <row r="349" spans="15:16" ht="15" customHeight="1">
      <c r="O349" s="1343" t="e">
        <f t="shared" si="32"/>
        <v>#REF!</v>
      </c>
      <c r="P349" s="1343" t="e">
        <f t="shared" si="33"/>
        <v>#REF!</v>
      </c>
    </row>
    <row r="350" spans="15:16" ht="15" customHeight="1">
      <c r="O350" s="1343" t="e">
        <f t="shared" si="32"/>
        <v>#REF!</v>
      </c>
      <c r="P350" s="1343" t="e">
        <f t="shared" si="33"/>
        <v>#REF!</v>
      </c>
    </row>
    <row r="351" spans="15:16" ht="15" customHeight="1">
      <c r="O351" s="1343" t="e">
        <f t="shared" si="32"/>
        <v>#REF!</v>
      </c>
      <c r="P351" s="1343" t="e">
        <f t="shared" si="33"/>
        <v>#REF!</v>
      </c>
    </row>
    <row r="352" spans="15:16" ht="15" customHeight="1">
      <c r="O352" s="1343" t="e">
        <f t="shared" si="32"/>
        <v>#REF!</v>
      </c>
      <c r="P352" s="1343" t="e">
        <f t="shared" si="33"/>
        <v>#REF!</v>
      </c>
    </row>
    <row r="353" spans="15:16" ht="15" customHeight="1">
      <c r="O353" s="1343" t="e">
        <f t="shared" si="32"/>
        <v>#REF!</v>
      </c>
      <c r="P353" s="1343" t="e">
        <f t="shared" si="33"/>
        <v>#REF!</v>
      </c>
    </row>
    <row r="354" spans="15:16" ht="15" customHeight="1">
      <c r="O354" s="1343" t="e">
        <f t="shared" si="32"/>
        <v>#REF!</v>
      </c>
      <c r="P354" s="1343" t="e">
        <f t="shared" si="33"/>
        <v>#REF!</v>
      </c>
    </row>
    <row r="355" spans="15:16" ht="15" customHeight="1">
      <c r="O355" s="1343" t="e">
        <f t="shared" si="32"/>
        <v>#REF!</v>
      </c>
      <c r="P355" s="1343" t="e">
        <f t="shared" si="33"/>
        <v>#REF!</v>
      </c>
    </row>
    <row r="356" spans="15:16" ht="15" customHeight="1">
      <c r="O356" s="1343" t="e">
        <f t="shared" si="32"/>
        <v>#REF!</v>
      </c>
      <c r="P356" s="1343" t="e">
        <f t="shared" si="33"/>
        <v>#REF!</v>
      </c>
    </row>
    <row r="357" spans="15:16" ht="15" customHeight="1">
      <c r="O357" s="1343" t="e">
        <f t="shared" si="32"/>
        <v>#REF!</v>
      </c>
      <c r="P357" s="1343" t="e">
        <f t="shared" si="33"/>
        <v>#REF!</v>
      </c>
    </row>
    <row r="358" spans="15:16" ht="15" customHeight="1">
      <c r="O358" s="1343" t="e">
        <f t="shared" si="32"/>
        <v>#REF!</v>
      </c>
      <c r="P358" s="1343" t="e">
        <f t="shared" si="33"/>
        <v>#REF!</v>
      </c>
    </row>
    <row r="359" spans="15:16" ht="15" customHeight="1">
      <c r="O359" s="1343" t="e">
        <f t="shared" si="32"/>
        <v>#REF!</v>
      </c>
      <c r="P359" s="1343" t="e">
        <f t="shared" si="33"/>
        <v>#REF!</v>
      </c>
    </row>
    <row r="360" spans="15:16" ht="15" customHeight="1">
      <c r="O360" s="1343" t="e">
        <f t="shared" si="32"/>
        <v>#REF!</v>
      </c>
      <c r="P360" s="1343" t="e">
        <f t="shared" si="33"/>
        <v>#REF!</v>
      </c>
    </row>
    <row r="361" spans="15:16" ht="15" customHeight="1">
      <c r="O361" s="1343" t="e">
        <f t="shared" si="32"/>
        <v>#REF!</v>
      </c>
      <c r="P361" s="1343" t="e">
        <f t="shared" si="33"/>
        <v>#REF!</v>
      </c>
    </row>
    <row r="362" spans="15:16" ht="15" customHeight="1">
      <c r="O362" s="1343" t="e">
        <f t="shared" si="32"/>
        <v>#REF!</v>
      </c>
      <c r="P362" s="1343" t="e">
        <f t="shared" si="33"/>
        <v>#REF!</v>
      </c>
    </row>
    <row r="363" spans="15:16" ht="15" customHeight="1">
      <c r="O363" s="1343" t="e">
        <f t="shared" si="32"/>
        <v>#REF!</v>
      </c>
      <c r="P363" s="1343" t="e">
        <f t="shared" si="33"/>
        <v>#REF!</v>
      </c>
    </row>
    <row r="364" spans="15:16" ht="15" customHeight="1">
      <c r="O364" s="1343" t="e">
        <f t="shared" si="32"/>
        <v>#REF!</v>
      </c>
      <c r="P364" s="1343" t="e">
        <f t="shared" si="33"/>
        <v>#REF!</v>
      </c>
    </row>
    <row r="365" spans="15:16" ht="15" customHeight="1">
      <c r="O365" s="1343" t="e">
        <f t="shared" si="32"/>
        <v>#REF!</v>
      </c>
      <c r="P365" s="1343" t="e">
        <f t="shared" si="33"/>
        <v>#REF!</v>
      </c>
    </row>
    <row r="366" spans="15:16" ht="15" customHeight="1">
      <c r="O366" s="1343" t="e">
        <f t="shared" si="32"/>
        <v>#REF!</v>
      </c>
      <c r="P366" s="1343" t="e">
        <f t="shared" si="33"/>
        <v>#REF!</v>
      </c>
    </row>
    <row r="367" spans="15:16" ht="15" customHeight="1">
      <c r="O367" s="1343" t="e">
        <f t="shared" si="32"/>
        <v>#REF!</v>
      </c>
      <c r="P367" s="1343" t="e">
        <f t="shared" si="33"/>
        <v>#REF!</v>
      </c>
    </row>
    <row r="368" spans="15:16" ht="15" customHeight="1">
      <c r="O368" s="1343" t="e">
        <f t="shared" si="32"/>
        <v>#REF!</v>
      </c>
      <c r="P368" s="1343" t="e">
        <f t="shared" si="33"/>
        <v>#REF!</v>
      </c>
    </row>
    <row r="369" spans="15:16" ht="15" customHeight="1">
      <c r="O369" s="1343" t="e">
        <f t="shared" si="32"/>
        <v>#REF!</v>
      </c>
      <c r="P369" s="1343" t="e">
        <f t="shared" si="33"/>
        <v>#REF!</v>
      </c>
    </row>
    <row r="370" spans="15:16" ht="15" customHeight="1">
      <c r="O370" s="1343" t="e">
        <f t="shared" si="32"/>
        <v>#REF!</v>
      </c>
      <c r="P370" s="1343" t="e">
        <f t="shared" si="33"/>
        <v>#REF!</v>
      </c>
    </row>
    <row r="371" spans="15:16" ht="15" customHeight="1">
      <c r="O371" s="1343" t="e">
        <f t="shared" si="32"/>
        <v>#REF!</v>
      </c>
      <c r="P371" s="1343" t="e">
        <f t="shared" si="33"/>
        <v>#REF!</v>
      </c>
    </row>
    <row r="372" spans="15:16" ht="15" customHeight="1">
      <c r="O372" s="1343" t="e">
        <f t="shared" si="32"/>
        <v>#REF!</v>
      </c>
      <c r="P372" s="1343" t="e">
        <f t="shared" si="33"/>
        <v>#REF!</v>
      </c>
    </row>
    <row r="373" spans="15:16" ht="15" customHeight="1">
      <c r="O373" s="1343" t="e">
        <f t="shared" si="32"/>
        <v>#REF!</v>
      </c>
      <c r="P373" s="1343" t="e">
        <f t="shared" si="33"/>
        <v>#REF!</v>
      </c>
    </row>
    <row r="374" spans="15:16" ht="15" customHeight="1">
      <c r="O374" s="1343" t="e">
        <f t="shared" si="32"/>
        <v>#REF!</v>
      </c>
      <c r="P374" s="1343" t="e">
        <f t="shared" si="33"/>
        <v>#REF!</v>
      </c>
    </row>
    <row r="375" spans="15:16" ht="15" customHeight="1">
      <c r="O375" s="1343" t="e">
        <f t="shared" si="32"/>
        <v>#REF!</v>
      </c>
      <c r="P375" s="1343" t="e">
        <f t="shared" si="33"/>
        <v>#REF!</v>
      </c>
    </row>
    <row r="376" spans="15:16" ht="15" customHeight="1">
      <c r="O376" s="1343" t="e">
        <f t="shared" si="32"/>
        <v>#REF!</v>
      </c>
      <c r="P376" s="1343" t="e">
        <f t="shared" si="33"/>
        <v>#REF!</v>
      </c>
    </row>
    <row r="377" spans="15:16" ht="15" customHeight="1">
      <c r="O377" s="1343" t="e">
        <f t="shared" si="32"/>
        <v>#REF!</v>
      </c>
      <c r="P377" s="1343" t="e">
        <f t="shared" si="33"/>
        <v>#REF!</v>
      </c>
    </row>
    <row r="378" spans="15:16" ht="15" customHeight="1">
      <c r="O378" s="1343" t="e">
        <f t="shared" si="32"/>
        <v>#REF!</v>
      </c>
      <c r="P378" s="1343" t="e">
        <f t="shared" si="33"/>
        <v>#REF!</v>
      </c>
    </row>
    <row r="379" spans="15:16" ht="15" customHeight="1">
      <c r="O379" s="1343" t="e">
        <f t="shared" si="32"/>
        <v>#REF!</v>
      </c>
      <c r="P379" s="1343" t="e">
        <f t="shared" si="33"/>
        <v>#REF!</v>
      </c>
    </row>
    <row r="380" spans="15:16" ht="15" customHeight="1">
      <c r="O380" s="1343" t="e">
        <f t="shared" si="32"/>
        <v>#REF!</v>
      </c>
      <c r="P380" s="1343" t="e">
        <f t="shared" si="33"/>
        <v>#REF!</v>
      </c>
    </row>
    <row r="381" spans="15:16" ht="15" customHeight="1">
      <c r="O381" s="1343" t="e">
        <f t="shared" ref="O381:O444" si="34">O380+24</f>
        <v>#REF!</v>
      </c>
      <c r="P381" s="1343" t="e">
        <f t="shared" si="33"/>
        <v>#REF!</v>
      </c>
    </row>
    <row r="382" spans="15:16" ht="15" customHeight="1">
      <c r="O382" s="1343" t="e">
        <f t="shared" si="34"/>
        <v>#REF!</v>
      </c>
      <c r="P382" s="1343" t="e">
        <f t="shared" si="33"/>
        <v>#REF!</v>
      </c>
    </row>
    <row r="383" spans="15:16" ht="15" customHeight="1">
      <c r="O383" s="1343" t="e">
        <f t="shared" si="34"/>
        <v>#REF!</v>
      </c>
      <c r="P383" s="1343" t="e">
        <f t="shared" si="33"/>
        <v>#REF!</v>
      </c>
    </row>
    <row r="384" spans="15:16" ht="15" customHeight="1">
      <c r="O384" s="1343" t="e">
        <f t="shared" si="34"/>
        <v>#REF!</v>
      </c>
      <c r="P384" s="1343" t="e">
        <f t="shared" si="33"/>
        <v>#REF!</v>
      </c>
    </row>
    <row r="385" spans="15:16" ht="15" customHeight="1">
      <c r="O385" s="1343" t="e">
        <f t="shared" si="34"/>
        <v>#REF!</v>
      </c>
      <c r="P385" s="1343" t="e">
        <f t="shared" si="33"/>
        <v>#REF!</v>
      </c>
    </row>
    <row r="386" spans="15:16" ht="15" customHeight="1">
      <c r="O386" s="1343" t="e">
        <f t="shared" si="34"/>
        <v>#REF!</v>
      </c>
      <c r="P386" s="1343" t="e">
        <f t="shared" si="33"/>
        <v>#REF!</v>
      </c>
    </row>
    <row r="387" spans="15:16" ht="15" customHeight="1">
      <c r="O387" s="1343" t="e">
        <f t="shared" si="34"/>
        <v>#REF!</v>
      </c>
      <c r="P387" s="1343" t="e">
        <f t="shared" si="33"/>
        <v>#REF!</v>
      </c>
    </row>
    <row r="388" spans="15:16" ht="15" customHeight="1">
      <c r="O388" s="1343" t="e">
        <f t="shared" si="34"/>
        <v>#REF!</v>
      </c>
      <c r="P388" s="1343" t="e">
        <f t="shared" si="33"/>
        <v>#REF!</v>
      </c>
    </row>
    <row r="389" spans="15:16" ht="15" customHeight="1">
      <c r="O389" s="1343" t="e">
        <f t="shared" si="34"/>
        <v>#REF!</v>
      </c>
      <c r="P389" s="1343" t="e">
        <f t="shared" si="33"/>
        <v>#REF!</v>
      </c>
    </row>
    <row r="390" spans="15:16" ht="15" customHeight="1">
      <c r="O390" s="1343" t="e">
        <f t="shared" si="34"/>
        <v>#REF!</v>
      </c>
      <c r="P390" s="1343" t="e">
        <f t="shared" si="33"/>
        <v>#REF!</v>
      </c>
    </row>
    <row r="391" spans="15:16" ht="15" customHeight="1">
      <c r="O391" s="1343" t="e">
        <f t="shared" si="34"/>
        <v>#REF!</v>
      </c>
      <c r="P391" s="1343" t="e">
        <f t="shared" si="33"/>
        <v>#REF!</v>
      </c>
    </row>
    <row r="392" spans="15:16" ht="15" customHeight="1">
      <c r="O392" s="1343" t="e">
        <f t="shared" si="34"/>
        <v>#REF!</v>
      </c>
      <c r="P392" s="1343" t="e">
        <f t="shared" si="33"/>
        <v>#REF!</v>
      </c>
    </row>
    <row r="393" spans="15:16" ht="15" customHeight="1">
      <c r="O393" s="1343" t="e">
        <f t="shared" si="34"/>
        <v>#REF!</v>
      </c>
      <c r="P393" s="1343" t="e">
        <f t="shared" si="33"/>
        <v>#REF!</v>
      </c>
    </row>
    <row r="394" spans="15:16" ht="15" customHeight="1">
      <c r="O394" s="1343" t="e">
        <f t="shared" si="34"/>
        <v>#REF!</v>
      </c>
      <c r="P394" s="1343" t="e">
        <f t="shared" si="33"/>
        <v>#REF!</v>
      </c>
    </row>
    <row r="395" spans="15:16" ht="15" customHeight="1">
      <c r="O395" s="1343" t="e">
        <f t="shared" si="34"/>
        <v>#REF!</v>
      </c>
      <c r="P395" s="1343" t="e">
        <f t="shared" si="33"/>
        <v>#REF!</v>
      </c>
    </row>
    <row r="396" spans="15:16" ht="15" customHeight="1">
      <c r="O396" s="1343" t="e">
        <f t="shared" si="34"/>
        <v>#REF!</v>
      </c>
      <c r="P396" s="1343" t="e">
        <f t="shared" si="33"/>
        <v>#REF!</v>
      </c>
    </row>
    <row r="397" spans="15:16" ht="15" customHeight="1">
      <c r="O397" s="1343" t="e">
        <f t="shared" si="34"/>
        <v>#REF!</v>
      </c>
      <c r="P397" s="1343" t="e">
        <f t="shared" si="33"/>
        <v>#REF!</v>
      </c>
    </row>
    <row r="398" spans="15:16" ht="15" customHeight="1">
      <c r="O398" s="1343" t="e">
        <f t="shared" si="34"/>
        <v>#REF!</v>
      </c>
      <c r="P398" s="1343" t="e">
        <f t="shared" si="33"/>
        <v>#REF!</v>
      </c>
    </row>
    <row r="399" spans="15:16" ht="15" customHeight="1">
      <c r="O399" s="1343" t="e">
        <f t="shared" si="34"/>
        <v>#REF!</v>
      </c>
      <c r="P399" s="1343" t="e">
        <f t="shared" si="33"/>
        <v>#REF!</v>
      </c>
    </row>
    <row r="400" spans="15:16" ht="15" customHeight="1">
      <c r="O400" s="1343" t="e">
        <f t="shared" si="34"/>
        <v>#REF!</v>
      </c>
      <c r="P400" s="1343" t="e">
        <f t="shared" si="33"/>
        <v>#REF!</v>
      </c>
    </row>
    <row r="401" spans="15:16" ht="15" customHeight="1">
      <c r="O401" s="1343" t="e">
        <f t="shared" si="34"/>
        <v>#REF!</v>
      </c>
      <c r="P401" s="1343" t="e">
        <f t="shared" si="33"/>
        <v>#REF!</v>
      </c>
    </row>
    <row r="402" spans="15:16" ht="15" customHeight="1">
      <c r="O402" s="1343" t="e">
        <f t="shared" si="34"/>
        <v>#REF!</v>
      </c>
      <c r="P402" s="1343" t="e">
        <f t="shared" si="33"/>
        <v>#REF!</v>
      </c>
    </row>
    <row r="403" spans="15:16" ht="15" customHeight="1">
      <c r="O403" s="1343" t="e">
        <f t="shared" si="34"/>
        <v>#REF!</v>
      </c>
      <c r="P403" s="1343" t="e">
        <f t="shared" si="33"/>
        <v>#REF!</v>
      </c>
    </row>
    <row r="404" spans="15:16" ht="15" customHeight="1">
      <c r="O404" s="1343" t="e">
        <f t="shared" si="34"/>
        <v>#REF!</v>
      </c>
      <c r="P404" s="1343" t="e">
        <f t="shared" ref="P404:P467" si="35">P403+12</f>
        <v>#REF!</v>
      </c>
    </row>
    <row r="405" spans="15:16" ht="15" customHeight="1">
      <c r="O405" s="1343" t="e">
        <f t="shared" si="34"/>
        <v>#REF!</v>
      </c>
      <c r="P405" s="1343" t="e">
        <f t="shared" si="35"/>
        <v>#REF!</v>
      </c>
    </row>
    <row r="406" spans="15:16" ht="15" customHeight="1">
      <c r="O406" s="1343" t="e">
        <f t="shared" si="34"/>
        <v>#REF!</v>
      </c>
      <c r="P406" s="1343" t="e">
        <f t="shared" si="35"/>
        <v>#REF!</v>
      </c>
    </row>
    <row r="407" spans="15:16" ht="15" customHeight="1">
      <c r="O407" s="1343" t="e">
        <f t="shared" si="34"/>
        <v>#REF!</v>
      </c>
      <c r="P407" s="1343" t="e">
        <f t="shared" si="35"/>
        <v>#REF!</v>
      </c>
    </row>
    <row r="408" spans="15:16" ht="15" customHeight="1">
      <c r="O408" s="1343" t="e">
        <f t="shared" si="34"/>
        <v>#REF!</v>
      </c>
      <c r="P408" s="1343" t="e">
        <f t="shared" si="35"/>
        <v>#REF!</v>
      </c>
    </row>
    <row r="409" spans="15:16" ht="15" customHeight="1">
      <c r="O409" s="1343" t="e">
        <f t="shared" si="34"/>
        <v>#REF!</v>
      </c>
      <c r="P409" s="1343" t="e">
        <f t="shared" si="35"/>
        <v>#REF!</v>
      </c>
    </row>
    <row r="410" spans="15:16" ht="15" customHeight="1">
      <c r="O410" s="1343" t="e">
        <f t="shared" si="34"/>
        <v>#REF!</v>
      </c>
      <c r="P410" s="1343" t="e">
        <f t="shared" si="35"/>
        <v>#REF!</v>
      </c>
    </row>
    <row r="411" spans="15:16" ht="15" customHeight="1">
      <c r="O411" s="1343" t="e">
        <f t="shared" si="34"/>
        <v>#REF!</v>
      </c>
      <c r="P411" s="1343" t="e">
        <f t="shared" si="35"/>
        <v>#REF!</v>
      </c>
    </row>
    <row r="412" spans="15:16" ht="15" customHeight="1">
      <c r="O412" s="1343" t="e">
        <f t="shared" si="34"/>
        <v>#REF!</v>
      </c>
      <c r="P412" s="1343" t="e">
        <f t="shared" si="35"/>
        <v>#REF!</v>
      </c>
    </row>
    <row r="413" spans="15:16" ht="15" customHeight="1">
      <c r="O413" s="1343" t="e">
        <f t="shared" si="34"/>
        <v>#REF!</v>
      </c>
      <c r="P413" s="1343" t="e">
        <f t="shared" si="35"/>
        <v>#REF!</v>
      </c>
    </row>
    <row r="414" spans="15:16" ht="15" customHeight="1">
      <c r="O414" s="1343" t="e">
        <f t="shared" si="34"/>
        <v>#REF!</v>
      </c>
      <c r="P414" s="1343" t="e">
        <f t="shared" si="35"/>
        <v>#REF!</v>
      </c>
    </row>
    <row r="415" spans="15:16" ht="15" customHeight="1">
      <c r="O415" s="1343" t="e">
        <f t="shared" si="34"/>
        <v>#REF!</v>
      </c>
      <c r="P415" s="1343" t="e">
        <f t="shared" si="35"/>
        <v>#REF!</v>
      </c>
    </row>
    <row r="416" spans="15:16" ht="15" customHeight="1">
      <c r="O416" s="1343" t="e">
        <f t="shared" si="34"/>
        <v>#REF!</v>
      </c>
      <c r="P416" s="1343" t="e">
        <f t="shared" si="35"/>
        <v>#REF!</v>
      </c>
    </row>
    <row r="417" spans="15:16" ht="15" customHeight="1">
      <c r="O417" s="1343" t="e">
        <f t="shared" si="34"/>
        <v>#REF!</v>
      </c>
      <c r="P417" s="1343" t="e">
        <f t="shared" si="35"/>
        <v>#REF!</v>
      </c>
    </row>
    <row r="418" spans="15:16" ht="15" customHeight="1">
      <c r="O418" s="1343" t="e">
        <f t="shared" si="34"/>
        <v>#REF!</v>
      </c>
      <c r="P418" s="1343" t="e">
        <f t="shared" si="35"/>
        <v>#REF!</v>
      </c>
    </row>
    <row r="419" spans="15:16" ht="15" customHeight="1">
      <c r="O419" s="1343" t="e">
        <f t="shared" si="34"/>
        <v>#REF!</v>
      </c>
      <c r="P419" s="1343" t="e">
        <f t="shared" si="35"/>
        <v>#REF!</v>
      </c>
    </row>
    <row r="420" spans="15:16" ht="15" customHeight="1">
      <c r="O420" s="1343" t="e">
        <f t="shared" si="34"/>
        <v>#REF!</v>
      </c>
      <c r="P420" s="1343" t="e">
        <f t="shared" si="35"/>
        <v>#REF!</v>
      </c>
    </row>
    <row r="421" spans="15:16" ht="15" customHeight="1">
      <c r="O421" s="1343" t="e">
        <f t="shared" si="34"/>
        <v>#REF!</v>
      </c>
      <c r="P421" s="1343" t="e">
        <f t="shared" si="35"/>
        <v>#REF!</v>
      </c>
    </row>
    <row r="422" spans="15:16" ht="15" customHeight="1">
      <c r="O422" s="1343" t="e">
        <f t="shared" si="34"/>
        <v>#REF!</v>
      </c>
      <c r="P422" s="1343" t="e">
        <f t="shared" si="35"/>
        <v>#REF!</v>
      </c>
    </row>
    <row r="423" spans="15:16" ht="15" customHeight="1">
      <c r="O423" s="1343" t="e">
        <f t="shared" si="34"/>
        <v>#REF!</v>
      </c>
      <c r="P423" s="1343" t="e">
        <f t="shared" si="35"/>
        <v>#REF!</v>
      </c>
    </row>
    <row r="424" spans="15:16" ht="15" customHeight="1">
      <c r="O424" s="1343" t="e">
        <f t="shared" si="34"/>
        <v>#REF!</v>
      </c>
      <c r="P424" s="1343" t="e">
        <f t="shared" si="35"/>
        <v>#REF!</v>
      </c>
    </row>
    <row r="425" spans="15:16" ht="15" customHeight="1">
      <c r="O425" s="1343" t="e">
        <f t="shared" si="34"/>
        <v>#REF!</v>
      </c>
      <c r="P425" s="1343" t="e">
        <f t="shared" si="35"/>
        <v>#REF!</v>
      </c>
    </row>
    <row r="426" spans="15:16" ht="15" customHeight="1">
      <c r="O426" s="1343" t="e">
        <f t="shared" si="34"/>
        <v>#REF!</v>
      </c>
      <c r="P426" s="1343" t="e">
        <f t="shared" si="35"/>
        <v>#REF!</v>
      </c>
    </row>
    <row r="427" spans="15:16" ht="15" customHeight="1">
      <c r="O427" s="1343" t="e">
        <f t="shared" si="34"/>
        <v>#REF!</v>
      </c>
      <c r="P427" s="1343" t="e">
        <f t="shared" si="35"/>
        <v>#REF!</v>
      </c>
    </row>
    <row r="428" spans="15:16" ht="15" customHeight="1">
      <c r="O428" s="1343" t="e">
        <f t="shared" si="34"/>
        <v>#REF!</v>
      </c>
      <c r="P428" s="1343" t="e">
        <f t="shared" si="35"/>
        <v>#REF!</v>
      </c>
    </row>
    <row r="429" spans="15:16" ht="15" customHeight="1">
      <c r="O429" s="1343" t="e">
        <f t="shared" si="34"/>
        <v>#REF!</v>
      </c>
      <c r="P429" s="1343" t="e">
        <f t="shared" si="35"/>
        <v>#REF!</v>
      </c>
    </row>
    <row r="430" spans="15:16" ht="15" customHeight="1">
      <c r="O430" s="1343" t="e">
        <f t="shared" si="34"/>
        <v>#REF!</v>
      </c>
      <c r="P430" s="1343" t="e">
        <f t="shared" si="35"/>
        <v>#REF!</v>
      </c>
    </row>
    <row r="431" spans="15:16" ht="15" customHeight="1">
      <c r="O431" s="1343" t="e">
        <f t="shared" si="34"/>
        <v>#REF!</v>
      </c>
      <c r="P431" s="1343" t="e">
        <f t="shared" si="35"/>
        <v>#REF!</v>
      </c>
    </row>
    <row r="432" spans="15:16" ht="15" customHeight="1">
      <c r="O432" s="1343" t="e">
        <f t="shared" si="34"/>
        <v>#REF!</v>
      </c>
      <c r="P432" s="1343" t="e">
        <f t="shared" si="35"/>
        <v>#REF!</v>
      </c>
    </row>
    <row r="433" spans="15:16" ht="15" customHeight="1">
      <c r="O433" s="1343" t="e">
        <f t="shared" si="34"/>
        <v>#REF!</v>
      </c>
      <c r="P433" s="1343" t="e">
        <f t="shared" si="35"/>
        <v>#REF!</v>
      </c>
    </row>
    <row r="434" spans="15:16" ht="15" customHeight="1">
      <c r="O434" s="1343" t="e">
        <f t="shared" si="34"/>
        <v>#REF!</v>
      </c>
      <c r="P434" s="1343" t="e">
        <f t="shared" si="35"/>
        <v>#REF!</v>
      </c>
    </row>
    <row r="435" spans="15:16" ht="15" customHeight="1">
      <c r="O435" s="1343" t="e">
        <f t="shared" si="34"/>
        <v>#REF!</v>
      </c>
      <c r="P435" s="1343" t="e">
        <f t="shared" si="35"/>
        <v>#REF!</v>
      </c>
    </row>
    <row r="436" spans="15:16" ht="15" customHeight="1">
      <c r="O436" s="1343" t="e">
        <f t="shared" si="34"/>
        <v>#REF!</v>
      </c>
      <c r="P436" s="1343" t="e">
        <f t="shared" si="35"/>
        <v>#REF!</v>
      </c>
    </row>
    <row r="437" spans="15:16" ht="15" customHeight="1">
      <c r="O437" s="1343" t="e">
        <f t="shared" si="34"/>
        <v>#REF!</v>
      </c>
      <c r="P437" s="1343" t="e">
        <f t="shared" si="35"/>
        <v>#REF!</v>
      </c>
    </row>
    <row r="438" spans="15:16" ht="15" customHeight="1">
      <c r="O438" s="1343" t="e">
        <f t="shared" si="34"/>
        <v>#REF!</v>
      </c>
      <c r="P438" s="1343" t="e">
        <f t="shared" si="35"/>
        <v>#REF!</v>
      </c>
    </row>
    <row r="439" spans="15:16" ht="15" customHeight="1">
      <c r="O439" s="1343" t="e">
        <f t="shared" si="34"/>
        <v>#REF!</v>
      </c>
      <c r="P439" s="1343" t="e">
        <f t="shared" si="35"/>
        <v>#REF!</v>
      </c>
    </row>
    <row r="440" spans="15:16" ht="15" customHeight="1">
      <c r="O440" s="1343" t="e">
        <f t="shared" si="34"/>
        <v>#REF!</v>
      </c>
      <c r="P440" s="1343" t="e">
        <f t="shared" si="35"/>
        <v>#REF!</v>
      </c>
    </row>
    <row r="441" spans="15:16" ht="15" customHeight="1">
      <c r="O441" s="1343" t="e">
        <f t="shared" si="34"/>
        <v>#REF!</v>
      </c>
      <c r="P441" s="1343" t="e">
        <f t="shared" si="35"/>
        <v>#REF!</v>
      </c>
    </row>
    <row r="442" spans="15:16" ht="15" customHeight="1">
      <c r="O442" s="1343" t="e">
        <f t="shared" si="34"/>
        <v>#REF!</v>
      </c>
      <c r="P442" s="1343" t="e">
        <f t="shared" si="35"/>
        <v>#REF!</v>
      </c>
    </row>
    <row r="443" spans="15:16" ht="15" customHeight="1">
      <c r="O443" s="1343" t="e">
        <f t="shared" si="34"/>
        <v>#REF!</v>
      </c>
      <c r="P443" s="1343" t="e">
        <f t="shared" si="35"/>
        <v>#REF!</v>
      </c>
    </row>
    <row r="444" spans="15:16" ht="15" customHeight="1">
      <c r="O444" s="1343" t="e">
        <f t="shared" si="34"/>
        <v>#REF!</v>
      </c>
      <c r="P444" s="1343" t="e">
        <f t="shared" si="35"/>
        <v>#REF!</v>
      </c>
    </row>
    <row r="445" spans="15:16" ht="15" customHeight="1">
      <c r="O445" s="1343" t="e">
        <f t="shared" ref="O445:O508" si="36">O444+24</f>
        <v>#REF!</v>
      </c>
      <c r="P445" s="1343" t="e">
        <f t="shared" si="35"/>
        <v>#REF!</v>
      </c>
    </row>
    <row r="446" spans="15:16" ht="15" customHeight="1">
      <c r="O446" s="1343" t="e">
        <f t="shared" si="36"/>
        <v>#REF!</v>
      </c>
      <c r="P446" s="1343" t="e">
        <f t="shared" si="35"/>
        <v>#REF!</v>
      </c>
    </row>
    <row r="447" spans="15:16" ht="15" customHeight="1">
      <c r="O447" s="1343" t="e">
        <f t="shared" si="36"/>
        <v>#REF!</v>
      </c>
      <c r="P447" s="1343" t="e">
        <f t="shared" si="35"/>
        <v>#REF!</v>
      </c>
    </row>
    <row r="448" spans="15:16" ht="15" customHeight="1">
      <c r="O448" s="1343" t="e">
        <f t="shared" si="36"/>
        <v>#REF!</v>
      </c>
      <c r="P448" s="1343" t="e">
        <f t="shared" si="35"/>
        <v>#REF!</v>
      </c>
    </row>
    <row r="449" spans="15:16" ht="15" customHeight="1">
      <c r="O449" s="1343" t="e">
        <f t="shared" si="36"/>
        <v>#REF!</v>
      </c>
      <c r="P449" s="1343" t="e">
        <f t="shared" si="35"/>
        <v>#REF!</v>
      </c>
    </row>
    <row r="450" spans="15:16" ht="15" customHeight="1">
      <c r="O450" s="1343" t="e">
        <f t="shared" si="36"/>
        <v>#REF!</v>
      </c>
      <c r="P450" s="1343" t="e">
        <f t="shared" si="35"/>
        <v>#REF!</v>
      </c>
    </row>
    <row r="451" spans="15:16" ht="15" customHeight="1">
      <c r="O451" s="1343" t="e">
        <f t="shared" si="36"/>
        <v>#REF!</v>
      </c>
      <c r="P451" s="1343" t="e">
        <f t="shared" si="35"/>
        <v>#REF!</v>
      </c>
    </row>
    <row r="452" spans="15:16" ht="15" customHeight="1">
      <c r="O452" s="1343" t="e">
        <f t="shared" si="36"/>
        <v>#REF!</v>
      </c>
      <c r="P452" s="1343" t="e">
        <f t="shared" si="35"/>
        <v>#REF!</v>
      </c>
    </row>
    <row r="453" spans="15:16" ht="15" customHeight="1">
      <c r="O453" s="1343" t="e">
        <f t="shared" si="36"/>
        <v>#REF!</v>
      </c>
      <c r="P453" s="1343" t="e">
        <f t="shared" si="35"/>
        <v>#REF!</v>
      </c>
    </row>
    <row r="454" spans="15:16" ht="15" customHeight="1">
      <c r="O454" s="1343" t="e">
        <f t="shared" si="36"/>
        <v>#REF!</v>
      </c>
      <c r="P454" s="1343" t="e">
        <f t="shared" si="35"/>
        <v>#REF!</v>
      </c>
    </row>
    <row r="455" spans="15:16" ht="15" customHeight="1">
      <c r="O455" s="1343" t="e">
        <f t="shared" si="36"/>
        <v>#REF!</v>
      </c>
      <c r="P455" s="1343" t="e">
        <f t="shared" si="35"/>
        <v>#REF!</v>
      </c>
    </row>
    <row r="456" spans="15:16" ht="15" customHeight="1">
      <c r="O456" s="1343" t="e">
        <f t="shared" si="36"/>
        <v>#REF!</v>
      </c>
      <c r="P456" s="1343" t="e">
        <f t="shared" si="35"/>
        <v>#REF!</v>
      </c>
    </row>
    <row r="457" spans="15:16" ht="15" customHeight="1">
      <c r="O457" s="1343" t="e">
        <f t="shared" si="36"/>
        <v>#REF!</v>
      </c>
      <c r="P457" s="1343" t="e">
        <f t="shared" si="35"/>
        <v>#REF!</v>
      </c>
    </row>
    <row r="458" spans="15:16" ht="15" customHeight="1">
      <c r="O458" s="1343" t="e">
        <f t="shared" si="36"/>
        <v>#REF!</v>
      </c>
      <c r="P458" s="1343" t="e">
        <f t="shared" si="35"/>
        <v>#REF!</v>
      </c>
    </row>
    <row r="459" spans="15:16" ht="15" customHeight="1">
      <c r="O459" s="1343" t="e">
        <f t="shared" si="36"/>
        <v>#REF!</v>
      </c>
      <c r="P459" s="1343" t="e">
        <f t="shared" si="35"/>
        <v>#REF!</v>
      </c>
    </row>
    <row r="460" spans="15:16" ht="15" customHeight="1">
      <c r="O460" s="1343" t="e">
        <f t="shared" si="36"/>
        <v>#REF!</v>
      </c>
      <c r="P460" s="1343" t="e">
        <f t="shared" si="35"/>
        <v>#REF!</v>
      </c>
    </row>
    <row r="461" spans="15:16" ht="15" customHeight="1">
      <c r="O461" s="1343" t="e">
        <f t="shared" si="36"/>
        <v>#REF!</v>
      </c>
      <c r="P461" s="1343" t="e">
        <f t="shared" si="35"/>
        <v>#REF!</v>
      </c>
    </row>
    <row r="462" spans="15:16" ht="15" customHeight="1">
      <c r="O462" s="1343" t="e">
        <f t="shared" si="36"/>
        <v>#REF!</v>
      </c>
      <c r="P462" s="1343" t="e">
        <f t="shared" si="35"/>
        <v>#REF!</v>
      </c>
    </row>
    <row r="463" spans="15:16" ht="15" customHeight="1">
      <c r="O463" s="1343" t="e">
        <f t="shared" si="36"/>
        <v>#REF!</v>
      </c>
      <c r="P463" s="1343" t="e">
        <f t="shared" si="35"/>
        <v>#REF!</v>
      </c>
    </row>
    <row r="464" spans="15:16" ht="15" customHeight="1">
      <c r="O464" s="1343" t="e">
        <f t="shared" si="36"/>
        <v>#REF!</v>
      </c>
      <c r="P464" s="1343" t="e">
        <f t="shared" si="35"/>
        <v>#REF!</v>
      </c>
    </row>
    <row r="465" spans="15:16" ht="15" customHeight="1">
      <c r="O465" s="1343" t="e">
        <f t="shared" si="36"/>
        <v>#REF!</v>
      </c>
      <c r="P465" s="1343" t="e">
        <f t="shared" si="35"/>
        <v>#REF!</v>
      </c>
    </row>
    <row r="466" spans="15:16" ht="15" customHeight="1">
      <c r="O466" s="1343" t="e">
        <f t="shared" si="36"/>
        <v>#REF!</v>
      </c>
      <c r="P466" s="1343" t="e">
        <f t="shared" si="35"/>
        <v>#REF!</v>
      </c>
    </row>
    <row r="467" spans="15:16" ht="15" customHeight="1">
      <c r="O467" s="1343" t="e">
        <f t="shared" si="36"/>
        <v>#REF!</v>
      </c>
      <c r="P467" s="1343" t="e">
        <f t="shared" si="35"/>
        <v>#REF!</v>
      </c>
    </row>
    <row r="468" spans="15:16" ht="15" customHeight="1">
      <c r="O468" s="1343" t="e">
        <f t="shared" si="36"/>
        <v>#REF!</v>
      </c>
      <c r="P468" s="1343" t="e">
        <f t="shared" ref="P468:P531" si="37">P467+12</f>
        <v>#REF!</v>
      </c>
    </row>
    <row r="469" spans="15:16" ht="15" customHeight="1">
      <c r="O469" s="1343" t="e">
        <f t="shared" si="36"/>
        <v>#REF!</v>
      </c>
      <c r="P469" s="1343" t="e">
        <f t="shared" si="37"/>
        <v>#REF!</v>
      </c>
    </row>
    <row r="470" spans="15:16" ht="15" customHeight="1">
      <c r="O470" s="1343" t="e">
        <f t="shared" si="36"/>
        <v>#REF!</v>
      </c>
      <c r="P470" s="1343" t="e">
        <f t="shared" si="37"/>
        <v>#REF!</v>
      </c>
    </row>
    <row r="471" spans="15:16" ht="15" customHeight="1">
      <c r="O471" s="1343" t="e">
        <f t="shared" si="36"/>
        <v>#REF!</v>
      </c>
      <c r="P471" s="1343" t="e">
        <f t="shared" si="37"/>
        <v>#REF!</v>
      </c>
    </row>
    <row r="472" spans="15:16" ht="15" customHeight="1">
      <c r="O472" s="1343" t="e">
        <f t="shared" si="36"/>
        <v>#REF!</v>
      </c>
      <c r="P472" s="1343" t="e">
        <f t="shared" si="37"/>
        <v>#REF!</v>
      </c>
    </row>
    <row r="473" spans="15:16" ht="15" customHeight="1">
      <c r="O473" s="1343" t="e">
        <f t="shared" si="36"/>
        <v>#REF!</v>
      </c>
      <c r="P473" s="1343" t="e">
        <f t="shared" si="37"/>
        <v>#REF!</v>
      </c>
    </row>
    <row r="474" spans="15:16" ht="15" customHeight="1">
      <c r="O474" s="1343" t="e">
        <f t="shared" si="36"/>
        <v>#REF!</v>
      </c>
      <c r="P474" s="1343" t="e">
        <f t="shared" si="37"/>
        <v>#REF!</v>
      </c>
    </row>
    <row r="475" spans="15:16" ht="15" customHeight="1">
      <c r="O475" s="1343" t="e">
        <f t="shared" si="36"/>
        <v>#REF!</v>
      </c>
      <c r="P475" s="1343" t="e">
        <f t="shared" si="37"/>
        <v>#REF!</v>
      </c>
    </row>
    <row r="476" spans="15:16" ht="15" customHeight="1">
      <c r="O476" s="1343" t="e">
        <f t="shared" si="36"/>
        <v>#REF!</v>
      </c>
      <c r="P476" s="1343" t="e">
        <f t="shared" si="37"/>
        <v>#REF!</v>
      </c>
    </row>
    <row r="477" spans="15:16" ht="15" customHeight="1">
      <c r="O477" s="1343" t="e">
        <f t="shared" si="36"/>
        <v>#REF!</v>
      </c>
      <c r="P477" s="1343" t="e">
        <f t="shared" si="37"/>
        <v>#REF!</v>
      </c>
    </row>
    <row r="478" spans="15:16" ht="15" customHeight="1">
      <c r="O478" s="1343" t="e">
        <f t="shared" si="36"/>
        <v>#REF!</v>
      </c>
      <c r="P478" s="1343" t="e">
        <f t="shared" si="37"/>
        <v>#REF!</v>
      </c>
    </row>
    <row r="479" spans="15:16" ht="15" customHeight="1">
      <c r="O479" s="1343" t="e">
        <f t="shared" si="36"/>
        <v>#REF!</v>
      </c>
      <c r="P479" s="1343" t="e">
        <f t="shared" si="37"/>
        <v>#REF!</v>
      </c>
    </row>
    <row r="480" spans="15:16" ht="15" customHeight="1">
      <c r="O480" s="1343" t="e">
        <f t="shared" si="36"/>
        <v>#REF!</v>
      </c>
      <c r="P480" s="1343" t="e">
        <f t="shared" si="37"/>
        <v>#REF!</v>
      </c>
    </row>
    <row r="481" spans="15:16" ht="15" customHeight="1">
      <c r="O481" s="1343" t="e">
        <f t="shared" si="36"/>
        <v>#REF!</v>
      </c>
      <c r="P481" s="1343" t="e">
        <f t="shared" si="37"/>
        <v>#REF!</v>
      </c>
    </row>
    <row r="482" spans="15:16" ht="15" customHeight="1">
      <c r="O482" s="1343" t="e">
        <f t="shared" si="36"/>
        <v>#REF!</v>
      </c>
      <c r="P482" s="1343" t="e">
        <f t="shared" si="37"/>
        <v>#REF!</v>
      </c>
    </row>
    <row r="483" spans="15:16" ht="15" customHeight="1">
      <c r="O483" s="1343" t="e">
        <f t="shared" si="36"/>
        <v>#REF!</v>
      </c>
      <c r="P483" s="1343" t="e">
        <f t="shared" si="37"/>
        <v>#REF!</v>
      </c>
    </row>
    <row r="484" spans="15:16" ht="15" customHeight="1">
      <c r="O484" s="1343" t="e">
        <f t="shared" si="36"/>
        <v>#REF!</v>
      </c>
      <c r="P484" s="1343" t="e">
        <f t="shared" si="37"/>
        <v>#REF!</v>
      </c>
    </row>
    <row r="485" spans="15:16" ht="15" customHeight="1">
      <c r="O485" s="1343" t="e">
        <f t="shared" si="36"/>
        <v>#REF!</v>
      </c>
      <c r="P485" s="1343" t="e">
        <f t="shared" si="37"/>
        <v>#REF!</v>
      </c>
    </row>
    <row r="486" spans="15:16" ht="15" customHeight="1">
      <c r="O486" s="1343" t="e">
        <f t="shared" si="36"/>
        <v>#REF!</v>
      </c>
      <c r="P486" s="1343" t="e">
        <f t="shared" si="37"/>
        <v>#REF!</v>
      </c>
    </row>
    <row r="487" spans="15:16" ht="15" customHeight="1">
      <c r="O487" s="1343" t="e">
        <f t="shared" si="36"/>
        <v>#REF!</v>
      </c>
      <c r="P487" s="1343" t="e">
        <f t="shared" si="37"/>
        <v>#REF!</v>
      </c>
    </row>
    <row r="488" spans="15:16" ht="15" customHeight="1">
      <c r="O488" s="1343" t="e">
        <f t="shared" si="36"/>
        <v>#REF!</v>
      </c>
      <c r="P488" s="1343" t="e">
        <f t="shared" si="37"/>
        <v>#REF!</v>
      </c>
    </row>
    <row r="489" spans="15:16" ht="15" customHeight="1">
      <c r="O489" s="1343" t="e">
        <f t="shared" si="36"/>
        <v>#REF!</v>
      </c>
      <c r="P489" s="1343" t="e">
        <f t="shared" si="37"/>
        <v>#REF!</v>
      </c>
    </row>
    <row r="490" spans="15:16" ht="15" customHeight="1">
      <c r="O490" s="1343" t="e">
        <f t="shared" si="36"/>
        <v>#REF!</v>
      </c>
      <c r="P490" s="1343" t="e">
        <f t="shared" si="37"/>
        <v>#REF!</v>
      </c>
    </row>
    <row r="491" spans="15:16" ht="15" customHeight="1">
      <c r="O491" s="1343" t="e">
        <f t="shared" si="36"/>
        <v>#REF!</v>
      </c>
      <c r="P491" s="1343" t="e">
        <f t="shared" si="37"/>
        <v>#REF!</v>
      </c>
    </row>
    <row r="492" spans="15:16" ht="15" customHeight="1">
      <c r="O492" s="1343" t="e">
        <f t="shared" si="36"/>
        <v>#REF!</v>
      </c>
      <c r="P492" s="1343" t="e">
        <f t="shared" si="37"/>
        <v>#REF!</v>
      </c>
    </row>
    <row r="493" spans="15:16" ht="15" customHeight="1">
      <c r="O493" s="1343" t="e">
        <f t="shared" si="36"/>
        <v>#REF!</v>
      </c>
      <c r="P493" s="1343" t="e">
        <f t="shared" si="37"/>
        <v>#REF!</v>
      </c>
    </row>
    <row r="494" spans="15:16" ht="15" customHeight="1">
      <c r="O494" s="1343" t="e">
        <f t="shared" si="36"/>
        <v>#REF!</v>
      </c>
      <c r="P494" s="1343" t="e">
        <f t="shared" si="37"/>
        <v>#REF!</v>
      </c>
    </row>
    <row r="495" spans="15:16" ht="15" customHeight="1">
      <c r="O495" s="1343" t="e">
        <f t="shared" si="36"/>
        <v>#REF!</v>
      </c>
      <c r="P495" s="1343" t="e">
        <f t="shared" si="37"/>
        <v>#REF!</v>
      </c>
    </row>
    <row r="496" spans="15:16" ht="15" customHeight="1">
      <c r="O496" s="1343" t="e">
        <f t="shared" si="36"/>
        <v>#REF!</v>
      </c>
      <c r="P496" s="1343" t="e">
        <f t="shared" si="37"/>
        <v>#REF!</v>
      </c>
    </row>
    <row r="497" spans="15:16" ht="15" customHeight="1">
      <c r="O497" s="1343" t="e">
        <f t="shared" si="36"/>
        <v>#REF!</v>
      </c>
      <c r="P497" s="1343" t="e">
        <f t="shared" si="37"/>
        <v>#REF!</v>
      </c>
    </row>
    <row r="498" spans="15:16" ht="15" customHeight="1">
      <c r="O498" s="1343" t="e">
        <f t="shared" si="36"/>
        <v>#REF!</v>
      </c>
      <c r="P498" s="1343" t="e">
        <f t="shared" si="37"/>
        <v>#REF!</v>
      </c>
    </row>
    <row r="499" spans="15:16" ht="15" customHeight="1">
      <c r="O499" s="1343" t="e">
        <f t="shared" si="36"/>
        <v>#REF!</v>
      </c>
      <c r="P499" s="1343" t="e">
        <f t="shared" si="37"/>
        <v>#REF!</v>
      </c>
    </row>
    <row r="500" spans="15:16" ht="15" customHeight="1">
      <c r="O500" s="1343" t="e">
        <f t="shared" si="36"/>
        <v>#REF!</v>
      </c>
      <c r="P500" s="1343" t="e">
        <f t="shared" si="37"/>
        <v>#REF!</v>
      </c>
    </row>
    <row r="501" spans="15:16" ht="15" customHeight="1">
      <c r="O501" s="1343" t="e">
        <f t="shared" si="36"/>
        <v>#REF!</v>
      </c>
      <c r="P501" s="1343" t="e">
        <f t="shared" si="37"/>
        <v>#REF!</v>
      </c>
    </row>
    <row r="502" spans="15:16" ht="15" customHeight="1">
      <c r="O502" s="1343" t="e">
        <f t="shared" si="36"/>
        <v>#REF!</v>
      </c>
      <c r="P502" s="1343" t="e">
        <f t="shared" si="37"/>
        <v>#REF!</v>
      </c>
    </row>
    <row r="503" spans="15:16" ht="15" customHeight="1">
      <c r="O503" s="1343" t="e">
        <f t="shared" si="36"/>
        <v>#REF!</v>
      </c>
      <c r="P503" s="1343" t="e">
        <f t="shared" si="37"/>
        <v>#REF!</v>
      </c>
    </row>
    <row r="504" spans="15:16" ht="15" customHeight="1">
      <c r="O504" s="1343" t="e">
        <f t="shared" si="36"/>
        <v>#REF!</v>
      </c>
      <c r="P504" s="1343" t="e">
        <f t="shared" si="37"/>
        <v>#REF!</v>
      </c>
    </row>
    <row r="505" spans="15:16" ht="15" customHeight="1">
      <c r="O505" s="1343" t="e">
        <f t="shared" si="36"/>
        <v>#REF!</v>
      </c>
      <c r="P505" s="1343" t="e">
        <f t="shared" si="37"/>
        <v>#REF!</v>
      </c>
    </row>
    <row r="506" spans="15:16" ht="15" customHeight="1">
      <c r="O506" s="1343" t="e">
        <f t="shared" si="36"/>
        <v>#REF!</v>
      </c>
      <c r="P506" s="1343" t="e">
        <f t="shared" si="37"/>
        <v>#REF!</v>
      </c>
    </row>
    <row r="507" spans="15:16" ht="15" customHeight="1">
      <c r="O507" s="1343" t="e">
        <f t="shared" si="36"/>
        <v>#REF!</v>
      </c>
      <c r="P507" s="1343" t="e">
        <f t="shared" si="37"/>
        <v>#REF!</v>
      </c>
    </row>
    <row r="508" spans="15:16" ht="15" customHeight="1">
      <c r="O508" s="1343" t="e">
        <f t="shared" si="36"/>
        <v>#REF!</v>
      </c>
      <c r="P508" s="1343" t="e">
        <f t="shared" si="37"/>
        <v>#REF!</v>
      </c>
    </row>
    <row r="509" spans="15:16" ht="15" customHeight="1">
      <c r="O509" s="1343" t="e">
        <f t="shared" ref="O509:O572" si="38">O508+24</f>
        <v>#REF!</v>
      </c>
      <c r="P509" s="1343" t="e">
        <f t="shared" si="37"/>
        <v>#REF!</v>
      </c>
    </row>
    <row r="510" spans="15:16" ht="15" customHeight="1">
      <c r="O510" s="1343" t="e">
        <f t="shared" si="38"/>
        <v>#REF!</v>
      </c>
      <c r="P510" s="1343" t="e">
        <f t="shared" si="37"/>
        <v>#REF!</v>
      </c>
    </row>
    <row r="511" spans="15:16" ht="15" customHeight="1">
      <c r="O511" s="1343" t="e">
        <f t="shared" si="38"/>
        <v>#REF!</v>
      </c>
      <c r="P511" s="1343" t="e">
        <f t="shared" si="37"/>
        <v>#REF!</v>
      </c>
    </row>
    <row r="512" spans="15:16" ht="15" customHeight="1">
      <c r="O512" s="1343" t="e">
        <f t="shared" si="38"/>
        <v>#REF!</v>
      </c>
      <c r="P512" s="1343" t="e">
        <f t="shared" si="37"/>
        <v>#REF!</v>
      </c>
    </row>
    <row r="513" spans="15:16" ht="15" customHeight="1">
      <c r="O513" s="1343" t="e">
        <f t="shared" si="38"/>
        <v>#REF!</v>
      </c>
      <c r="P513" s="1343" t="e">
        <f t="shared" si="37"/>
        <v>#REF!</v>
      </c>
    </row>
    <row r="514" spans="15:16" ht="15" customHeight="1">
      <c r="O514" s="1343" t="e">
        <f t="shared" si="38"/>
        <v>#REF!</v>
      </c>
      <c r="P514" s="1343" t="e">
        <f t="shared" si="37"/>
        <v>#REF!</v>
      </c>
    </row>
    <row r="515" spans="15:16" ht="15" customHeight="1">
      <c r="O515" s="1343" t="e">
        <f t="shared" si="38"/>
        <v>#REF!</v>
      </c>
      <c r="P515" s="1343" t="e">
        <f t="shared" si="37"/>
        <v>#REF!</v>
      </c>
    </row>
    <row r="516" spans="15:16" ht="15" customHeight="1">
      <c r="O516" s="1343" t="e">
        <f t="shared" si="38"/>
        <v>#REF!</v>
      </c>
      <c r="P516" s="1343" t="e">
        <f t="shared" si="37"/>
        <v>#REF!</v>
      </c>
    </row>
    <row r="517" spans="15:16" ht="15" customHeight="1">
      <c r="O517" s="1343" t="e">
        <f t="shared" si="38"/>
        <v>#REF!</v>
      </c>
      <c r="P517" s="1343" t="e">
        <f t="shared" si="37"/>
        <v>#REF!</v>
      </c>
    </row>
    <row r="518" spans="15:16" ht="15" customHeight="1">
      <c r="O518" s="1343" t="e">
        <f t="shared" si="38"/>
        <v>#REF!</v>
      </c>
      <c r="P518" s="1343" t="e">
        <f t="shared" si="37"/>
        <v>#REF!</v>
      </c>
    </row>
    <row r="519" spans="15:16" ht="15" customHeight="1">
      <c r="O519" s="1343" t="e">
        <f t="shared" si="38"/>
        <v>#REF!</v>
      </c>
      <c r="P519" s="1343" t="e">
        <f t="shared" si="37"/>
        <v>#REF!</v>
      </c>
    </row>
    <row r="520" spans="15:16" ht="15" customHeight="1">
      <c r="O520" s="1343" t="e">
        <f t="shared" si="38"/>
        <v>#REF!</v>
      </c>
      <c r="P520" s="1343" t="e">
        <f t="shared" si="37"/>
        <v>#REF!</v>
      </c>
    </row>
    <row r="521" spans="15:16" ht="15" customHeight="1">
      <c r="O521" s="1343" t="e">
        <f t="shared" si="38"/>
        <v>#REF!</v>
      </c>
      <c r="P521" s="1343" t="e">
        <f t="shared" si="37"/>
        <v>#REF!</v>
      </c>
    </row>
    <row r="522" spans="15:16" ht="15" customHeight="1">
      <c r="O522" s="1343" t="e">
        <f t="shared" si="38"/>
        <v>#REF!</v>
      </c>
      <c r="P522" s="1343" t="e">
        <f t="shared" si="37"/>
        <v>#REF!</v>
      </c>
    </row>
    <row r="523" spans="15:16" ht="15" customHeight="1">
      <c r="O523" s="1343" t="e">
        <f t="shared" si="38"/>
        <v>#REF!</v>
      </c>
      <c r="P523" s="1343" t="e">
        <f t="shared" si="37"/>
        <v>#REF!</v>
      </c>
    </row>
    <row r="524" spans="15:16" ht="15" customHeight="1">
      <c r="O524" s="1343" t="e">
        <f t="shared" si="38"/>
        <v>#REF!</v>
      </c>
      <c r="P524" s="1343" t="e">
        <f t="shared" si="37"/>
        <v>#REF!</v>
      </c>
    </row>
    <row r="525" spans="15:16" ht="15" customHeight="1">
      <c r="O525" s="1343" t="e">
        <f t="shared" si="38"/>
        <v>#REF!</v>
      </c>
      <c r="P525" s="1343" t="e">
        <f t="shared" si="37"/>
        <v>#REF!</v>
      </c>
    </row>
    <row r="526" spans="15:16" ht="15" customHeight="1">
      <c r="O526" s="1343" t="e">
        <f t="shared" si="38"/>
        <v>#REF!</v>
      </c>
      <c r="P526" s="1343" t="e">
        <f t="shared" si="37"/>
        <v>#REF!</v>
      </c>
    </row>
    <row r="527" spans="15:16" ht="15" customHeight="1">
      <c r="O527" s="1343" t="e">
        <f t="shared" si="38"/>
        <v>#REF!</v>
      </c>
      <c r="P527" s="1343" t="e">
        <f t="shared" si="37"/>
        <v>#REF!</v>
      </c>
    </row>
    <row r="528" spans="15:16" ht="15" customHeight="1">
      <c r="O528" s="1343" t="e">
        <f t="shared" si="38"/>
        <v>#REF!</v>
      </c>
      <c r="P528" s="1343" t="e">
        <f t="shared" si="37"/>
        <v>#REF!</v>
      </c>
    </row>
    <row r="529" spans="15:16" ht="15" customHeight="1">
      <c r="O529" s="1343" t="e">
        <f t="shared" si="38"/>
        <v>#REF!</v>
      </c>
      <c r="P529" s="1343" t="e">
        <f t="shared" si="37"/>
        <v>#REF!</v>
      </c>
    </row>
    <row r="530" spans="15:16" ht="15" customHeight="1">
      <c r="O530" s="1343" t="e">
        <f t="shared" si="38"/>
        <v>#REF!</v>
      </c>
      <c r="P530" s="1343" t="e">
        <f t="shared" si="37"/>
        <v>#REF!</v>
      </c>
    </row>
    <row r="531" spans="15:16" ht="15" customHeight="1">
      <c r="O531" s="1343" t="e">
        <f t="shared" si="38"/>
        <v>#REF!</v>
      </c>
      <c r="P531" s="1343" t="e">
        <f t="shared" si="37"/>
        <v>#REF!</v>
      </c>
    </row>
    <row r="532" spans="15:16" ht="15" customHeight="1">
      <c r="O532" s="1343" t="e">
        <f t="shared" si="38"/>
        <v>#REF!</v>
      </c>
      <c r="P532" s="1343" t="e">
        <f t="shared" ref="P532:P595" si="39">P531+12</f>
        <v>#REF!</v>
      </c>
    </row>
    <row r="533" spans="15:16" ht="15" customHeight="1">
      <c r="O533" s="1343" t="e">
        <f t="shared" si="38"/>
        <v>#REF!</v>
      </c>
      <c r="P533" s="1343" t="e">
        <f t="shared" si="39"/>
        <v>#REF!</v>
      </c>
    </row>
    <row r="534" spans="15:16" ht="15" customHeight="1">
      <c r="O534" s="1343" t="e">
        <f t="shared" si="38"/>
        <v>#REF!</v>
      </c>
      <c r="P534" s="1343" t="e">
        <f t="shared" si="39"/>
        <v>#REF!</v>
      </c>
    </row>
    <row r="535" spans="15:16" ht="15" customHeight="1">
      <c r="O535" s="1343" t="e">
        <f t="shared" si="38"/>
        <v>#REF!</v>
      </c>
      <c r="P535" s="1343" t="e">
        <f t="shared" si="39"/>
        <v>#REF!</v>
      </c>
    </row>
    <row r="536" spans="15:16" ht="15" customHeight="1">
      <c r="O536" s="1343" t="e">
        <f t="shared" si="38"/>
        <v>#REF!</v>
      </c>
      <c r="P536" s="1343" t="e">
        <f t="shared" si="39"/>
        <v>#REF!</v>
      </c>
    </row>
    <row r="537" spans="15:16" ht="15" customHeight="1">
      <c r="O537" s="1343" t="e">
        <f t="shared" si="38"/>
        <v>#REF!</v>
      </c>
      <c r="P537" s="1343" t="e">
        <f t="shared" si="39"/>
        <v>#REF!</v>
      </c>
    </row>
    <row r="538" spans="15:16" ht="15" customHeight="1">
      <c r="O538" s="1343" t="e">
        <f t="shared" si="38"/>
        <v>#REF!</v>
      </c>
      <c r="P538" s="1343" t="e">
        <f t="shared" si="39"/>
        <v>#REF!</v>
      </c>
    </row>
    <row r="539" spans="15:16" ht="15" customHeight="1">
      <c r="O539" s="1343" t="e">
        <f t="shared" si="38"/>
        <v>#REF!</v>
      </c>
      <c r="P539" s="1343" t="e">
        <f t="shared" si="39"/>
        <v>#REF!</v>
      </c>
    </row>
    <row r="540" spans="15:16" ht="15" customHeight="1">
      <c r="O540" s="1343" t="e">
        <f t="shared" si="38"/>
        <v>#REF!</v>
      </c>
      <c r="P540" s="1343" t="e">
        <f t="shared" si="39"/>
        <v>#REF!</v>
      </c>
    </row>
    <row r="541" spans="15:16" ht="15" customHeight="1">
      <c r="O541" s="1343" t="e">
        <f t="shared" si="38"/>
        <v>#REF!</v>
      </c>
      <c r="P541" s="1343" t="e">
        <f t="shared" si="39"/>
        <v>#REF!</v>
      </c>
    </row>
    <row r="542" spans="15:16" ht="15" customHeight="1">
      <c r="O542" s="1343" t="e">
        <f t="shared" si="38"/>
        <v>#REF!</v>
      </c>
      <c r="P542" s="1343" t="e">
        <f t="shared" si="39"/>
        <v>#REF!</v>
      </c>
    </row>
    <row r="543" spans="15:16" ht="15" customHeight="1">
      <c r="O543" s="1343" t="e">
        <f t="shared" si="38"/>
        <v>#REF!</v>
      </c>
      <c r="P543" s="1343" t="e">
        <f t="shared" si="39"/>
        <v>#REF!</v>
      </c>
    </row>
    <row r="544" spans="15:16" ht="15" customHeight="1">
      <c r="O544" s="1343" t="e">
        <f t="shared" si="38"/>
        <v>#REF!</v>
      </c>
      <c r="P544" s="1343" t="e">
        <f t="shared" si="39"/>
        <v>#REF!</v>
      </c>
    </row>
    <row r="545" spans="15:16" ht="15" customHeight="1">
      <c r="O545" s="1343" t="e">
        <f t="shared" si="38"/>
        <v>#REF!</v>
      </c>
      <c r="P545" s="1343" t="e">
        <f t="shared" si="39"/>
        <v>#REF!</v>
      </c>
    </row>
    <row r="546" spans="15:16" ht="15" customHeight="1">
      <c r="O546" s="1343" t="e">
        <f t="shared" si="38"/>
        <v>#REF!</v>
      </c>
      <c r="P546" s="1343" t="e">
        <f t="shared" si="39"/>
        <v>#REF!</v>
      </c>
    </row>
    <row r="547" spans="15:16" ht="15" customHeight="1">
      <c r="O547" s="1343" t="e">
        <f t="shared" si="38"/>
        <v>#REF!</v>
      </c>
      <c r="P547" s="1343" t="e">
        <f t="shared" si="39"/>
        <v>#REF!</v>
      </c>
    </row>
    <row r="548" spans="15:16" ht="15" customHeight="1">
      <c r="O548" s="1343" t="e">
        <f t="shared" si="38"/>
        <v>#REF!</v>
      </c>
      <c r="P548" s="1343" t="e">
        <f t="shared" si="39"/>
        <v>#REF!</v>
      </c>
    </row>
    <row r="549" spans="15:16" ht="15" customHeight="1">
      <c r="O549" s="1343" t="e">
        <f t="shared" si="38"/>
        <v>#REF!</v>
      </c>
      <c r="P549" s="1343" t="e">
        <f t="shared" si="39"/>
        <v>#REF!</v>
      </c>
    </row>
    <row r="550" spans="15:16" ht="15" customHeight="1">
      <c r="O550" s="1343" t="e">
        <f t="shared" si="38"/>
        <v>#REF!</v>
      </c>
      <c r="P550" s="1343" t="e">
        <f t="shared" si="39"/>
        <v>#REF!</v>
      </c>
    </row>
    <row r="551" spans="15:16" ht="15" customHeight="1">
      <c r="O551" s="1343" t="e">
        <f t="shared" si="38"/>
        <v>#REF!</v>
      </c>
      <c r="P551" s="1343" t="e">
        <f t="shared" si="39"/>
        <v>#REF!</v>
      </c>
    </row>
    <row r="552" spans="15:16" ht="15" customHeight="1">
      <c r="O552" s="1343" t="e">
        <f t="shared" si="38"/>
        <v>#REF!</v>
      </c>
      <c r="P552" s="1343" t="e">
        <f t="shared" si="39"/>
        <v>#REF!</v>
      </c>
    </row>
    <row r="553" spans="15:16" ht="15" customHeight="1">
      <c r="O553" s="1343" t="e">
        <f t="shared" si="38"/>
        <v>#REF!</v>
      </c>
      <c r="P553" s="1343" t="e">
        <f t="shared" si="39"/>
        <v>#REF!</v>
      </c>
    </row>
    <row r="554" spans="15:16" ht="15" customHeight="1">
      <c r="O554" s="1343" t="e">
        <f t="shared" si="38"/>
        <v>#REF!</v>
      </c>
      <c r="P554" s="1343" t="e">
        <f t="shared" si="39"/>
        <v>#REF!</v>
      </c>
    </row>
    <row r="555" spans="15:16" ht="15" customHeight="1">
      <c r="O555" s="1343" t="e">
        <f t="shared" si="38"/>
        <v>#REF!</v>
      </c>
      <c r="P555" s="1343" t="e">
        <f t="shared" si="39"/>
        <v>#REF!</v>
      </c>
    </row>
    <row r="556" spans="15:16" ht="15" customHeight="1">
      <c r="O556" s="1343" t="e">
        <f t="shared" si="38"/>
        <v>#REF!</v>
      </c>
      <c r="P556" s="1343" t="e">
        <f t="shared" si="39"/>
        <v>#REF!</v>
      </c>
    </row>
    <row r="557" spans="15:16" ht="15" customHeight="1">
      <c r="O557" s="1343" t="e">
        <f t="shared" si="38"/>
        <v>#REF!</v>
      </c>
      <c r="P557" s="1343" t="e">
        <f t="shared" si="39"/>
        <v>#REF!</v>
      </c>
    </row>
    <row r="558" spans="15:16" ht="15" customHeight="1">
      <c r="O558" s="1343" t="e">
        <f t="shared" si="38"/>
        <v>#REF!</v>
      </c>
      <c r="P558" s="1343" t="e">
        <f t="shared" si="39"/>
        <v>#REF!</v>
      </c>
    </row>
    <row r="559" spans="15:16" ht="15" customHeight="1">
      <c r="O559" s="1343" t="e">
        <f t="shared" si="38"/>
        <v>#REF!</v>
      </c>
      <c r="P559" s="1343" t="e">
        <f t="shared" si="39"/>
        <v>#REF!</v>
      </c>
    </row>
    <row r="560" spans="15:16" ht="15" customHeight="1">
      <c r="O560" s="1343" t="e">
        <f t="shared" si="38"/>
        <v>#REF!</v>
      </c>
      <c r="P560" s="1343" t="e">
        <f t="shared" si="39"/>
        <v>#REF!</v>
      </c>
    </row>
    <row r="561" spans="15:16" ht="15" customHeight="1">
      <c r="O561" s="1343" t="e">
        <f t="shared" si="38"/>
        <v>#REF!</v>
      </c>
      <c r="P561" s="1343" t="e">
        <f t="shared" si="39"/>
        <v>#REF!</v>
      </c>
    </row>
    <row r="562" spans="15:16" ht="15" customHeight="1">
      <c r="O562" s="1343" t="e">
        <f t="shared" si="38"/>
        <v>#REF!</v>
      </c>
      <c r="P562" s="1343" t="e">
        <f t="shared" si="39"/>
        <v>#REF!</v>
      </c>
    </row>
    <row r="563" spans="15:16" ht="15" customHeight="1">
      <c r="O563" s="1343" t="e">
        <f t="shared" si="38"/>
        <v>#REF!</v>
      </c>
      <c r="P563" s="1343" t="e">
        <f t="shared" si="39"/>
        <v>#REF!</v>
      </c>
    </row>
    <row r="564" spans="15:16" ht="15" customHeight="1">
      <c r="O564" s="1343" t="e">
        <f t="shared" si="38"/>
        <v>#REF!</v>
      </c>
      <c r="P564" s="1343" t="e">
        <f t="shared" si="39"/>
        <v>#REF!</v>
      </c>
    </row>
    <row r="565" spans="15:16" ht="15" customHeight="1">
      <c r="O565" s="1343" t="e">
        <f t="shared" si="38"/>
        <v>#REF!</v>
      </c>
      <c r="P565" s="1343" t="e">
        <f t="shared" si="39"/>
        <v>#REF!</v>
      </c>
    </row>
    <row r="566" spans="15:16" ht="15" customHeight="1">
      <c r="O566" s="1343" t="e">
        <f t="shared" si="38"/>
        <v>#REF!</v>
      </c>
      <c r="P566" s="1343" t="e">
        <f t="shared" si="39"/>
        <v>#REF!</v>
      </c>
    </row>
    <row r="567" spans="15:16" ht="15" customHeight="1">
      <c r="O567" s="1343" t="e">
        <f t="shared" si="38"/>
        <v>#REF!</v>
      </c>
      <c r="P567" s="1343" t="e">
        <f t="shared" si="39"/>
        <v>#REF!</v>
      </c>
    </row>
    <row r="568" spans="15:16" ht="15" customHeight="1">
      <c r="O568" s="1343" t="e">
        <f t="shared" si="38"/>
        <v>#REF!</v>
      </c>
      <c r="P568" s="1343" t="e">
        <f t="shared" si="39"/>
        <v>#REF!</v>
      </c>
    </row>
    <row r="569" spans="15:16" ht="15" customHeight="1">
      <c r="O569" s="1343" t="e">
        <f t="shared" si="38"/>
        <v>#REF!</v>
      </c>
      <c r="P569" s="1343" t="e">
        <f t="shared" si="39"/>
        <v>#REF!</v>
      </c>
    </row>
    <row r="570" spans="15:16" ht="15" customHeight="1">
      <c r="O570" s="1343" t="e">
        <f t="shared" si="38"/>
        <v>#REF!</v>
      </c>
      <c r="P570" s="1343" t="e">
        <f t="shared" si="39"/>
        <v>#REF!</v>
      </c>
    </row>
    <row r="571" spans="15:16" ht="15" customHeight="1">
      <c r="O571" s="1343" t="e">
        <f t="shared" si="38"/>
        <v>#REF!</v>
      </c>
      <c r="P571" s="1343" t="e">
        <f t="shared" si="39"/>
        <v>#REF!</v>
      </c>
    </row>
    <row r="572" spans="15:16" ht="15" customHeight="1">
      <c r="O572" s="1343" t="e">
        <f t="shared" si="38"/>
        <v>#REF!</v>
      </c>
      <c r="P572" s="1343" t="e">
        <f t="shared" si="39"/>
        <v>#REF!</v>
      </c>
    </row>
    <row r="573" spans="15:16" ht="15" customHeight="1">
      <c r="O573" s="1343" t="e">
        <f t="shared" ref="O573:O636" si="40">O572+24</f>
        <v>#REF!</v>
      </c>
      <c r="P573" s="1343" t="e">
        <f t="shared" si="39"/>
        <v>#REF!</v>
      </c>
    </row>
    <row r="574" spans="15:16" ht="15" customHeight="1">
      <c r="O574" s="1343" t="e">
        <f t="shared" si="40"/>
        <v>#REF!</v>
      </c>
      <c r="P574" s="1343" t="e">
        <f t="shared" si="39"/>
        <v>#REF!</v>
      </c>
    </row>
    <row r="575" spans="15:16" ht="15" customHeight="1">
      <c r="O575" s="1343" t="e">
        <f t="shared" si="40"/>
        <v>#REF!</v>
      </c>
      <c r="P575" s="1343" t="e">
        <f t="shared" si="39"/>
        <v>#REF!</v>
      </c>
    </row>
    <row r="576" spans="15:16" ht="15" customHeight="1">
      <c r="O576" s="1343" t="e">
        <f t="shared" si="40"/>
        <v>#REF!</v>
      </c>
      <c r="P576" s="1343" t="e">
        <f t="shared" si="39"/>
        <v>#REF!</v>
      </c>
    </row>
    <row r="577" spans="15:16" ht="15" customHeight="1">
      <c r="O577" s="1343" t="e">
        <f t="shared" si="40"/>
        <v>#REF!</v>
      </c>
      <c r="P577" s="1343" t="e">
        <f t="shared" si="39"/>
        <v>#REF!</v>
      </c>
    </row>
    <row r="578" spans="15:16" ht="15" customHeight="1">
      <c r="O578" s="1343" t="e">
        <f t="shared" si="40"/>
        <v>#REF!</v>
      </c>
      <c r="P578" s="1343" t="e">
        <f t="shared" si="39"/>
        <v>#REF!</v>
      </c>
    </row>
    <row r="579" spans="15:16" ht="15" customHeight="1">
      <c r="O579" s="1343" t="e">
        <f t="shared" si="40"/>
        <v>#REF!</v>
      </c>
      <c r="P579" s="1343" t="e">
        <f t="shared" si="39"/>
        <v>#REF!</v>
      </c>
    </row>
    <row r="580" spans="15:16" ht="15" customHeight="1">
      <c r="O580" s="1343" t="e">
        <f t="shared" si="40"/>
        <v>#REF!</v>
      </c>
      <c r="P580" s="1343" t="e">
        <f t="shared" si="39"/>
        <v>#REF!</v>
      </c>
    </row>
    <row r="581" spans="15:16" ht="15" customHeight="1">
      <c r="O581" s="1343" t="e">
        <f t="shared" si="40"/>
        <v>#REF!</v>
      </c>
      <c r="P581" s="1343" t="e">
        <f t="shared" si="39"/>
        <v>#REF!</v>
      </c>
    </row>
    <row r="582" spans="15:16" ht="15" customHeight="1">
      <c r="O582" s="1343" t="e">
        <f t="shared" si="40"/>
        <v>#REF!</v>
      </c>
      <c r="P582" s="1343" t="e">
        <f t="shared" si="39"/>
        <v>#REF!</v>
      </c>
    </row>
    <row r="583" spans="15:16" ht="15" customHeight="1">
      <c r="O583" s="1343" t="e">
        <f t="shared" si="40"/>
        <v>#REF!</v>
      </c>
      <c r="P583" s="1343" t="e">
        <f t="shared" si="39"/>
        <v>#REF!</v>
      </c>
    </row>
    <row r="584" spans="15:16" ht="15" customHeight="1">
      <c r="O584" s="1343" t="e">
        <f t="shared" si="40"/>
        <v>#REF!</v>
      </c>
      <c r="P584" s="1343" t="e">
        <f t="shared" si="39"/>
        <v>#REF!</v>
      </c>
    </row>
    <row r="585" spans="15:16" ht="15" customHeight="1">
      <c r="O585" s="1343" t="e">
        <f t="shared" si="40"/>
        <v>#REF!</v>
      </c>
      <c r="P585" s="1343" t="e">
        <f t="shared" si="39"/>
        <v>#REF!</v>
      </c>
    </row>
    <row r="586" spans="15:16" ht="15" customHeight="1">
      <c r="O586" s="1343" t="e">
        <f t="shared" si="40"/>
        <v>#REF!</v>
      </c>
      <c r="P586" s="1343" t="e">
        <f t="shared" si="39"/>
        <v>#REF!</v>
      </c>
    </row>
    <row r="587" spans="15:16" ht="15" customHeight="1">
      <c r="O587" s="1343" t="e">
        <f t="shared" si="40"/>
        <v>#REF!</v>
      </c>
      <c r="P587" s="1343" t="e">
        <f t="shared" si="39"/>
        <v>#REF!</v>
      </c>
    </row>
    <row r="588" spans="15:16" ht="15" customHeight="1">
      <c r="O588" s="1343" t="e">
        <f t="shared" si="40"/>
        <v>#REF!</v>
      </c>
      <c r="P588" s="1343" t="e">
        <f t="shared" si="39"/>
        <v>#REF!</v>
      </c>
    </row>
    <row r="589" spans="15:16" ht="15" customHeight="1">
      <c r="O589" s="1343" t="e">
        <f t="shared" si="40"/>
        <v>#REF!</v>
      </c>
      <c r="P589" s="1343" t="e">
        <f t="shared" si="39"/>
        <v>#REF!</v>
      </c>
    </row>
    <row r="590" spans="15:16" ht="15" customHeight="1">
      <c r="O590" s="1343" t="e">
        <f t="shared" si="40"/>
        <v>#REF!</v>
      </c>
      <c r="P590" s="1343" t="e">
        <f t="shared" si="39"/>
        <v>#REF!</v>
      </c>
    </row>
    <row r="591" spans="15:16" ht="15" customHeight="1">
      <c r="O591" s="1343" t="e">
        <f t="shared" si="40"/>
        <v>#REF!</v>
      </c>
      <c r="P591" s="1343" t="e">
        <f t="shared" si="39"/>
        <v>#REF!</v>
      </c>
    </row>
    <row r="592" spans="15:16" ht="15" customHeight="1">
      <c r="O592" s="1343" t="e">
        <f t="shared" si="40"/>
        <v>#REF!</v>
      </c>
      <c r="P592" s="1343" t="e">
        <f t="shared" si="39"/>
        <v>#REF!</v>
      </c>
    </row>
    <row r="593" spans="15:16" ht="15" customHeight="1">
      <c r="O593" s="1343" t="e">
        <f t="shared" si="40"/>
        <v>#REF!</v>
      </c>
      <c r="P593" s="1343" t="e">
        <f t="shared" si="39"/>
        <v>#REF!</v>
      </c>
    </row>
    <row r="594" spans="15:16" ht="15" customHeight="1">
      <c r="O594" s="1343" t="e">
        <f t="shared" si="40"/>
        <v>#REF!</v>
      </c>
      <c r="P594" s="1343" t="e">
        <f t="shared" si="39"/>
        <v>#REF!</v>
      </c>
    </row>
    <row r="595" spans="15:16" ht="15" customHeight="1">
      <c r="O595" s="1343" t="e">
        <f t="shared" si="40"/>
        <v>#REF!</v>
      </c>
      <c r="P595" s="1343" t="e">
        <f t="shared" si="39"/>
        <v>#REF!</v>
      </c>
    </row>
    <row r="596" spans="15:16" ht="15" customHeight="1">
      <c r="O596" s="1343" t="e">
        <f t="shared" si="40"/>
        <v>#REF!</v>
      </c>
      <c r="P596" s="1343" t="e">
        <f t="shared" ref="P596:P659" si="41">P595+12</f>
        <v>#REF!</v>
      </c>
    </row>
    <row r="597" spans="15:16" ht="15" customHeight="1">
      <c r="O597" s="1343" t="e">
        <f t="shared" si="40"/>
        <v>#REF!</v>
      </c>
      <c r="P597" s="1343" t="e">
        <f t="shared" si="41"/>
        <v>#REF!</v>
      </c>
    </row>
    <row r="598" spans="15:16" ht="15" customHeight="1">
      <c r="O598" s="1343" t="e">
        <f t="shared" si="40"/>
        <v>#REF!</v>
      </c>
      <c r="P598" s="1343" t="e">
        <f t="shared" si="41"/>
        <v>#REF!</v>
      </c>
    </row>
    <row r="599" spans="15:16" ht="15" customHeight="1">
      <c r="O599" s="1343" t="e">
        <f t="shared" si="40"/>
        <v>#REF!</v>
      </c>
      <c r="P599" s="1343" t="e">
        <f t="shared" si="41"/>
        <v>#REF!</v>
      </c>
    </row>
    <row r="600" spans="15:16" ht="15" customHeight="1">
      <c r="O600" s="1343" t="e">
        <f t="shared" si="40"/>
        <v>#REF!</v>
      </c>
      <c r="P600" s="1343" t="e">
        <f t="shared" si="41"/>
        <v>#REF!</v>
      </c>
    </row>
    <row r="601" spans="15:16" ht="15" customHeight="1">
      <c r="O601" s="1343" t="e">
        <f t="shared" si="40"/>
        <v>#REF!</v>
      </c>
      <c r="P601" s="1343" t="e">
        <f t="shared" si="41"/>
        <v>#REF!</v>
      </c>
    </row>
    <row r="602" spans="15:16" ht="15" customHeight="1">
      <c r="O602" s="1343" t="e">
        <f t="shared" si="40"/>
        <v>#REF!</v>
      </c>
      <c r="P602" s="1343" t="e">
        <f t="shared" si="41"/>
        <v>#REF!</v>
      </c>
    </row>
    <row r="603" spans="15:16" ht="15" customHeight="1">
      <c r="O603" s="1343" t="e">
        <f t="shared" si="40"/>
        <v>#REF!</v>
      </c>
      <c r="P603" s="1343" t="e">
        <f t="shared" si="41"/>
        <v>#REF!</v>
      </c>
    </row>
    <row r="604" spans="15:16" ht="15" customHeight="1">
      <c r="O604" s="1343" t="e">
        <f t="shared" si="40"/>
        <v>#REF!</v>
      </c>
      <c r="P604" s="1343" t="e">
        <f t="shared" si="41"/>
        <v>#REF!</v>
      </c>
    </row>
    <row r="605" spans="15:16" ht="15" customHeight="1">
      <c r="O605" s="1343" t="e">
        <f t="shared" si="40"/>
        <v>#REF!</v>
      </c>
      <c r="P605" s="1343" t="e">
        <f t="shared" si="41"/>
        <v>#REF!</v>
      </c>
    </row>
    <row r="606" spans="15:16" ht="15" customHeight="1">
      <c r="O606" s="1343" t="e">
        <f t="shared" si="40"/>
        <v>#REF!</v>
      </c>
      <c r="P606" s="1343" t="e">
        <f t="shared" si="41"/>
        <v>#REF!</v>
      </c>
    </row>
    <row r="607" spans="15:16" ht="15" customHeight="1">
      <c r="O607" s="1343" t="e">
        <f t="shared" si="40"/>
        <v>#REF!</v>
      </c>
      <c r="P607" s="1343" t="e">
        <f t="shared" si="41"/>
        <v>#REF!</v>
      </c>
    </row>
    <row r="608" spans="15:16" ht="15" customHeight="1">
      <c r="O608" s="1343" t="e">
        <f t="shared" si="40"/>
        <v>#REF!</v>
      </c>
      <c r="P608" s="1343" t="e">
        <f t="shared" si="41"/>
        <v>#REF!</v>
      </c>
    </row>
    <row r="609" spans="15:16" ht="15" customHeight="1">
      <c r="O609" s="1343" t="e">
        <f t="shared" si="40"/>
        <v>#REF!</v>
      </c>
      <c r="P609" s="1343" t="e">
        <f t="shared" si="41"/>
        <v>#REF!</v>
      </c>
    </row>
    <row r="610" spans="15:16" ht="15" customHeight="1">
      <c r="O610" s="1343" t="e">
        <f t="shared" si="40"/>
        <v>#REF!</v>
      </c>
      <c r="P610" s="1343" t="e">
        <f t="shared" si="41"/>
        <v>#REF!</v>
      </c>
    </row>
    <row r="611" spans="15:16" ht="15" customHeight="1">
      <c r="O611" s="1343" t="e">
        <f t="shared" si="40"/>
        <v>#REF!</v>
      </c>
      <c r="P611" s="1343" t="e">
        <f t="shared" si="41"/>
        <v>#REF!</v>
      </c>
    </row>
    <row r="612" spans="15:16" ht="15" customHeight="1">
      <c r="O612" s="1343" t="e">
        <f t="shared" si="40"/>
        <v>#REF!</v>
      </c>
      <c r="P612" s="1343" t="e">
        <f t="shared" si="41"/>
        <v>#REF!</v>
      </c>
    </row>
    <row r="613" spans="15:16" ht="15" customHeight="1">
      <c r="O613" s="1343" t="e">
        <f t="shared" si="40"/>
        <v>#REF!</v>
      </c>
      <c r="P613" s="1343" t="e">
        <f t="shared" si="41"/>
        <v>#REF!</v>
      </c>
    </row>
    <row r="614" spans="15:16" ht="15" customHeight="1">
      <c r="O614" s="1343" t="e">
        <f t="shared" si="40"/>
        <v>#REF!</v>
      </c>
      <c r="P614" s="1343" t="e">
        <f t="shared" si="41"/>
        <v>#REF!</v>
      </c>
    </row>
    <row r="615" spans="15:16" ht="15" customHeight="1">
      <c r="O615" s="1343" t="e">
        <f t="shared" si="40"/>
        <v>#REF!</v>
      </c>
      <c r="P615" s="1343" t="e">
        <f t="shared" si="41"/>
        <v>#REF!</v>
      </c>
    </row>
    <row r="616" spans="15:16" ht="15" customHeight="1">
      <c r="O616" s="1343" t="e">
        <f t="shared" si="40"/>
        <v>#REF!</v>
      </c>
      <c r="P616" s="1343" t="e">
        <f t="shared" si="41"/>
        <v>#REF!</v>
      </c>
    </row>
    <row r="617" spans="15:16" ht="15" customHeight="1">
      <c r="O617" s="1343" t="e">
        <f t="shared" si="40"/>
        <v>#REF!</v>
      </c>
      <c r="P617" s="1343" t="e">
        <f t="shared" si="41"/>
        <v>#REF!</v>
      </c>
    </row>
    <row r="618" spans="15:16" ht="15" customHeight="1">
      <c r="O618" s="1343" t="e">
        <f t="shared" si="40"/>
        <v>#REF!</v>
      </c>
      <c r="P618" s="1343" t="e">
        <f t="shared" si="41"/>
        <v>#REF!</v>
      </c>
    </row>
    <row r="619" spans="15:16" ht="15" customHeight="1">
      <c r="O619" s="1343" t="e">
        <f t="shared" si="40"/>
        <v>#REF!</v>
      </c>
      <c r="P619" s="1343" t="e">
        <f t="shared" si="41"/>
        <v>#REF!</v>
      </c>
    </row>
    <row r="620" spans="15:16" ht="15" customHeight="1">
      <c r="O620" s="1343" t="e">
        <f t="shared" si="40"/>
        <v>#REF!</v>
      </c>
      <c r="P620" s="1343" t="e">
        <f t="shared" si="41"/>
        <v>#REF!</v>
      </c>
    </row>
    <row r="621" spans="15:16" ht="15" customHeight="1">
      <c r="O621" s="1343" t="e">
        <f t="shared" si="40"/>
        <v>#REF!</v>
      </c>
      <c r="P621" s="1343" t="e">
        <f t="shared" si="41"/>
        <v>#REF!</v>
      </c>
    </row>
    <row r="622" spans="15:16" ht="15" customHeight="1">
      <c r="O622" s="1343" t="e">
        <f t="shared" si="40"/>
        <v>#REF!</v>
      </c>
      <c r="P622" s="1343" t="e">
        <f t="shared" si="41"/>
        <v>#REF!</v>
      </c>
    </row>
    <row r="623" spans="15:16" ht="15" customHeight="1">
      <c r="O623" s="1343" t="e">
        <f t="shared" si="40"/>
        <v>#REF!</v>
      </c>
      <c r="P623" s="1343" t="e">
        <f t="shared" si="41"/>
        <v>#REF!</v>
      </c>
    </row>
    <row r="624" spans="15:16" ht="15" customHeight="1">
      <c r="O624" s="1343" t="e">
        <f t="shared" si="40"/>
        <v>#REF!</v>
      </c>
      <c r="P624" s="1343" t="e">
        <f t="shared" si="41"/>
        <v>#REF!</v>
      </c>
    </row>
    <row r="625" spans="15:16" ht="15" customHeight="1">
      <c r="O625" s="1343" t="e">
        <f t="shared" si="40"/>
        <v>#REF!</v>
      </c>
      <c r="P625" s="1343" t="e">
        <f t="shared" si="41"/>
        <v>#REF!</v>
      </c>
    </row>
    <row r="626" spans="15:16" ht="15" customHeight="1">
      <c r="O626" s="1343" t="e">
        <f t="shared" si="40"/>
        <v>#REF!</v>
      </c>
      <c r="P626" s="1343" t="e">
        <f t="shared" si="41"/>
        <v>#REF!</v>
      </c>
    </row>
    <row r="627" spans="15:16" ht="15" customHeight="1">
      <c r="O627" s="1343" t="e">
        <f t="shared" si="40"/>
        <v>#REF!</v>
      </c>
      <c r="P627" s="1343" t="e">
        <f t="shared" si="41"/>
        <v>#REF!</v>
      </c>
    </row>
    <row r="628" spans="15:16" ht="15" customHeight="1">
      <c r="O628" s="1343" t="e">
        <f t="shared" si="40"/>
        <v>#REF!</v>
      </c>
      <c r="P628" s="1343" t="e">
        <f t="shared" si="41"/>
        <v>#REF!</v>
      </c>
    </row>
    <row r="629" spans="15:16" ht="15" customHeight="1">
      <c r="O629" s="1343" t="e">
        <f t="shared" si="40"/>
        <v>#REF!</v>
      </c>
      <c r="P629" s="1343" t="e">
        <f t="shared" si="41"/>
        <v>#REF!</v>
      </c>
    </row>
    <row r="630" spans="15:16" ht="15" customHeight="1">
      <c r="O630" s="1343" t="e">
        <f t="shared" si="40"/>
        <v>#REF!</v>
      </c>
      <c r="P630" s="1343" t="e">
        <f t="shared" si="41"/>
        <v>#REF!</v>
      </c>
    </row>
    <row r="631" spans="15:16" ht="15" customHeight="1">
      <c r="O631" s="1343" t="e">
        <f t="shared" si="40"/>
        <v>#REF!</v>
      </c>
      <c r="P631" s="1343" t="e">
        <f t="shared" si="41"/>
        <v>#REF!</v>
      </c>
    </row>
    <row r="632" spans="15:16" ht="15" customHeight="1">
      <c r="O632" s="1343" t="e">
        <f t="shared" si="40"/>
        <v>#REF!</v>
      </c>
      <c r="P632" s="1343" t="e">
        <f t="shared" si="41"/>
        <v>#REF!</v>
      </c>
    </row>
    <row r="633" spans="15:16" ht="15" customHeight="1">
      <c r="O633" s="1343" t="e">
        <f t="shared" si="40"/>
        <v>#REF!</v>
      </c>
      <c r="P633" s="1343" t="e">
        <f t="shared" si="41"/>
        <v>#REF!</v>
      </c>
    </row>
    <row r="634" spans="15:16" ht="15" customHeight="1">
      <c r="O634" s="1343" t="e">
        <f t="shared" si="40"/>
        <v>#REF!</v>
      </c>
      <c r="P634" s="1343" t="e">
        <f t="shared" si="41"/>
        <v>#REF!</v>
      </c>
    </row>
    <row r="635" spans="15:16" ht="15" customHeight="1">
      <c r="O635" s="1343" t="e">
        <f t="shared" si="40"/>
        <v>#REF!</v>
      </c>
      <c r="P635" s="1343" t="e">
        <f t="shared" si="41"/>
        <v>#REF!</v>
      </c>
    </row>
    <row r="636" spans="15:16" ht="15" customHeight="1">
      <c r="O636" s="1343" t="e">
        <f t="shared" si="40"/>
        <v>#REF!</v>
      </c>
      <c r="P636" s="1343" t="e">
        <f t="shared" si="41"/>
        <v>#REF!</v>
      </c>
    </row>
    <row r="637" spans="15:16" ht="15" customHeight="1">
      <c r="O637" s="1343" t="e">
        <f t="shared" ref="O637:O700" si="42">O636+24</f>
        <v>#REF!</v>
      </c>
      <c r="P637" s="1343" t="e">
        <f t="shared" si="41"/>
        <v>#REF!</v>
      </c>
    </row>
    <row r="638" spans="15:16" ht="15" customHeight="1">
      <c r="O638" s="1343" t="e">
        <f t="shared" si="42"/>
        <v>#REF!</v>
      </c>
      <c r="P638" s="1343" t="e">
        <f t="shared" si="41"/>
        <v>#REF!</v>
      </c>
    </row>
    <row r="639" spans="15:16" ht="15" customHeight="1">
      <c r="O639" s="1343" t="e">
        <f t="shared" si="42"/>
        <v>#REF!</v>
      </c>
      <c r="P639" s="1343" t="e">
        <f t="shared" si="41"/>
        <v>#REF!</v>
      </c>
    </row>
    <row r="640" spans="15:16" ht="15" customHeight="1">
      <c r="O640" s="1343" t="e">
        <f t="shared" si="42"/>
        <v>#REF!</v>
      </c>
      <c r="P640" s="1343" t="e">
        <f t="shared" si="41"/>
        <v>#REF!</v>
      </c>
    </row>
    <row r="641" spans="15:16" ht="15" customHeight="1">
      <c r="O641" s="1343" t="e">
        <f t="shared" si="42"/>
        <v>#REF!</v>
      </c>
      <c r="P641" s="1343" t="e">
        <f t="shared" si="41"/>
        <v>#REF!</v>
      </c>
    </row>
    <row r="642" spans="15:16" ht="15" customHeight="1">
      <c r="O642" s="1343" t="e">
        <f t="shared" si="42"/>
        <v>#REF!</v>
      </c>
      <c r="P642" s="1343" t="e">
        <f t="shared" si="41"/>
        <v>#REF!</v>
      </c>
    </row>
    <row r="643" spans="15:16" ht="15" customHeight="1">
      <c r="O643" s="1343" t="e">
        <f t="shared" si="42"/>
        <v>#REF!</v>
      </c>
      <c r="P643" s="1343" t="e">
        <f t="shared" si="41"/>
        <v>#REF!</v>
      </c>
    </row>
    <row r="644" spans="15:16" ht="15" customHeight="1">
      <c r="O644" s="1343" t="e">
        <f t="shared" si="42"/>
        <v>#REF!</v>
      </c>
      <c r="P644" s="1343" t="e">
        <f t="shared" si="41"/>
        <v>#REF!</v>
      </c>
    </row>
    <row r="645" spans="15:16" ht="15" customHeight="1">
      <c r="O645" s="1343" t="e">
        <f t="shared" si="42"/>
        <v>#REF!</v>
      </c>
      <c r="P645" s="1343" t="e">
        <f t="shared" si="41"/>
        <v>#REF!</v>
      </c>
    </row>
    <row r="646" spans="15:16" ht="15" customHeight="1">
      <c r="O646" s="1343" t="e">
        <f t="shared" si="42"/>
        <v>#REF!</v>
      </c>
      <c r="P646" s="1343" t="e">
        <f t="shared" si="41"/>
        <v>#REF!</v>
      </c>
    </row>
    <row r="647" spans="15:16" ht="15" customHeight="1">
      <c r="O647" s="1343" t="e">
        <f t="shared" si="42"/>
        <v>#REF!</v>
      </c>
      <c r="P647" s="1343" t="e">
        <f t="shared" si="41"/>
        <v>#REF!</v>
      </c>
    </row>
    <row r="648" spans="15:16" ht="15" customHeight="1">
      <c r="O648" s="1343" t="e">
        <f t="shared" si="42"/>
        <v>#REF!</v>
      </c>
      <c r="P648" s="1343" t="e">
        <f t="shared" si="41"/>
        <v>#REF!</v>
      </c>
    </row>
    <row r="649" spans="15:16" ht="15" customHeight="1">
      <c r="O649" s="1343" t="e">
        <f t="shared" si="42"/>
        <v>#REF!</v>
      </c>
      <c r="P649" s="1343" t="e">
        <f t="shared" si="41"/>
        <v>#REF!</v>
      </c>
    </row>
    <row r="650" spans="15:16" ht="15" customHeight="1">
      <c r="O650" s="1343" t="e">
        <f t="shared" si="42"/>
        <v>#REF!</v>
      </c>
      <c r="P650" s="1343" t="e">
        <f t="shared" si="41"/>
        <v>#REF!</v>
      </c>
    </row>
    <row r="651" spans="15:16" ht="15" customHeight="1">
      <c r="O651" s="1343" t="e">
        <f t="shared" si="42"/>
        <v>#REF!</v>
      </c>
      <c r="P651" s="1343" t="e">
        <f t="shared" si="41"/>
        <v>#REF!</v>
      </c>
    </row>
    <row r="652" spans="15:16" ht="15" customHeight="1">
      <c r="O652" s="1343" t="e">
        <f t="shared" si="42"/>
        <v>#REF!</v>
      </c>
      <c r="P652" s="1343" t="e">
        <f t="shared" si="41"/>
        <v>#REF!</v>
      </c>
    </row>
    <row r="653" spans="15:16" ht="15" customHeight="1">
      <c r="O653" s="1343" t="e">
        <f t="shared" si="42"/>
        <v>#REF!</v>
      </c>
      <c r="P653" s="1343" t="e">
        <f t="shared" si="41"/>
        <v>#REF!</v>
      </c>
    </row>
    <row r="654" spans="15:16" ht="15" customHeight="1">
      <c r="O654" s="1343" t="e">
        <f t="shared" si="42"/>
        <v>#REF!</v>
      </c>
      <c r="P654" s="1343" t="e">
        <f t="shared" si="41"/>
        <v>#REF!</v>
      </c>
    </row>
    <row r="655" spans="15:16" ht="15" customHeight="1">
      <c r="O655" s="1343" t="e">
        <f t="shared" si="42"/>
        <v>#REF!</v>
      </c>
      <c r="P655" s="1343" t="e">
        <f t="shared" si="41"/>
        <v>#REF!</v>
      </c>
    </row>
    <row r="656" spans="15:16" ht="15" customHeight="1">
      <c r="O656" s="1343" t="e">
        <f t="shared" si="42"/>
        <v>#REF!</v>
      </c>
      <c r="P656" s="1343" t="e">
        <f t="shared" si="41"/>
        <v>#REF!</v>
      </c>
    </row>
    <row r="657" spans="15:16" ht="15" customHeight="1">
      <c r="O657" s="1343" t="e">
        <f t="shared" si="42"/>
        <v>#REF!</v>
      </c>
      <c r="P657" s="1343" t="e">
        <f t="shared" si="41"/>
        <v>#REF!</v>
      </c>
    </row>
    <row r="658" spans="15:16" ht="15" customHeight="1">
      <c r="O658" s="1343" t="e">
        <f t="shared" si="42"/>
        <v>#REF!</v>
      </c>
      <c r="P658" s="1343" t="e">
        <f t="shared" si="41"/>
        <v>#REF!</v>
      </c>
    </row>
    <row r="659" spans="15:16" ht="15" customHeight="1">
      <c r="O659" s="1343" t="e">
        <f t="shared" si="42"/>
        <v>#REF!</v>
      </c>
      <c r="P659" s="1343" t="e">
        <f t="shared" si="41"/>
        <v>#REF!</v>
      </c>
    </row>
    <row r="660" spans="15:16" ht="15" customHeight="1">
      <c r="O660" s="1343" t="e">
        <f t="shared" si="42"/>
        <v>#REF!</v>
      </c>
      <c r="P660" s="1343" t="e">
        <f t="shared" ref="P660:P723" si="43">P659+12</f>
        <v>#REF!</v>
      </c>
    </row>
    <row r="661" spans="15:16" ht="15" customHeight="1">
      <c r="O661" s="1343" t="e">
        <f t="shared" si="42"/>
        <v>#REF!</v>
      </c>
      <c r="P661" s="1343" t="e">
        <f t="shared" si="43"/>
        <v>#REF!</v>
      </c>
    </row>
    <row r="662" spans="15:16" ht="15" customHeight="1">
      <c r="O662" s="1343" t="e">
        <f t="shared" si="42"/>
        <v>#REF!</v>
      </c>
      <c r="P662" s="1343" t="e">
        <f t="shared" si="43"/>
        <v>#REF!</v>
      </c>
    </row>
    <row r="663" spans="15:16" ht="15" customHeight="1">
      <c r="O663" s="1343" t="e">
        <f t="shared" si="42"/>
        <v>#REF!</v>
      </c>
      <c r="P663" s="1343" t="e">
        <f t="shared" si="43"/>
        <v>#REF!</v>
      </c>
    </row>
    <row r="664" spans="15:16" ht="15" customHeight="1">
      <c r="O664" s="1343" t="e">
        <f t="shared" si="42"/>
        <v>#REF!</v>
      </c>
      <c r="P664" s="1343" t="e">
        <f t="shared" si="43"/>
        <v>#REF!</v>
      </c>
    </row>
    <row r="665" spans="15:16" ht="15" customHeight="1">
      <c r="O665" s="1343" t="e">
        <f t="shared" si="42"/>
        <v>#REF!</v>
      </c>
      <c r="P665" s="1343" t="e">
        <f t="shared" si="43"/>
        <v>#REF!</v>
      </c>
    </row>
    <row r="666" spans="15:16" ht="15" customHeight="1">
      <c r="O666" s="1343" t="e">
        <f t="shared" si="42"/>
        <v>#REF!</v>
      </c>
      <c r="P666" s="1343" t="e">
        <f t="shared" si="43"/>
        <v>#REF!</v>
      </c>
    </row>
    <row r="667" spans="15:16" ht="15" customHeight="1">
      <c r="O667" s="1343" t="e">
        <f t="shared" si="42"/>
        <v>#REF!</v>
      </c>
      <c r="P667" s="1343" t="e">
        <f t="shared" si="43"/>
        <v>#REF!</v>
      </c>
    </row>
    <row r="668" spans="15:16" ht="15" customHeight="1">
      <c r="O668" s="1343" t="e">
        <f t="shared" si="42"/>
        <v>#REF!</v>
      </c>
      <c r="P668" s="1343" t="e">
        <f t="shared" si="43"/>
        <v>#REF!</v>
      </c>
    </row>
    <row r="669" spans="15:16" ht="15" customHeight="1">
      <c r="O669" s="1343" t="e">
        <f t="shared" si="42"/>
        <v>#REF!</v>
      </c>
      <c r="P669" s="1343" t="e">
        <f t="shared" si="43"/>
        <v>#REF!</v>
      </c>
    </row>
    <row r="670" spans="15:16" ht="15" customHeight="1">
      <c r="O670" s="1343" t="e">
        <f t="shared" si="42"/>
        <v>#REF!</v>
      </c>
      <c r="P670" s="1343" t="e">
        <f t="shared" si="43"/>
        <v>#REF!</v>
      </c>
    </row>
    <row r="671" spans="15:16" ht="15" customHeight="1">
      <c r="O671" s="1343" t="e">
        <f t="shared" si="42"/>
        <v>#REF!</v>
      </c>
      <c r="P671" s="1343" t="e">
        <f t="shared" si="43"/>
        <v>#REF!</v>
      </c>
    </row>
    <row r="672" spans="15:16" ht="15" customHeight="1">
      <c r="O672" s="1343" t="e">
        <f t="shared" si="42"/>
        <v>#REF!</v>
      </c>
      <c r="P672" s="1343" t="e">
        <f t="shared" si="43"/>
        <v>#REF!</v>
      </c>
    </row>
    <row r="673" spans="15:16" ht="15" customHeight="1">
      <c r="O673" s="1343" t="e">
        <f t="shared" si="42"/>
        <v>#REF!</v>
      </c>
      <c r="P673" s="1343" t="e">
        <f t="shared" si="43"/>
        <v>#REF!</v>
      </c>
    </row>
    <row r="674" spans="15:16" ht="15" customHeight="1">
      <c r="O674" s="1343" t="e">
        <f t="shared" si="42"/>
        <v>#REF!</v>
      </c>
      <c r="P674" s="1343" t="e">
        <f t="shared" si="43"/>
        <v>#REF!</v>
      </c>
    </row>
    <row r="675" spans="15:16" ht="15" customHeight="1">
      <c r="O675" s="1343" t="e">
        <f t="shared" si="42"/>
        <v>#REF!</v>
      </c>
      <c r="P675" s="1343" t="e">
        <f t="shared" si="43"/>
        <v>#REF!</v>
      </c>
    </row>
    <row r="676" spans="15:16" ht="15" customHeight="1">
      <c r="O676" s="1343" t="e">
        <f t="shared" si="42"/>
        <v>#REF!</v>
      </c>
      <c r="P676" s="1343" t="e">
        <f t="shared" si="43"/>
        <v>#REF!</v>
      </c>
    </row>
    <row r="677" spans="15:16" ht="15" customHeight="1">
      <c r="O677" s="1343" t="e">
        <f t="shared" si="42"/>
        <v>#REF!</v>
      </c>
      <c r="P677" s="1343" t="e">
        <f t="shared" si="43"/>
        <v>#REF!</v>
      </c>
    </row>
    <row r="678" spans="15:16" ht="15" customHeight="1">
      <c r="O678" s="1343" t="e">
        <f t="shared" si="42"/>
        <v>#REF!</v>
      </c>
      <c r="P678" s="1343" t="e">
        <f t="shared" si="43"/>
        <v>#REF!</v>
      </c>
    </row>
    <row r="679" spans="15:16" ht="15" customHeight="1">
      <c r="O679" s="1343" t="e">
        <f t="shared" si="42"/>
        <v>#REF!</v>
      </c>
      <c r="P679" s="1343" t="e">
        <f t="shared" si="43"/>
        <v>#REF!</v>
      </c>
    </row>
    <row r="680" spans="15:16" ht="15" customHeight="1">
      <c r="O680" s="1343" t="e">
        <f t="shared" si="42"/>
        <v>#REF!</v>
      </c>
      <c r="P680" s="1343" t="e">
        <f t="shared" si="43"/>
        <v>#REF!</v>
      </c>
    </row>
    <row r="681" spans="15:16" ht="15" customHeight="1">
      <c r="O681" s="1343" t="e">
        <f t="shared" si="42"/>
        <v>#REF!</v>
      </c>
      <c r="P681" s="1343" t="e">
        <f t="shared" si="43"/>
        <v>#REF!</v>
      </c>
    </row>
    <row r="682" spans="15:16" ht="15" customHeight="1">
      <c r="O682" s="1343" t="e">
        <f t="shared" si="42"/>
        <v>#REF!</v>
      </c>
      <c r="P682" s="1343" t="e">
        <f t="shared" si="43"/>
        <v>#REF!</v>
      </c>
    </row>
    <row r="683" spans="15:16" ht="15" customHeight="1">
      <c r="O683" s="1343" t="e">
        <f t="shared" si="42"/>
        <v>#REF!</v>
      </c>
      <c r="P683" s="1343" t="e">
        <f t="shared" si="43"/>
        <v>#REF!</v>
      </c>
    </row>
    <row r="684" spans="15:16" ht="15" customHeight="1">
      <c r="O684" s="1343" t="e">
        <f t="shared" si="42"/>
        <v>#REF!</v>
      </c>
      <c r="P684" s="1343" t="e">
        <f t="shared" si="43"/>
        <v>#REF!</v>
      </c>
    </row>
    <row r="685" spans="15:16" ht="15" customHeight="1">
      <c r="O685" s="1343" t="e">
        <f t="shared" si="42"/>
        <v>#REF!</v>
      </c>
      <c r="P685" s="1343" t="e">
        <f t="shared" si="43"/>
        <v>#REF!</v>
      </c>
    </row>
    <row r="686" spans="15:16" ht="15" customHeight="1">
      <c r="O686" s="1343" t="e">
        <f t="shared" si="42"/>
        <v>#REF!</v>
      </c>
      <c r="P686" s="1343" t="e">
        <f t="shared" si="43"/>
        <v>#REF!</v>
      </c>
    </row>
    <row r="687" spans="15:16" ht="15" customHeight="1">
      <c r="O687" s="1343" t="e">
        <f t="shared" si="42"/>
        <v>#REF!</v>
      </c>
      <c r="P687" s="1343" t="e">
        <f t="shared" si="43"/>
        <v>#REF!</v>
      </c>
    </row>
    <row r="688" spans="15:16" ht="15" customHeight="1">
      <c r="O688" s="1343" t="e">
        <f t="shared" si="42"/>
        <v>#REF!</v>
      </c>
      <c r="P688" s="1343" t="e">
        <f t="shared" si="43"/>
        <v>#REF!</v>
      </c>
    </row>
    <row r="689" spans="15:16" ht="15" customHeight="1">
      <c r="O689" s="1343" t="e">
        <f t="shared" si="42"/>
        <v>#REF!</v>
      </c>
      <c r="P689" s="1343" t="e">
        <f t="shared" si="43"/>
        <v>#REF!</v>
      </c>
    </row>
    <row r="690" spans="15:16" ht="15" customHeight="1">
      <c r="O690" s="1343" t="e">
        <f t="shared" si="42"/>
        <v>#REF!</v>
      </c>
      <c r="P690" s="1343" t="e">
        <f t="shared" si="43"/>
        <v>#REF!</v>
      </c>
    </row>
    <row r="691" spans="15:16" ht="15" customHeight="1">
      <c r="O691" s="1343" t="e">
        <f t="shared" si="42"/>
        <v>#REF!</v>
      </c>
      <c r="P691" s="1343" t="e">
        <f t="shared" si="43"/>
        <v>#REF!</v>
      </c>
    </row>
    <row r="692" spans="15:16" ht="15" customHeight="1">
      <c r="O692" s="1343" t="e">
        <f t="shared" si="42"/>
        <v>#REF!</v>
      </c>
      <c r="P692" s="1343" t="e">
        <f t="shared" si="43"/>
        <v>#REF!</v>
      </c>
    </row>
    <row r="693" spans="15:16" ht="15" customHeight="1">
      <c r="O693" s="1343" t="e">
        <f t="shared" si="42"/>
        <v>#REF!</v>
      </c>
      <c r="P693" s="1343" t="e">
        <f t="shared" si="43"/>
        <v>#REF!</v>
      </c>
    </row>
    <row r="694" spans="15:16" ht="15" customHeight="1">
      <c r="O694" s="1343" t="e">
        <f t="shared" si="42"/>
        <v>#REF!</v>
      </c>
      <c r="P694" s="1343" t="e">
        <f t="shared" si="43"/>
        <v>#REF!</v>
      </c>
    </row>
    <row r="695" spans="15:16" ht="15" customHeight="1">
      <c r="O695" s="1343" t="e">
        <f t="shared" si="42"/>
        <v>#REF!</v>
      </c>
      <c r="P695" s="1343" t="e">
        <f t="shared" si="43"/>
        <v>#REF!</v>
      </c>
    </row>
    <row r="696" spans="15:16" ht="15" customHeight="1">
      <c r="O696" s="1343" t="e">
        <f t="shared" si="42"/>
        <v>#REF!</v>
      </c>
      <c r="P696" s="1343" t="e">
        <f t="shared" si="43"/>
        <v>#REF!</v>
      </c>
    </row>
    <row r="697" spans="15:16" ht="15" customHeight="1">
      <c r="O697" s="1343" t="e">
        <f t="shared" si="42"/>
        <v>#REF!</v>
      </c>
      <c r="P697" s="1343" t="e">
        <f t="shared" si="43"/>
        <v>#REF!</v>
      </c>
    </row>
    <row r="698" spans="15:16" ht="15" customHeight="1">
      <c r="O698" s="1343" t="e">
        <f t="shared" si="42"/>
        <v>#REF!</v>
      </c>
      <c r="P698" s="1343" t="e">
        <f t="shared" si="43"/>
        <v>#REF!</v>
      </c>
    </row>
    <row r="699" spans="15:16" ht="15" customHeight="1">
      <c r="O699" s="1343" t="e">
        <f t="shared" si="42"/>
        <v>#REF!</v>
      </c>
      <c r="P699" s="1343" t="e">
        <f t="shared" si="43"/>
        <v>#REF!</v>
      </c>
    </row>
    <row r="700" spans="15:16" ht="15" customHeight="1">
      <c r="O700" s="1343" t="e">
        <f t="shared" si="42"/>
        <v>#REF!</v>
      </c>
      <c r="P700" s="1343" t="e">
        <f t="shared" si="43"/>
        <v>#REF!</v>
      </c>
    </row>
    <row r="701" spans="15:16" ht="15" customHeight="1">
      <c r="O701" s="1343" t="e">
        <f t="shared" ref="O701:O764" si="44">O700+24</f>
        <v>#REF!</v>
      </c>
      <c r="P701" s="1343" t="e">
        <f t="shared" si="43"/>
        <v>#REF!</v>
      </c>
    </row>
    <row r="702" spans="15:16" ht="15" customHeight="1">
      <c r="O702" s="1343" t="e">
        <f t="shared" si="44"/>
        <v>#REF!</v>
      </c>
      <c r="P702" s="1343" t="e">
        <f t="shared" si="43"/>
        <v>#REF!</v>
      </c>
    </row>
    <row r="703" spans="15:16" ht="15" customHeight="1">
      <c r="O703" s="1343" t="e">
        <f t="shared" si="44"/>
        <v>#REF!</v>
      </c>
      <c r="P703" s="1343" t="e">
        <f t="shared" si="43"/>
        <v>#REF!</v>
      </c>
    </row>
    <row r="704" spans="15:16" ht="15" customHeight="1">
      <c r="O704" s="1343" t="e">
        <f t="shared" si="44"/>
        <v>#REF!</v>
      </c>
      <c r="P704" s="1343" t="e">
        <f t="shared" si="43"/>
        <v>#REF!</v>
      </c>
    </row>
    <row r="705" spans="15:16" ht="15" customHeight="1">
      <c r="O705" s="1343" t="e">
        <f t="shared" si="44"/>
        <v>#REF!</v>
      </c>
      <c r="P705" s="1343" t="e">
        <f t="shared" si="43"/>
        <v>#REF!</v>
      </c>
    </row>
    <row r="706" spans="15:16" ht="15" customHeight="1">
      <c r="O706" s="1343" t="e">
        <f t="shared" si="44"/>
        <v>#REF!</v>
      </c>
      <c r="P706" s="1343" t="e">
        <f t="shared" si="43"/>
        <v>#REF!</v>
      </c>
    </row>
    <row r="707" spans="15:16" ht="15" customHeight="1">
      <c r="O707" s="1343" t="e">
        <f t="shared" si="44"/>
        <v>#REF!</v>
      </c>
      <c r="P707" s="1343" t="e">
        <f t="shared" si="43"/>
        <v>#REF!</v>
      </c>
    </row>
    <row r="708" spans="15:16" ht="15" customHeight="1">
      <c r="O708" s="1343" t="e">
        <f t="shared" si="44"/>
        <v>#REF!</v>
      </c>
      <c r="P708" s="1343" t="e">
        <f t="shared" si="43"/>
        <v>#REF!</v>
      </c>
    </row>
    <row r="709" spans="15:16" ht="15" customHeight="1">
      <c r="O709" s="1343" t="e">
        <f t="shared" si="44"/>
        <v>#REF!</v>
      </c>
      <c r="P709" s="1343" t="e">
        <f t="shared" si="43"/>
        <v>#REF!</v>
      </c>
    </row>
    <row r="710" spans="15:16" ht="15" customHeight="1">
      <c r="O710" s="1343" t="e">
        <f t="shared" si="44"/>
        <v>#REF!</v>
      </c>
      <c r="P710" s="1343" t="e">
        <f t="shared" si="43"/>
        <v>#REF!</v>
      </c>
    </row>
    <row r="711" spans="15:16" ht="15" customHeight="1">
      <c r="O711" s="1343" t="e">
        <f t="shared" si="44"/>
        <v>#REF!</v>
      </c>
      <c r="P711" s="1343" t="e">
        <f t="shared" si="43"/>
        <v>#REF!</v>
      </c>
    </row>
    <row r="712" spans="15:16" ht="15" customHeight="1">
      <c r="O712" s="1343" t="e">
        <f t="shared" si="44"/>
        <v>#REF!</v>
      </c>
      <c r="P712" s="1343" t="e">
        <f t="shared" si="43"/>
        <v>#REF!</v>
      </c>
    </row>
    <row r="713" spans="15:16" ht="15" customHeight="1">
      <c r="O713" s="1343" t="e">
        <f t="shared" si="44"/>
        <v>#REF!</v>
      </c>
      <c r="P713" s="1343" t="e">
        <f t="shared" si="43"/>
        <v>#REF!</v>
      </c>
    </row>
    <row r="714" spans="15:16" ht="15" customHeight="1">
      <c r="O714" s="1343" t="e">
        <f t="shared" si="44"/>
        <v>#REF!</v>
      </c>
      <c r="P714" s="1343" t="e">
        <f t="shared" si="43"/>
        <v>#REF!</v>
      </c>
    </row>
    <row r="715" spans="15:16" ht="15" customHeight="1">
      <c r="O715" s="1343" t="e">
        <f t="shared" si="44"/>
        <v>#REF!</v>
      </c>
      <c r="P715" s="1343" t="e">
        <f t="shared" si="43"/>
        <v>#REF!</v>
      </c>
    </row>
    <row r="716" spans="15:16" ht="15" customHeight="1">
      <c r="O716" s="1343" t="e">
        <f t="shared" si="44"/>
        <v>#REF!</v>
      </c>
      <c r="P716" s="1343" t="e">
        <f t="shared" si="43"/>
        <v>#REF!</v>
      </c>
    </row>
    <row r="717" spans="15:16" ht="15" customHeight="1">
      <c r="O717" s="1343" t="e">
        <f t="shared" si="44"/>
        <v>#REF!</v>
      </c>
      <c r="P717" s="1343" t="e">
        <f t="shared" si="43"/>
        <v>#REF!</v>
      </c>
    </row>
    <row r="718" spans="15:16" ht="15" customHeight="1">
      <c r="O718" s="1343" t="e">
        <f t="shared" si="44"/>
        <v>#REF!</v>
      </c>
      <c r="P718" s="1343" t="e">
        <f t="shared" si="43"/>
        <v>#REF!</v>
      </c>
    </row>
    <row r="719" spans="15:16" ht="15" customHeight="1">
      <c r="O719" s="1343" t="e">
        <f t="shared" si="44"/>
        <v>#REF!</v>
      </c>
      <c r="P719" s="1343" t="e">
        <f t="shared" si="43"/>
        <v>#REF!</v>
      </c>
    </row>
    <row r="720" spans="15:16" ht="15" customHeight="1">
      <c r="O720" s="1343" t="e">
        <f t="shared" si="44"/>
        <v>#REF!</v>
      </c>
      <c r="P720" s="1343" t="e">
        <f t="shared" si="43"/>
        <v>#REF!</v>
      </c>
    </row>
    <row r="721" spans="15:16" ht="15" customHeight="1">
      <c r="O721" s="1343" t="e">
        <f t="shared" si="44"/>
        <v>#REF!</v>
      </c>
      <c r="P721" s="1343" t="e">
        <f t="shared" si="43"/>
        <v>#REF!</v>
      </c>
    </row>
    <row r="722" spans="15:16" ht="15" customHeight="1">
      <c r="O722" s="1343" t="e">
        <f t="shared" si="44"/>
        <v>#REF!</v>
      </c>
      <c r="P722" s="1343" t="e">
        <f t="shared" si="43"/>
        <v>#REF!</v>
      </c>
    </row>
    <row r="723" spans="15:16" ht="15" customHeight="1">
      <c r="O723" s="1343" t="e">
        <f t="shared" si="44"/>
        <v>#REF!</v>
      </c>
      <c r="P723" s="1343" t="e">
        <f t="shared" si="43"/>
        <v>#REF!</v>
      </c>
    </row>
    <row r="724" spans="15:16" ht="15" customHeight="1">
      <c r="O724" s="1343" t="e">
        <f t="shared" si="44"/>
        <v>#REF!</v>
      </c>
      <c r="P724" s="1343" t="e">
        <f t="shared" ref="P724:P787" si="45">P723+12</f>
        <v>#REF!</v>
      </c>
    </row>
    <row r="725" spans="15:16" ht="15" customHeight="1">
      <c r="O725" s="1343" t="e">
        <f t="shared" si="44"/>
        <v>#REF!</v>
      </c>
      <c r="P725" s="1343" t="e">
        <f t="shared" si="45"/>
        <v>#REF!</v>
      </c>
    </row>
    <row r="726" spans="15:16" ht="15" customHeight="1">
      <c r="O726" s="1343" t="e">
        <f t="shared" si="44"/>
        <v>#REF!</v>
      </c>
      <c r="P726" s="1343" t="e">
        <f t="shared" si="45"/>
        <v>#REF!</v>
      </c>
    </row>
    <row r="727" spans="15:16" ht="15" customHeight="1">
      <c r="O727" s="1343" t="e">
        <f t="shared" si="44"/>
        <v>#REF!</v>
      </c>
      <c r="P727" s="1343" t="e">
        <f t="shared" si="45"/>
        <v>#REF!</v>
      </c>
    </row>
    <row r="728" spans="15:16" ht="15" customHeight="1">
      <c r="O728" s="1343" t="e">
        <f t="shared" si="44"/>
        <v>#REF!</v>
      </c>
      <c r="P728" s="1343" t="e">
        <f t="shared" si="45"/>
        <v>#REF!</v>
      </c>
    </row>
    <row r="729" spans="15:16" ht="15" customHeight="1">
      <c r="O729" s="1343" t="e">
        <f t="shared" si="44"/>
        <v>#REF!</v>
      </c>
      <c r="P729" s="1343" t="e">
        <f t="shared" si="45"/>
        <v>#REF!</v>
      </c>
    </row>
    <row r="730" spans="15:16" ht="15" customHeight="1">
      <c r="O730" s="1343" t="e">
        <f t="shared" si="44"/>
        <v>#REF!</v>
      </c>
      <c r="P730" s="1343" t="e">
        <f t="shared" si="45"/>
        <v>#REF!</v>
      </c>
    </row>
    <row r="731" spans="15:16" ht="15" customHeight="1">
      <c r="O731" s="1343" t="e">
        <f t="shared" si="44"/>
        <v>#REF!</v>
      </c>
      <c r="P731" s="1343" t="e">
        <f t="shared" si="45"/>
        <v>#REF!</v>
      </c>
    </row>
    <row r="732" spans="15:16" ht="15" customHeight="1">
      <c r="O732" s="1343" t="e">
        <f t="shared" si="44"/>
        <v>#REF!</v>
      </c>
      <c r="P732" s="1343" t="e">
        <f t="shared" si="45"/>
        <v>#REF!</v>
      </c>
    </row>
    <row r="733" spans="15:16" ht="15" customHeight="1">
      <c r="O733" s="1343" t="e">
        <f t="shared" si="44"/>
        <v>#REF!</v>
      </c>
      <c r="P733" s="1343" t="e">
        <f t="shared" si="45"/>
        <v>#REF!</v>
      </c>
    </row>
    <row r="734" spans="15:16" ht="15" customHeight="1">
      <c r="O734" s="1343" t="e">
        <f t="shared" si="44"/>
        <v>#REF!</v>
      </c>
      <c r="P734" s="1343" t="e">
        <f t="shared" si="45"/>
        <v>#REF!</v>
      </c>
    </row>
    <row r="735" spans="15:16" ht="15" customHeight="1">
      <c r="O735" s="1343" t="e">
        <f t="shared" si="44"/>
        <v>#REF!</v>
      </c>
      <c r="P735" s="1343" t="e">
        <f t="shared" si="45"/>
        <v>#REF!</v>
      </c>
    </row>
    <row r="736" spans="15:16" ht="15" customHeight="1">
      <c r="O736" s="1343" t="e">
        <f t="shared" si="44"/>
        <v>#REF!</v>
      </c>
      <c r="P736" s="1343" t="e">
        <f t="shared" si="45"/>
        <v>#REF!</v>
      </c>
    </row>
    <row r="737" spans="15:16" ht="15" customHeight="1">
      <c r="O737" s="1343" t="e">
        <f t="shared" si="44"/>
        <v>#REF!</v>
      </c>
      <c r="P737" s="1343" t="e">
        <f t="shared" si="45"/>
        <v>#REF!</v>
      </c>
    </row>
    <row r="738" spans="15:16" ht="15" customHeight="1">
      <c r="O738" s="1343" t="e">
        <f t="shared" si="44"/>
        <v>#REF!</v>
      </c>
      <c r="P738" s="1343" t="e">
        <f t="shared" si="45"/>
        <v>#REF!</v>
      </c>
    </row>
    <row r="739" spans="15:16" ht="15" customHeight="1">
      <c r="O739" s="1343" t="e">
        <f t="shared" si="44"/>
        <v>#REF!</v>
      </c>
      <c r="P739" s="1343" t="e">
        <f t="shared" si="45"/>
        <v>#REF!</v>
      </c>
    </row>
    <row r="740" spans="15:16" ht="15" customHeight="1">
      <c r="O740" s="1343" t="e">
        <f t="shared" si="44"/>
        <v>#REF!</v>
      </c>
      <c r="P740" s="1343" t="e">
        <f t="shared" si="45"/>
        <v>#REF!</v>
      </c>
    </row>
    <row r="741" spans="15:16" ht="15" customHeight="1">
      <c r="O741" s="1343" t="e">
        <f t="shared" si="44"/>
        <v>#REF!</v>
      </c>
      <c r="P741" s="1343" t="e">
        <f t="shared" si="45"/>
        <v>#REF!</v>
      </c>
    </row>
    <row r="742" spans="15:16" ht="15" customHeight="1">
      <c r="O742" s="1343" t="e">
        <f t="shared" si="44"/>
        <v>#REF!</v>
      </c>
      <c r="P742" s="1343" t="e">
        <f t="shared" si="45"/>
        <v>#REF!</v>
      </c>
    </row>
    <row r="743" spans="15:16" ht="15" customHeight="1">
      <c r="O743" s="1343" t="e">
        <f t="shared" si="44"/>
        <v>#REF!</v>
      </c>
      <c r="P743" s="1343" t="e">
        <f t="shared" si="45"/>
        <v>#REF!</v>
      </c>
    </row>
    <row r="744" spans="15:16" ht="15" customHeight="1">
      <c r="O744" s="1343" t="e">
        <f t="shared" si="44"/>
        <v>#REF!</v>
      </c>
      <c r="P744" s="1343" t="e">
        <f t="shared" si="45"/>
        <v>#REF!</v>
      </c>
    </row>
    <row r="745" spans="15:16" ht="15" customHeight="1">
      <c r="O745" s="1343" t="e">
        <f t="shared" si="44"/>
        <v>#REF!</v>
      </c>
      <c r="P745" s="1343" t="e">
        <f t="shared" si="45"/>
        <v>#REF!</v>
      </c>
    </row>
    <row r="746" spans="15:16" ht="15" customHeight="1">
      <c r="O746" s="1343" t="e">
        <f t="shared" si="44"/>
        <v>#REF!</v>
      </c>
      <c r="P746" s="1343" t="e">
        <f t="shared" si="45"/>
        <v>#REF!</v>
      </c>
    </row>
    <row r="747" spans="15:16" ht="15" customHeight="1">
      <c r="O747" s="1343" t="e">
        <f t="shared" si="44"/>
        <v>#REF!</v>
      </c>
      <c r="P747" s="1343" t="e">
        <f t="shared" si="45"/>
        <v>#REF!</v>
      </c>
    </row>
    <row r="748" spans="15:16" ht="15" customHeight="1">
      <c r="O748" s="1343" t="e">
        <f t="shared" si="44"/>
        <v>#REF!</v>
      </c>
      <c r="P748" s="1343" t="e">
        <f t="shared" si="45"/>
        <v>#REF!</v>
      </c>
    </row>
    <row r="749" spans="15:16" ht="15" customHeight="1">
      <c r="O749" s="1343" t="e">
        <f t="shared" si="44"/>
        <v>#REF!</v>
      </c>
      <c r="P749" s="1343" t="e">
        <f t="shared" si="45"/>
        <v>#REF!</v>
      </c>
    </row>
    <row r="750" spans="15:16" ht="15" customHeight="1">
      <c r="O750" s="1343" t="e">
        <f t="shared" si="44"/>
        <v>#REF!</v>
      </c>
      <c r="P750" s="1343" t="e">
        <f t="shared" si="45"/>
        <v>#REF!</v>
      </c>
    </row>
    <row r="751" spans="15:16" ht="15" customHeight="1">
      <c r="O751" s="1343" t="e">
        <f t="shared" si="44"/>
        <v>#REF!</v>
      </c>
      <c r="P751" s="1343" t="e">
        <f t="shared" si="45"/>
        <v>#REF!</v>
      </c>
    </row>
    <row r="752" spans="15:16" ht="15" customHeight="1">
      <c r="O752" s="1343" t="e">
        <f t="shared" si="44"/>
        <v>#REF!</v>
      </c>
      <c r="P752" s="1343" t="e">
        <f t="shared" si="45"/>
        <v>#REF!</v>
      </c>
    </row>
    <row r="753" spans="15:16" ht="15" customHeight="1">
      <c r="O753" s="1343" t="e">
        <f t="shared" si="44"/>
        <v>#REF!</v>
      </c>
      <c r="P753" s="1343" t="e">
        <f t="shared" si="45"/>
        <v>#REF!</v>
      </c>
    </row>
    <row r="754" spans="15:16" ht="15" customHeight="1">
      <c r="O754" s="1343" t="e">
        <f t="shared" si="44"/>
        <v>#REF!</v>
      </c>
      <c r="P754" s="1343" t="e">
        <f t="shared" si="45"/>
        <v>#REF!</v>
      </c>
    </row>
    <row r="755" spans="15:16" ht="15" customHeight="1">
      <c r="O755" s="1343" t="e">
        <f t="shared" si="44"/>
        <v>#REF!</v>
      </c>
      <c r="P755" s="1343" t="e">
        <f t="shared" si="45"/>
        <v>#REF!</v>
      </c>
    </row>
    <row r="756" spans="15:16" ht="15" customHeight="1">
      <c r="O756" s="1343" t="e">
        <f t="shared" si="44"/>
        <v>#REF!</v>
      </c>
      <c r="P756" s="1343" t="e">
        <f t="shared" si="45"/>
        <v>#REF!</v>
      </c>
    </row>
    <row r="757" spans="15:16" ht="15" customHeight="1">
      <c r="O757" s="1343" t="e">
        <f t="shared" si="44"/>
        <v>#REF!</v>
      </c>
      <c r="P757" s="1343" t="e">
        <f t="shared" si="45"/>
        <v>#REF!</v>
      </c>
    </row>
    <row r="758" spans="15:16" ht="15" customHeight="1">
      <c r="O758" s="1343" t="e">
        <f t="shared" si="44"/>
        <v>#REF!</v>
      </c>
      <c r="P758" s="1343" t="e">
        <f t="shared" si="45"/>
        <v>#REF!</v>
      </c>
    </row>
    <row r="759" spans="15:16" ht="15" customHeight="1">
      <c r="O759" s="1343" t="e">
        <f t="shared" si="44"/>
        <v>#REF!</v>
      </c>
      <c r="P759" s="1343" t="e">
        <f t="shared" si="45"/>
        <v>#REF!</v>
      </c>
    </row>
    <row r="760" spans="15:16" ht="15" customHeight="1">
      <c r="O760" s="1343" t="e">
        <f t="shared" si="44"/>
        <v>#REF!</v>
      </c>
      <c r="P760" s="1343" t="e">
        <f t="shared" si="45"/>
        <v>#REF!</v>
      </c>
    </row>
    <row r="761" spans="15:16" ht="15" customHeight="1">
      <c r="O761" s="1343" t="e">
        <f t="shared" si="44"/>
        <v>#REF!</v>
      </c>
      <c r="P761" s="1343" t="e">
        <f t="shared" si="45"/>
        <v>#REF!</v>
      </c>
    </row>
    <row r="762" spans="15:16" ht="15" customHeight="1">
      <c r="O762" s="1343" t="e">
        <f t="shared" si="44"/>
        <v>#REF!</v>
      </c>
      <c r="P762" s="1343" t="e">
        <f t="shared" si="45"/>
        <v>#REF!</v>
      </c>
    </row>
    <row r="763" spans="15:16" ht="15" customHeight="1">
      <c r="O763" s="1343" t="e">
        <f t="shared" si="44"/>
        <v>#REF!</v>
      </c>
      <c r="P763" s="1343" t="e">
        <f t="shared" si="45"/>
        <v>#REF!</v>
      </c>
    </row>
    <row r="764" spans="15:16" ht="15" customHeight="1">
      <c r="O764" s="1343" t="e">
        <f t="shared" si="44"/>
        <v>#REF!</v>
      </c>
      <c r="P764" s="1343" t="e">
        <f t="shared" si="45"/>
        <v>#REF!</v>
      </c>
    </row>
    <row r="765" spans="15:16" ht="15" customHeight="1">
      <c r="O765" s="1343" t="e">
        <f t="shared" ref="O765:O828" si="46">O764+24</f>
        <v>#REF!</v>
      </c>
      <c r="P765" s="1343" t="e">
        <f t="shared" si="45"/>
        <v>#REF!</v>
      </c>
    </row>
    <row r="766" spans="15:16" ht="15" customHeight="1">
      <c r="O766" s="1343" t="e">
        <f t="shared" si="46"/>
        <v>#REF!</v>
      </c>
      <c r="P766" s="1343" t="e">
        <f t="shared" si="45"/>
        <v>#REF!</v>
      </c>
    </row>
    <row r="767" spans="15:16" ht="15" customHeight="1">
      <c r="O767" s="1343" t="e">
        <f t="shared" si="46"/>
        <v>#REF!</v>
      </c>
      <c r="P767" s="1343" t="e">
        <f t="shared" si="45"/>
        <v>#REF!</v>
      </c>
    </row>
    <row r="768" spans="15:16" ht="15" customHeight="1">
      <c r="O768" s="1343" t="e">
        <f t="shared" si="46"/>
        <v>#REF!</v>
      </c>
      <c r="P768" s="1343" t="e">
        <f t="shared" si="45"/>
        <v>#REF!</v>
      </c>
    </row>
    <row r="769" spans="15:16" ht="15" customHeight="1">
      <c r="O769" s="1343" t="e">
        <f t="shared" si="46"/>
        <v>#REF!</v>
      </c>
      <c r="P769" s="1343" t="e">
        <f t="shared" si="45"/>
        <v>#REF!</v>
      </c>
    </row>
    <row r="770" spans="15:16" ht="15" customHeight="1">
      <c r="O770" s="1343" t="e">
        <f t="shared" si="46"/>
        <v>#REF!</v>
      </c>
      <c r="P770" s="1343" t="e">
        <f t="shared" si="45"/>
        <v>#REF!</v>
      </c>
    </row>
    <row r="771" spans="15:16" ht="15" customHeight="1">
      <c r="O771" s="1343" t="e">
        <f t="shared" si="46"/>
        <v>#REF!</v>
      </c>
      <c r="P771" s="1343" t="e">
        <f t="shared" si="45"/>
        <v>#REF!</v>
      </c>
    </row>
    <row r="772" spans="15:16" ht="15" customHeight="1">
      <c r="O772" s="1343" t="e">
        <f t="shared" si="46"/>
        <v>#REF!</v>
      </c>
      <c r="P772" s="1343" t="e">
        <f t="shared" si="45"/>
        <v>#REF!</v>
      </c>
    </row>
    <row r="773" spans="15:16" ht="15" customHeight="1">
      <c r="O773" s="1343" t="e">
        <f t="shared" si="46"/>
        <v>#REF!</v>
      </c>
      <c r="P773" s="1343" t="e">
        <f t="shared" si="45"/>
        <v>#REF!</v>
      </c>
    </row>
    <row r="774" spans="15:16" ht="15" customHeight="1">
      <c r="O774" s="1343" t="e">
        <f t="shared" si="46"/>
        <v>#REF!</v>
      </c>
      <c r="P774" s="1343" t="e">
        <f t="shared" si="45"/>
        <v>#REF!</v>
      </c>
    </row>
    <row r="775" spans="15:16" ht="15" customHeight="1">
      <c r="O775" s="1343" t="e">
        <f t="shared" si="46"/>
        <v>#REF!</v>
      </c>
      <c r="P775" s="1343" t="e">
        <f t="shared" si="45"/>
        <v>#REF!</v>
      </c>
    </row>
    <row r="776" spans="15:16" ht="15" customHeight="1">
      <c r="O776" s="1343" t="e">
        <f t="shared" si="46"/>
        <v>#REF!</v>
      </c>
      <c r="P776" s="1343" t="e">
        <f t="shared" si="45"/>
        <v>#REF!</v>
      </c>
    </row>
    <row r="777" spans="15:16" ht="15" customHeight="1">
      <c r="O777" s="1343" t="e">
        <f t="shared" si="46"/>
        <v>#REF!</v>
      </c>
      <c r="P777" s="1343" t="e">
        <f t="shared" si="45"/>
        <v>#REF!</v>
      </c>
    </row>
    <row r="778" spans="15:16" ht="15" customHeight="1">
      <c r="O778" s="1343" t="e">
        <f t="shared" si="46"/>
        <v>#REF!</v>
      </c>
      <c r="P778" s="1343" t="e">
        <f t="shared" si="45"/>
        <v>#REF!</v>
      </c>
    </row>
    <row r="779" spans="15:16" ht="15" customHeight="1">
      <c r="O779" s="1343" t="e">
        <f t="shared" si="46"/>
        <v>#REF!</v>
      </c>
      <c r="P779" s="1343" t="e">
        <f t="shared" si="45"/>
        <v>#REF!</v>
      </c>
    </row>
    <row r="780" spans="15:16" ht="15" customHeight="1">
      <c r="O780" s="1343" t="e">
        <f t="shared" si="46"/>
        <v>#REF!</v>
      </c>
      <c r="P780" s="1343" t="e">
        <f t="shared" si="45"/>
        <v>#REF!</v>
      </c>
    </row>
    <row r="781" spans="15:16" ht="15" customHeight="1">
      <c r="O781" s="1343" t="e">
        <f t="shared" si="46"/>
        <v>#REF!</v>
      </c>
      <c r="P781" s="1343" t="e">
        <f t="shared" si="45"/>
        <v>#REF!</v>
      </c>
    </row>
    <row r="782" spans="15:16" ht="15" customHeight="1">
      <c r="O782" s="1343" t="e">
        <f t="shared" si="46"/>
        <v>#REF!</v>
      </c>
      <c r="P782" s="1343" t="e">
        <f t="shared" si="45"/>
        <v>#REF!</v>
      </c>
    </row>
    <row r="783" spans="15:16" ht="15" customHeight="1">
      <c r="O783" s="1343" t="e">
        <f t="shared" si="46"/>
        <v>#REF!</v>
      </c>
      <c r="P783" s="1343" t="e">
        <f t="shared" si="45"/>
        <v>#REF!</v>
      </c>
    </row>
    <row r="784" spans="15:16" ht="15" customHeight="1">
      <c r="O784" s="1343" t="e">
        <f t="shared" si="46"/>
        <v>#REF!</v>
      </c>
      <c r="P784" s="1343" t="e">
        <f t="shared" si="45"/>
        <v>#REF!</v>
      </c>
    </row>
    <row r="785" spans="15:16" ht="15" customHeight="1">
      <c r="O785" s="1343" t="e">
        <f t="shared" si="46"/>
        <v>#REF!</v>
      </c>
      <c r="P785" s="1343" t="e">
        <f t="shared" si="45"/>
        <v>#REF!</v>
      </c>
    </row>
    <row r="786" spans="15:16" ht="15" customHeight="1">
      <c r="O786" s="1343" t="e">
        <f t="shared" si="46"/>
        <v>#REF!</v>
      </c>
      <c r="P786" s="1343" t="e">
        <f t="shared" si="45"/>
        <v>#REF!</v>
      </c>
    </row>
    <row r="787" spans="15:16" ht="15" customHeight="1">
      <c r="O787" s="1343" t="e">
        <f t="shared" si="46"/>
        <v>#REF!</v>
      </c>
      <c r="P787" s="1343" t="e">
        <f t="shared" si="45"/>
        <v>#REF!</v>
      </c>
    </row>
    <row r="788" spans="15:16" ht="15" customHeight="1">
      <c r="O788" s="1343" t="e">
        <f t="shared" si="46"/>
        <v>#REF!</v>
      </c>
      <c r="P788" s="1343" t="e">
        <f t="shared" ref="P788:P851" si="47">P787+12</f>
        <v>#REF!</v>
      </c>
    </row>
    <row r="789" spans="15:16" ht="15" customHeight="1">
      <c r="O789" s="1343" t="e">
        <f t="shared" si="46"/>
        <v>#REF!</v>
      </c>
      <c r="P789" s="1343" t="e">
        <f t="shared" si="47"/>
        <v>#REF!</v>
      </c>
    </row>
    <row r="790" spans="15:16" ht="15" customHeight="1">
      <c r="O790" s="1343" t="e">
        <f t="shared" si="46"/>
        <v>#REF!</v>
      </c>
      <c r="P790" s="1343" t="e">
        <f t="shared" si="47"/>
        <v>#REF!</v>
      </c>
    </row>
    <row r="791" spans="15:16" ht="15" customHeight="1">
      <c r="O791" s="1343" t="e">
        <f t="shared" si="46"/>
        <v>#REF!</v>
      </c>
      <c r="P791" s="1343" t="e">
        <f t="shared" si="47"/>
        <v>#REF!</v>
      </c>
    </row>
    <row r="792" spans="15:16" ht="15" customHeight="1">
      <c r="O792" s="1343" t="e">
        <f t="shared" si="46"/>
        <v>#REF!</v>
      </c>
      <c r="P792" s="1343" t="e">
        <f t="shared" si="47"/>
        <v>#REF!</v>
      </c>
    </row>
    <row r="793" spans="15:16" ht="15" customHeight="1">
      <c r="O793" s="1343" t="e">
        <f t="shared" si="46"/>
        <v>#REF!</v>
      </c>
      <c r="P793" s="1343" t="e">
        <f t="shared" si="47"/>
        <v>#REF!</v>
      </c>
    </row>
    <row r="794" spans="15:16" ht="15" customHeight="1">
      <c r="O794" s="1343" t="e">
        <f t="shared" si="46"/>
        <v>#REF!</v>
      </c>
      <c r="P794" s="1343" t="e">
        <f t="shared" si="47"/>
        <v>#REF!</v>
      </c>
    </row>
    <row r="795" spans="15:16" ht="15" customHeight="1">
      <c r="O795" s="1343" t="e">
        <f t="shared" si="46"/>
        <v>#REF!</v>
      </c>
      <c r="P795" s="1343" t="e">
        <f t="shared" si="47"/>
        <v>#REF!</v>
      </c>
    </row>
    <row r="796" spans="15:16" ht="15" customHeight="1">
      <c r="O796" s="1343" t="e">
        <f t="shared" si="46"/>
        <v>#REF!</v>
      </c>
      <c r="P796" s="1343" t="e">
        <f t="shared" si="47"/>
        <v>#REF!</v>
      </c>
    </row>
    <row r="797" spans="15:16" ht="15" customHeight="1">
      <c r="O797" s="1343" t="e">
        <f t="shared" si="46"/>
        <v>#REF!</v>
      </c>
      <c r="P797" s="1343" t="e">
        <f t="shared" si="47"/>
        <v>#REF!</v>
      </c>
    </row>
    <row r="798" spans="15:16" ht="15" customHeight="1">
      <c r="O798" s="1343" t="e">
        <f t="shared" si="46"/>
        <v>#REF!</v>
      </c>
      <c r="P798" s="1343" t="e">
        <f t="shared" si="47"/>
        <v>#REF!</v>
      </c>
    </row>
    <row r="799" spans="15:16" ht="15" customHeight="1">
      <c r="O799" s="1343" t="e">
        <f t="shared" si="46"/>
        <v>#REF!</v>
      </c>
      <c r="P799" s="1343" t="e">
        <f t="shared" si="47"/>
        <v>#REF!</v>
      </c>
    </row>
    <row r="800" spans="15:16" ht="15" customHeight="1">
      <c r="O800" s="1343" t="e">
        <f t="shared" si="46"/>
        <v>#REF!</v>
      </c>
      <c r="P800" s="1343" t="e">
        <f t="shared" si="47"/>
        <v>#REF!</v>
      </c>
    </row>
    <row r="801" spans="15:16" ht="15" customHeight="1">
      <c r="O801" s="1343" t="e">
        <f t="shared" si="46"/>
        <v>#REF!</v>
      </c>
      <c r="P801" s="1343" t="e">
        <f t="shared" si="47"/>
        <v>#REF!</v>
      </c>
    </row>
    <row r="802" spans="15:16" ht="15" customHeight="1">
      <c r="O802" s="1343" t="e">
        <f t="shared" si="46"/>
        <v>#REF!</v>
      </c>
      <c r="P802" s="1343" t="e">
        <f t="shared" si="47"/>
        <v>#REF!</v>
      </c>
    </row>
    <row r="803" spans="15:16" ht="15" customHeight="1">
      <c r="O803" s="1343" t="e">
        <f t="shared" si="46"/>
        <v>#REF!</v>
      </c>
      <c r="P803" s="1343" t="e">
        <f t="shared" si="47"/>
        <v>#REF!</v>
      </c>
    </row>
    <row r="804" spans="15:16" ht="15" customHeight="1">
      <c r="O804" s="1343" t="e">
        <f t="shared" si="46"/>
        <v>#REF!</v>
      </c>
      <c r="P804" s="1343" t="e">
        <f t="shared" si="47"/>
        <v>#REF!</v>
      </c>
    </row>
    <row r="805" spans="15:16" ht="15" customHeight="1">
      <c r="O805" s="1343" t="e">
        <f t="shared" si="46"/>
        <v>#REF!</v>
      </c>
      <c r="P805" s="1343" t="e">
        <f t="shared" si="47"/>
        <v>#REF!</v>
      </c>
    </row>
    <row r="806" spans="15:16" ht="15" customHeight="1">
      <c r="O806" s="1343" t="e">
        <f t="shared" si="46"/>
        <v>#REF!</v>
      </c>
      <c r="P806" s="1343" t="e">
        <f t="shared" si="47"/>
        <v>#REF!</v>
      </c>
    </row>
    <row r="807" spans="15:16" ht="15" customHeight="1">
      <c r="O807" s="1343" t="e">
        <f t="shared" si="46"/>
        <v>#REF!</v>
      </c>
      <c r="P807" s="1343" t="e">
        <f t="shared" si="47"/>
        <v>#REF!</v>
      </c>
    </row>
    <row r="808" spans="15:16" ht="15" customHeight="1">
      <c r="O808" s="1343" t="e">
        <f t="shared" si="46"/>
        <v>#REF!</v>
      </c>
      <c r="P808" s="1343" t="e">
        <f t="shared" si="47"/>
        <v>#REF!</v>
      </c>
    </row>
    <row r="809" spans="15:16" ht="15" customHeight="1">
      <c r="O809" s="1343" t="e">
        <f t="shared" si="46"/>
        <v>#REF!</v>
      </c>
      <c r="P809" s="1343" t="e">
        <f t="shared" si="47"/>
        <v>#REF!</v>
      </c>
    </row>
    <row r="810" spans="15:16" ht="15" customHeight="1">
      <c r="O810" s="1343" t="e">
        <f t="shared" si="46"/>
        <v>#REF!</v>
      </c>
      <c r="P810" s="1343" t="e">
        <f t="shared" si="47"/>
        <v>#REF!</v>
      </c>
    </row>
    <row r="811" spans="15:16" ht="15" customHeight="1">
      <c r="O811" s="1343" t="e">
        <f t="shared" si="46"/>
        <v>#REF!</v>
      </c>
      <c r="P811" s="1343" t="e">
        <f t="shared" si="47"/>
        <v>#REF!</v>
      </c>
    </row>
    <row r="812" spans="15:16" ht="15" customHeight="1">
      <c r="O812" s="1343" t="e">
        <f t="shared" si="46"/>
        <v>#REF!</v>
      </c>
      <c r="P812" s="1343" t="e">
        <f t="shared" si="47"/>
        <v>#REF!</v>
      </c>
    </row>
    <row r="813" spans="15:16" ht="15" customHeight="1">
      <c r="O813" s="1343" t="e">
        <f t="shared" si="46"/>
        <v>#REF!</v>
      </c>
      <c r="P813" s="1343" t="e">
        <f t="shared" si="47"/>
        <v>#REF!</v>
      </c>
    </row>
    <row r="814" spans="15:16" ht="15" customHeight="1">
      <c r="O814" s="1343" t="e">
        <f t="shared" si="46"/>
        <v>#REF!</v>
      </c>
      <c r="P814" s="1343" t="e">
        <f t="shared" si="47"/>
        <v>#REF!</v>
      </c>
    </row>
    <row r="815" spans="15:16" ht="15" customHeight="1">
      <c r="O815" s="1343" t="e">
        <f t="shared" si="46"/>
        <v>#REF!</v>
      </c>
      <c r="P815" s="1343" t="e">
        <f t="shared" si="47"/>
        <v>#REF!</v>
      </c>
    </row>
    <row r="816" spans="15:16" ht="15" customHeight="1">
      <c r="O816" s="1343" t="e">
        <f t="shared" si="46"/>
        <v>#REF!</v>
      </c>
      <c r="P816" s="1343" t="e">
        <f t="shared" si="47"/>
        <v>#REF!</v>
      </c>
    </row>
    <row r="817" spans="15:16" ht="15" customHeight="1">
      <c r="O817" s="1343" t="e">
        <f t="shared" si="46"/>
        <v>#REF!</v>
      </c>
      <c r="P817" s="1343" t="e">
        <f t="shared" si="47"/>
        <v>#REF!</v>
      </c>
    </row>
    <row r="818" spans="15:16" ht="15" customHeight="1">
      <c r="O818" s="1343" t="e">
        <f t="shared" si="46"/>
        <v>#REF!</v>
      </c>
      <c r="P818" s="1343" t="e">
        <f t="shared" si="47"/>
        <v>#REF!</v>
      </c>
    </row>
    <row r="819" spans="15:16" ht="15" customHeight="1">
      <c r="O819" s="1343" t="e">
        <f t="shared" si="46"/>
        <v>#REF!</v>
      </c>
      <c r="P819" s="1343" t="e">
        <f t="shared" si="47"/>
        <v>#REF!</v>
      </c>
    </row>
    <row r="820" spans="15:16" ht="15" customHeight="1">
      <c r="O820" s="1343" t="e">
        <f t="shared" si="46"/>
        <v>#REF!</v>
      </c>
      <c r="P820" s="1343" t="e">
        <f t="shared" si="47"/>
        <v>#REF!</v>
      </c>
    </row>
    <row r="821" spans="15:16" ht="15" customHeight="1">
      <c r="O821" s="1343" t="e">
        <f t="shared" si="46"/>
        <v>#REF!</v>
      </c>
      <c r="P821" s="1343" t="e">
        <f t="shared" si="47"/>
        <v>#REF!</v>
      </c>
    </row>
    <row r="822" spans="15:16" ht="15" customHeight="1">
      <c r="O822" s="1343" t="e">
        <f t="shared" si="46"/>
        <v>#REF!</v>
      </c>
      <c r="P822" s="1343" t="e">
        <f t="shared" si="47"/>
        <v>#REF!</v>
      </c>
    </row>
    <row r="823" spans="15:16" ht="15" customHeight="1">
      <c r="O823" s="1343" t="e">
        <f t="shared" si="46"/>
        <v>#REF!</v>
      </c>
      <c r="P823" s="1343" t="e">
        <f t="shared" si="47"/>
        <v>#REF!</v>
      </c>
    </row>
    <row r="824" spans="15:16" ht="15" customHeight="1">
      <c r="O824" s="1343" t="e">
        <f t="shared" si="46"/>
        <v>#REF!</v>
      </c>
      <c r="P824" s="1343" t="e">
        <f t="shared" si="47"/>
        <v>#REF!</v>
      </c>
    </row>
    <row r="825" spans="15:16" ht="15" customHeight="1">
      <c r="O825" s="1343" t="e">
        <f t="shared" si="46"/>
        <v>#REF!</v>
      </c>
      <c r="P825" s="1343" t="e">
        <f t="shared" si="47"/>
        <v>#REF!</v>
      </c>
    </row>
    <row r="826" spans="15:16" ht="15" customHeight="1">
      <c r="O826" s="1343" t="e">
        <f t="shared" si="46"/>
        <v>#REF!</v>
      </c>
      <c r="P826" s="1343" t="e">
        <f t="shared" si="47"/>
        <v>#REF!</v>
      </c>
    </row>
    <row r="827" spans="15:16" ht="15" customHeight="1">
      <c r="O827" s="1343" t="e">
        <f t="shared" si="46"/>
        <v>#REF!</v>
      </c>
      <c r="P827" s="1343" t="e">
        <f t="shared" si="47"/>
        <v>#REF!</v>
      </c>
    </row>
    <row r="828" spans="15:16" ht="15" customHeight="1">
      <c r="O828" s="1343" t="e">
        <f t="shared" si="46"/>
        <v>#REF!</v>
      </c>
      <c r="P828" s="1343" t="e">
        <f t="shared" si="47"/>
        <v>#REF!</v>
      </c>
    </row>
    <row r="829" spans="15:16" ht="15" customHeight="1">
      <c r="O829" s="1343" t="e">
        <f t="shared" ref="O829:O859" si="48">O828+24</f>
        <v>#REF!</v>
      </c>
      <c r="P829" s="1343" t="e">
        <f t="shared" si="47"/>
        <v>#REF!</v>
      </c>
    </row>
    <row r="830" spans="15:16" ht="15" customHeight="1">
      <c r="O830" s="1343" t="e">
        <f t="shared" si="48"/>
        <v>#REF!</v>
      </c>
      <c r="P830" s="1343" t="e">
        <f t="shared" si="47"/>
        <v>#REF!</v>
      </c>
    </row>
    <row r="831" spans="15:16" ht="15" customHeight="1">
      <c r="O831" s="1343" t="e">
        <f t="shared" si="48"/>
        <v>#REF!</v>
      </c>
      <c r="P831" s="1343" t="e">
        <f t="shared" si="47"/>
        <v>#REF!</v>
      </c>
    </row>
    <row r="832" spans="15:16" ht="15" customHeight="1">
      <c r="O832" s="1343" t="e">
        <f t="shared" si="48"/>
        <v>#REF!</v>
      </c>
      <c r="P832" s="1343" t="e">
        <f t="shared" si="47"/>
        <v>#REF!</v>
      </c>
    </row>
    <row r="833" spans="15:16" ht="15" customHeight="1">
      <c r="O833" s="1343" t="e">
        <f t="shared" si="48"/>
        <v>#REF!</v>
      </c>
      <c r="P833" s="1343" t="e">
        <f t="shared" si="47"/>
        <v>#REF!</v>
      </c>
    </row>
    <row r="834" spans="15:16" ht="15" customHeight="1">
      <c r="O834" s="1343" t="e">
        <f t="shared" si="48"/>
        <v>#REF!</v>
      </c>
      <c r="P834" s="1343" t="e">
        <f t="shared" si="47"/>
        <v>#REF!</v>
      </c>
    </row>
    <row r="835" spans="15:16" ht="15" customHeight="1">
      <c r="O835" s="1343" t="e">
        <f t="shared" si="48"/>
        <v>#REF!</v>
      </c>
      <c r="P835" s="1343" t="e">
        <f t="shared" si="47"/>
        <v>#REF!</v>
      </c>
    </row>
    <row r="836" spans="15:16" ht="15" customHeight="1">
      <c r="O836" s="1343" t="e">
        <f t="shared" si="48"/>
        <v>#REF!</v>
      </c>
      <c r="P836" s="1343" t="e">
        <f t="shared" si="47"/>
        <v>#REF!</v>
      </c>
    </row>
    <row r="837" spans="15:16" ht="15" customHeight="1">
      <c r="O837" s="1343" t="e">
        <f t="shared" si="48"/>
        <v>#REF!</v>
      </c>
      <c r="P837" s="1343" t="e">
        <f t="shared" si="47"/>
        <v>#REF!</v>
      </c>
    </row>
    <row r="838" spans="15:16" ht="15" customHeight="1">
      <c r="O838" s="1343" t="e">
        <f t="shared" si="48"/>
        <v>#REF!</v>
      </c>
      <c r="P838" s="1343" t="e">
        <f t="shared" si="47"/>
        <v>#REF!</v>
      </c>
    </row>
    <row r="839" spans="15:16" ht="15" customHeight="1">
      <c r="O839" s="1343" t="e">
        <f t="shared" si="48"/>
        <v>#REF!</v>
      </c>
      <c r="P839" s="1343" t="e">
        <f t="shared" si="47"/>
        <v>#REF!</v>
      </c>
    </row>
    <row r="840" spans="15:16" ht="15" customHeight="1">
      <c r="O840" s="1343" t="e">
        <f t="shared" si="48"/>
        <v>#REF!</v>
      </c>
      <c r="P840" s="1343" t="e">
        <f t="shared" si="47"/>
        <v>#REF!</v>
      </c>
    </row>
    <row r="841" spans="15:16" ht="15" customHeight="1">
      <c r="O841" s="1343" t="e">
        <f t="shared" si="48"/>
        <v>#REF!</v>
      </c>
      <c r="P841" s="1343" t="e">
        <f t="shared" si="47"/>
        <v>#REF!</v>
      </c>
    </row>
    <row r="842" spans="15:16" ht="15" customHeight="1">
      <c r="O842" s="1343" t="e">
        <f t="shared" si="48"/>
        <v>#REF!</v>
      </c>
      <c r="P842" s="1343" t="e">
        <f t="shared" si="47"/>
        <v>#REF!</v>
      </c>
    </row>
    <row r="843" spans="15:16" ht="15" customHeight="1">
      <c r="O843" s="1343" t="e">
        <f t="shared" si="48"/>
        <v>#REF!</v>
      </c>
      <c r="P843" s="1343" t="e">
        <f t="shared" si="47"/>
        <v>#REF!</v>
      </c>
    </row>
    <row r="844" spans="15:16" ht="15" customHeight="1">
      <c r="O844" s="1343" t="e">
        <f t="shared" si="48"/>
        <v>#REF!</v>
      </c>
      <c r="P844" s="1343" t="e">
        <f t="shared" si="47"/>
        <v>#REF!</v>
      </c>
    </row>
    <row r="845" spans="15:16" ht="15" customHeight="1">
      <c r="O845" s="1343" t="e">
        <f t="shared" si="48"/>
        <v>#REF!</v>
      </c>
      <c r="P845" s="1343" t="e">
        <f t="shared" si="47"/>
        <v>#REF!</v>
      </c>
    </row>
    <row r="846" spans="15:16" ht="15" customHeight="1">
      <c r="O846" s="1343" t="e">
        <f t="shared" si="48"/>
        <v>#REF!</v>
      </c>
      <c r="P846" s="1343" t="e">
        <f t="shared" si="47"/>
        <v>#REF!</v>
      </c>
    </row>
    <row r="847" spans="15:16" ht="15" customHeight="1">
      <c r="O847" s="1343" t="e">
        <f t="shared" si="48"/>
        <v>#REF!</v>
      </c>
      <c r="P847" s="1343" t="e">
        <f t="shared" si="47"/>
        <v>#REF!</v>
      </c>
    </row>
    <row r="848" spans="15:16" ht="15" customHeight="1">
      <c r="O848" s="1343" t="e">
        <f t="shared" si="48"/>
        <v>#REF!</v>
      </c>
      <c r="P848" s="1343" t="e">
        <f t="shared" si="47"/>
        <v>#REF!</v>
      </c>
    </row>
    <row r="849" spans="15:16" ht="15" customHeight="1">
      <c r="O849" s="1343" t="e">
        <f t="shared" si="48"/>
        <v>#REF!</v>
      </c>
      <c r="P849" s="1343" t="e">
        <f t="shared" si="47"/>
        <v>#REF!</v>
      </c>
    </row>
    <row r="850" spans="15:16" ht="15" customHeight="1">
      <c r="O850" s="1343" t="e">
        <f t="shared" si="48"/>
        <v>#REF!</v>
      </c>
      <c r="P850" s="1343" t="e">
        <f t="shared" si="47"/>
        <v>#REF!</v>
      </c>
    </row>
    <row r="851" spans="15:16" ht="15" customHeight="1">
      <c r="O851" s="1343" t="e">
        <f t="shared" si="48"/>
        <v>#REF!</v>
      </c>
      <c r="P851" s="1343" t="e">
        <f t="shared" si="47"/>
        <v>#REF!</v>
      </c>
    </row>
    <row r="852" spans="15:16" ht="15" customHeight="1">
      <c r="O852" s="1343" t="e">
        <f t="shared" si="48"/>
        <v>#REF!</v>
      </c>
      <c r="P852" s="1343" t="e">
        <f t="shared" ref="P852:P915" si="49">P851+12</f>
        <v>#REF!</v>
      </c>
    </row>
    <row r="853" spans="15:16" ht="15" customHeight="1">
      <c r="O853" s="1343" t="e">
        <f t="shared" si="48"/>
        <v>#REF!</v>
      </c>
      <c r="P853" s="1343" t="e">
        <f t="shared" si="49"/>
        <v>#REF!</v>
      </c>
    </row>
    <row r="854" spans="15:16" ht="15" customHeight="1">
      <c r="O854" s="1343" t="e">
        <f t="shared" si="48"/>
        <v>#REF!</v>
      </c>
      <c r="P854" s="1343" t="e">
        <f t="shared" si="49"/>
        <v>#REF!</v>
      </c>
    </row>
    <row r="855" spans="15:16" ht="15" customHeight="1">
      <c r="O855" s="1343" t="e">
        <f t="shared" si="48"/>
        <v>#REF!</v>
      </c>
      <c r="P855" s="1343" t="e">
        <f t="shared" si="49"/>
        <v>#REF!</v>
      </c>
    </row>
    <row r="856" spans="15:16" ht="15" customHeight="1">
      <c r="O856" s="1343" t="e">
        <f t="shared" si="48"/>
        <v>#REF!</v>
      </c>
      <c r="P856" s="1343" t="e">
        <f t="shared" si="49"/>
        <v>#REF!</v>
      </c>
    </row>
    <row r="857" spans="15:16" ht="15" customHeight="1">
      <c r="O857" s="1343" t="e">
        <f t="shared" si="48"/>
        <v>#REF!</v>
      </c>
      <c r="P857" s="1343" t="e">
        <f t="shared" si="49"/>
        <v>#REF!</v>
      </c>
    </row>
    <row r="858" spans="15:16" ht="15" customHeight="1">
      <c r="O858" s="1343" t="e">
        <f t="shared" si="48"/>
        <v>#REF!</v>
      </c>
      <c r="P858" s="1343" t="e">
        <f t="shared" si="49"/>
        <v>#REF!</v>
      </c>
    </row>
    <row r="859" spans="15:16" ht="15" customHeight="1">
      <c r="O859" s="1343" t="e">
        <f t="shared" si="48"/>
        <v>#REF!</v>
      </c>
      <c r="P859" s="1343" t="e">
        <f t="shared" si="49"/>
        <v>#REF!</v>
      </c>
    </row>
    <row r="860" spans="15:16" ht="15" customHeight="1">
      <c r="P860" s="1343" t="e">
        <f t="shared" si="49"/>
        <v>#REF!</v>
      </c>
    </row>
    <row r="861" spans="15:16" ht="15" customHeight="1">
      <c r="P861" s="1343" t="e">
        <f t="shared" si="49"/>
        <v>#REF!</v>
      </c>
    </row>
    <row r="862" spans="15:16" ht="15" customHeight="1">
      <c r="P862" s="1343" t="e">
        <f t="shared" si="49"/>
        <v>#REF!</v>
      </c>
    </row>
    <row r="863" spans="15:16" ht="15" customHeight="1">
      <c r="P863" s="1343" t="e">
        <f t="shared" si="49"/>
        <v>#REF!</v>
      </c>
    </row>
    <row r="864" spans="15:16" ht="15" customHeight="1">
      <c r="P864" s="1343" t="e">
        <f t="shared" si="49"/>
        <v>#REF!</v>
      </c>
    </row>
    <row r="865" spans="16:16" ht="15" customHeight="1">
      <c r="P865" s="1343" t="e">
        <f t="shared" si="49"/>
        <v>#REF!</v>
      </c>
    </row>
    <row r="866" spans="16:16" ht="15" customHeight="1">
      <c r="P866" s="1343" t="e">
        <f t="shared" si="49"/>
        <v>#REF!</v>
      </c>
    </row>
    <row r="867" spans="16:16" ht="15" customHeight="1">
      <c r="P867" s="1343" t="e">
        <f t="shared" si="49"/>
        <v>#REF!</v>
      </c>
    </row>
    <row r="868" spans="16:16" ht="15" customHeight="1">
      <c r="P868" s="1343" t="e">
        <f t="shared" si="49"/>
        <v>#REF!</v>
      </c>
    </row>
    <row r="869" spans="16:16" ht="15" customHeight="1">
      <c r="P869" s="1343" t="e">
        <f t="shared" si="49"/>
        <v>#REF!</v>
      </c>
    </row>
    <row r="870" spans="16:16" ht="15" customHeight="1">
      <c r="P870" s="1343" t="e">
        <f t="shared" si="49"/>
        <v>#REF!</v>
      </c>
    </row>
    <row r="871" spans="16:16" ht="15" customHeight="1">
      <c r="P871" s="1343" t="e">
        <f t="shared" si="49"/>
        <v>#REF!</v>
      </c>
    </row>
    <row r="872" spans="16:16" ht="15" customHeight="1">
      <c r="P872" s="1343" t="e">
        <f t="shared" si="49"/>
        <v>#REF!</v>
      </c>
    </row>
    <row r="873" spans="16:16" ht="15" customHeight="1">
      <c r="P873" s="1343" t="e">
        <f t="shared" si="49"/>
        <v>#REF!</v>
      </c>
    </row>
    <row r="874" spans="16:16" ht="15" customHeight="1">
      <c r="P874" s="1343" t="e">
        <f t="shared" si="49"/>
        <v>#REF!</v>
      </c>
    </row>
    <row r="875" spans="16:16" ht="15" customHeight="1">
      <c r="P875" s="1343" t="e">
        <f t="shared" si="49"/>
        <v>#REF!</v>
      </c>
    </row>
    <row r="876" spans="16:16" ht="15" customHeight="1">
      <c r="P876" s="1343" t="e">
        <f t="shared" si="49"/>
        <v>#REF!</v>
      </c>
    </row>
    <row r="877" spans="16:16" ht="15" customHeight="1">
      <c r="P877" s="1343" t="e">
        <f t="shared" si="49"/>
        <v>#REF!</v>
      </c>
    </row>
    <row r="878" spans="16:16" ht="15" customHeight="1">
      <c r="P878" s="1343" t="e">
        <f t="shared" si="49"/>
        <v>#REF!</v>
      </c>
    </row>
    <row r="879" spans="16:16" ht="15" customHeight="1">
      <c r="P879" s="1343" t="e">
        <f t="shared" si="49"/>
        <v>#REF!</v>
      </c>
    </row>
    <row r="880" spans="16:16" ht="15" customHeight="1">
      <c r="P880" s="1343" t="e">
        <f t="shared" si="49"/>
        <v>#REF!</v>
      </c>
    </row>
    <row r="881" spans="16:16" ht="15" customHeight="1">
      <c r="P881" s="1343" t="e">
        <f t="shared" si="49"/>
        <v>#REF!</v>
      </c>
    </row>
    <row r="882" spans="16:16" ht="15" customHeight="1">
      <c r="P882" s="1343" t="e">
        <f t="shared" si="49"/>
        <v>#REF!</v>
      </c>
    </row>
    <row r="883" spans="16:16" ht="15" customHeight="1">
      <c r="P883" s="1343" t="e">
        <f t="shared" si="49"/>
        <v>#REF!</v>
      </c>
    </row>
    <row r="884" spans="16:16" ht="15" customHeight="1">
      <c r="P884" s="1343" t="e">
        <f t="shared" si="49"/>
        <v>#REF!</v>
      </c>
    </row>
    <row r="885" spans="16:16" ht="15" customHeight="1">
      <c r="P885" s="1343" t="e">
        <f t="shared" si="49"/>
        <v>#REF!</v>
      </c>
    </row>
    <row r="886" spans="16:16" ht="15" customHeight="1">
      <c r="P886" s="1343" t="e">
        <f t="shared" si="49"/>
        <v>#REF!</v>
      </c>
    </row>
    <row r="887" spans="16:16" ht="15" customHeight="1">
      <c r="P887" s="1343" t="e">
        <f t="shared" si="49"/>
        <v>#REF!</v>
      </c>
    </row>
    <row r="888" spans="16:16" ht="15" customHeight="1">
      <c r="P888" s="1343" t="e">
        <f t="shared" si="49"/>
        <v>#REF!</v>
      </c>
    </row>
    <row r="889" spans="16:16" ht="15" customHeight="1">
      <c r="P889" s="1343" t="e">
        <f t="shared" si="49"/>
        <v>#REF!</v>
      </c>
    </row>
    <row r="890" spans="16:16" ht="15" customHeight="1">
      <c r="P890" s="1343" t="e">
        <f t="shared" si="49"/>
        <v>#REF!</v>
      </c>
    </row>
    <row r="891" spans="16:16" ht="15" customHeight="1">
      <c r="P891" s="1343" t="e">
        <f t="shared" si="49"/>
        <v>#REF!</v>
      </c>
    </row>
    <row r="892" spans="16:16" ht="15" customHeight="1">
      <c r="P892" s="1343" t="e">
        <f t="shared" si="49"/>
        <v>#REF!</v>
      </c>
    </row>
    <row r="893" spans="16:16" ht="15" customHeight="1">
      <c r="P893" s="1343" t="e">
        <f t="shared" si="49"/>
        <v>#REF!</v>
      </c>
    </row>
    <row r="894" spans="16:16" ht="15" customHeight="1">
      <c r="P894" s="1343" t="e">
        <f t="shared" si="49"/>
        <v>#REF!</v>
      </c>
    </row>
    <row r="895" spans="16:16" ht="15" customHeight="1">
      <c r="P895" s="1343" t="e">
        <f t="shared" si="49"/>
        <v>#REF!</v>
      </c>
    </row>
    <row r="896" spans="16:16" ht="15" customHeight="1">
      <c r="P896" s="1343" t="e">
        <f t="shared" si="49"/>
        <v>#REF!</v>
      </c>
    </row>
    <row r="897" spans="16:16" ht="15" customHeight="1">
      <c r="P897" s="1343" t="e">
        <f t="shared" si="49"/>
        <v>#REF!</v>
      </c>
    </row>
    <row r="898" spans="16:16" ht="15" customHeight="1">
      <c r="P898" s="1343" t="e">
        <f t="shared" si="49"/>
        <v>#REF!</v>
      </c>
    </row>
    <row r="899" spans="16:16" ht="15" customHeight="1">
      <c r="P899" s="1343" t="e">
        <f t="shared" si="49"/>
        <v>#REF!</v>
      </c>
    </row>
    <row r="900" spans="16:16" ht="15" customHeight="1">
      <c r="P900" s="1343" t="e">
        <f t="shared" si="49"/>
        <v>#REF!</v>
      </c>
    </row>
    <row r="901" spans="16:16" ht="15" customHeight="1">
      <c r="P901" s="1343" t="e">
        <f t="shared" si="49"/>
        <v>#REF!</v>
      </c>
    </row>
    <row r="902" spans="16:16" ht="15" customHeight="1">
      <c r="P902" s="1343" t="e">
        <f t="shared" si="49"/>
        <v>#REF!</v>
      </c>
    </row>
    <row r="903" spans="16:16" ht="15" customHeight="1">
      <c r="P903" s="1343" t="e">
        <f t="shared" si="49"/>
        <v>#REF!</v>
      </c>
    </row>
    <row r="904" spans="16:16" ht="15" customHeight="1">
      <c r="P904" s="1343" t="e">
        <f t="shared" si="49"/>
        <v>#REF!</v>
      </c>
    </row>
    <row r="905" spans="16:16" ht="15" customHeight="1">
      <c r="P905" s="1343" t="e">
        <f t="shared" si="49"/>
        <v>#REF!</v>
      </c>
    </row>
    <row r="906" spans="16:16" ht="15" customHeight="1">
      <c r="P906" s="1343" t="e">
        <f t="shared" si="49"/>
        <v>#REF!</v>
      </c>
    </row>
    <row r="907" spans="16:16" ht="15" customHeight="1">
      <c r="P907" s="1343" t="e">
        <f t="shared" si="49"/>
        <v>#REF!</v>
      </c>
    </row>
    <row r="908" spans="16:16" ht="15" customHeight="1">
      <c r="P908" s="1343" t="e">
        <f t="shared" si="49"/>
        <v>#REF!</v>
      </c>
    </row>
    <row r="909" spans="16:16" ht="15" customHeight="1">
      <c r="P909" s="1343" t="e">
        <f t="shared" si="49"/>
        <v>#REF!</v>
      </c>
    </row>
    <row r="910" spans="16:16" ht="15" customHeight="1">
      <c r="P910" s="1343" t="e">
        <f t="shared" si="49"/>
        <v>#REF!</v>
      </c>
    </row>
    <row r="911" spans="16:16" ht="15" customHeight="1">
      <c r="P911" s="1343" t="e">
        <f t="shared" si="49"/>
        <v>#REF!</v>
      </c>
    </row>
    <row r="912" spans="16:16" ht="15" customHeight="1">
      <c r="P912" s="1343" t="e">
        <f t="shared" si="49"/>
        <v>#REF!</v>
      </c>
    </row>
    <row r="913" spans="16:16" ht="15" customHeight="1">
      <c r="P913" s="1343" t="e">
        <f t="shared" si="49"/>
        <v>#REF!</v>
      </c>
    </row>
    <row r="914" spans="16:16" ht="15" customHeight="1">
      <c r="P914" s="1343" t="e">
        <f t="shared" si="49"/>
        <v>#REF!</v>
      </c>
    </row>
    <row r="915" spans="16:16" ht="15" customHeight="1">
      <c r="P915" s="1343" t="e">
        <f t="shared" si="49"/>
        <v>#REF!</v>
      </c>
    </row>
    <row r="916" spans="16:16" ht="15" customHeight="1">
      <c r="P916" s="1343" t="e">
        <f t="shared" ref="P916:P933" si="50">P915+12</f>
        <v>#REF!</v>
      </c>
    </row>
    <row r="917" spans="16:16" ht="15" customHeight="1">
      <c r="P917" s="1343" t="e">
        <f t="shared" si="50"/>
        <v>#REF!</v>
      </c>
    </row>
    <row r="918" spans="16:16" ht="15" customHeight="1">
      <c r="P918" s="1343" t="e">
        <f t="shared" si="50"/>
        <v>#REF!</v>
      </c>
    </row>
    <row r="919" spans="16:16" ht="15" customHeight="1">
      <c r="P919" s="1343" t="e">
        <f t="shared" si="50"/>
        <v>#REF!</v>
      </c>
    </row>
    <row r="920" spans="16:16" ht="15" customHeight="1">
      <c r="P920" s="1343" t="e">
        <f t="shared" si="50"/>
        <v>#REF!</v>
      </c>
    </row>
    <row r="921" spans="16:16" ht="15" customHeight="1">
      <c r="P921" s="1343" t="e">
        <f t="shared" si="50"/>
        <v>#REF!</v>
      </c>
    </row>
    <row r="922" spans="16:16" ht="15" customHeight="1">
      <c r="P922" s="1343" t="e">
        <f t="shared" si="50"/>
        <v>#REF!</v>
      </c>
    </row>
    <row r="923" spans="16:16" ht="15" customHeight="1">
      <c r="P923" s="1343" t="e">
        <f t="shared" si="50"/>
        <v>#REF!</v>
      </c>
    </row>
    <row r="924" spans="16:16" ht="15" customHeight="1">
      <c r="P924" s="1343" t="e">
        <f t="shared" si="50"/>
        <v>#REF!</v>
      </c>
    </row>
    <row r="925" spans="16:16" ht="15" customHeight="1">
      <c r="P925" s="1343" t="e">
        <f t="shared" si="50"/>
        <v>#REF!</v>
      </c>
    </row>
    <row r="926" spans="16:16" ht="15" customHeight="1">
      <c r="P926" s="1343" t="e">
        <f t="shared" si="50"/>
        <v>#REF!</v>
      </c>
    </row>
    <row r="927" spans="16:16" ht="15" customHeight="1">
      <c r="P927" s="1343" t="e">
        <f t="shared" si="50"/>
        <v>#REF!</v>
      </c>
    </row>
    <row r="928" spans="16:16" ht="15" customHeight="1">
      <c r="P928" s="1343" t="e">
        <f t="shared" si="50"/>
        <v>#REF!</v>
      </c>
    </row>
    <row r="929" spans="16:16" ht="15" customHeight="1">
      <c r="P929" s="1343" t="e">
        <f t="shared" si="50"/>
        <v>#REF!</v>
      </c>
    </row>
    <row r="930" spans="16:16" ht="15" customHeight="1">
      <c r="P930" s="1343" t="e">
        <f t="shared" si="50"/>
        <v>#REF!</v>
      </c>
    </row>
    <row r="931" spans="16:16" ht="15" customHeight="1">
      <c r="P931" s="1343" t="e">
        <f t="shared" si="50"/>
        <v>#REF!</v>
      </c>
    </row>
    <row r="932" spans="16:16" ht="15" customHeight="1">
      <c r="P932" s="1343" t="e">
        <f t="shared" si="50"/>
        <v>#REF!</v>
      </c>
    </row>
    <row r="933" spans="16:16" ht="15" customHeight="1">
      <c r="P933" s="1343" t="e">
        <f t="shared" si="50"/>
        <v>#REF!</v>
      </c>
    </row>
  </sheetData>
  <sheetProtection selectLockedCells="1"/>
  <sortState xmlns:xlrd2="http://schemas.microsoft.com/office/spreadsheetml/2017/richdata2" ref="A8:B12">
    <sortCondition ref="A8:A12"/>
  </sortState>
  <mergeCells count="6">
    <mergeCell ref="N14:P14"/>
    <mergeCell ref="A14:A16"/>
    <mergeCell ref="E11:H11"/>
    <mergeCell ref="K14:L14"/>
    <mergeCell ref="H14:J14"/>
    <mergeCell ref="C14:G14"/>
  </mergeCells>
  <conditionalFormatting sqref="B21:B22">
    <cfRule type="duplicateValues" dxfId="207" priority="208"/>
    <cfRule type="duplicateValues" dxfId="206" priority="203"/>
    <cfRule type="duplicateValues" dxfId="205" priority="205"/>
    <cfRule type="duplicateValues" dxfId="204" priority="207"/>
    <cfRule type="duplicateValues" dxfId="203" priority="209"/>
    <cfRule type="duplicateValues" dxfId="202" priority="206"/>
  </conditionalFormatting>
  <conditionalFormatting sqref="B24:B25">
    <cfRule type="duplicateValues" dxfId="201" priority="188"/>
    <cfRule type="duplicateValues" dxfId="200" priority="187"/>
    <cfRule type="duplicateValues" dxfId="199" priority="186"/>
    <cfRule type="cellIs" dxfId="198" priority="185" operator="equal">
      <formula>"Fora de linha"</formula>
    </cfRule>
    <cfRule type="duplicateValues" dxfId="197" priority="189"/>
    <cfRule type="duplicateValues" dxfId="196" priority="190"/>
    <cfRule type="duplicateValues" dxfId="195" priority="184"/>
  </conditionalFormatting>
  <conditionalFormatting sqref="B38">
    <cfRule type="duplicateValues" dxfId="194" priority="5458"/>
    <cfRule type="duplicateValues" dxfId="193" priority="5464"/>
    <cfRule type="duplicateValues" dxfId="192" priority="5463"/>
    <cfRule type="duplicateValues" dxfId="191" priority="5462"/>
    <cfRule type="duplicateValues" dxfId="190" priority="5461"/>
    <cfRule type="duplicateValues" dxfId="189" priority="5460"/>
    <cfRule type="cellIs" dxfId="188" priority="5459" operator="equal">
      <formula>"Fora de linha"</formula>
    </cfRule>
  </conditionalFormatting>
  <conditionalFormatting sqref="B43">
    <cfRule type="duplicateValues" dxfId="187" priority="5284"/>
    <cfRule type="duplicateValues" dxfId="186" priority="5290"/>
    <cfRule type="duplicateValues" dxfId="185" priority="5289"/>
    <cfRule type="duplicateValues" dxfId="184" priority="5288"/>
    <cfRule type="duplicateValues" dxfId="183" priority="5287"/>
    <cfRule type="duplicateValues" dxfId="182" priority="5286"/>
    <cfRule type="cellIs" dxfId="181" priority="5285" operator="equal">
      <formula>"Fora de linha"</formula>
    </cfRule>
  </conditionalFormatting>
  <conditionalFormatting sqref="B44 B17:B20 B23 B26:B37 B39:B42">
    <cfRule type="duplicateValues" dxfId="180" priority="235"/>
    <cfRule type="duplicateValues" dxfId="179" priority="234"/>
    <cfRule type="duplicateValues" dxfId="178" priority="232"/>
    <cfRule type="duplicateValues" dxfId="177" priority="231"/>
    <cfRule type="duplicateValues" dxfId="176" priority="230"/>
  </conditionalFormatting>
  <conditionalFormatting sqref="B47:B48">
    <cfRule type="duplicateValues" dxfId="175" priority="5115"/>
    <cfRule type="duplicateValues" dxfId="174" priority="5114"/>
    <cfRule type="duplicateValues" dxfId="173" priority="5116"/>
  </conditionalFormatting>
  <conditionalFormatting sqref="B55">
    <cfRule type="duplicateValues" dxfId="172" priority="13"/>
    <cfRule type="duplicateValues" dxfId="171" priority="12"/>
    <cfRule type="duplicateValues" dxfId="170" priority="11"/>
  </conditionalFormatting>
  <conditionalFormatting sqref="B56">
    <cfRule type="duplicateValues" dxfId="169" priority="69"/>
    <cfRule type="duplicateValues" dxfId="168" priority="70"/>
    <cfRule type="duplicateValues" dxfId="167" priority="71"/>
  </conditionalFormatting>
  <conditionalFormatting sqref="B59">
    <cfRule type="duplicateValues" dxfId="166" priority="93"/>
    <cfRule type="duplicateValues" dxfId="165" priority="92"/>
    <cfRule type="duplicateValues" dxfId="164" priority="91"/>
  </conditionalFormatting>
  <conditionalFormatting sqref="B68">
    <cfRule type="duplicateValues" dxfId="163" priority="88"/>
    <cfRule type="duplicateValues" dxfId="162" priority="89"/>
    <cfRule type="duplicateValues" dxfId="161" priority="90"/>
  </conditionalFormatting>
  <conditionalFormatting sqref="B108:B110 B113">
    <cfRule type="duplicateValues" dxfId="160" priority="119"/>
    <cfRule type="duplicateValues" dxfId="159" priority="120"/>
    <cfRule type="duplicateValues" dxfId="158" priority="118"/>
  </conditionalFormatting>
  <conditionalFormatting sqref="B118:B119">
    <cfRule type="duplicateValues" dxfId="157" priority="86"/>
    <cfRule type="duplicateValues" dxfId="156" priority="85"/>
    <cfRule type="duplicateValues" dxfId="155" priority="84"/>
  </conditionalFormatting>
  <conditionalFormatting sqref="B123">
    <cfRule type="duplicateValues" dxfId="154" priority="18"/>
    <cfRule type="duplicateValues" dxfId="153" priority="17"/>
    <cfRule type="duplicateValues" dxfId="152" priority="16"/>
  </conditionalFormatting>
  <conditionalFormatting sqref="B157">
    <cfRule type="duplicateValues" dxfId="151" priority="60"/>
    <cfRule type="duplicateValues" dxfId="150" priority="61"/>
    <cfRule type="duplicateValues" dxfId="149" priority="62"/>
  </conditionalFormatting>
  <conditionalFormatting sqref="B186:B187">
    <cfRule type="duplicateValues" dxfId="148" priority="51"/>
    <cfRule type="duplicateValues" dxfId="147" priority="52"/>
    <cfRule type="duplicateValues" dxfId="146" priority="53"/>
  </conditionalFormatting>
  <conditionalFormatting sqref="B191:B196">
    <cfRule type="duplicateValues" dxfId="145" priority="5113"/>
    <cfRule type="duplicateValues" dxfId="144" priority="5112"/>
    <cfRule type="duplicateValues" dxfId="143" priority="5111"/>
  </conditionalFormatting>
  <conditionalFormatting sqref="B203:B208">
    <cfRule type="duplicateValues" dxfId="142" priority="4219"/>
  </conditionalFormatting>
  <conditionalFormatting sqref="B209:B212">
    <cfRule type="duplicateValues" dxfId="141" priority="73"/>
  </conditionalFormatting>
  <conditionalFormatting sqref="B234:B239">
    <cfRule type="duplicateValues" dxfId="140" priority="5016"/>
  </conditionalFormatting>
  <conditionalFormatting sqref="B252">
    <cfRule type="duplicateValues" dxfId="139" priority="54"/>
    <cfRule type="duplicateValues" dxfId="138" priority="56"/>
    <cfRule type="duplicateValues" dxfId="137" priority="58"/>
    <cfRule type="duplicateValues" dxfId="136" priority="57"/>
    <cfRule type="duplicateValues" dxfId="135" priority="55"/>
  </conditionalFormatting>
  <conditionalFormatting sqref="B271">
    <cfRule type="duplicateValues" dxfId="134" priority="81"/>
    <cfRule type="duplicateValues" dxfId="133" priority="83"/>
    <cfRule type="duplicateValues" dxfId="132" priority="79"/>
    <cfRule type="duplicateValues" dxfId="131" priority="80"/>
    <cfRule type="duplicateValues" dxfId="130" priority="82"/>
  </conditionalFormatting>
  <conditionalFormatting sqref="B273">
    <cfRule type="duplicateValues" dxfId="129" priority="77"/>
    <cfRule type="duplicateValues" dxfId="128" priority="74"/>
    <cfRule type="duplicateValues" dxfId="127" priority="78"/>
    <cfRule type="duplicateValues" dxfId="126" priority="75"/>
    <cfRule type="duplicateValues" dxfId="125" priority="76"/>
  </conditionalFormatting>
  <conditionalFormatting sqref="B293:B301">
    <cfRule type="duplicateValues" dxfId="124" priority="6"/>
    <cfRule type="duplicateValues" dxfId="123" priority="8"/>
    <cfRule type="duplicateValues" dxfId="122" priority="9"/>
    <cfRule type="duplicateValues" dxfId="121" priority="7"/>
    <cfRule type="duplicateValues" dxfId="120" priority="10"/>
  </conditionalFormatting>
  <conditionalFormatting sqref="B302:B307">
    <cfRule type="duplicateValues" dxfId="119" priority="2"/>
    <cfRule type="duplicateValues" dxfId="118" priority="3"/>
    <cfRule type="duplicateValues" dxfId="117" priority="4"/>
    <cfRule type="duplicateValues" dxfId="116" priority="5"/>
    <cfRule type="duplicateValues" dxfId="115" priority="1"/>
  </conditionalFormatting>
  <conditionalFormatting sqref="B309:B1048576 B111:B112 B1:B7 B13:B16 B45:B46 B60:B67 B114:B117 B272 B213:B233 B274:B292 B49:B54 B57:B58 B240:B251 B253:B270 B158:B185 B188:B190 B197:B202 B69:B84 B87:B107 B120:B122 B124:B156">
    <cfRule type="duplicateValues" dxfId="114" priority="5017"/>
    <cfRule type="duplicateValues" dxfId="113" priority="5018"/>
  </conditionalFormatting>
  <conditionalFormatting sqref="B309:B1048576 B111:B112 B1:B7 B13:B16 B45:B46 B60:B67 B114:B117 B272 B274:B292 B49:B54 B57:B58 B253:B270 B158:B185 B188:B190 B197:B251 B69:B84 B87:B107 B120:B122 B124:B156">
    <cfRule type="duplicateValues" dxfId="112" priority="5055"/>
  </conditionalFormatting>
  <conditionalFormatting sqref="B309:B1048576 B272 B274:B292 B240:B251 B253:B270">
    <cfRule type="duplicateValues" dxfId="111" priority="294"/>
    <cfRule type="duplicateValues" dxfId="110" priority="295"/>
  </conditionalFormatting>
  <conditionalFormatting sqref="B17:G23 B26:G37 B39:G42 B44:G44 A13 I13:J13 C15:G176 I15:I291 A45">
    <cfRule type="cellIs" dxfId="109" priority="1045" operator="equal">
      <formula>"Fora de linha"</formula>
    </cfRule>
  </conditionalFormatting>
  <conditionalFormatting sqref="C13 E13:G13 L15 A93 C289:G289 L289">
    <cfRule type="cellIs" dxfId="108" priority="1271" operator="equal">
      <formula>"Fora de linha"</formula>
    </cfRule>
  </conditionalFormatting>
  <conditionalFormatting sqref="C179:G187">
    <cfRule type="cellIs" dxfId="107" priority="46" operator="equal">
      <formula>"Fora de linha"</formula>
    </cfRule>
  </conditionalFormatting>
  <conditionalFormatting sqref="D4">
    <cfRule type="containsText" dxfId="106" priority="308" operator="containsText" text="creatina">
      <formula>NOT(ISERROR(SEARCH("creatina",D4)))</formula>
    </cfRule>
    <cfRule type="containsText" dxfId="105" priority="307" operator="containsText" text="reprovado">
      <formula>NOT(ISERROR(SEARCH("reprovado",D4)))</formula>
    </cfRule>
    <cfRule type="containsText" dxfId="104" priority="306" operator="containsText" text="Pedido bloqueado, Qtd. de Creapure excede o permitido">
      <formula>NOT(ISERROR(SEARCH("Pedido bloqueado, Qtd. de Creapure excede o permitido",D4)))</formula>
    </cfRule>
  </conditionalFormatting>
  <conditionalFormatting sqref="D5:D6">
    <cfRule type="containsText" dxfId="103" priority="215" operator="containsText" text="ESCOLHA">
      <formula>NOT(ISERROR(SEARCH("ESCOLHA",D5)))</formula>
    </cfRule>
  </conditionalFormatting>
  <conditionalFormatting sqref="D178">
    <cfRule type="cellIs" dxfId="102" priority="112" operator="equal">
      <formula>"Fora de linha"</formula>
    </cfRule>
  </conditionalFormatting>
  <conditionalFormatting sqref="L15 L289">
    <cfRule type="cellIs" dxfId="101" priority="1272" operator="equal">
      <formula>"Disponível"</formula>
    </cfRule>
    <cfRule type="cellIs" dxfId="100" priority="1273" operator="equal">
      <formula>"Indisponível"</formula>
    </cfRule>
  </conditionalFormatting>
  <conditionalFormatting sqref="L24:L31 L50:L92 L124:L223">
    <cfRule type="cellIs" dxfId="99" priority="42" operator="equal">
      <formula>"Indisponível"</formula>
    </cfRule>
    <cfRule type="cellIs" dxfId="98" priority="41" operator="equal">
      <formula>"Disponível"</formula>
    </cfRule>
    <cfRule type="cellIs" dxfId="97" priority="40" operator="equal">
      <formula>"Fora de linha"</formula>
    </cfRule>
  </conditionalFormatting>
  <conditionalFormatting sqref="L96 L98:L115">
    <cfRule type="cellIs" dxfId="96" priority="339" operator="equal">
      <formula>"Fora de linha"</formula>
    </cfRule>
    <cfRule type="cellIs" dxfId="95" priority="340" operator="equal">
      <formula>"Disponível"</formula>
    </cfRule>
    <cfRule type="cellIs" dxfId="94" priority="341" operator="equal">
      <formula>"Indisponível"</formula>
    </cfRule>
  </conditionalFormatting>
  <conditionalFormatting sqref="L250">
    <cfRule type="cellIs" dxfId="93" priority="21" operator="equal">
      <formula>"Indisponível"</formula>
    </cfRule>
    <cfRule type="cellIs" dxfId="92" priority="20" operator="equal">
      <formula>"Disponível"</formula>
    </cfRule>
    <cfRule type="cellIs" dxfId="91" priority="19" operator="equal">
      <formula>"Fora de linha"</formula>
    </cfRule>
  </conditionalFormatting>
  <dataValidations count="47">
    <dataValidation type="list" allowBlank="1" showErrorMessage="1" sqref="D9:D10" xr:uid="{9F5E3C1A-5D67-4A54-AF87-F460491C3063}">
      <formula1>condpgto</formula1>
    </dataValidation>
    <dataValidation type="decimal" operator="greaterThan" allowBlank="1" showInputMessage="1" showErrorMessage="1" prompt="Digite um número - Esse campo aceita apenas números." sqref="D7" xr:uid="{8CBCF6C4-BC67-48BC-BFAF-D4986A792D5F}">
      <formula1>0</formula1>
    </dataValidation>
    <dataValidation type="whole" allowBlank="1" showInputMessage="1" showErrorMessage="1" promptTitle="*** ATENÇÃO ***" prompt="Cada unidade digitada corresponde a 1 display com 10 unidades de sachês." sqref="L251:L260" xr:uid="{8A1ACA9B-1319-471E-92D4-6372BFA3974D}">
      <formula1>1</formula1>
      <formula2>100</formula2>
    </dataValidation>
    <dataValidation type="custom" allowBlank="1" showInputMessage="1" showErrorMessage="1" errorTitle="Utilizar múltiplos de 4 unidades" error="Utilizar múltiplos de 4 unidades" promptTitle="Utilizar múltiplos de 4 unidades" prompt="Utilizar múltiplos de 4 unidades" sqref="L236 L289" xr:uid="{496F46AF-3DF7-4E55-AE21-C764AFA12DB4}">
      <formula1>MOD(L236:L239,4)=0</formula1>
    </dataValidation>
    <dataValidation type="custom" allowBlank="1" showInputMessage="1" showErrorMessage="1" errorTitle="Utilizar múltiplos de 4 unidades" error="Utilizar múltiplos de 4 unidades" promptTitle="Utilizar múltiplos de 4 unidades" prompt="Utilizar múltiplos de 4 unidades" sqref="L264:L273 L262 L171:L172" xr:uid="{8ECED147-50F9-4E0D-8937-E10C42B64241}">
      <formula1>MOD(L171:L188,4)=0</formula1>
    </dataValidation>
    <dataValidation type="custom" allowBlank="1" showInputMessage="1" showErrorMessage="1" errorTitle="Utilizar múltiplos de 4 unidades" error="Utilizar múltiplos de 4 unidades" promptTitle="Utilizar múltiplos de 4 unidades" prompt="Utilizar múltiplos de 4 unidades" sqref="L191:L194" xr:uid="{6DABCA05-4ABC-4599-B219-E5C16508ECA1}">
      <formula1>MOD(L191:L203,4)=0</formula1>
    </dataValidation>
    <dataValidation type="custom" allowBlank="1" showInputMessage="1" showErrorMessage="1" errorTitle="Utilizar múltiplos de 4 unidades" error="Utilizar múltiplos de 4 unidades" promptTitle="Utilizar múltiplos de 4 unidades" prompt="Utilizar múltiplos de 4 unidades" sqref="L237:L238 L290:L291" xr:uid="{7ADB218A-BC52-475B-8B53-60DBA729CFF2}">
      <formula1>MOD(L237:L239,4)=0</formula1>
    </dataValidation>
    <dataValidation type="custom" allowBlank="1" showInputMessage="1" showErrorMessage="1" promptTitle="*** ATENÇÃO ***" prompt="Cada unidade digitada corresponde a 1 unidade do item, sendo múltiplo de 12." sqref="L156:L157" xr:uid="{6E598689-2A17-47E3-BFDB-77CE0D5A25BD}">
      <formula1>MOD(L156:L156,12)=0</formula1>
    </dataValidation>
    <dataValidation type="custom" allowBlank="1" showInputMessage="1" showErrorMessage="1" promptTitle="*** ATENÇÃO ***" prompt="Cada unidade digitada corresponde a 1 unidade do item, sendo múltiplo de 12." sqref="L146 L148" xr:uid="{0831AF82-41F6-4ED9-8E1B-2DDA66AFC711}">
      <formula1>MOD(L146:L156,12)=0</formula1>
    </dataValidation>
    <dataValidation type="custom" allowBlank="1" showInputMessage="1" showErrorMessage="1" promptTitle="*** ATENÇÃO ***" prompt="Cada unidade digitada corresponde a 1 unidade do item, sendo múltiplo de 12." sqref="L153 L29" xr:uid="{B3529B1C-D904-4659-A7D3-20281F27A350}">
      <formula1>MOD(L29:L32,12)=0</formula1>
    </dataValidation>
    <dataValidation type="custom" allowBlank="1" showInputMessage="1" showErrorMessage="1" promptTitle="*** ATENÇÃO ***" prompt="Cada unidade digitada corresponde a 1 unidade do item, sendo múltiplo de 12." sqref="L154:L155" xr:uid="{AD492059-F6CA-4533-80CD-87B8FED8AAE8}">
      <formula1>MOD(L154:L155,12)=0</formula1>
    </dataValidation>
    <dataValidation type="custom" allowBlank="1" showInputMessage="1" showErrorMessage="1" errorTitle="Utilizar múltiplos de 4 unidades" error="Utilizar múltiplos de 4 unidades" promptTitle="Utilizar múltiplos de 4 unidades" prompt="Utilizar múltiplos de 4 unidades" sqref="L229:L230 L213:L216" xr:uid="{418C7666-8CA6-454A-A8B1-5199E74CBA50}">
      <formula1>MOD(L213:L223,4)=0</formula1>
    </dataValidation>
    <dataValidation type="custom" allowBlank="1" showInputMessage="1" showErrorMessage="1" errorTitle="Utilizar múltiplos de 4 unidades" error="Utilizar múltiplos de 4 unidades" promptTitle="Utilizar múltiplos de 4 unidades" prompt="Utilizar múltiplos de 4 unidades" sqref="L261" xr:uid="{CD13BC36-B0D8-481C-9670-66CB0E6662E0}">
      <formula1>MOD(L261:L280,4)=0</formula1>
    </dataValidation>
    <dataValidation type="list" allowBlank="1" showInputMessage="1" showErrorMessage="1" sqref="L54:L55 L116:L123 L93:L95 L97 L32:L44 L57" xr:uid="{F84ECD1D-CDF6-4354-B333-5086FFC6DA16}">
      <formula1>$S$17:$S$109</formula1>
    </dataValidation>
    <dataValidation type="custom" allowBlank="1" showInputMessage="1" showErrorMessage="1" errorTitle="Utilizar múltiplos de 12 unid," error="Utilizar múltiplos de 12 unid." promptTitle="Utilizar múltiplos de 12 unid" sqref="L140:L144" xr:uid="{F82593A7-F048-4BBA-812A-09ED0C965618}">
      <formula1>MOD(L140:L145,12)=0</formula1>
    </dataValidation>
    <dataValidation type="custom" allowBlank="1" showInputMessage="1" showErrorMessage="1" errorTitle="Utilizar múltiplos de 12 unid," error="Utilizar múltiplos de 12 unid." promptTitle="Utilizar múltiplos de 12 unid" sqref="L145" xr:uid="{9A1E1B3B-7875-4064-94EB-F0CD5F243227}">
      <formula1>MOD(L145:L152,12)=0</formula1>
    </dataValidation>
    <dataValidation type="custom" allowBlank="1" showInputMessage="1" showErrorMessage="1" promptTitle="*** ATENÇÃO ***" prompt="Cada unidade digitada corresponde a 1 unidade do item, sendo múltiplo de 12." sqref="L150" xr:uid="{29460845-5FA1-414C-9AB4-255D99C06544}">
      <formula1>MOD(L150:L155,12)=0</formula1>
    </dataValidation>
    <dataValidation type="custom" allowBlank="1" showInputMessage="1" showErrorMessage="1" promptTitle="*** ATENÇÃO ***" prompt="Cada unidade digitada corresponde a 1 unidade do item, sendo múltiplo de 12." sqref="L151:L152" xr:uid="{24044855-F9A0-4A7B-919D-08BA8A2C2789}">
      <formula1>MOD(L151:L155,12)=0</formula1>
    </dataValidation>
    <dataValidation type="custom" allowBlank="1" showInputMessage="1" showErrorMessage="1" promptTitle="*** ATENÇÃO ***" prompt="Cada unidade digitada corresponde a 1 unidade do item, sendo múltiplo de 12." sqref="L149" xr:uid="{4F556A6B-3512-4125-B799-0F64F032735E}">
      <formula1>MOD(L149:L160,12)=0</formula1>
    </dataValidation>
    <dataValidation type="custom" allowBlank="1" showInputMessage="1" showErrorMessage="1" promptTitle="*** ATENÇÃO ***" prompt="Cada unidade digitada corresponde a 1 unidade do item, sendo múltiplo de 12." sqref="L147" xr:uid="{BD8F0FFA-A244-4B8A-9ED4-D2166B99CB20}">
      <formula1>MOD(L147:L156,12)=0</formula1>
    </dataValidation>
    <dataValidation type="custom" allowBlank="1" showInputMessage="1" showErrorMessage="1" errorTitle="Utilizar múltiplos de 3 unidades" error="Utilizar múltiplos de 3 unidades" promptTitle="Utilizar múltiplos de 3 unidades" prompt="Utilizar múltiplos de 3 unidades" sqref="L246:L247" xr:uid="{02A2A41E-C577-4B2F-AC48-C97232513786}">
      <formula1>MOD(L246:L260,3)=0</formula1>
    </dataValidation>
    <dataValidation type="custom" allowBlank="1" showInputMessage="1" showErrorMessage="1" errorTitle="Utilizar múltiplos de 10 unid." error="Utilizar múltiplos de 10 unid." promptTitle="Utilizar múltiplos de 10 unid." sqref="L124:L128 L250 L195:L212 L168 L58:L64" xr:uid="{F621AAE1-CA25-44C3-96AF-C3B0D64A8FF8}">
      <formula1>MOD(L58:L63,10)=0</formula1>
    </dataValidation>
    <dataValidation type="custom" allowBlank="1" showInputMessage="1" showErrorMessage="1" errorTitle="Utilizar múltiplos de 4 unidades" error="Utilizar múltiplos de 4 unidades" promptTitle="Utilizar múltiplos de 4 unidades" prompt="Utilizar múltiplos de 4 unidades" sqref="L280" xr:uid="{F8637D63-F12D-4EB7-8941-999BCD377ACB}">
      <formula1>MOD(L280:L293,4)=0</formula1>
    </dataValidation>
    <dataValidation type="custom" allowBlank="1" showInputMessage="1" showErrorMessage="1" errorTitle="Utilizar múltiplos de 4 unidades" error="Utilizar múltiplos de 4 unidades" promptTitle="Utilizar múltiplos de 4 unidades" prompt="Utilizar múltiplos de 4 unidades" sqref="L292:L307 L239" xr:uid="{002DC035-E919-45D3-97FA-80B31ECF2988}">
      <formula1>MOD(L239:L240,4)=0</formula1>
    </dataValidation>
    <dataValidation type="custom" allowBlank="1" showInputMessage="1" showErrorMessage="1" errorTitle="Utilizar múltiplos de 3 unidades" error="Utilizar múltiplos de 3 unidades" promptTitle="Utilizar múltiplos de 3 unidades" prompt="Utilizar múltiplos de 3 unidades" sqref="L288" xr:uid="{B9D3AB43-E190-4E99-B777-A138AA58990E}">
      <formula1>MOD(L288:L293,3)=0</formula1>
    </dataValidation>
    <dataValidation type="custom" allowBlank="1" showInputMessage="1" showErrorMessage="1" errorTitle="Utilizar múltiplos de 3 unidades" error="Utilizar múltiplos de 3 unidades" promptTitle="Utilizar múltiplos de 3 unidades" prompt="Utilizar múltiplos de 3 unidades" sqref="L286:L287" xr:uid="{595D58D7-BA6E-4EAB-BAE2-98A2F577864E}">
      <formula1>MOD(L286:L292,3)=0</formula1>
    </dataValidation>
    <dataValidation type="custom" allowBlank="1" showInputMessage="1" showErrorMessage="1" errorTitle="Utilizar múltiplos de 4 unidades" error="Utilizar múltiplos de 4 unidades" promptTitle="Utilizar múltiplos de 4 unidades" prompt="Utilizar múltiplos de 4 unidades" sqref="L274:L277 L173 L170" xr:uid="{C0F198E6-75A7-400A-A4B4-A62ADADF82B3}">
      <formula1>MOD(L170:L185,4)=0</formula1>
    </dataValidation>
    <dataValidation type="custom" allowBlank="1" showInputMessage="1" showErrorMessage="1" errorTitle="Utilizar múltiplos de 3 unidades" error="Utilizar múltiplos de 3 unidades" promptTitle="Utilizar múltiplos de 3 unidades" prompt="Utilizar múltiplos de 3 unidades" sqref="L281:L285" xr:uid="{360A4F43-0215-4C05-9F02-25C72031F8AC}">
      <formula1>MOD(L281:L288,3)=0</formula1>
    </dataValidation>
    <dataValidation type="custom" allowBlank="1" showInputMessage="1" showErrorMessage="1" errorTitle="Utilizar múltiplos de 4 unidades" error="Utilizar múltiplos de 4 unidades" promptTitle="Utilizar múltiplos de 4 unidades" prompt="Utilizar múltiplos de 4 unidades" sqref="L278:L279" xr:uid="{C19262C7-136D-46BA-B6BD-65191DA35AC3}">
      <formula1>MOD(L278:L292,4)=0</formula1>
    </dataValidation>
    <dataValidation type="custom" allowBlank="1" showInputMessage="1" showErrorMessage="1" errorTitle="Utilizar múltiplos de 4 unidades" error="Utilizar múltiplos de 4 unidades" promptTitle="Utilizar múltiplos de 4 unidades" prompt="Utilizar múltiplos de 4 unidades" sqref="L263" xr:uid="{6B260A92-060C-4369-8616-D8A49E812027}">
      <formula1>MOD(L263:L281,4)=0</formula1>
    </dataValidation>
    <dataValidation type="custom" allowBlank="1" showInputMessage="1" showErrorMessage="1" errorTitle="Utilizar múltiplos de 3 unidades" error="Utilizar múltiplos de 3 unidades" promptTitle="Utilizar múltiplos de 3 unidades" prompt="Utilizar múltiplos de 3 unidades" sqref="L248:L249" xr:uid="{48C6753A-25F4-4348-924D-BF176BDE6322}">
      <formula1>MOD(L248:L264,3)=0</formula1>
    </dataValidation>
    <dataValidation type="custom" allowBlank="1" showInputMessage="1" showErrorMessage="1" errorTitle="Utilizar múltiplos de 3 unidades" error="Utilizar múltiplos de 3 unidades" promptTitle="Utilizar múltiplos de 3 unidades" prompt="Utilizar múltiplos de 3 unidades" sqref="L240" xr:uid="{51E1C654-8CF7-446B-8DCE-87CCEA464AEF}">
      <formula1>MOD(L240:L250,3)=0</formula1>
    </dataValidation>
    <dataValidation type="custom" allowBlank="1" showInputMessage="1" showErrorMessage="1" errorTitle="Utilizar múltiplos de 4 unidades" error="Utilizar múltiplos de 4 unidades" promptTitle="Utilizar múltiplos de 4 unidades" prompt="Utilizar múltiplos de 4 unidades" sqref="L231:L235 L217:L223" xr:uid="{1B033C23-1372-4EDD-8EC2-D643D479AE7D}">
      <formula1>MOD(L217:L226,4)=0</formula1>
    </dataValidation>
    <dataValidation type="custom" allowBlank="1" showInputMessage="1" showErrorMessage="1" errorTitle="Utilizar múltiplos de 3 unidades" error="Utilizar múltiplos de 3 unidades" promptTitle="Utilizar múltiplos de 3 unidades" prompt="Utilizar múltiplos de 3 unidades" sqref="L241:L245" xr:uid="{2D3A1623-7A1F-474D-94F5-BC1C855959C7}">
      <formula1>MOD(L241:L254,3)=0</formula1>
    </dataValidation>
    <dataValidation type="custom" allowBlank="1" showInputMessage="1" showErrorMessage="1" errorTitle="Utilizar múltiplos de 4 unidades" error="Utilizar múltiplos de 4 unidades" promptTitle="Utilizar múltiplos de 4 unidades" prompt="Utilizar múltiplos de 4 unidades" sqref="L175:L183" xr:uid="{236D1AF3-14E2-4375-8EAF-1533CCDCDA11}">
      <formula1>MOD(L175:L197,4)=0</formula1>
    </dataValidation>
    <dataValidation type="custom" allowBlank="1" showInputMessage="1" showErrorMessage="1" errorTitle="Utilizar múltiplos de 4 unidades" error="Utilizar múltiplos de 4 unidades" promptTitle="Utilizar múltiplos de 4 unidades" prompt="Utilizar múltiplos de 4 unidades" sqref="L184:L187" xr:uid="{E4D7D118-2AB6-4EEA-929A-1A7CAA239D35}">
      <formula1>MOD(L184:L207,4)=0</formula1>
    </dataValidation>
    <dataValidation type="custom" allowBlank="1" showInputMessage="1" showErrorMessage="1" errorTitle="Utilizar múltiplos de 4 unidades" error="Utilizar múltiplos de 4 unidades" promptTitle="Utilizar múltiplos de 4 unidades" prompt="Utilizar múltiplos de 4 unidades" sqref="L174" xr:uid="{90714924-F1C1-4553-A046-0119C26D1AF4}">
      <formula1>MOD(L174:L190,4)=0</formula1>
    </dataValidation>
    <dataValidation type="custom" allowBlank="1" showInputMessage="1" showErrorMessage="1" errorTitle="Utilizar múltiplos de 10 unid." error="Utilizar múltiplos de 10 unid." promptTitle="Utilizar múltiplos de 10 unid." sqref="L169 L162:L163 L65:L67" xr:uid="{06767214-8A6E-4E4C-ACCF-B7F25887D872}">
      <formula1>MOD(L65:L69,10)=0</formula1>
    </dataValidation>
    <dataValidation type="custom" allowBlank="1" showInputMessage="1" showErrorMessage="1" errorTitle="Utilizar múltiplos de 10 unid." error="Utilizar múltiplos de 10 unid." promptTitle="Utilizar múltiplos de 10 unid." sqref="L164:L167" xr:uid="{BF28A6BE-3413-4AE9-A83A-14323BE76231}">
      <formula1>MOD(L164:L170,10)=0</formula1>
    </dataValidation>
    <dataValidation type="custom" allowBlank="1" showInputMessage="1" showErrorMessage="1" errorTitle="Utilizar múltiplos de 10 unid." error="Utilizar múltiplos de 10 unid." promptTitle="Utilizar múltiplos de 10 unid." sqref="L161" xr:uid="{EE956D43-8969-4665-AEEA-107D3C872434}">
      <formula1>MOD(L161:L164,10)=0</formula1>
    </dataValidation>
    <dataValidation type="custom" allowBlank="1" showInputMessage="1" showErrorMessage="1" errorTitle="Utilizar múltiplos de 10 unid." error="Utilizar múltiplos de 10 unid." promptTitle="Utilizar múltiplos de 10 unid." sqref="L68:L69" xr:uid="{73A2A8C2-3F65-4BF2-A4FE-F41DA322B538}">
      <formula1>MOD(L68:L70,10)=0</formula1>
    </dataValidation>
    <dataValidation type="list" allowBlank="1" showInputMessage="1" showErrorMessage="1" sqref="L56" xr:uid="{766C8152-0ED1-4882-81D0-F8995DE36044}">
      <formula1>$U$17:$U$109</formula1>
    </dataValidation>
    <dataValidation type="custom" allowBlank="1" showInputMessage="1" showErrorMessage="1" promptTitle="*** ATENÇÃO ***" prompt="Cada unidade digitada corresponde a 1 unidade do item, sendo múltiplo de 12." sqref="L30:L31" xr:uid="{77B2ADEE-E6EE-47BD-8C3F-1C879D74C812}">
      <formula1>MOD(L30:L32,12)=0</formula1>
    </dataValidation>
    <dataValidation type="custom" allowBlank="1" showInputMessage="1" showErrorMessage="1" promptTitle="*** ATENÇÃO ***" prompt="Cada unidade digitada corresponde a 1 unidade do item, sendo múltiplo de 12." sqref="L24:L28" xr:uid="{AA0DEBD1-94CB-49F4-8C53-0F16B1F11FEB}">
      <formula1>MOD(L24:L31,12)=0</formula1>
    </dataValidation>
    <dataValidation type="custom" allowBlank="1" showInputMessage="1" showErrorMessage="1" errorTitle="Utilizar múltiplos de 4 unidades" error="Utilizar múltiplos de 4 unidades" promptTitle="Utilizar múltiplos de 4 unidades" prompt="Utilizar múltiplos de 4 unidades" sqref="L17:L18" xr:uid="{6E12A56C-5663-456F-B8D4-79705A083A14}">
      <formula1>MOD(L17:L23,4)=0</formula1>
    </dataValidation>
    <dataValidation type="custom" allowBlank="1" showInputMessage="1" showErrorMessage="1" errorTitle="Utilizar múltiplos de 4 unidades" error="Utilizar múltiplos de 4 unidades" promptTitle="Utilizar múltiplos de 4 unidades" prompt="Utilizar múltiplos de 4 unidades" sqref="L19:L23" xr:uid="{7A903B37-6F04-4ED7-A8B6-A346A1B5D0CB}">
      <formula1>MOD(L19:L24,4)=0</formula1>
    </dataValidation>
    <dataValidation type="custom" allowBlank="1" showInputMessage="1" showErrorMessage="1" errorTitle="Utilizar múltiplos de 4 unidades" error="Utilizar múltiplos de 4 unidades" promptTitle="Utilizar múltiplos de 4 unidades" prompt="Utilizar múltiplos de 4 unidades" sqref="L224:L228" xr:uid="{276BD6E1-681B-4851-A2C8-216D156A8304}">
      <formula1>MOD(L224:L235,4)=0</formula1>
    </dataValidation>
  </dataValidations>
  <pageMargins left="0.511811024" right="0.511811024" top="0.78740157499999996" bottom="0.78740157499999996" header="0" footer="0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F5E5C1C2-1C5E-435D-838E-720BEC1C63CE}">
          <x14:formula1>
            <xm:f>Sup!$A$2:$A$3</xm:f>
          </x14:formula1>
          <xm:sqref>D8</xm:sqref>
        </x14:dataValidation>
        <x14:dataValidation type="list" allowBlank="1" showInputMessage="1" showErrorMessage="1" xr:uid="{079A9381-124B-4269-995F-DE14075DEE49}">
          <x14:formula1>
            <xm:f>Cálculo!$CC$1:$CC$5</xm:f>
          </x14:formula1>
          <xm:sqref>D5</xm:sqref>
        </x14:dataValidation>
        <x14:dataValidation type="list" allowBlank="1" showInputMessage="1" showErrorMessage="1" xr:uid="{CBB23375-7A2E-4C3D-A07A-49F97CE4B137}">
          <x14:formula1>
            <xm:f>Cálculo!$CE$1:$CE$5</xm:f>
          </x14:formula1>
          <xm:sqref>D6</xm:sqref>
        </x14:dataValidation>
        <x14:dataValidation type="list" allowBlank="1" showErrorMessage="1" xr:uid="{7501E689-F519-4A8F-B243-CECB9E43B67A}">
          <x14:formula1>
            <xm:f>IF(#REF!="TinoBoleto",Sup!$P$2,IF(D11="Boleto",IF(#REF!&gt;Sup!K1048574,b_100k,IF(#REF!&gt;Sup!J1048574,b_75k,IF(#REF!&gt;Sup!I1048574,b_50k,IF(#REF!&gt;Sup!H1048574,b_25k,IF(#REF!&gt;Sup!G1048574,b_10k,IF(#REF!&gt;Sup!F1048574,b_5001,IF(#REF!&gt;Sup!E1048574,b_3k,IF(#REF!&gt;Sup!D1048574,b_1k,)))))))),IF(D11="C. Crédito",ccr,"")))</xm:f>
          </x14:formula1>
          <xm:sqref>D12</xm:sqref>
        </x14:dataValidation>
        <x14:dataValidation type="list" allowBlank="1" showErrorMessage="1" xr:uid="{305A2AA5-78A1-417D-8773-D9388C90D574}">
          <x14:formula1>
            <xm:f>IF($D$9="A prazo",formadepgto,IF($D$9="Tino",Sup!P3,""))</xm:f>
          </x14:formula1>
          <xm:sqref>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95CA8-9106-4191-9C9E-70678987E557}">
  <dimension ref="A1:D5"/>
  <sheetViews>
    <sheetView workbookViewId="0">
      <selection activeCell="A5" sqref="A5"/>
    </sheetView>
  </sheetViews>
  <sheetFormatPr defaultRowHeight="10.199999999999999"/>
  <cols>
    <col min="1" max="1" width="10.140625" bestFit="1" customWidth="1"/>
    <col min="2" max="2" width="31.7109375" bestFit="1" customWidth="1"/>
    <col min="3" max="3" width="24.85546875" bestFit="1" customWidth="1"/>
    <col min="4" max="4" width="6.28515625" bestFit="1" customWidth="1"/>
  </cols>
  <sheetData>
    <row r="1" spans="1:4">
      <c r="A1">
        <v>450327107</v>
      </c>
      <c r="B1" t="s">
        <v>340</v>
      </c>
      <c r="C1" t="s">
        <v>726</v>
      </c>
      <c r="D1" t="s">
        <v>123</v>
      </c>
    </row>
    <row r="2" spans="1:4">
      <c r="A2">
        <v>460469001</v>
      </c>
      <c r="B2" t="s">
        <v>755</v>
      </c>
      <c r="D2" t="s">
        <v>135</v>
      </c>
    </row>
    <row r="3" spans="1:4">
      <c r="A3">
        <v>430213134</v>
      </c>
      <c r="B3" t="s">
        <v>59</v>
      </c>
      <c r="C3" t="s">
        <v>757</v>
      </c>
      <c r="D3" t="s">
        <v>61</v>
      </c>
    </row>
    <row r="4" spans="1:4">
      <c r="A4">
        <v>430213133</v>
      </c>
      <c r="B4" t="s">
        <v>59</v>
      </c>
      <c r="C4" t="s">
        <v>758</v>
      </c>
      <c r="D4" t="s">
        <v>61</v>
      </c>
    </row>
    <row r="5" spans="1:4">
      <c r="A5">
        <v>411127116</v>
      </c>
      <c r="B5" t="s">
        <v>226</v>
      </c>
      <c r="C5" t="s">
        <v>591</v>
      </c>
      <c r="D5" t="s">
        <v>123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D3783-16AE-4350-807D-63E9A42E4076}">
  <dimension ref="A1:B650"/>
  <sheetViews>
    <sheetView topLeftCell="A619" workbookViewId="0">
      <selection activeCell="A652" sqref="A652"/>
    </sheetView>
  </sheetViews>
  <sheetFormatPr defaultRowHeight="10.199999999999999"/>
  <cols>
    <col min="1" max="1" width="13.85546875" bestFit="1" customWidth="1"/>
    <col min="2" max="2" width="25.28515625" bestFit="1" customWidth="1"/>
  </cols>
  <sheetData>
    <row r="1" spans="1:2">
      <c r="A1" t="s">
        <v>765</v>
      </c>
      <c r="B1" t="s">
        <v>766</v>
      </c>
    </row>
    <row r="2" spans="1:2">
      <c r="A2">
        <v>520349101</v>
      </c>
      <c r="B2" t="s">
        <v>767</v>
      </c>
    </row>
    <row r="3" spans="1:2">
      <c r="A3">
        <v>520349100</v>
      </c>
      <c r="B3" t="s">
        <v>767</v>
      </c>
    </row>
    <row r="4" spans="1:2">
      <c r="A4">
        <v>520349079</v>
      </c>
      <c r="B4" t="s">
        <v>767</v>
      </c>
    </row>
    <row r="5" spans="1:2">
      <c r="A5">
        <v>520349051</v>
      </c>
      <c r="B5" t="s">
        <v>767</v>
      </c>
    </row>
    <row r="6" spans="1:2">
      <c r="A6">
        <v>520349027</v>
      </c>
      <c r="B6" t="s">
        <v>767</v>
      </c>
    </row>
    <row r="7" spans="1:2">
      <c r="A7">
        <v>520349080</v>
      </c>
      <c r="B7" t="s">
        <v>767</v>
      </c>
    </row>
    <row r="8" spans="1:2">
      <c r="A8">
        <v>520349083</v>
      </c>
      <c r="B8" t="s">
        <v>767</v>
      </c>
    </row>
    <row r="9" spans="1:2">
      <c r="A9">
        <v>520349081</v>
      </c>
      <c r="B9" t="s">
        <v>767</v>
      </c>
    </row>
    <row r="10" spans="1:2">
      <c r="A10">
        <v>510339080</v>
      </c>
      <c r="B10" t="s">
        <v>767</v>
      </c>
    </row>
    <row r="11" spans="1:2">
      <c r="A11">
        <v>510339081</v>
      </c>
      <c r="B11" t="s">
        <v>767</v>
      </c>
    </row>
    <row r="12" spans="1:2">
      <c r="A12">
        <v>510339079</v>
      </c>
      <c r="B12" t="s">
        <v>767</v>
      </c>
    </row>
    <row r="13" spans="1:2">
      <c r="A13">
        <v>510339023</v>
      </c>
      <c r="B13" t="s">
        <v>767</v>
      </c>
    </row>
    <row r="14" spans="1:2">
      <c r="A14">
        <v>460158070</v>
      </c>
      <c r="B14" t="s">
        <v>767</v>
      </c>
    </row>
    <row r="15" spans="1:2">
      <c r="A15">
        <v>460158019</v>
      </c>
      <c r="B15" t="s">
        <v>767</v>
      </c>
    </row>
    <row r="16" spans="1:2">
      <c r="A16">
        <v>460158069</v>
      </c>
      <c r="B16" t="s">
        <v>767</v>
      </c>
    </row>
    <row r="17" spans="1:2">
      <c r="A17">
        <v>460135019</v>
      </c>
      <c r="B17" t="s">
        <v>767</v>
      </c>
    </row>
    <row r="18" spans="1:2">
      <c r="A18">
        <v>460135069</v>
      </c>
      <c r="B18" t="s">
        <v>767</v>
      </c>
    </row>
    <row r="19" spans="1:2">
      <c r="A19">
        <v>460135072</v>
      </c>
      <c r="B19" t="s">
        <v>767</v>
      </c>
    </row>
    <row r="20" spans="1:2">
      <c r="A20">
        <v>460135023</v>
      </c>
      <c r="B20" t="s">
        <v>767</v>
      </c>
    </row>
    <row r="21" spans="1:2">
      <c r="A21">
        <v>460135068</v>
      </c>
      <c r="B21" t="s">
        <v>767</v>
      </c>
    </row>
    <row r="22" spans="1:2">
      <c r="A22">
        <v>460135115</v>
      </c>
      <c r="B22" t="s">
        <v>767</v>
      </c>
    </row>
    <row r="23" spans="1:2">
      <c r="A23">
        <v>460135116</v>
      </c>
      <c r="B23" t="s">
        <v>767</v>
      </c>
    </row>
    <row r="24" spans="1:2">
      <c r="A24">
        <v>460135070</v>
      </c>
      <c r="B24" t="s">
        <v>767</v>
      </c>
    </row>
    <row r="25" spans="1:2">
      <c r="A25">
        <v>460160019</v>
      </c>
      <c r="B25" t="s">
        <v>767</v>
      </c>
    </row>
    <row r="26" spans="1:2">
      <c r="A26">
        <v>460160068</v>
      </c>
      <c r="B26" t="s">
        <v>767</v>
      </c>
    </row>
    <row r="27" spans="1:2">
      <c r="A27">
        <v>460160072</v>
      </c>
      <c r="B27" t="s">
        <v>767</v>
      </c>
    </row>
    <row r="28" spans="1:2">
      <c r="A28">
        <v>460160070</v>
      </c>
      <c r="B28" t="s">
        <v>767</v>
      </c>
    </row>
    <row r="29" spans="1:2">
      <c r="A29">
        <v>460160069</v>
      </c>
      <c r="B29" t="s">
        <v>767</v>
      </c>
    </row>
    <row r="30" spans="1:2">
      <c r="A30">
        <v>520504001</v>
      </c>
      <c r="B30" t="s">
        <v>768</v>
      </c>
    </row>
    <row r="31" spans="1:2">
      <c r="A31">
        <v>410201001</v>
      </c>
      <c r="B31" t="s">
        <v>768</v>
      </c>
    </row>
    <row r="32" spans="1:2">
      <c r="A32">
        <v>410268001</v>
      </c>
      <c r="B32" t="s">
        <v>768</v>
      </c>
    </row>
    <row r="33" spans="1:2">
      <c r="A33">
        <v>410204001</v>
      </c>
      <c r="B33" t="s">
        <v>768</v>
      </c>
    </row>
    <row r="34" spans="1:2">
      <c r="A34">
        <v>431201001</v>
      </c>
      <c r="B34" t="s">
        <v>768</v>
      </c>
    </row>
    <row r="35" spans="1:2">
      <c r="A35">
        <v>431204001</v>
      </c>
      <c r="B35" t="s">
        <v>768</v>
      </c>
    </row>
    <row r="36" spans="1:2">
      <c r="A36">
        <v>510539001</v>
      </c>
      <c r="B36" t="s">
        <v>768</v>
      </c>
    </row>
    <row r="37" spans="1:2">
      <c r="A37">
        <v>410301001</v>
      </c>
      <c r="B37" t="s">
        <v>768</v>
      </c>
    </row>
    <row r="38" spans="1:2">
      <c r="A38">
        <v>410304001</v>
      </c>
      <c r="B38" t="s">
        <v>768</v>
      </c>
    </row>
    <row r="39" spans="1:2">
      <c r="A39">
        <v>410368001</v>
      </c>
      <c r="B39" t="s">
        <v>768</v>
      </c>
    </row>
    <row r="40" spans="1:2">
      <c r="A40">
        <v>410312001</v>
      </c>
      <c r="B40" t="s">
        <v>768</v>
      </c>
    </row>
    <row r="41" spans="1:2">
      <c r="A41">
        <v>520554099</v>
      </c>
      <c r="B41" t="s">
        <v>768</v>
      </c>
    </row>
    <row r="42" spans="1:2">
      <c r="A42">
        <v>520554034</v>
      </c>
      <c r="B42" t="s">
        <v>768</v>
      </c>
    </row>
    <row r="43" spans="1:2">
      <c r="A43">
        <v>520554098</v>
      </c>
      <c r="B43" t="s">
        <v>768</v>
      </c>
    </row>
    <row r="44" spans="1:2">
      <c r="A44">
        <v>80010056</v>
      </c>
      <c r="B44" t="s">
        <v>769</v>
      </c>
    </row>
    <row r="45" spans="1:2">
      <c r="A45">
        <v>81010016</v>
      </c>
      <c r="B45" t="s">
        <v>769</v>
      </c>
    </row>
    <row r="46" spans="1:2">
      <c r="A46">
        <v>83010588</v>
      </c>
      <c r="B46" t="s">
        <v>769</v>
      </c>
    </row>
    <row r="47" spans="1:2">
      <c r="A47">
        <v>81010126</v>
      </c>
      <c r="B47" t="s">
        <v>769</v>
      </c>
    </row>
    <row r="48" spans="1:2">
      <c r="A48">
        <v>50000099</v>
      </c>
      <c r="B48" t="s">
        <v>769</v>
      </c>
    </row>
    <row r="49" spans="1:2">
      <c r="A49">
        <v>11110006</v>
      </c>
      <c r="B49" t="s">
        <v>769</v>
      </c>
    </row>
    <row r="50" spans="1:2">
      <c r="A50">
        <v>81010120</v>
      </c>
      <c r="B50" t="s">
        <v>769</v>
      </c>
    </row>
    <row r="51" spans="1:2">
      <c r="A51">
        <v>83011816</v>
      </c>
      <c r="B51" t="s">
        <v>769</v>
      </c>
    </row>
    <row r="52" spans="1:2">
      <c r="A52">
        <v>80010159</v>
      </c>
      <c r="B52" t="s">
        <v>769</v>
      </c>
    </row>
    <row r="53" spans="1:2">
      <c r="A53">
        <v>81010127</v>
      </c>
      <c r="B53" t="s">
        <v>769</v>
      </c>
    </row>
    <row r="54" spans="1:2">
      <c r="A54">
        <v>81010125</v>
      </c>
      <c r="B54" t="s">
        <v>769</v>
      </c>
    </row>
    <row r="55" spans="1:2">
      <c r="A55">
        <v>81010119</v>
      </c>
      <c r="B55" t="s">
        <v>769</v>
      </c>
    </row>
    <row r="56" spans="1:2">
      <c r="A56">
        <v>83010709</v>
      </c>
      <c r="B56" t="s">
        <v>769</v>
      </c>
    </row>
    <row r="57" spans="1:2">
      <c r="A57">
        <v>11170003</v>
      </c>
      <c r="B57" t="s">
        <v>769</v>
      </c>
    </row>
    <row r="58" spans="1:2">
      <c r="A58">
        <v>20020031</v>
      </c>
      <c r="B58" t="s">
        <v>769</v>
      </c>
    </row>
    <row r="59" spans="1:2">
      <c r="A59">
        <v>411708061</v>
      </c>
      <c r="B59" t="s">
        <v>769</v>
      </c>
    </row>
    <row r="60" spans="1:2">
      <c r="A60">
        <v>411708029</v>
      </c>
      <c r="B60" t="s">
        <v>769</v>
      </c>
    </row>
    <row r="61" spans="1:2">
      <c r="A61">
        <v>411708054</v>
      </c>
      <c r="B61" t="s">
        <v>769</v>
      </c>
    </row>
    <row r="62" spans="1:2">
      <c r="A62">
        <v>50000064</v>
      </c>
      <c r="B62" t="s">
        <v>769</v>
      </c>
    </row>
    <row r="63" spans="1:2">
      <c r="A63">
        <v>50000065</v>
      </c>
      <c r="B63" t="s">
        <v>769</v>
      </c>
    </row>
    <row r="64" spans="1:2">
      <c r="A64">
        <v>412043001</v>
      </c>
      <c r="B64" t="s">
        <v>769</v>
      </c>
    </row>
    <row r="65" spans="1:2">
      <c r="A65">
        <v>431109001</v>
      </c>
      <c r="B65" t="s">
        <v>769</v>
      </c>
    </row>
    <row r="66" spans="1:2">
      <c r="A66">
        <v>431141003</v>
      </c>
      <c r="B66" t="s">
        <v>769</v>
      </c>
    </row>
    <row r="67" spans="1:2">
      <c r="A67">
        <v>431142015</v>
      </c>
      <c r="B67" t="s">
        <v>769</v>
      </c>
    </row>
    <row r="68" spans="1:2">
      <c r="A68">
        <v>431142014</v>
      </c>
      <c r="B68" t="s">
        <v>769</v>
      </c>
    </row>
    <row r="69" spans="1:2">
      <c r="A69">
        <v>50000164</v>
      </c>
      <c r="B69" t="s">
        <v>769</v>
      </c>
    </row>
    <row r="70" spans="1:2">
      <c r="A70">
        <v>50000098</v>
      </c>
      <c r="B70" t="s">
        <v>769</v>
      </c>
    </row>
    <row r="71" spans="1:2">
      <c r="A71">
        <v>50000142</v>
      </c>
      <c r="B71" t="s">
        <v>769</v>
      </c>
    </row>
    <row r="72" spans="1:2">
      <c r="A72">
        <v>50000143</v>
      </c>
      <c r="B72" t="s">
        <v>769</v>
      </c>
    </row>
    <row r="73" spans="1:2">
      <c r="A73">
        <v>50000122</v>
      </c>
      <c r="B73" t="s">
        <v>769</v>
      </c>
    </row>
    <row r="74" spans="1:2">
      <c r="A74">
        <v>50000108</v>
      </c>
      <c r="B74" t="s">
        <v>769</v>
      </c>
    </row>
    <row r="75" spans="1:2">
      <c r="A75">
        <v>50000136</v>
      </c>
      <c r="B75" t="s">
        <v>769</v>
      </c>
    </row>
    <row r="76" spans="1:2">
      <c r="A76">
        <v>50000087</v>
      </c>
      <c r="B76" t="s">
        <v>769</v>
      </c>
    </row>
    <row r="77" spans="1:2">
      <c r="A77">
        <v>50000121</v>
      </c>
      <c r="B77" t="s">
        <v>769</v>
      </c>
    </row>
    <row r="78" spans="1:2">
      <c r="A78">
        <v>50000127</v>
      </c>
      <c r="B78" t="s">
        <v>769</v>
      </c>
    </row>
    <row r="79" spans="1:2">
      <c r="A79">
        <v>50000106</v>
      </c>
      <c r="B79" t="s">
        <v>769</v>
      </c>
    </row>
    <row r="80" spans="1:2">
      <c r="A80">
        <v>50000119</v>
      </c>
      <c r="B80" t="s">
        <v>769</v>
      </c>
    </row>
    <row r="81" spans="1:2">
      <c r="A81">
        <v>50000086</v>
      </c>
      <c r="B81" t="s">
        <v>769</v>
      </c>
    </row>
    <row r="82" spans="1:2">
      <c r="A82">
        <v>50000137</v>
      </c>
      <c r="B82" t="s">
        <v>769</v>
      </c>
    </row>
    <row r="83" spans="1:2">
      <c r="A83">
        <v>50000131</v>
      </c>
      <c r="B83" t="s">
        <v>769</v>
      </c>
    </row>
    <row r="84" spans="1:2">
      <c r="A84">
        <v>50000113</v>
      </c>
      <c r="B84" t="s">
        <v>769</v>
      </c>
    </row>
    <row r="85" spans="1:2">
      <c r="A85">
        <v>50000126</v>
      </c>
      <c r="B85" t="s">
        <v>769</v>
      </c>
    </row>
    <row r="86" spans="1:2">
      <c r="A86">
        <v>50000128</v>
      </c>
      <c r="B86" t="s">
        <v>769</v>
      </c>
    </row>
    <row r="87" spans="1:2">
      <c r="A87">
        <v>50000129</v>
      </c>
      <c r="B87" t="s">
        <v>769</v>
      </c>
    </row>
    <row r="88" spans="1:2">
      <c r="A88">
        <v>50000133</v>
      </c>
      <c r="B88" t="s">
        <v>769</v>
      </c>
    </row>
    <row r="89" spans="1:2">
      <c r="A89">
        <v>50000132</v>
      </c>
      <c r="B89" t="s">
        <v>769</v>
      </c>
    </row>
    <row r="90" spans="1:2">
      <c r="A90">
        <v>50000090</v>
      </c>
      <c r="B90" t="s">
        <v>769</v>
      </c>
    </row>
    <row r="91" spans="1:2">
      <c r="A91">
        <v>50000092</v>
      </c>
      <c r="B91" t="s">
        <v>769</v>
      </c>
    </row>
    <row r="92" spans="1:2">
      <c r="A92">
        <v>50000120</v>
      </c>
      <c r="B92" t="s">
        <v>769</v>
      </c>
    </row>
    <row r="93" spans="1:2">
      <c r="A93">
        <v>50000089</v>
      </c>
      <c r="B93" t="s">
        <v>769</v>
      </c>
    </row>
    <row r="94" spans="1:2">
      <c r="A94">
        <v>50000111</v>
      </c>
      <c r="B94" t="s">
        <v>769</v>
      </c>
    </row>
    <row r="95" spans="1:2">
      <c r="A95">
        <v>50000157</v>
      </c>
      <c r="B95" t="s">
        <v>769</v>
      </c>
    </row>
    <row r="96" spans="1:2">
      <c r="A96">
        <v>50000118</v>
      </c>
      <c r="B96" t="s">
        <v>769</v>
      </c>
    </row>
    <row r="97" spans="1:2">
      <c r="A97">
        <v>50000110</v>
      </c>
      <c r="B97" t="s">
        <v>769</v>
      </c>
    </row>
    <row r="98" spans="1:2">
      <c r="A98">
        <v>50000152</v>
      </c>
      <c r="B98" t="s">
        <v>769</v>
      </c>
    </row>
    <row r="99" spans="1:2">
      <c r="A99">
        <v>50000107</v>
      </c>
      <c r="B99" t="s">
        <v>769</v>
      </c>
    </row>
    <row r="100" spans="1:2">
      <c r="A100">
        <v>50000153</v>
      </c>
      <c r="B100" t="s">
        <v>769</v>
      </c>
    </row>
    <row r="101" spans="1:2">
      <c r="A101">
        <v>50000124</v>
      </c>
      <c r="B101" t="s">
        <v>769</v>
      </c>
    </row>
    <row r="102" spans="1:2">
      <c r="A102">
        <v>50000085</v>
      </c>
      <c r="B102" t="s">
        <v>769</v>
      </c>
    </row>
    <row r="103" spans="1:2">
      <c r="A103">
        <v>50000155</v>
      </c>
      <c r="B103" t="s">
        <v>769</v>
      </c>
    </row>
    <row r="104" spans="1:2">
      <c r="A104">
        <v>50000135</v>
      </c>
      <c r="B104" t="s">
        <v>769</v>
      </c>
    </row>
    <row r="105" spans="1:2">
      <c r="A105">
        <v>50000130</v>
      </c>
      <c r="B105" t="s">
        <v>769</v>
      </c>
    </row>
    <row r="106" spans="1:2">
      <c r="A106">
        <v>50000134</v>
      </c>
      <c r="B106" t="s">
        <v>769</v>
      </c>
    </row>
    <row r="107" spans="1:2">
      <c r="A107">
        <v>50000159</v>
      </c>
      <c r="B107" t="s">
        <v>769</v>
      </c>
    </row>
    <row r="108" spans="1:2">
      <c r="A108">
        <v>50000158</v>
      </c>
      <c r="B108" t="s">
        <v>769</v>
      </c>
    </row>
    <row r="109" spans="1:2">
      <c r="A109">
        <v>50000154</v>
      </c>
      <c r="B109" t="s">
        <v>769</v>
      </c>
    </row>
    <row r="110" spans="1:2">
      <c r="A110">
        <v>50000156</v>
      </c>
      <c r="B110" t="s">
        <v>769</v>
      </c>
    </row>
    <row r="111" spans="1:2">
      <c r="A111">
        <v>50000123</v>
      </c>
      <c r="B111" t="s">
        <v>769</v>
      </c>
    </row>
    <row r="112" spans="1:2">
      <c r="A112">
        <v>50000112</v>
      </c>
      <c r="B112" t="s">
        <v>769</v>
      </c>
    </row>
    <row r="113" spans="1:2">
      <c r="A113">
        <v>50000125</v>
      </c>
      <c r="B113" t="s">
        <v>769</v>
      </c>
    </row>
    <row r="114" spans="1:2">
      <c r="A114">
        <v>50000109</v>
      </c>
      <c r="B114" t="s">
        <v>769</v>
      </c>
    </row>
    <row r="115" spans="1:2">
      <c r="A115">
        <v>50000091</v>
      </c>
      <c r="B115" t="s">
        <v>769</v>
      </c>
    </row>
    <row r="116" spans="1:2">
      <c r="A116">
        <v>50000088</v>
      </c>
      <c r="B116" t="s">
        <v>769</v>
      </c>
    </row>
    <row r="117" spans="1:2">
      <c r="A117">
        <v>450205040</v>
      </c>
      <c r="B117" t="s">
        <v>769</v>
      </c>
    </row>
    <row r="118" spans="1:2">
      <c r="A118">
        <v>450206033</v>
      </c>
      <c r="B118" t="s">
        <v>769</v>
      </c>
    </row>
    <row r="119" spans="1:2">
      <c r="A119">
        <v>450206024</v>
      </c>
      <c r="B119" t="s">
        <v>769</v>
      </c>
    </row>
    <row r="120" spans="1:2">
      <c r="A120">
        <v>450206046</v>
      </c>
      <c r="B120" t="s">
        <v>769</v>
      </c>
    </row>
    <row r="121" spans="1:2">
      <c r="A121">
        <v>450206074</v>
      </c>
      <c r="B121" t="s">
        <v>769</v>
      </c>
    </row>
    <row r="122" spans="1:2">
      <c r="A122">
        <v>450206025</v>
      </c>
      <c r="B122" t="s">
        <v>769</v>
      </c>
    </row>
    <row r="123" spans="1:2">
      <c r="A123">
        <v>450311107</v>
      </c>
      <c r="B123" t="s">
        <v>769</v>
      </c>
    </row>
    <row r="124" spans="1:2">
      <c r="A124">
        <v>450311025</v>
      </c>
      <c r="B124" t="s">
        <v>769</v>
      </c>
    </row>
    <row r="125" spans="1:2">
      <c r="A125">
        <v>450307026</v>
      </c>
      <c r="B125" t="s">
        <v>769</v>
      </c>
    </row>
    <row r="126" spans="1:2">
      <c r="A126">
        <v>450311033</v>
      </c>
      <c r="B126" t="s">
        <v>769</v>
      </c>
    </row>
    <row r="127" spans="1:2">
      <c r="A127">
        <v>50000100</v>
      </c>
      <c r="B127" t="s">
        <v>769</v>
      </c>
    </row>
    <row r="128" spans="1:2">
      <c r="A128">
        <v>50000030</v>
      </c>
      <c r="B128" t="s">
        <v>769</v>
      </c>
    </row>
    <row r="129" spans="1:2">
      <c r="A129">
        <v>50000075</v>
      </c>
      <c r="B129" t="s">
        <v>769</v>
      </c>
    </row>
    <row r="130" spans="1:2">
      <c r="A130">
        <v>50000084</v>
      </c>
      <c r="B130" t="s">
        <v>769</v>
      </c>
    </row>
    <row r="131" spans="1:2">
      <c r="A131">
        <v>50000076</v>
      </c>
      <c r="B131" t="s">
        <v>769</v>
      </c>
    </row>
    <row r="132" spans="1:2">
      <c r="A132">
        <v>50000083</v>
      </c>
      <c r="B132" t="s">
        <v>769</v>
      </c>
    </row>
    <row r="133" spans="1:2">
      <c r="A133">
        <v>50000061</v>
      </c>
      <c r="B133" t="s">
        <v>769</v>
      </c>
    </row>
    <row r="134" spans="1:2">
      <c r="A134">
        <v>50000067</v>
      </c>
      <c r="B134" t="s">
        <v>769</v>
      </c>
    </row>
    <row r="135" spans="1:2">
      <c r="A135">
        <v>50000105</v>
      </c>
      <c r="B135" t="s">
        <v>769</v>
      </c>
    </row>
    <row r="136" spans="1:2">
      <c r="A136">
        <v>50000102</v>
      </c>
      <c r="B136" t="s">
        <v>769</v>
      </c>
    </row>
    <row r="137" spans="1:2">
      <c r="A137">
        <v>50000104</v>
      </c>
      <c r="B137" t="s">
        <v>769</v>
      </c>
    </row>
    <row r="138" spans="1:2">
      <c r="A138">
        <v>50000103</v>
      </c>
      <c r="B138" t="s">
        <v>769</v>
      </c>
    </row>
    <row r="139" spans="1:2">
      <c r="A139">
        <v>50000068</v>
      </c>
      <c r="B139" t="s">
        <v>769</v>
      </c>
    </row>
    <row r="140" spans="1:2">
      <c r="A140">
        <v>50000040</v>
      </c>
      <c r="B140" t="s">
        <v>769</v>
      </c>
    </row>
    <row r="141" spans="1:2">
      <c r="A141">
        <v>50000050</v>
      </c>
      <c r="B141" t="s">
        <v>769</v>
      </c>
    </row>
    <row r="142" spans="1:2">
      <c r="A142">
        <v>450124003</v>
      </c>
      <c r="B142" t="s">
        <v>769</v>
      </c>
    </row>
    <row r="143" spans="1:2">
      <c r="A143">
        <v>450124016</v>
      </c>
      <c r="B143" t="s">
        <v>769</v>
      </c>
    </row>
    <row r="144" spans="1:2">
      <c r="A144">
        <v>420737112</v>
      </c>
      <c r="B144" t="s">
        <v>769</v>
      </c>
    </row>
    <row r="145" spans="1:2">
      <c r="A145">
        <v>420739067</v>
      </c>
      <c r="B145" t="s">
        <v>769</v>
      </c>
    </row>
    <row r="146" spans="1:2">
      <c r="A146">
        <v>420737111</v>
      </c>
      <c r="B146" t="s">
        <v>769</v>
      </c>
    </row>
    <row r="147" spans="1:2">
      <c r="A147">
        <v>420737064</v>
      </c>
      <c r="B147" t="s">
        <v>769</v>
      </c>
    </row>
    <row r="148" spans="1:2">
      <c r="A148">
        <v>420737065</v>
      </c>
      <c r="B148" t="s">
        <v>769</v>
      </c>
    </row>
    <row r="149" spans="1:2">
      <c r="A149">
        <v>420737062</v>
      </c>
      <c r="B149" t="s">
        <v>769</v>
      </c>
    </row>
    <row r="150" spans="1:2">
      <c r="A150">
        <v>420739062</v>
      </c>
      <c r="B150" t="s">
        <v>769</v>
      </c>
    </row>
    <row r="151" spans="1:2">
      <c r="A151">
        <v>420739077</v>
      </c>
      <c r="B151" t="s">
        <v>769</v>
      </c>
    </row>
    <row r="152" spans="1:2">
      <c r="A152">
        <v>420737067</v>
      </c>
      <c r="B152" t="s">
        <v>769</v>
      </c>
    </row>
    <row r="153" spans="1:2">
      <c r="A153">
        <v>420739065</v>
      </c>
      <c r="B153" t="s">
        <v>769</v>
      </c>
    </row>
    <row r="154" spans="1:2">
      <c r="A154">
        <v>420739064</v>
      </c>
      <c r="B154" t="s">
        <v>769</v>
      </c>
    </row>
    <row r="155" spans="1:2">
      <c r="A155">
        <v>420739076</v>
      </c>
      <c r="B155" t="s">
        <v>769</v>
      </c>
    </row>
    <row r="156" spans="1:2">
      <c r="A156">
        <v>420739063</v>
      </c>
      <c r="B156" t="s">
        <v>769</v>
      </c>
    </row>
    <row r="157" spans="1:2">
      <c r="A157">
        <v>420739036</v>
      </c>
      <c r="B157" t="s">
        <v>769</v>
      </c>
    </row>
    <row r="158" spans="1:2">
      <c r="A158">
        <v>420737036</v>
      </c>
      <c r="B158" t="s">
        <v>769</v>
      </c>
    </row>
    <row r="159" spans="1:2">
      <c r="A159">
        <v>420737066</v>
      </c>
      <c r="B159" t="s">
        <v>769</v>
      </c>
    </row>
    <row r="160" spans="1:2">
      <c r="A160">
        <v>420737044</v>
      </c>
      <c r="B160" t="s">
        <v>769</v>
      </c>
    </row>
    <row r="161" spans="1:2">
      <c r="A161">
        <v>420739066</v>
      </c>
      <c r="B161" t="s">
        <v>769</v>
      </c>
    </row>
    <row r="162" spans="1:2">
      <c r="A162">
        <v>420737063</v>
      </c>
      <c r="B162" t="s">
        <v>769</v>
      </c>
    </row>
    <row r="163" spans="1:2">
      <c r="A163">
        <v>420737046</v>
      </c>
      <c r="B163" t="s">
        <v>769</v>
      </c>
    </row>
    <row r="164" spans="1:2">
      <c r="A164">
        <v>420739046</v>
      </c>
      <c r="B164" t="s">
        <v>769</v>
      </c>
    </row>
    <row r="165" spans="1:2">
      <c r="A165">
        <v>420737030</v>
      </c>
      <c r="B165" t="s">
        <v>769</v>
      </c>
    </row>
    <row r="166" spans="1:2">
      <c r="A166">
        <v>420114037</v>
      </c>
      <c r="B166" t="s">
        <v>769</v>
      </c>
    </row>
    <row r="167" spans="1:2">
      <c r="A167">
        <v>420114032</v>
      </c>
      <c r="B167" t="s">
        <v>769</v>
      </c>
    </row>
    <row r="168" spans="1:2">
      <c r="A168">
        <v>420114002</v>
      </c>
      <c r="B168" t="s">
        <v>769</v>
      </c>
    </row>
    <row r="169" spans="1:2">
      <c r="A169">
        <v>420114034</v>
      </c>
      <c r="B169" t="s">
        <v>769</v>
      </c>
    </row>
    <row r="170" spans="1:2">
      <c r="A170">
        <v>420114031</v>
      </c>
      <c r="B170" t="s">
        <v>769</v>
      </c>
    </row>
    <row r="171" spans="1:2">
      <c r="A171">
        <v>420214031</v>
      </c>
      <c r="B171" t="s">
        <v>769</v>
      </c>
    </row>
    <row r="172" spans="1:2">
      <c r="A172">
        <v>420214032</v>
      </c>
      <c r="B172" t="s">
        <v>769</v>
      </c>
    </row>
    <row r="173" spans="1:2">
      <c r="A173">
        <v>420214002</v>
      </c>
      <c r="B173" t="s">
        <v>769</v>
      </c>
    </row>
    <row r="174" spans="1:2">
      <c r="A174">
        <v>431909009</v>
      </c>
      <c r="B174" t="s">
        <v>769</v>
      </c>
    </row>
    <row r="175" spans="1:2">
      <c r="A175">
        <v>431909014</v>
      </c>
      <c r="B175" t="s">
        <v>769</v>
      </c>
    </row>
    <row r="176" spans="1:2">
      <c r="A176">
        <v>431909039</v>
      </c>
      <c r="B176" t="s">
        <v>769</v>
      </c>
    </row>
    <row r="177" spans="1:2">
      <c r="A177">
        <v>430110009</v>
      </c>
      <c r="B177" t="s">
        <v>769</v>
      </c>
    </row>
    <row r="178" spans="1:2">
      <c r="A178">
        <v>430110039</v>
      </c>
      <c r="B178" t="s">
        <v>769</v>
      </c>
    </row>
    <row r="179" spans="1:2">
      <c r="A179">
        <v>430110014</v>
      </c>
      <c r="B179" t="s">
        <v>769</v>
      </c>
    </row>
    <row r="180" spans="1:2">
      <c r="A180">
        <v>430209047</v>
      </c>
      <c r="B180" t="s">
        <v>769</v>
      </c>
    </row>
    <row r="181" spans="1:2">
      <c r="A181">
        <v>430209004</v>
      </c>
      <c r="B181" t="s">
        <v>769</v>
      </c>
    </row>
    <row r="182" spans="1:2">
      <c r="A182">
        <v>430209083</v>
      </c>
      <c r="B182" t="s">
        <v>769</v>
      </c>
    </row>
    <row r="183" spans="1:2">
      <c r="A183">
        <v>430209036</v>
      </c>
      <c r="B183" t="s">
        <v>769</v>
      </c>
    </row>
    <row r="184" spans="1:2">
      <c r="A184">
        <v>430209021</v>
      </c>
      <c r="B184" t="s">
        <v>769</v>
      </c>
    </row>
    <row r="185" spans="1:2">
      <c r="A185">
        <v>430209005</v>
      </c>
      <c r="B185" t="s">
        <v>769</v>
      </c>
    </row>
    <row r="186" spans="1:2">
      <c r="A186">
        <v>430209032</v>
      </c>
      <c r="B186" t="s">
        <v>769</v>
      </c>
    </row>
    <row r="187" spans="1:2">
      <c r="A187">
        <v>430209029</v>
      </c>
      <c r="B187" t="s">
        <v>769</v>
      </c>
    </row>
    <row r="188" spans="1:2">
      <c r="A188">
        <v>430209019</v>
      </c>
      <c r="B188" t="s">
        <v>769</v>
      </c>
    </row>
    <row r="189" spans="1:2">
      <c r="A189">
        <v>430213032</v>
      </c>
      <c r="B189" t="s">
        <v>769</v>
      </c>
    </row>
    <row r="190" spans="1:2">
      <c r="A190">
        <v>430213035</v>
      </c>
      <c r="B190" t="s">
        <v>769</v>
      </c>
    </row>
    <row r="191" spans="1:2">
      <c r="A191">
        <v>430213019</v>
      </c>
      <c r="B191" t="s">
        <v>769</v>
      </c>
    </row>
    <row r="192" spans="1:2">
      <c r="A192">
        <v>430213005</v>
      </c>
      <c r="B192" t="s">
        <v>769</v>
      </c>
    </row>
    <row r="193" spans="1:2">
      <c r="A193">
        <v>430213047</v>
      </c>
      <c r="B193" t="s">
        <v>769</v>
      </c>
    </row>
    <row r="194" spans="1:2">
      <c r="A194">
        <v>430213004</v>
      </c>
      <c r="B194" t="s">
        <v>769</v>
      </c>
    </row>
    <row r="195" spans="1:2">
      <c r="A195">
        <v>430213021</v>
      </c>
      <c r="B195" t="s">
        <v>769</v>
      </c>
    </row>
    <row r="196" spans="1:2">
      <c r="A196">
        <v>430213029</v>
      </c>
      <c r="B196" t="s">
        <v>769</v>
      </c>
    </row>
    <row r="197" spans="1:2">
      <c r="A197">
        <v>430213083</v>
      </c>
      <c r="B197" t="s">
        <v>769</v>
      </c>
    </row>
    <row r="198" spans="1:2">
      <c r="A198">
        <v>430213036</v>
      </c>
      <c r="B198" t="s">
        <v>769</v>
      </c>
    </row>
    <row r="199" spans="1:2">
      <c r="A199">
        <v>410401001</v>
      </c>
      <c r="B199" t="s">
        <v>769</v>
      </c>
    </row>
    <row r="200" spans="1:2">
      <c r="A200">
        <v>410404001</v>
      </c>
      <c r="B200" t="s">
        <v>769</v>
      </c>
    </row>
    <row r="201" spans="1:2">
      <c r="A201">
        <v>410468001</v>
      </c>
      <c r="B201" t="s">
        <v>769</v>
      </c>
    </row>
    <row r="202" spans="1:2">
      <c r="A202">
        <v>420314031</v>
      </c>
      <c r="B202" t="s">
        <v>769</v>
      </c>
    </row>
    <row r="203" spans="1:2">
      <c r="A203">
        <v>420314029</v>
      </c>
      <c r="B203" t="s">
        <v>769</v>
      </c>
    </row>
    <row r="204" spans="1:2">
      <c r="A204">
        <v>420314032</v>
      </c>
      <c r="B204" t="s">
        <v>769</v>
      </c>
    </row>
    <row r="205" spans="1:2">
      <c r="A205">
        <v>411834060</v>
      </c>
      <c r="B205" t="s">
        <v>769</v>
      </c>
    </row>
    <row r="206" spans="1:2">
      <c r="A206">
        <v>411834059</v>
      </c>
      <c r="B206" t="s">
        <v>769</v>
      </c>
    </row>
    <row r="207" spans="1:2">
      <c r="A207">
        <v>411834058</v>
      </c>
      <c r="B207" t="s">
        <v>769</v>
      </c>
    </row>
    <row r="208" spans="1:2">
      <c r="A208">
        <v>50000093</v>
      </c>
      <c r="B208" t="s">
        <v>769</v>
      </c>
    </row>
    <row r="209" spans="1:2">
      <c r="A209">
        <v>50000094</v>
      </c>
      <c r="B209" t="s">
        <v>769</v>
      </c>
    </row>
    <row r="210" spans="1:2">
      <c r="A210">
        <v>50000096</v>
      </c>
      <c r="B210" t="s">
        <v>769</v>
      </c>
    </row>
    <row r="211" spans="1:2">
      <c r="A211">
        <v>50000095</v>
      </c>
      <c r="B211" t="s">
        <v>769</v>
      </c>
    </row>
    <row r="212" spans="1:2">
      <c r="A212">
        <v>50000069</v>
      </c>
      <c r="B212" t="s">
        <v>769</v>
      </c>
    </row>
    <row r="213" spans="1:2">
      <c r="A213">
        <v>50000146</v>
      </c>
      <c r="B213" t="s">
        <v>769</v>
      </c>
    </row>
    <row r="214" spans="1:2">
      <c r="A214">
        <v>50000145</v>
      </c>
      <c r="B214" t="s">
        <v>769</v>
      </c>
    </row>
    <row r="215" spans="1:2">
      <c r="A215">
        <v>50000147</v>
      </c>
      <c r="B215" t="s">
        <v>769</v>
      </c>
    </row>
    <row r="216" spans="1:2">
      <c r="A216">
        <v>50000038</v>
      </c>
      <c r="B216" t="s">
        <v>769</v>
      </c>
    </row>
    <row r="217" spans="1:2">
      <c r="A217">
        <v>50000049</v>
      </c>
      <c r="B217" t="s">
        <v>769</v>
      </c>
    </row>
    <row r="218" spans="1:2">
      <c r="A218">
        <v>50000039</v>
      </c>
      <c r="B218" t="s">
        <v>769</v>
      </c>
    </row>
    <row r="219" spans="1:2">
      <c r="A219">
        <v>50000144</v>
      </c>
      <c r="B219" t="s">
        <v>769</v>
      </c>
    </row>
    <row r="220" spans="1:2">
      <c r="A220">
        <v>50000062</v>
      </c>
      <c r="B220" t="s">
        <v>769</v>
      </c>
    </row>
    <row r="221" spans="1:2">
      <c r="A221">
        <v>50000063</v>
      </c>
      <c r="B221" t="s">
        <v>769</v>
      </c>
    </row>
    <row r="222" spans="1:2">
      <c r="A222">
        <v>50000117</v>
      </c>
      <c r="B222" t="s">
        <v>769</v>
      </c>
    </row>
    <row r="223" spans="1:2">
      <c r="A223">
        <v>50000114</v>
      </c>
      <c r="B223" t="s">
        <v>769</v>
      </c>
    </row>
    <row r="224" spans="1:2">
      <c r="A224">
        <v>50000116</v>
      </c>
      <c r="B224" t="s">
        <v>769</v>
      </c>
    </row>
    <row r="225" spans="1:2">
      <c r="A225">
        <v>50000115</v>
      </c>
      <c r="B225" t="s">
        <v>769</v>
      </c>
    </row>
    <row r="226" spans="1:2">
      <c r="A226">
        <v>50000141</v>
      </c>
      <c r="B226" t="s">
        <v>769</v>
      </c>
    </row>
    <row r="227" spans="1:2">
      <c r="A227">
        <v>50000138</v>
      </c>
      <c r="B227" t="s">
        <v>769</v>
      </c>
    </row>
    <row r="228" spans="1:2">
      <c r="A228">
        <v>50000139</v>
      </c>
      <c r="B228" t="s">
        <v>769</v>
      </c>
    </row>
    <row r="229" spans="1:2">
      <c r="A229">
        <v>50000140</v>
      </c>
      <c r="B229" t="s">
        <v>769</v>
      </c>
    </row>
    <row r="230" spans="1:2">
      <c r="A230">
        <v>431009001</v>
      </c>
      <c r="B230" t="s">
        <v>769</v>
      </c>
    </row>
    <row r="231" spans="1:2">
      <c r="A231">
        <v>431042003</v>
      </c>
      <c r="B231" t="s">
        <v>769</v>
      </c>
    </row>
    <row r="232" spans="1:2">
      <c r="A232">
        <v>431042029</v>
      </c>
      <c r="B232" t="s">
        <v>769</v>
      </c>
    </row>
    <row r="233" spans="1:2">
      <c r="A233">
        <v>510639001</v>
      </c>
      <c r="B233" t="s">
        <v>769</v>
      </c>
    </row>
    <row r="234" spans="1:2">
      <c r="A234">
        <v>520601001</v>
      </c>
      <c r="B234" t="s">
        <v>769</v>
      </c>
    </row>
    <row r="235" spans="1:2">
      <c r="A235">
        <v>410608001</v>
      </c>
      <c r="B235" t="s">
        <v>769</v>
      </c>
    </row>
    <row r="236" spans="1:2">
      <c r="A236">
        <v>520114078</v>
      </c>
      <c r="B236" t="s">
        <v>769</v>
      </c>
    </row>
    <row r="237" spans="1:2">
      <c r="A237">
        <v>520114078</v>
      </c>
      <c r="B237" t="s">
        <v>769</v>
      </c>
    </row>
    <row r="238" spans="1:2">
      <c r="A238">
        <v>520114027</v>
      </c>
      <c r="B238" t="s">
        <v>769</v>
      </c>
    </row>
    <row r="239" spans="1:2">
      <c r="A239">
        <v>520114027</v>
      </c>
      <c r="B239" t="s">
        <v>769</v>
      </c>
    </row>
    <row r="240" spans="1:2">
      <c r="A240">
        <v>520152027</v>
      </c>
      <c r="B240" t="s">
        <v>769</v>
      </c>
    </row>
    <row r="241" spans="1:2">
      <c r="A241">
        <v>520152094</v>
      </c>
      <c r="B241" t="s">
        <v>769</v>
      </c>
    </row>
    <row r="242" spans="1:2">
      <c r="A242">
        <v>520152087</v>
      </c>
      <c r="B242" t="s">
        <v>769</v>
      </c>
    </row>
    <row r="243" spans="1:2">
      <c r="A243">
        <v>520152080</v>
      </c>
      <c r="B243" t="s">
        <v>769</v>
      </c>
    </row>
    <row r="244" spans="1:2">
      <c r="A244">
        <v>520152092</v>
      </c>
      <c r="B244" t="s">
        <v>769</v>
      </c>
    </row>
    <row r="245" spans="1:2">
      <c r="A245">
        <v>520152088</v>
      </c>
      <c r="B245" t="s">
        <v>769</v>
      </c>
    </row>
    <row r="246" spans="1:2">
      <c r="A246">
        <v>520152051</v>
      </c>
      <c r="B246" t="s">
        <v>769</v>
      </c>
    </row>
    <row r="247" spans="1:2">
      <c r="A247">
        <v>520152079</v>
      </c>
      <c r="B247" t="s">
        <v>769</v>
      </c>
    </row>
    <row r="248" spans="1:2">
      <c r="A248">
        <v>520152078</v>
      </c>
      <c r="B248" t="s">
        <v>769</v>
      </c>
    </row>
    <row r="249" spans="1:2">
      <c r="A249">
        <v>520104051</v>
      </c>
      <c r="B249" t="s">
        <v>769</v>
      </c>
    </row>
    <row r="250" spans="1:2">
      <c r="A250">
        <v>520104087</v>
      </c>
      <c r="B250" t="s">
        <v>769</v>
      </c>
    </row>
    <row r="251" spans="1:2">
      <c r="A251">
        <v>520104092</v>
      </c>
      <c r="B251" t="s">
        <v>769</v>
      </c>
    </row>
    <row r="252" spans="1:2">
      <c r="A252">
        <v>520104015</v>
      </c>
      <c r="B252" t="s">
        <v>769</v>
      </c>
    </row>
    <row r="253" spans="1:2">
      <c r="A253">
        <v>520104094</v>
      </c>
      <c r="B253" t="s">
        <v>769</v>
      </c>
    </row>
    <row r="254" spans="1:2">
      <c r="A254">
        <v>520104088</v>
      </c>
      <c r="B254" t="s">
        <v>769</v>
      </c>
    </row>
    <row r="255" spans="1:2">
      <c r="A255">
        <v>520104080</v>
      </c>
      <c r="B255" t="s">
        <v>769</v>
      </c>
    </row>
    <row r="256" spans="1:2">
      <c r="A256">
        <v>520104068</v>
      </c>
      <c r="B256" t="s">
        <v>769</v>
      </c>
    </row>
    <row r="257" spans="1:2">
      <c r="A257">
        <v>520104078</v>
      </c>
      <c r="B257" t="s">
        <v>769</v>
      </c>
    </row>
    <row r="258" spans="1:2">
      <c r="A258">
        <v>520104089</v>
      </c>
      <c r="B258" t="s">
        <v>769</v>
      </c>
    </row>
    <row r="259" spans="1:2">
      <c r="A259">
        <v>520104079</v>
      </c>
      <c r="B259" t="s">
        <v>769</v>
      </c>
    </row>
    <row r="260" spans="1:2">
      <c r="A260">
        <v>520104027</v>
      </c>
      <c r="B260" t="s">
        <v>769</v>
      </c>
    </row>
    <row r="261" spans="1:2">
      <c r="A261">
        <v>520155023</v>
      </c>
      <c r="B261" t="s">
        <v>769</v>
      </c>
    </row>
    <row r="262" spans="1:2">
      <c r="A262">
        <v>520155027</v>
      </c>
      <c r="B262" t="s">
        <v>769</v>
      </c>
    </row>
    <row r="263" spans="1:2">
      <c r="A263">
        <v>520214080</v>
      </c>
      <c r="B263" t="s">
        <v>769</v>
      </c>
    </row>
    <row r="264" spans="1:2">
      <c r="A264">
        <v>520214079</v>
      </c>
      <c r="B264" t="s">
        <v>769</v>
      </c>
    </row>
    <row r="265" spans="1:2">
      <c r="A265">
        <v>520214080</v>
      </c>
      <c r="B265" t="s">
        <v>769</v>
      </c>
    </row>
    <row r="266" spans="1:2">
      <c r="A266">
        <v>520204087</v>
      </c>
      <c r="B266" t="s">
        <v>769</v>
      </c>
    </row>
    <row r="267" spans="1:2">
      <c r="A267">
        <v>520204088</v>
      </c>
      <c r="B267" t="s">
        <v>769</v>
      </c>
    </row>
    <row r="268" spans="1:2">
      <c r="A268">
        <v>520204090</v>
      </c>
      <c r="B268" t="s">
        <v>769</v>
      </c>
    </row>
    <row r="269" spans="1:2">
      <c r="A269">
        <v>520204080</v>
      </c>
      <c r="B269" t="s">
        <v>769</v>
      </c>
    </row>
    <row r="270" spans="1:2">
      <c r="A270">
        <v>520204091</v>
      </c>
      <c r="B270" t="s">
        <v>769</v>
      </c>
    </row>
    <row r="271" spans="1:2">
      <c r="A271">
        <v>520204078</v>
      </c>
      <c r="B271" t="s">
        <v>769</v>
      </c>
    </row>
    <row r="272" spans="1:2">
      <c r="A272">
        <v>520204079</v>
      </c>
      <c r="B272" t="s">
        <v>769</v>
      </c>
    </row>
    <row r="273" spans="1:2">
      <c r="A273">
        <v>520204086</v>
      </c>
      <c r="B273" t="s">
        <v>769</v>
      </c>
    </row>
    <row r="274" spans="1:2">
      <c r="A274">
        <v>520204068</v>
      </c>
      <c r="B274" t="s">
        <v>769</v>
      </c>
    </row>
    <row r="275" spans="1:2">
      <c r="A275">
        <v>520204051</v>
      </c>
      <c r="B275" t="s">
        <v>769</v>
      </c>
    </row>
    <row r="276" spans="1:2">
      <c r="A276">
        <v>520204092</v>
      </c>
      <c r="B276" t="s">
        <v>769</v>
      </c>
    </row>
    <row r="277" spans="1:2">
      <c r="A277">
        <v>520255080</v>
      </c>
      <c r="B277" t="s">
        <v>769</v>
      </c>
    </row>
    <row r="278" spans="1:2">
      <c r="A278">
        <v>520255079</v>
      </c>
      <c r="B278" t="s">
        <v>769</v>
      </c>
    </row>
    <row r="279" spans="1:2">
      <c r="A279">
        <v>510239078</v>
      </c>
      <c r="B279" t="s">
        <v>769</v>
      </c>
    </row>
    <row r="280" spans="1:2">
      <c r="A280">
        <v>510239051</v>
      </c>
      <c r="B280" t="s">
        <v>769</v>
      </c>
    </row>
    <row r="281" spans="1:2">
      <c r="A281">
        <v>510239018</v>
      </c>
      <c r="B281" t="s">
        <v>769</v>
      </c>
    </row>
    <row r="282" spans="1:2">
      <c r="A282">
        <v>510239079</v>
      </c>
      <c r="B282" t="s">
        <v>769</v>
      </c>
    </row>
    <row r="283" spans="1:2">
      <c r="A283">
        <v>510139079</v>
      </c>
      <c r="B283" t="s">
        <v>769</v>
      </c>
    </row>
    <row r="284" spans="1:2">
      <c r="A284">
        <v>510139027</v>
      </c>
      <c r="B284" t="s">
        <v>769</v>
      </c>
    </row>
    <row r="285" spans="1:2">
      <c r="A285">
        <v>510139078</v>
      </c>
      <c r="B285" t="s">
        <v>769</v>
      </c>
    </row>
    <row r="286" spans="1:2">
      <c r="A286">
        <v>510139023</v>
      </c>
      <c r="B286" t="s">
        <v>769</v>
      </c>
    </row>
    <row r="287" spans="1:2">
      <c r="A287">
        <v>510139018</v>
      </c>
      <c r="B287" t="s">
        <v>769</v>
      </c>
    </row>
    <row r="288" spans="1:2">
      <c r="A288">
        <v>520751084</v>
      </c>
      <c r="B288" t="s">
        <v>769</v>
      </c>
    </row>
    <row r="289" spans="1:2">
      <c r="A289">
        <v>520751001</v>
      </c>
      <c r="B289" t="s">
        <v>769</v>
      </c>
    </row>
    <row r="290" spans="1:2">
      <c r="A290">
        <v>521304097</v>
      </c>
      <c r="B290" t="s">
        <v>769</v>
      </c>
    </row>
    <row r="291" spans="1:2">
      <c r="A291">
        <v>521304083</v>
      </c>
      <c r="B291" t="s">
        <v>769</v>
      </c>
    </row>
    <row r="292" spans="1:2">
      <c r="A292">
        <v>521304095</v>
      </c>
      <c r="B292" t="s">
        <v>769</v>
      </c>
    </row>
    <row r="293" spans="1:2">
      <c r="A293">
        <v>521304096</v>
      </c>
      <c r="B293" t="s">
        <v>769</v>
      </c>
    </row>
    <row r="294" spans="1:2">
      <c r="A294">
        <v>521355083</v>
      </c>
      <c r="B294" t="s">
        <v>769</v>
      </c>
    </row>
    <row r="295" spans="1:2">
      <c r="A295">
        <v>411604029</v>
      </c>
      <c r="B295" t="s">
        <v>769</v>
      </c>
    </row>
    <row r="296" spans="1:2">
      <c r="A296">
        <v>411604056</v>
      </c>
      <c r="B296" t="s">
        <v>769</v>
      </c>
    </row>
    <row r="297" spans="1:2">
      <c r="A297">
        <v>411604057</v>
      </c>
      <c r="B297" t="s">
        <v>769</v>
      </c>
    </row>
    <row r="298" spans="1:2">
      <c r="A298">
        <v>411604017</v>
      </c>
      <c r="B298" t="s">
        <v>769</v>
      </c>
    </row>
    <row r="299" spans="1:2">
      <c r="A299">
        <v>411604030</v>
      </c>
      <c r="B299" t="s">
        <v>769</v>
      </c>
    </row>
    <row r="300" spans="1:2">
      <c r="A300">
        <v>411604042</v>
      </c>
      <c r="B300" t="s">
        <v>769</v>
      </c>
    </row>
    <row r="301" spans="1:2">
      <c r="A301">
        <v>413804029</v>
      </c>
      <c r="B301" t="s">
        <v>769</v>
      </c>
    </row>
    <row r="302" spans="1:2">
      <c r="A302">
        <v>413804034</v>
      </c>
      <c r="B302" t="s">
        <v>769</v>
      </c>
    </row>
    <row r="303" spans="1:2">
      <c r="A303">
        <v>420612055</v>
      </c>
      <c r="B303" t="s">
        <v>769</v>
      </c>
    </row>
    <row r="304" spans="1:2">
      <c r="A304">
        <v>420612010</v>
      </c>
      <c r="B304" t="s">
        <v>769</v>
      </c>
    </row>
    <row r="305" spans="1:2">
      <c r="A305">
        <v>420612029</v>
      </c>
      <c r="B305" t="s">
        <v>769</v>
      </c>
    </row>
    <row r="306" spans="1:2">
      <c r="A306">
        <v>420612028</v>
      </c>
      <c r="B306" t="s">
        <v>769</v>
      </c>
    </row>
    <row r="307" spans="1:2">
      <c r="A307">
        <v>420612054</v>
      </c>
      <c r="B307" t="s">
        <v>769</v>
      </c>
    </row>
    <row r="308" spans="1:2">
      <c r="A308">
        <v>520429079</v>
      </c>
      <c r="B308" t="s">
        <v>769</v>
      </c>
    </row>
    <row r="309" spans="1:2">
      <c r="A309">
        <v>520429051</v>
      </c>
      <c r="B309" t="s">
        <v>769</v>
      </c>
    </row>
    <row r="310" spans="1:2">
      <c r="A310">
        <v>520429007</v>
      </c>
      <c r="B310" t="s">
        <v>769</v>
      </c>
    </row>
    <row r="311" spans="1:2">
      <c r="A311">
        <v>520429014</v>
      </c>
      <c r="B311" t="s">
        <v>769</v>
      </c>
    </row>
    <row r="312" spans="1:2">
      <c r="A312">
        <v>520429039</v>
      </c>
      <c r="B312" t="s">
        <v>769</v>
      </c>
    </row>
    <row r="313" spans="1:2">
      <c r="A313">
        <v>520412079</v>
      </c>
      <c r="B313" t="s">
        <v>769</v>
      </c>
    </row>
    <row r="314" spans="1:2">
      <c r="A314">
        <v>520412027</v>
      </c>
      <c r="B314" t="s">
        <v>769</v>
      </c>
    </row>
    <row r="315" spans="1:2">
      <c r="A315">
        <v>520412039</v>
      </c>
      <c r="B315" t="s">
        <v>769</v>
      </c>
    </row>
    <row r="316" spans="1:2">
      <c r="A316">
        <v>520412051</v>
      </c>
      <c r="B316" t="s">
        <v>769</v>
      </c>
    </row>
    <row r="317" spans="1:2">
      <c r="A317">
        <v>520412014</v>
      </c>
      <c r="B317" t="s">
        <v>769</v>
      </c>
    </row>
    <row r="318" spans="1:2">
      <c r="A318">
        <v>520412007</v>
      </c>
      <c r="B318" t="s">
        <v>769</v>
      </c>
    </row>
    <row r="319" spans="1:2">
      <c r="A319">
        <v>520412093</v>
      </c>
      <c r="B319" t="s">
        <v>769</v>
      </c>
    </row>
    <row r="320" spans="1:2">
      <c r="A320">
        <v>510439079</v>
      </c>
      <c r="B320" t="s">
        <v>769</v>
      </c>
    </row>
    <row r="321" spans="1:2">
      <c r="A321">
        <v>510439014</v>
      </c>
      <c r="B321" t="s">
        <v>769</v>
      </c>
    </row>
    <row r="322" spans="1:2">
      <c r="A322">
        <v>510439051</v>
      </c>
      <c r="B322" t="s">
        <v>769</v>
      </c>
    </row>
    <row r="323" spans="1:2">
      <c r="A323">
        <v>420414022</v>
      </c>
      <c r="B323" t="s">
        <v>769</v>
      </c>
    </row>
    <row r="324" spans="1:2">
      <c r="A324">
        <v>420414007</v>
      </c>
      <c r="B324" t="s">
        <v>769</v>
      </c>
    </row>
    <row r="325" spans="1:2">
      <c r="A325">
        <v>420514002</v>
      </c>
      <c r="B325" t="s">
        <v>769</v>
      </c>
    </row>
    <row r="326" spans="1:2">
      <c r="A326">
        <v>420514036</v>
      </c>
      <c r="B326" t="s">
        <v>769</v>
      </c>
    </row>
    <row r="327" spans="1:2">
      <c r="A327">
        <v>420514022</v>
      </c>
      <c r="B327" t="s">
        <v>769</v>
      </c>
    </row>
    <row r="328" spans="1:2">
      <c r="A328">
        <v>420514018</v>
      </c>
      <c r="B328" t="s">
        <v>769</v>
      </c>
    </row>
    <row r="329" spans="1:2">
      <c r="A329">
        <v>50000034</v>
      </c>
      <c r="B329" t="s">
        <v>769</v>
      </c>
    </row>
    <row r="330" spans="1:2">
      <c r="A330">
        <v>50000037</v>
      </c>
      <c r="B330" t="s">
        <v>769</v>
      </c>
    </row>
    <row r="331" spans="1:2">
      <c r="A331">
        <v>50000053</v>
      </c>
      <c r="B331" t="s">
        <v>769</v>
      </c>
    </row>
    <row r="332" spans="1:2">
      <c r="A332">
        <v>50000060</v>
      </c>
      <c r="B332" t="s">
        <v>769</v>
      </c>
    </row>
    <row r="333" spans="1:2">
      <c r="A333">
        <v>50000077</v>
      </c>
      <c r="B333" t="s">
        <v>769</v>
      </c>
    </row>
    <row r="334" spans="1:2">
      <c r="A334">
        <v>50000078</v>
      </c>
      <c r="B334" t="s">
        <v>769</v>
      </c>
    </row>
    <row r="335" spans="1:2">
      <c r="A335">
        <v>50000033</v>
      </c>
      <c r="B335" t="s">
        <v>769</v>
      </c>
    </row>
    <row r="336" spans="1:2">
      <c r="A336">
        <v>50000010</v>
      </c>
      <c r="B336" t="s">
        <v>769</v>
      </c>
    </row>
    <row r="337" spans="1:2">
      <c r="A337">
        <v>50000081</v>
      </c>
      <c r="B337" t="s">
        <v>769</v>
      </c>
    </row>
    <row r="338" spans="1:2">
      <c r="A338">
        <v>50000035</v>
      </c>
      <c r="B338" t="s">
        <v>769</v>
      </c>
    </row>
    <row r="339" spans="1:2">
      <c r="A339">
        <v>50000080</v>
      </c>
      <c r="B339" t="s">
        <v>769</v>
      </c>
    </row>
    <row r="340" spans="1:2">
      <c r="A340">
        <v>50000029</v>
      </c>
      <c r="B340" t="s">
        <v>769</v>
      </c>
    </row>
    <row r="341" spans="1:2">
      <c r="A341">
        <v>50000055</v>
      </c>
      <c r="B341" t="s">
        <v>769</v>
      </c>
    </row>
    <row r="342" spans="1:2">
      <c r="A342">
        <v>50000148</v>
      </c>
      <c r="B342" t="s">
        <v>769</v>
      </c>
    </row>
    <row r="343" spans="1:2">
      <c r="A343">
        <v>50000032</v>
      </c>
      <c r="B343" t="s">
        <v>769</v>
      </c>
    </row>
    <row r="344" spans="1:2">
      <c r="A344">
        <v>50000082</v>
      </c>
      <c r="B344" t="s">
        <v>769</v>
      </c>
    </row>
    <row r="345" spans="1:2">
      <c r="A345">
        <v>50000151</v>
      </c>
      <c r="B345" t="s">
        <v>769</v>
      </c>
    </row>
    <row r="346" spans="1:2">
      <c r="A346">
        <v>50000051</v>
      </c>
      <c r="B346" t="s">
        <v>769</v>
      </c>
    </row>
    <row r="347" spans="1:2">
      <c r="A347">
        <v>50000149</v>
      </c>
      <c r="B347" t="s">
        <v>769</v>
      </c>
    </row>
    <row r="348" spans="1:2">
      <c r="A348">
        <v>50000150</v>
      </c>
      <c r="B348" t="s">
        <v>769</v>
      </c>
    </row>
    <row r="349" spans="1:2">
      <c r="A349">
        <v>50000097</v>
      </c>
      <c r="B349" t="s">
        <v>769</v>
      </c>
    </row>
    <row r="350" spans="1:2">
      <c r="A350">
        <v>50000165</v>
      </c>
      <c r="B350" t="s">
        <v>769</v>
      </c>
    </row>
    <row r="351" spans="1:2">
      <c r="A351">
        <v>410722023</v>
      </c>
      <c r="B351" t="s">
        <v>769</v>
      </c>
    </row>
    <row r="352" spans="1:2">
      <c r="A352">
        <v>410722044</v>
      </c>
      <c r="B352" t="s">
        <v>769</v>
      </c>
    </row>
    <row r="353" spans="1:2">
      <c r="A353">
        <v>410722015</v>
      </c>
      <c r="B353" t="s">
        <v>769</v>
      </c>
    </row>
    <row r="354" spans="1:2">
      <c r="A354">
        <v>410722007</v>
      </c>
      <c r="B354" t="s">
        <v>769</v>
      </c>
    </row>
    <row r="355" spans="1:2">
      <c r="A355">
        <v>410722020</v>
      </c>
      <c r="B355" t="s">
        <v>769</v>
      </c>
    </row>
    <row r="356" spans="1:2">
      <c r="A356">
        <v>410722022</v>
      </c>
      <c r="B356" t="s">
        <v>769</v>
      </c>
    </row>
    <row r="357" spans="1:2">
      <c r="A357">
        <v>410722027</v>
      </c>
      <c r="B357" t="s">
        <v>769</v>
      </c>
    </row>
    <row r="358" spans="1:2">
      <c r="A358">
        <v>410722009</v>
      </c>
      <c r="B358" t="s">
        <v>769</v>
      </c>
    </row>
    <row r="359" spans="1:2">
      <c r="A359">
        <v>410722079</v>
      </c>
      <c r="B359" t="s">
        <v>769</v>
      </c>
    </row>
    <row r="360" spans="1:2">
      <c r="A360">
        <v>410722013</v>
      </c>
      <c r="B360" t="s">
        <v>769</v>
      </c>
    </row>
    <row r="361" spans="1:2">
      <c r="A361">
        <v>410722018</v>
      </c>
      <c r="B361" t="s">
        <v>769</v>
      </c>
    </row>
    <row r="362" spans="1:2">
      <c r="A362">
        <v>410722039</v>
      </c>
      <c r="B362" t="s">
        <v>769</v>
      </c>
    </row>
    <row r="363" spans="1:2">
      <c r="A363">
        <v>410722020</v>
      </c>
      <c r="B363" t="s">
        <v>769</v>
      </c>
    </row>
    <row r="364" spans="1:2">
      <c r="A364">
        <v>410722008</v>
      </c>
      <c r="B364" t="s">
        <v>769</v>
      </c>
    </row>
    <row r="365" spans="1:2">
      <c r="A365">
        <v>410709115</v>
      </c>
      <c r="B365" t="s">
        <v>769</v>
      </c>
    </row>
    <row r="366" spans="1:2">
      <c r="A366">
        <v>410709009</v>
      </c>
      <c r="B366" t="s">
        <v>769</v>
      </c>
    </row>
    <row r="367" spans="1:2">
      <c r="A367">
        <v>410809006</v>
      </c>
      <c r="B367" t="s">
        <v>769</v>
      </c>
    </row>
    <row r="368" spans="1:2">
      <c r="A368">
        <v>410709079</v>
      </c>
      <c r="B368" t="s">
        <v>769</v>
      </c>
    </row>
    <row r="369" spans="1:2">
      <c r="A369">
        <v>410709022</v>
      </c>
      <c r="B369" t="s">
        <v>769</v>
      </c>
    </row>
    <row r="370" spans="1:2">
      <c r="A370">
        <v>410709008</v>
      </c>
      <c r="B370" t="s">
        <v>769</v>
      </c>
    </row>
    <row r="371" spans="1:2">
      <c r="A371">
        <v>410709027</v>
      </c>
      <c r="B371" t="s">
        <v>769</v>
      </c>
    </row>
    <row r="372" spans="1:2">
      <c r="A372">
        <v>410809011</v>
      </c>
      <c r="B372" t="s">
        <v>769</v>
      </c>
    </row>
    <row r="373" spans="1:2">
      <c r="A373">
        <v>410809045</v>
      </c>
      <c r="B373" t="s">
        <v>769</v>
      </c>
    </row>
    <row r="374" spans="1:2">
      <c r="A374">
        <v>410709020</v>
      </c>
      <c r="B374" t="s">
        <v>769</v>
      </c>
    </row>
    <row r="375" spans="1:2">
      <c r="A375">
        <v>410709039</v>
      </c>
      <c r="B375" t="s">
        <v>769</v>
      </c>
    </row>
    <row r="376" spans="1:2">
      <c r="A376">
        <v>410809012</v>
      </c>
      <c r="B376" t="s">
        <v>769</v>
      </c>
    </row>
    <row r="377" spans="1:2">
      <c r="A377">
        <v>410709018</v>
      </c>
      <c r="B377" t="s">
        <v>769</v>
      </c>
    </row>
    <row r="378" spans="1:2">
      <c r="A378">
        <v>410709015</v>
      </c>
      <c r="B378" t="s">
        <v>769</v>
      </c>
    </row>
    <row r="379" spans="1:2">
      <c r="A379">
        <v>410809008</v>
      </c>
      <c r="B379" t="s">
        <v>769</v>
      </c>
    </row>
    <row r="380" spans="1:2">
      <c r="A380">
        <v>410809013</v>
      </c>
      <c r="B380" t="s">
        <v>769</v>
      </c>
    </row>
    <row r="381" spans="1:2">
      <c r="A381">
        <v>410709023</v>
      </c>
      <c r="B381" t="s">
        <v>769</v>
      </c>
    </row>
    <row r="382" spans="1:2">
      <c r="A382">
        <v>410809041</v>
      </c>
      <c r="B382" t="s">
        <v>769</v>
      </c>
    </row>
    <row r="383" spans="1:2">
      <c r="A383">
        <v>410709013</v>
      </c>
      <c r="B383" t="s">
        <v>769</v>
      </c>
    </row>
    <row r="384" spans="1:2">
      <c r="A384">
        <v>410713044</v>
      </c>
      <c r="B384" t="s">
        <v>769</v>
      </c>
    </row>
    <row r="385" spans="1:2">
      <c r="A385">
        <v>410713018</v>
      </c>
      <c r="B385" t="s">
        <v>769</v>
      </c>
    </row>
    <row r="386" spans="1:2">
      <c r="A386">
        <v>4107131150</v>
      </c>
      <c r="B386" t="s">
        <v>769</v>
      </c>
    </row>
    <row r="387" spans="1:2">
      <c r="A387">
        <v>410813006</v>
      </c>
      <c r="B387" t="s">
        <v>769</v>
      </c>
    </row>
    <row r="388" spans="1:2">
      <c r="A388">
        <v>410813012</v>
      </c>
      <c r="B388" t="s">
        <v>769</v>
      </c>
    </row>
    <row r="389" spans="1:2">
      <c r="A389">
        <v>410713079</v>
      </c>
      <c r="B389" t="s">
        <v>769</v>
      </c>
    </row>
    <row r="390" spans="1:2">
      <c r="A390">
        <v>410813008</v>
      </c>
      <c r="B390" t="s">
        <v>769</v>
      </c>
    </row>
    <row r="391" spans="1:2">
      <c r="A391">
        <v>410713119</v>
      </c>
      <c r="B391" t="s">
        <v>769</v>
      </c>
    </row>
    <row r="392" spans="1:2">
      <c r="A392">
        <v>410813041</v>
      </c>
      <c r="B392" t="s">
        <v>769</v>
      </c>
    </row>
    <row r="393" spans="1:2">
      <c r="A393">
        <v>410713115</v>
      </c>
      <c r="B393" t="s">
        <v>769</v>
      </c>
    </row>
    <row r="394" spans="1:2">
      <c r="A394">
        <v>410713039</v>
      </c>
      <c r="B394" t="s">
        <v>769</v>
      </c>
    </row>
    <row r="395" spans="1:2">
      <c r="A395">
        <v>410713015</v>
      </c>
      <c r="B395" t="s">
        <v>769</v>
      </c>
    </row>
    <row r="396" spans="1:2">
      <c r="A396">
        <v>410813013</v>
      </c>
      <c r="B396" t="s">
        <v>769</v>
      </c>
    </row>
    <row r="397" spans="1:2">
      <c r="A397">
        <v>410713120</v>
      </c>
      <c r="B397" t="s">
        <v>769</v>
      </c>
    </row>
    <row r="398" spans="1:2">
      <c r="A398">
        <v>410713013</v>
      </c>
      <c r="B398" t="s">
        <v>769</v>
      </c>
    </row>
    <row r="399" spans="1:2">
      <c r="A399">
        <v>410813011</v>
      </c>
      <c r="B399" t="s">
        <v>769</v>
      </c>
    </row>
    <row r="400" spans="1:2">
      <c r="A400">
        <v>410813045</v>
      </c>
      <c r="B400" t="s">
        <v>769</v>
      </c>
    </row>
    <row r="401" spans="1:2">
      <c r="A401">
        <v>410713068</v>
      </c>
      <c r="B401" t="s">
        <v>769</v>
      </c>
    </row>
    <row r="402" spans="1:2">
      <c r="A402">
        <v>410713008</v>
      </c>
      <c r="B402" t="s">
        <v>769</v>
      </c>
    </row>
    <row r="403" spans="1:2">
      <c r="A403">
        <v>410713027</v>
      </c>
      <c r="B403" t="s">
        <v>769</v>
      </c>
    </row>
    <row r="404" spans="1:2">
      <c r="A404">
        <v>410713009</v>
      </c>
      <c r="B404" t="s">
        <v>769</v>
      </c>
    </row>
    <row r="405" spans="1:2">
      <c r="A405">
        <v>410713020</v>
      </c>
      <c r="B405" t="s">
        <v>769</v>
      </c>
    </row>
    <row r="406" spans="1:2">
      <c r="A406">
        <v>410713122</v>
      </c>
      <c r="B406" t="s">
        <v>769</v>
      </c>
    </row>
    <row r="407" spans="1:2">
      <c r="A407">
        <v>410713023</v>
      </c>
      <c r="B407" t="s">
        <v>769</v>
      </c>
    </row>
    <row r="408" spans="1:2">
      <c r="A408">
        <v>410713007</v>
      </c>
      <c r="B408" t="s">
        <v>769</v>
      </c>
    </row>
    <row r="409" spans="1:2">
      <c r="A409">
        <v>410713022</v>
      </c>
      <c r="B409" t="s">
        <v>769</v>
      </c>
    </row>
    <row r="410" spans="1:2">
      <c r="A410">
        <v>413609102</v>
      </c>
      <c r="B410" t="s">
        <v>769</v>
      </c>
    </row>
    <row r="411" spans="1:2">
      <c r="A411">
        <v>413609104</v>
      </c>
      <c r="B411" t="s">
        <v>769</v>
      </c>
    </row>
    <row r="412" spans="1:2">
      <c r="A412">
        <v>413609103</v>
      </c>
      <c r="B412" t="s">
        <v>769</v>
      </c>
    </row>
    <row r="413" spans="1:2">
      <c r="A413">
        <v>410923009</v>
      </c>
      <c r="B413" t="s">
        <v>769</v>
      </c>
    </row>
    <row r="414" spans="1:2">
      <c r="A414">
        <v>411013018</v>
      </c>
      <c r="B414" t="s">
        <v>769</v>
      </c>
    </row>
    <row r="415" spans="1:2">
      <c r="A415">
        <v>411013009</v>
      </c>
      <c r="B415" t="s">
        <v>769</v>
      </c>
    </row>
    <row r="416" spans="1:2">
      <c r="A416">
        <v>411122039</v>
      </c>
      <c r="B416" t="s">
        <v>769</v>
      </c>
    </row>
    <row r="417" spans="1:2">
      <c r="A417">
        <v>411122027</v>
      </c>
      <c r="B417" t="s">
        <v>769</v>
      </c>
    </row>
    <row r="418" spans="1:2">
      <c r="A418">
        <v>411122020</v>
      </c>
      <c r="B418" t="s">
        <v>769</v>
      </c>
    </row>
    <row r="419" spans="1:2">
      <c r="A419">
        <v>411122013</v>
      </c>
      <c r="B419" t="s">
        <v>769</v>
      </c>
    </row>
    <row r="420" spans="1:2">
      <c r="A420">
        <v>411122116</v>
      </c>
      <c r="B420" t="s">
        <v>769</v>
      </c>
    </row>
    <row r="421" spans="1:2">
      <c r="A421">
        <v>411122023</v>
      </c>
      <c r="B421" t="s">
        <v>769</v>
      </c>
    </row>
    <row r="422" spans="1:2">
      <c r="A422">
        <v>411122018</v>
      </c>
      <c r="B422" t="s">
        <v>769</v>
      </c>
    </row>
    <row r="423" spans="1:2">
      <c r="A423">
        <v>411122009</v>
      </c>
      <c r="B423" t="s">
        <v>769</v>
      </c>
    </row>
    <row r="424" spans="1:2">
      <c r="A424">
        <v>411122022</v>
      </c>
      <c r="B424" t="s">
        <v>769</v>
      </c>
    </row>
    <row r="425" spans="1:2">
      <c r="A425">
        <v>411122015</v>
      </c>
      <c r="B425" t="s">
        <v>769</v>
      </c>
    </row>
    <row r="426" spans="1:2">
      <c r="A426">
        <v>411109020</v>
      </c>
      <c r="B426" t="s">
        <v>769</v>
      </c>
    </row>
    <row r="427" spans="1:2">
      <c r="A427">
        <v>411109018</v>
      </c>
      <c r="B427" t="s">
        <v>769</v>
      </c>
    </row>
    <row r="428" spans="1:2">
      <c r="A428">
        <v>411109022</v>
      </c>
      <c r="B428" t="s">
        <v>769</v>
      </c>
    </row>
    <row r="429" spans="1:2">
      <c r="A429">
        <v>411109013</v>
      </c>
      <c r="B429" t="s">
        <v>769</v>
      </c>
    </row>
    <row r="430" spans="1:2">
      <c r="A430">
        <v>411109015</v>
      </c>
      <c r="B430" t="s">
        <v>769</v>
      </c>
    </row>
    <row r="431" spans="1:2">
      <c r="A431">
        <v>411109039</v>
      </c>
      <c r="B431" t="s">
        <v>769</v>
      </c>
    </row>
    <row r="432" spans="1:2">
      <c r="A432">
        <v>411109027</v>
      </c>
      <c r="B432" t="s">
        <v>769</v>
      </c>
    </row>
    <row r="433" spans="1:2">
      <c r="A433">
        <v>411109116</v>
      </c>
      <c r="B433" t="s">
        <v>769</v>
      </c>
    </row>
    <row r="434" spans="1:2">
      <c r="A434">
        <v>411109009</v>
      </c>
      <c r="B434" t="s">
        <v>769</v>
      </c>
    </row>
    <row r="435" spans="1:2">
      <c r="A435">
        <v>411109023</v>
      </c>
      <c r="B435" t="s">
        <v>769</v>
      </c>
    </row>
    <row r="436" spans="1:2">
      <c r="A436">
        <v>411113116</v>
      </c>
      <c r="B436" t="s">
        <v>769</v>
      </c>
    </row>
    <row r="437" spans="1:2">
      <c r="A437">
        <v>411113009</v>
      </c>
      <c r="B437" t="s">
        <v>769</v>
      </c>
    </row>
    <row r="438" spans="1:2">
      <c r="A438">
        <v>411113044</v>
      </c>
      <c r="B438" t="s">
        <v>769</v>
      </c>
    </row>
    <row r="439" spans="1:2">
      <c r="A439">
        <v>411113039</v>
      </c>
      <c r="B439" t="s">
        <v>769</v>
      </c>
    </row>
    <row r="440" spans="1:2">
      <c r="A440">
        <v>411113023</v>
      </c>
      <c r="B440" t="s">
        <v>769</v>
      </c>
    </row>
    <row r="441" spans="1:2">
      <c r="A441">
        <v>411113013</v>
      </c>
      <c r="B441" t="s">
        <v>769</v>
      </c>
    </row>
    <row r="442" spans="1:2">
      <c r="A442">
        <v>411113018</v>
      </c>
      <c r="B442" t="s">
        <v>769</v>
      </c>
    </row>
    <row r="443" spans="1:2">
      <c r="A443">
        <v>411113015</v>
      </c>
      <c r="B443" t="s">
        <v>769</v>
      </c>
    </row>
    <row r="444" spans="1:2">
      <c r="A444">
        <v>411113020</v>
      </c>
      <c r="B444" t="s">
        <v>769</v>
      </c>
    </row>
    <row r="445" spans="1:2">
      <c r="A445">
        <v>411113022</v>
      </c>
      <c r="B445" t="s">
        <v>769</v>
      </c>
    </row>
    <row r="446" spans="1:2">
      <c r="A446">
        <v>411113027</v>
      </c>
      <c r="B446" t="s">
        <v>769</v>
      </c>
    </row>
    <row r="447" spans="1:2">
      <c r="A447">
        <v>411213018</v>
      </c>
      <c r="B447" t="s">
        <v>769</v>
      </c>
    </row>
    <row r="448" spans="1:2">
      <c r="A448">
        <v>411213009</v>
      </c>
      <c r="B448" t="s">
        <v>769</v>
      </c>
    </row>
    <row r="449" spans="1:2">
      <c r="A449">
        <v>414013124</v>
      </c>
      <c r="B449" t="s">
        <v>769</v>
      </c>
    </row>
    <row r="450" spans="1:2">
      <c r="A450">
        <v>414013123</v>
      </c>
      <c r="B450" t="s">
        <v>769</v>
      </c>
    </row>
    <row r="451" spans="1:2">
      <c r="A451">
        <v>414013126</v>
      </c>
      <c r="B451" t="s">
        <v>769</v>
      </c>
    </row>
    <row r="452" spans="1:2">
      <c r="A452">
        <v>414113126</v>
      </c>
      <c r="B452" t="s">
        <v>769</v>
      </c>
    </row>
    <row r="453" spans="1:2">
      <c r="A453">
        <v>414113125</v>
      </c>
      <c r="B453" t="s">
        <v>769</v>
      </c>
    </row>
    <row r="454" spans="1:2">
      <c r="A454">
        <v>431127001</v>
      </c>
      <c r="B454" t="s">
        <v>770</v>
      </c>
    </row>
    <row r="455" spans="1:2">
      <c r="A455">
        <v>431127003</v>
      </c>
      <c r="B455" t="s">
        <v>770</v>
      </c>
    </row>
    <row r="456" spans="1:2">
      <c r="A456">
        <v>431127001</v>
      </c>
      <c r="B456" t="s">
        <v>770</v>
      </c>
    </row>
    <row r="457" spans="1:2">
      <c r="A457">
        <v>450227040</v>
      </c>
      <c r="B457" t="s">
        <v>770</v>
      </c>
    </row>
    <row r="458" spans="1:2">
      <c r="A458">
        <v>450227024</v>
      </c>
      <c r="B458" t="s">
        <v>770</v>
      </c>
    </row>
    <row r="459" spans="1:2">
      <c r="A459">
        <v>450227033</v>
      </c>
      <c r="B459" t="s">
        <v>770</v>
      </c>
    </row>
    <row r="460" spans="1:2">
      <c r="A460">
        <v>450227074</v>
      </c>
      <c r="B460" t="s">
        <v>770</v>
      </c>
    </row>
    <row r="461" spans="1:2">
      <c r="A461">
        <v>450227046</v>
      </c>
      <c r="B461" t="s">
        <v>770</v>
      </c>
    </row>
    <row r="462" spans="1:2">
      <c r="A462">
        <v>450327025</v>
      </c>
      <c r="B462" t="s">
        <v>770</v>
      </c>
    </row>
    <row r="463" spans="1:2">
      <c r="A463">
        <v>450327033</v>
      </c>
      <c r="B463" t="s">
        <v>770</v>
      </c>
    </row>
    <row r="464" spans="1:2">
      <c r="A464">
        <v>450327026</v>
      </c>
      <c r="B464" t="s">
        <v>770</v>
      </c>
    </row>
    <row r="465" spans="1:2">
      <c r="A465">
        <v>420127031</v>
      </c>
      <c r="B465" t="s">
        <v>770</v>
      </c>
    </row>
    <row r="466" spans="1:2">
      <c r="A466">
        <v>420127037</v>
      </c>
      <c r="B466" t="s">
        <v>770</v>
      </c>
    </row>
    <row r="467" spans="1:2">
      <c r="A467">
        <v>420127034</v>
      </c>
      <c r="B467" t="s">
        <v>770</v>
      </c>
    </row>
    <row r="468" spans="1:2">
      <c r="A468">
        <v>420227032</v>
      </c>
      <c r="B468" t="s">
        <v>770</v>
      </c>
    </row>
    <row r="469" spans="1:2">
      <c r="A469">
        <v>420227002</v>
      </c>
      <c r="B469" t="s">
        <v>770</v>
      </c>
    </row>
    <row r="470" spans="1:2">
      <c r="A470">
        <v>430127039</v>
      </c>
      <c r="B470" t="s">
        <v>770</v>
      </c>
    </row>
    <row r="471" spans="1:2">
      <c r="A471">
        <v>430127014</v>
      </c>
      <c r="B471" t="s">
        <v>770</v>
      </c>
    </row>
    <row r="472" spans="1:2">
      <c r="A472">
        <v>430127009</v>
      </c>
      <c r="B472" t="s">
        <v>770</v>
      </c>
    </row>
    <row r="473" spans="1:2">
      <c r="A473">
        <v>430227004</v>
      </c>
      <c r="B473" t="s">
        <v>770</v>
      </c>
    </row>
    <row r="474" spans="1:2">
      <c r="A474">
        <v>430227032</v>
      </c>
      <c r="B474" t="s">
        <v>770</v>
      </c>
    </row>
    <row r="475" spans="1:2">
      <c r="A475">
        <v>430261021</v>
      </c>
      <c r="B475" t="s">
        <v>770</v>
      </c>
    </row>
    <row r="476" spans="1:2">
      <c r="A476">
        <v>430261047</v>
      </c>
      <c r="B476" t="s">
        <v>770</v>
      </c>
    </row>
    <row r="477" spans="1:2">
      <c r="A477">
        <v>430227036</v>
      </c>
      <c r="B477" t="s">
        <v>770</v>
      </c>
    </row>
    <row r="478" spans="1:2">
      <c r="A478">
        <v>430227021</v>
      </c>
      <c r="B478" t="s">
        <v>770</v>
      </c>
    </row>
    <row r="479" spans="1:2">
      <c r="A479">
        <v>430227035</v>
      </c>
      <c r="B479" t="s">
        <v>770</v>
      </c>
    </row>
    <row r="480" spans="1:2">
      <c r="A480">
        <v>430261083</v>
      </c>
      <c r="B480" t="s">
        <v>770</v>
      </c>
    </row>
    <row r="481" spans="1:2">
      <c r="A481">
        <v>430261029</v>
      </c>
      <c r="B481" t="s">
        <v>770</v>
      </c>
    </row>
    <row r="482" spans="1:2">
      <c r="A482">
        <v>430227019</v>
      </c>
      <c r="B482" t="s">
        <v>770</v>
      </c>
    </row>
    <row r="483" spans="1:2">
      <c r="A483">
        <v>430227005</v>
      </c>
      <c r="B483" t="s">
        <v>770</v>
      </c>
    </row>
    <row r="484" spans="1:2">
      <c r="A484">
        <v>430227083</v>
      </c>
      <c r="B484" t="s">
        <v>770</v>
      </c>
    </row>
    <row r="485" spans="1:2">
      <c r="A485">
        <v>430261004</v>
      </c>
      <c r="B485" t="s">
        <v>770</v>
      </c>
    </row>
    <row r="486" spans="1:2">
      <c r="A486">
        <v>430227047</v>
      </c>
      <c r="B486" t="s">
        <v>770</v>
      </c>
    </row>
    <row r="487" spans="1:2">
      <c r="A487">
        <v>430227029</v>
      </c>
      <c r="B487" t="s">
        <v>770</v>
      </c>
    </row>
    <row r="488" spans="1:2">
      <c r="A488">
        <v>430261036</v>
      </c>
      <c r="B488" t="s">
        <v>770</v>
      </c>
    </row>
    <row r="489" spans="1:2">
      <c r="A489">
        <v>430261019</v>
      </c>
      <c r="B489" t="s">
        <v>770</v>
      </c>
    </row>
    <row r="490" spans="1:2">
      <c r="A490">
        <v>431047001</v>
      </c>
      <c r="B490" t="s">
        <v>770</v>
      </c>
    </row>
    <row r="491" spans="1:2">
      <c r="A491">
        <v>431047003</v>
      </c>
      <c r="B491" t="s">
        <v>770</v>
      </c>
    </row>
    <row r="492" spans="1:2">
      <c r="A492">
        <v>430627031</v>
      </c>
      <c r="B492" t="s">
        <v>770</v>
      </c>
    </row>
    <row r="493" spans="1:2">
      <c r="A493">
        <v>410727044</v>
      </c>
      <c r="B493" t="s">
        <v>770</v>
      </c>
    </row>
    <row r="494" spans="1:2">
      <c r="A494">
        <v>410727120</v>
      </c>
      <c r="B494" t="s">
        <v>770</v>
      </c>
    </row>
    <row r="495" spans="1:2">
      <c r="A495">
        <v>410827045</v>
      </c>
      <c r="B495" t="s">
        <v>770</v>
      </c>
    </row>
    <row r="496" spans="1:2">
      <c r="A496">
        <v>410761120</v>
      </c>
      <c r="B496" t="s">
        <v>770</v>
      </c>
    </row>
    <row r="497" spans="1:2">
      <c r="A497">
        <v>410727068</v>
      </c>
      <c r="B497" t="s">
        <v>770</v>
      </c>
    </row>
    <row r="498" spans="1:2">
      <c r="A498">
        <v>410761122</v>
      </c>
      <c r="B498" t="s">
        <v>770</v>
      </c>
    </row>
    <row r="499" spans="1:2">
      <c r="A499">
        <v>410761068</v>
      </c>
      <c r="B499" t="s">
        <v>770</v>
      </c>
    </row>
    <row r="500" spans="1:2">
      <c r="A500">
        <v>410727115</v>
      </c>
      <c r="B500" t="s">
        <v>770</v>
      </c>
    </row>
    <row r="501" spans="1:2">
      <c r="A501">
        <v>410727013</v>
      </c>
      <c r="B501" t="s">
        <v>770</v>
      </c>
    </row>
    <row r="502" spans="1:2">
      <c r="A502">
        <v>410761013</v>
      </c>
      <c r="B502" t="s">
        <v>770</v>
      </c>
    </row>
    <row r="503" spans="1:2">
      <c r="A503">
        <v>410827012</v>
      </c>
      <c r="B503" t="s">
        <v>770</v>
      </c>
    </row>
    <row r="504" spans="1:2">
      <c r="A504">
        <v>410761015</v>
      </c>
      <c r="B504" t="s">
        <v>770</v>
      </c>
    </row>
    <row r="505" spans="1:2">
      <c r="A505">
        <v>410727023</v>
      </c>
      <c r="B505" t="s">
        <v>770</v>
      </c>
    </row>
    <row r="506" spans="1:2">
      <c r="A506">
        <v>410727018</v>
      </c>
      <c r="B506" t="s">
        <v>770</v>
      </c>
    </row>
    <row r="507" spans="1:2">
      <c r="A507">
        <v>410727027</v>
      </c>
      <c r="B507" t="s">
        <v>770</v>
      </c>
    </row>
    <row r="508" spans="1:2">
      <c r="A508">
        <v>410761027</v>
      </c>
      <c r="B508" t="s">
        <v>770</v>
      </c>
    </row>
    <row r="509" spans="1:2">
      <c r="A509">
        <v>410727015</v>
      </c>
      <c r="B509" t="s">
        <v>770</v>
      </c>
    </row>
    <row r="510" spans="1:2">
      <c r="A510">
        <v>410761009</v>
      </c>
      <c r="B510" t="s">
        <v>770</v>
      </c>
    </row>
    <row r="511" spans="1:2">
      <c r="A511">
        <v>410761020</v>
      </c>
      <c r="B511" t="s">
        <v>770</v>
      </c>
    </row>
    <row r="512" spans="1:2">
      <c r="A512">
        <v>410761039</v>
      </c>
      <c r="B512" t="s">
        <v>770</v>
      </c>
    </row>
    <row r="513" spans="1:2">
      <c r="A513">
        <v>410727039</v>
      </c>
      <c r="B513" t="s">
        <v>770</v>
      </c>
    </row>
    <row r="514" spans="1:2">
      <c r="A514">
        <v>410761018</v>
      </c>
      <c r="B514" t="s">
        <v>770</v>
      </c>
    </row>
    <row r="515" spans="1:2">
      <c r="A515">
        <v>410727009</v>
      </c>
      <c r="B515" t="s">
        <v>770</v>
      </c>
    </row>
    <row r="516" spans="1:2">
      <c r="A516">
        <v>410727122</v>
      </c>
      <c r="B516" t="s">
        <v>770</v>
      </c>
    </row>
    <row r="517" spans="1:2">
      <c r="A517">
        <v>410727008</v>
      </c>
      <c r="B517" t="s">
        <v>770</v>
      </c>
    </row>
    <row r="518" spans="1:2">
      <c r="A518">
        <v>410727119</v>
      </c>
      <c r="B518" t="s">
        <v>770</v>
      </c>
    </row>
    <row r="519" spans="1:2">
      <c r="A519">
        <v>410827011</v>
      </c>
      <c r="B519" t="s">
        <v>770</v>
      </c>
    </row>
    <row r="520" spans="1:2">
      <c r="A520">
        <v>410727020</v>
      </c>
      <c r="B520" t="s">
        <v>770</v>
      </c>
    </row>
    <row r="521" spans="1:2">
      <c r="A521">
        <v>410761119</v>
      </c>
      <c r="B521" t="s">
        <v>770</v>
      </c>
    </row>
    <row r="522" spans="1:2">
      <c r="A522">
        <v>410727022</v>
      </c>
      <c r="B522" t="s">
        <v>770</v>
      </c>
    </row>
    <row r="523" spans="1:2">
      <c r="A523">
        <v>410727079</v>
      </c>
      <c r="B523" t="s">
        <v>770</v>
      </c>
    </row>
    <row r="524" spans="1:2">
      <c r="A524">
        <v>410761044</v>
      </c>
      <c r="B524" t="s">
        <v>770</v>
      </c>
    </row>
    <row r="525" spans="1:2">
      <c r="A525">
        <v>410827013</v>
      </c>
      <c r="B525" t="s">
        <v>770</v>
      </c>
    </row>
    <row r="526" spans="1:2">
      <c r="A526">
        <v>410827008</v>
      </c>
      <c r="B526" t="s">
        <v>770</v>
      </c>
    </row>
    <row r="527" spans="1:2">
      <c r="A527">
        <v>410761115</v>
      </c>
      <c r="B527" t="s">
        <v>770</v>
      </c>
    </row>
    <row r="528" spans="1:2">
      <c r="A528">
        <v>410761022</v>
      </c>
      <c r="B528" t="s">
        <v>770</v>
      </c>
    </row>
    <row r="529" spans="1:2">
      <c r="A529">
        <v>410761023</v>
      </c>
      <c r="B529" t="s">
        <v>770</v>
      </c>
    </row>
    <row r="530" spans="1:2">
      <c r="A530">
        <v>410761079</v>
      </c>
      <c r="B530" t="s">
        <v>770</v>
      </c>
    </row>
    <row r="531" spans="1:2">
      <c r="A531">
        <v>411127022</v>
      </c>
      <c r="B531" t="s">
        <v>770</v>
      </c>
    </row>
    <row r="532" spans="1:2">
      <c r="A532">
        <v>411127009</v>
      </c>
      <c r="B532" t="s">
        <v>770</v>
      </c>
    </row>
    <row r="533" spans="1:2">
      <c r="A533">
        <v>411161020</v>
      </c>
      <c r="B533" t="s">
        <v>770</v>
      </c>
    </row>
    <row r="534" spans="1:2">
      <c r="A534">
        <v>411127027</v>
      </c>
      <c r="B534" t="s">
        <v>770</v>
      </c>
    </row>
    <row r="535" spans="1:2">
      <c r="A535">
        <v>411127018</v>
      </c>
      <c r="B535" t="s">
        <v>770</v>
      </c>
    </row>
    <row r="536" spans="1:2">
      <c r="A536">
        <v>411161027</v>
      </c>
      <c r="B536" t="s">
        <v>770</v>
      </c>
    </row>
    <row r="537" spans="1:2">
      <c r="A537">
        <v>411161022</v>
      </c>
      <c r="B537" t="s">
        <v>770</v>
      </c>
    </row>
    <row r="538" spans="1:2">
      <c r="A538">
        <v>411127039</v>
      </c>
      <c r="B538" t="s">
        <v>770</v>
      </c>
    </row>
    <row r="539" spans="1:2">
      <c r="A539">
        <v>411127044</v>
      </c>
      <c r="B539" t="s">
        <v>770</v>
      </c>
    </row>
    <row r="540" spans="1:2">
      <c r="A540">
        <v>411127015</v>
      </c>
      <c r="B540" t="s">
        <v>770</v>
      </c>
    </row>
    <row r="541" spans="1:2">
      <c r="A541">
        <v>411127020</v>
      </c>
      <c r="B541" t="s">
        <v>770</v>
      </c>
    </row>
    <row r="542" spans="1:2">
      <c r="A542">
        <v>411127013</v>
      </c>
      <c r="B542" t="s">
        <v>770</v>
      </c>
    </row>
    <row r="543" spans="1:2">
      <c r="A543">
        <v>411161023</v>
      </c>
      <c r="B543" t="s">
        <v>770</v>
      </c>
    </row>
    <row r="544" spans="1:2">
      <c r="A544">
        <v>411161018</v>
      </c>
      <c r="B544" t="s">
        <v>770</v>
      </c>
    </row>
    <row r="545" spans="1:2">
      <c r="A545">
        <v>411127023</v>
      </c>
      <c r="B545" t="s">
        <v>770</v>
      </c>
    </row>
    <row r="546" spans="1:2">
      <c r="A546">
        <v>419929009</v>
      </c>
      <c r="B546" t="s">
        <v>770</v>
      </c>
    </row>
    <row r="547" spans="1:2">
      <c r="A547">
        <v>411161009</v>
      </c>
      <c r="B547" t="s">
        <v>770</v>
      </c>
    </row>
    <row r="548" spans="1:2">
      <c r="A548">
        <v>411161015</v>
      </c>
      <c r="B548" t="s">
        <v>770</v>
      </c>
    </row>
    <row r="549" spans="1:2">
      <c r="A549">
        <v>414061124</v>
      </c>
      <c r="B549" t="s">
        <v>770</v>
      </c>
    </row>
    <row r="550" spans="1:2">
      <c r="A550">
        <v>414074124</v>
      </c>
      <c r="B550" t="s">
        <v>770</v>
      </c>
    </row>
    <row r="551" spans="1:2">
      <c r="A551">
        <v>414074123</v>
      </c>
      <c r="B551" t="s">
        <v>770</v>
      </c>
    </row>
    <row r="552" spans="1:2">
      <c r="A552">
        <v>414174125</v>
      </c>
      <c r="B552" t="s">
        <v>770</v>
      </c>
    </row>
    <row r="553" spans="1:2">
      <c r="A553">
        <v>414174126</v>
      </c>
      <c r="B553" t="s">
        <v>770</v>
      </c>
    </row>
    <row r="554" spans="1:2">
      <c r="A554">
        <v>414061123</v>
      </c>
      <c r="B554" t="s">
        <v>770</v>
      </c>
    </row>
    <row r="555" spans="1:2">
      <c r="A555">
        <v>414161126</v>
      </c>
      <c r="B555" t="s">
        <v>770</v>
      </c>
    </row>
    <row r="556" spans="1:2">
      <c r="A556">
        <v>414261131</v>
      </c>
      <c r="B556" t="s">
        <v>770</v>
      </c>
    </row>
    <row r="557" spans="1:2">
      <c r="A557">
        <v>414161125</v>
      </c>
      <c r="B557" t="s">
        <v>770</v>
      </c>
    </row>
    <row r="558" spans="1:2">
      <c r="A558">
        <v>414261127</v>
      </c>
      <c r="B558" t="s">
        <v>770</v>
      </c>
    </row>
    <row r="559" spans="1:2">
      <c r="A559">
        <v>414274127</v>
      </c>
      <c r="B559" t="s">
        <v>770</v>
      </c>
    </row>
    <row r="560" spans="1:2">
      <c r="A560">
        <v>414274131</v>
      </c>
      <c r="B560" t="s">
        <v>770</v>
      </c>
    </row>
    <row r="561" spans="1:2">
      <c r="A561">
        <v>411328020</v>
      </c>
      <c r="B561" t="s">
        <v>771</v>
      </c>
    </row>
    <row r="562" spans="1:2">
      <c r="A562">
        <v>412828027</v>
      </c>
      <c r="B562" t="s">
        <v>771</v>
      </c>
    </row>
    <row r="563" spans="1:2">
      <c r="A563">
        <v>412828020</v>
      </c>
      <c r="B563" t="s">
        <v>771</v>
      </c>
    </row>
    <row r="564" spans="1:2">
      <c r="A564">
        <v>419928027</v>
      </c>
      <c r="B564" t="s">
        <v>771</v>
      </c>
    </row>
    <row r="565" spans="1:2">
      <c r="A565">
        <v>411328027</v>
      </c>
      <c r="B565" t="s">
        <v>771</v>
      </c>
    </row>
    <row r="566" spans="1:2">
      <c r="A566">
        <v>411328023</v>
      </c>
      <c r="B566" t="s">
        <v>771</v>
      </c>
    </row>
    <row r="567" spans="1:2">
      <c r="A567">
        <v>419928020</v>
      </c>
      <c r="B567" t="s">
        <v>771</v>
      </c>
    </row>
    <row r="568" spans="1:2">
      <c r="A568">
        <v>412828023</v>
      </c>
      <c r="B568" t="s">
        <v>771</v>
      </c>
    </row>
    <row r="569" spans="1:2">
      <c r="A569">
        <v>419928023</v>
      </c>
      <c r="B569" t="s">
        <v>771</v>
      </c>
    </row>
    <row r="570" spans="1:2">
      <c r="A570">
        <v>412828022</v>
      </c>
      <c r="B570" t="s">
        <v>771</v>
      </c>
    </row>
    <row r="571" spans="1:2">
      <c r="A571">
        <v>419928018</v>
      </c>
      <c r="B571" t="s">
        <v>771</v>
      </c>
    </row>
    <row r="572" spans="1:2">
      <c r="A572">
        <v>412828075</v>
      </c>
      <c r="B572" t="s">
        <v>771</v>
      </c>
    </row>
    <row r="573" spans="1:2">
      <c r="A573">
        <v>411328018</v>
      </c>
      <c r="B573" t="s">
        <v>771</v>
      </c>
    </row>
    <row r="574" spans="1:2">
      <c r="A574">
        <v>412828018</v>
      </c>
      <c r="B574" t="s">
        <v>771</v>
      </c>
    </row>
    <row r="575" spans="1:2">
      <c r="A575">
        <v>410115001</v>
      </c>
      <c r="B575" t="s">
        <v>772</v>
      </c>
    </row>
    <row r="576" spans="1:2">
      <c r="A576">
        <v>410103002</v>
      </c>
      <c r="B576" t="s">
        <v>772</v>
      </c>
    </row>
    <row r="577" spans="1:2">
      <c r="A577">
        <v>410103032</v>
      </c>
      <c r="B577" t="s">
        <v>772</v>
      </c>
    </row>
    <row r="578" spans="1:2">
      <c r="A578">
        <v>410103031</v>
      </c>
      <c r="B578" t="s">
        <v>772</v>
      </c>
    </row>
    <row r="579" spans="1:2">
      <c r="A579">
        <v>411517001</v>
      </c>
      <c r="B579" t="s">
        <v>772</v>
      </c>
    </row>
    <row r="580" spans="1:2">
      <c r="A580">
        <v>411519001</v>
      </c>
      <c r="B580" t="s">
        <v>772</v>
      </c>
    </row>
    <row r="581" spans="1:2">
      <c r="A581">
        <v>411540001</v>
      </c>
      <c r="B581" t="s">
        <v>772</v>
      </c>
    </row>
    <row r="582" spans="1:2">
      <c r="A582">
        <v>411520001</v>
      </c>
      <c r="B582" t="s">
        <v>772</v>
      </c>
    </row>
    <row r="583" spans="1:2">
      <c r="A583">
        <v>433463001</v>
      </c>
      <c r="B583" t="s">
        <v>772</v>
      </c>
    </row>
    <row r="584" spans="1:2">
      <c r="A584">
        <v>431317001</v>
      </c>
      <c r="B584" t="s">
        <v>772</v>
      </c>
    </row>
    <row r="585" spans="1:2">
      <c r="A585">
        <v>431318001</v>
      </c>
      <c r="B585" t="s">
        <v>772</v>
      </c>
    </row>
    <row r="586" spans="1:2">
      <c r="A586">
        <v>433317001</v>
      </c>
      <c r="B586" t="s">
        <v>772</v>
      </c>
    </row>
    <row r="587" spans="1:2">
      <c r="A587">
        <v>433318001</v>
      </c>
      <c r="B587" t="s">
        <v>772</v>
      </c>
    </row>
    <row r="588" spans="1:2">
      <c r="A588">
        <v>431517001</v>
      </c>
      <c r="B588" t="s">
        <v>772</v>
      </c>
    </row>
    <row r="589" spans="1:2">
      <c r="A589">
        <v>440118001</v>
      </c>
      <c r="B589" t="s">
        <v>772</v>
      </c>
    </row>
    <row r="590" spans="1:2">
      <c r="A590">
        <v>440218001</v>
      </c>
      <c r="B590" t="s">
        <v>772</v>
      </c>
    </row>
    <row r="591" spans="1:2">
      <c r="A591">
        <v>430917001</v>
      </c>
      <c r="B591" t="s">
        <v>772</v>
      </c>
    </row>
    <row r="592" spans="1:2">
      <c r="A592">
        <v>430918001</v>
      </c>
      <c r="B592" t="s">
        <v>772</v>
      </c>
    </row>
    <row r="593" spans="1:2">
      <c r="A593">
        <v>430816001</v>
      </c>
      <c r="B593" t="s">
        <v>772</v>
      </c>
    </row>
    <row r="594" spans="1:2">
      <c r="A594">
        <v>430856001</v>
      </c>
      <c r="B594" t="s">
        <v>772</v>
      </c>
    </row>
    <row r="595" spans="1:2">
      <c r="A595">
        <v>430818001</v>
      </c>
      <c r="B595" t="s">
        <v>772</v>
      </c>
    </row>
    <row r="596" spans="1:2">
      <c r="A596">
        <v>430821001</v>
      </c>
      <c r="B596" t="s">
        <v>772</v>
      </c>
    </row>
    <row r="597" spans="1:2">
      <c r="A597">
        <v>433617001</v>
      </c>
      <c r="B597" t="s">
        <v>772</v>
      </c>
    </row>
    <row r="598" spans="1:2">
      <c r="A598">
        <v>450418001</v>
      </c>
      <c r="B598" t="s">
        <v>772</v>
      </c>
    </row>
    <row r="599" spans="1:2">
      <c r="A599">
        <v>451550001</v>
      </c>
      <c r="B599" t="s">
        <v>772</v>
      </c>
    </row>
    <row r="600" spans="1:2">
      <c r="A600">
        <v>450518001</v>
      </c>
      <c r="B600" t="s">
        <v>772</v>
      </c>
    </row>
    <row r="601" spans="1:2">
      <c r="A601">
        <v>450617001</v>
      </c>
      <c r="B601" t="s">
        <v>772</v>
      </c>
    </row>
    <row r="602" spans="1:2">
      <c r="A602">
        <v>450918001</v>
      </c>
      <c r="B602" t="s">
        <v>772</v>
      </c>
    </row>
    <row r="603" spans="1:2">
      <c r="A603">
        <v>433019001</v>
      </c>
      <c r="B603" t="s">
        <v>772</v>
      </c>
    </row>
    <row r="604" spans="1:2">
      <c r="A604">
        <v>431648036</v>
      </c>
      <c r="B604" t="s">
        <v>772</v>
      </c>
    </row>
    <row r="605" spans="1:2">
      <c r="A605">
        <v>411417001</v>
      </c>
      <c r="B605" t="s">
        <v>772</v>
      </c>
    </row>
    <row r="606" spans="1:2">
      <c r="A606">
        <v>411419001</v>
      </c>
      <c r="B606" t="s">
        <v>772</v>
      </c>
    </row>
    <row r="607" spans="1:2">
      <c r="A607">
        <v>433518001</v>
      </c>
      <c r="B607" t="s">
        <v>772</v>
      </c>
    </row>
    <row r="608" spans="1:2">
      <c r="A608">
        <v>433117001</v>
      </c>
      <c r="B608" t="s">
        <v>772</v>
      </c>
    </row>
    <row r="609" spans="1:2">
      <c r="A609">
        <v>433118001</v>
      </c>
      <c r="B609" t="s">
        <v>772</v>
      </c>
    </row>
    <row r="610" spans="1:2">
      <c r="A610">
        <v>450718001</v>
      </c>
      <c r="B610" t="s">
        <v>772</v>
      </c>
    </row>
    <row r="611" spans="1:2">
      <c r="A611">
        <v>451618001</v>
      </c>
      <c r="B611" t="s">
        <v>772</v>
      </c>
    </row>
    <row r="612" spans="1:2">
      <c r="A612">
        <v>430317001</v>
      </c>
      <c r="B612" t="s">
        <v>772</v>
      </c>
    </row>
    <row r="613" spans="1:2">
      <c r="A613">
        <v>430318001</v>
      </c>
      <c r="B613" t="s">
        <v>772</v>
      </c>
    </row>
    <row r="614" spans="1:2">
      <c r="A614">
        <v>430344001</v>
      </c>
      <c r="B614" t="s">
        <v>772</v>
      </c>
    </row>
    <row r="615" spans="1:2">
      <c r="A615">
        <v>440318001</v>
      </c>
      <c r="B615" t="s">
        <v>772</v>
      </c>
    </row>
    <row r="616" spans="1:2">
      <c r="A616">
        <v>450818001</v>
      </c>
      <c r="B616" t="s">
        <v>772</v>
      </c>
    </row>
    <row r="617" spans="1:2">
      <c r="A617">
        <v>430418001</v>
      </c>
      <c r="B617" t="s">
        <v>772</v>
      </c>
    </row>
    <row r="618" spans="1:2">
      <c r="A618">
        <v>432148082</v>
      </c>
      <c r="B618" t="s">
        <v>772</v>
      </c>
    </row>
    <row r="619" spans="1:2">
      <c r="A619">
        <v>430503031</v>
      </c>
      <c r="B619" t="s">
        <v>772</v>
      </c>
    </row>
    <row r="620" spans="1:2">
      <c r="A620">
        <v>430503001</v>
      </c>
      <c r="B620" t="s">
        <v>772</v>
      </c>
    </row>
    <row r="621" spans="1:2">
      <c r="A621">
        <v>431448032</v>
      </c>
      <c r="B621" t="s">
        <v>772</v>
      </c>
    </row>
    <row r="622" spans="1:2">
      <c r="A622">
        <v>430716001</v>
      </c>
      <c r="B622" t="s">
        <v>772</v>
      </c>
    </row>
    <row r="623" spans="1:2">
      <c r="A623">
        <v>430725001</v>
      </c>
      <c r="B623" t="s">
        <v>772</v>
      </c>
    </row>
    <row r="624" spans="1:2">
      <c r="A624">
        <v>430718001</v>
      </c>
      <c r="B624" t="s">
        <v>772</v>
      </c>
    </row>
    <row r="625" spans="1:2">
      <c r="A625">
        <v>411571001</v>
      </c>
      <c r="B625" s="1791" t="s">
        <v>772</v>
      </c>
    </row>
    <row r="626" spans="1:2">
      <c r="A626">
        <v>411572001</v>
      </c>
      <c r="B626" s="1791" t="s">
        <v>772</v>
      </c>
    </row>
    <row r="627" spans="1:2">
      <c r="A627">
        <v>430870001</v>
      </c>
      <c r="B627" s="1791" t="s">
        <v>772</v>
      </c>
    </row>
    <row r="628" spans="1:2">
      <c r="A628">
        <v>430274029</v>
      </c>
      <c r="B628" s="1791" t="s">
        <v>770</v>
      </c>
    </row>
    <row r="629" spans="1:2">
      <c r="A629">
        <v>411471001</v>
      </c>
      <c r="B629" s="1791" t="s">
        <v>772</v>
      </c>
    </row>
    <row r="630" spans="1:2">
      <c r="A630">
        <v>411472001</v>
      </c>
      <c r="B630" s="1791" t="s">
        <v>772</v>
      </c>
    </row>
    <row r="631" spans="1:2">
      <c r="A631">
        <v>410774015</v>
      </c>
      <c r="B631" s="1791" t="s">
        <v>770</v>
      </c>
    </row>
    <row r="632" spans="1:2">
      <c r="A632">
        <v>410774018</v>
      </c>
      <c r="B632" s="1791" t="s">
        <v>770</v>
      </c>
    </row>
    <row r="633" spans="1:2">
      <c r="A633">
        <v>410774020</v>
      </c>
      <c r="B633" s="1791" t="s">
        <v>770</v>
      </c>
    </row>
    <row r="634" spans="1:2">
      <c r="A634">
        <v>410774023</v>
      </c>
      <c r="B634" s="1791" t="s">
        <v>770</v>
      </c>
    </row>
    <row r="635" spans="1:2">
      <c r="A635">
        <v>410774027</v>
      </c>
      <c r="B635" s="1791" t="s">
        <v>770</v>
      </c>
    </row>
    <row r="636" spans="1:2">
      <c r="A636">
        <v>410774044</v>
      </c>
      <c r="B636" s="1791" t="s">
        <v>770</v>
      </c>
    </row>
    <row r="637" spans="1:2">
      <c r="A637">
        <v>411174018</v>
      </c>
      <c r="B637" s="1791" t="s">
        <v>770</v>
      </c>
    </row>
    <row r="638" spans="1:2">
      <c r="A638">
        <v>411174020</v>
      </c>
      <c r="B638" s="1791" t="s">
        <v>770</v>
      </c>
    </row>
    <row r="639" spans="1:2">
      <c r="A639">
        <v>411174023</v>
      </c>
      <c r="B639" s="1791" t="s">
        <v>770</v>
      </c>
    </row>
    <row r="640" spans="1:2">
      <c r="A640">
        <v>411174044</v>
      </c>
      <c r="B640" s="1791" t="s">
        <v>770</v>
      </c>
    </row>
    <row r="641" spans="1:2">
      <c r="A641">
        <v>430274134</v>
      </c>
      <c r="B641" s="1791" t="s">
        <v>770</v>
      </c>
    </row>
    <row r="642" spans="1:2">
      <c r="A642">
        <v>430274133</v>
      </c>
      <c r="B642" s="1791" t="s">
        <v>770</v>
      </c>
    </row>
    <row r="643" spans="1:2">
      <c r="A643">
        <v>410774039</v>
      </c>
      <c r="B643" s="1791" t="s">
        <v>770</v>
      </c>
    </row>
    <row r="644" spans="1:2">
      <c r="A644">
        <v>414174125</v>
      </c>
      <c r="B644" s="1791" t="s">
        <v>770</v>
      </c>
    </row>
    <row r="645" spans="1:2">
      <c r="A645">
        <v>414074123</v>
      </c>
      <c r="B645" s="1791" t="s">
        <v>770</v>
      </c>
    </row>
    <row r="646" spans="1:2">
      <c r="A646">
        <v>414074124</v>
      </c>
      <c r="B646" s="1791" t="s">
        <v>770</v>
      </c>
    </row>
    <row r="647" spans="1:2">
      <c r="A647">
        <v>433841143</v>
      </c>
      <c r="B647" s="1791" t="s">
        <v>769</v>
      </c>
    </row>
    <row r="648" spans="1:2">
      <c r="A648">
        <v>433842014</v>
      </c>
      <c r="B648" s="1791" t="s">
        <v>769</v>
      </c>
    </row>
    <row r="649" spans="1:2">
      <c r="A649">
        <v>431142015</v>
      </c>
      <c r="B649" s="1791" t="s">
        <v>769</v>
      </c>
    </row>
    <row r="650" spans="1:2">
      <c r="A650">
        <v>433809040</v>
      </c>
      <c r="B650" s="1791" t="s">
        <v>769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A597-A1B2-4C73-AD39-B0EE312FD0D3}">
  <sheetPr codeName="Planilha3">
    <tabColor rgb="FFB7E7E0"/>
  </sheetPr>
  <dimension ref="A1:DC729"/>
  <sheetViews>
    <sheetView showGridLines="0" zoomScale="70" zoomScaleNormal="70" zoomScaleSheetLayoutView="70" workbookViewId="0">
      <pane xSplit="15" ySplit="27" topLeftCell="DD28" activePane="bottomRight" state="frozen"/>
      <selection activeCell="B115" sqref="B115:B118"/>
      <selection pane="topRight" activeCell="B115" sqref="B115:B118"/>
      <selection pane="bottomLeft" activeCell="B115" sqref="B115:B118"/>
      <selection pane="bottomRight" activeCell="DD28" sqref="DD28"/>
    </sheetView>
  </sheetViews>
  <sheetFormatPr defaultColWidth="16.85546875" defaultRowHeight="15" customHeight="1"/>
  <cols>
    <col min="1" max="1" width="15.140625" style="51" hidden="1" customWidth="1"/>
    <col min="2" max="2" width="42.42578125" style="250" hidden="1" customWidth="1"/>
    <col min="3" max="3" width="43" hidden="1" customWidth="1"/>
    <col min="4" max="4" width="63.7109375" hidden="1" customWidth="1"/>
    <col min="5" max="5" width="38.42578125" style="10" hidden="1" customWidth="1"/>
    <col min="6" max="6" width="27.42578125" style="10" hidden="1" customWidth="1"/>
    <col min="7" max="7" width="15.140625" hidden="1" customWidth="1"/>
    <col min="8" max="8" width="10.140625" style="918" hidden="1" customWidth="1"/>
    <col min="9" max="9" width="13.7109375" hidden="1" customWidth="1"/>
    <col min="10" max="10" width="9.28515625" hidden="1" customWidth="1"/>
    <col min="11" max="11" width="9" hidden="1" customWidth="1"/>
    <col min="12" max="12" width="10.7109375" hidden="1" customWidth="1"/>
    <col min="13" max="16" width="15.7109375" hidden="1" customWidth="1"/>
    <col min="17" max="18" width="15.42578125" hidden="1" customWidth="1"/>
    <col min="19" max="19" width="20.42578125" hidden="1" customWidth="1"/>
    <col min="20" max="20" width="11.42578125" hidden="1" customWidth="1"/>
    <col min="21" max="21" width="17" hidden="1" customWidth="1"/>
    <col min="22" max="22" width="17.85546875" hidden="1" customWidth="1"/>
    <col min="23" max="23" width="7.42578125" hidden="1" customWidth="1"/>
    <col min="24" max="24" width="10.140625" hidden="1" customWidth="1"/>
    <col min="25" max="25" width="11.42578125" hidden="1" customWidth="1"/>
    <col min="26" max="26" width="2.140625" style="234" hidden="1" customWidth="1"/>
    <col min="27" max="27" width="15" hidden="1" customWidth="1"/>
    <col min="28" max="28" width="15.140625" hidden="1" customWidth="1"/>
    <col min="29" max="29" width="8.42578125" hidden="1" customWidth="1"/>
    <col min="30" max="30" width="9.42578125" hidden="1" customWidth="1"/>
    <col min="31" max="31" width="17.28515625" hidden="1" customWidth="1"/>
    <col min="32" max="32" width="13.7109375" hidden="1" customWidth="1"/>
    <col min="33" max="33" width="15.7109375" hidden="1" customWidth="1"/>
    <col min="34" max="34" width="12.140625" hidden="1" customWidth="1"/>
    <col min="35" max="35" width="10.140625" hidden="1" customWidth="1"/>
    <col min="36" max="36" width="12.85546875" hidden="1" customWidth="1"/>
    <col min="37" max="37" width="14.42578125" hidden="1" customWidth="1"/>
    <col min="38" max="38" width="15.42578125" hidden="1" customWidth="1"/>
    <col min="39" max="39" width="15.140625" hidden="1" customWidth="1"/>
    <col min="40" max="40" width="13.42578125" hidden="1" customWidth="1"/>
    <col min="41" max="41" width="18" hidden="1" customWidth="1"/>
    <col min="42" max="42" width="7.28515625" hidden="1" customWidth="1"/>
    <col min="43" max="43" width="23.140625" hidden="1" customWidth="1"/>
    <col min="44" max="44" width="13.140625" hidden="1" customWidth="1"/>
    <col min="45" max="45" width="6.7109375" hidden="1" customWidth="1"/>
    <col min="46" max="46" width="10" hidden="1" customWidth="1"/>
    <col min="47" max="47" width="7.28515625" hidden="1" customWidth="1"/>
    <col min="48" max="48" width="8.85546875" hidden="1" customWidth="1"/>
    <col min="49" max="49" width="11" hidden="1" customWidth="1"/>
    <col min="50" max="50" width="16.42578125" style="466" hidden="1" customWidth="1"/>
    <col min="51" max="51" width="9.140625" hidden="1" customWidth="1"/>
    <col min="52" max="52" width="19.42578125" hidden="1" customWidth="1"/>
    <col min="53" max="53" width="17.85546875" hidden="1" customWidth="1"/>
    <col min="54" max="54" width="16.28515625" hidden="1" customWidth="1"/>
    <col min="55" max="55" width="15.42578125" hidden="1" customWidth="1"/>
    <col min="56" max="56" width="14.42578125" hidden="1" customWidth="1"/>
    <col min="57" max="57" width="12.140625" hidden="1" customWidth="1"/>
    <col min="58" max="58" width="3.140625" hidden="1" customWidth="1"/>
    <col min="59" max="59" width="16.7109375" hidden="1" customWidth="1"/>
    <col min="60" max="60" width="7.85546875" hidden="1" customWidth="1"/>
    <col min="61" max="61" width="7.42578125" hidden="1" customWidth="1"/>
    <col min="62" max="62" width="4.85546875" hidden="1" customWidth="1"/>
    <col min="63" max="63" width="20.28515625" hidden="1" customWidth="1"/>
    <col min="64" max="64" width="16.85546875" hidden="1" customWidth="1"/>
    <col min="65" max="65" width="6.28515625" style="461" hidden="1" customWidth="1"/>
    <col min="66" max="66" width="16.85546875" hidden="1" customWidth="1"/>
    <col min="67" max="67" width="24.140625" hidden="1" customWidth="1"/>
    <col min="68" max="68" width="9.28515625" hidden="1" customWidth="1"/>
    <col min="69" max="69" width="6.28515625" hidden="1" customWidth="1"/>
    <col min="70" max="70" width="47.7109375" hidden="1" customWidth="1"/>
    <col min="71" max="72" width="16.85546875" hidden="1" customWidth="1"/>
    <col min="73" max="73" width="28.85546875" hidden="1" customWidth="1"/>
    <col min="74" max="74" width="7.42578125" hidden="1" customWidth="1"/>
    <col min="75" max="75" width="23.85546875" hidden="1" customWidth="1"/>
    <col min="76" max="76" width="6.7109375" hidden="1" customWidth="1"/>
    <col min="77" max="77" width="7.85546875" hidden="1" customWidth="1"/>
    <col min="78" max="78" width="46.7109375" style="578" hidden="1" customWidth="1"/>
    <col min="79" max="79" width="7.42578125" style="1181" hidden="1" customWidth="1"/>
    <col min="80" max="80" width="16.85546875" style="1181" hidden="1" customWidth="1"/>
    <col min="81" max="81" width="45.42578125" style="578" hidden="1" customWidth="1"/>
    <col min="82" max="82" width="6.28515625" style="578" hidden="1" customWidth="1"/>
    <col min="83" max="83" width="23.85546875" style="578" hidden="1" customWidth="1"/>
    <col min="84" max="84" width="9.28515625" style="578" hidden="1" customWidth="1"/>
    <col min="85" max="85" width="8.42578125" style="576" hidden="1" customWidth="1"/>
    <col min="86" max="101" width="16.85546875" hidden="1" customWidth="1"/>
    <col min="102" max="102" width="0.140625" hidden="1" customWidth="1"/>
    <col min="103" max="107" width="16.85546875" hidden="1" customWidth="1"/>
    <col min="108" max="142" width="16.85546875" customWidth="1"/>
  </cols>
  <sheetData>
    <row r="1" spans="1:84" ht="15.6" hidden="1">
      <c r="A1" s="47"/>
      <c r="B1" s="247"/>
      <c r="C1" s="1"/>
      <c r="D1" s="1"/>
      <c r="E1" s="459" t="s">
        <v>365</v>
      </c>
      <c r="F1" s="2"/>
      <c r="G1" s="2"/>
      <c r="H1" s="916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3"/>
      <c r="U1" s="3"/>
      <c r="V1" s="3"/>
      <c r="W1" s="4"/>
      <c r="X1" s="4"/>
      <c r="Y1" s="3"/>
      <c r="Z1" s="218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462"/>
      <c r="AY1" s="1"/>
      <c r="AZ1" s="1"/>
      <c r="BA1" s="1"/>
      <c r="BB1" s="1"/>
      <c r="BC1" s="1"/>
      <c r="BD1" s="1"/>
      <c r="BE1" s="1"/>
      <c r="BZ1" s="1042"/>
      <c r="CC1" s="1182" t="s">
        <v>543</v>
      </c>
      <c r="CE1" s="578" t="s">
        <v>544</v>
      </c>
    </row>
    <row r="2" spans="1:84" ht="15.6" hidden="1" customHeight="1">
      <c r="A2" s="48"/>
      <c r="B2" s="248"/>
      <c r="C2" s="13"/>
      <c r="D2" s="1035" t="s">
        <v>0</v>
      </c>
      <c r="E2" s="1036">
        <v>45383</v>
      </c>
      <c r="F2" s="14"/>
      <c r="G2" s="14"/>
      <c r="H2" s="917"/>
      <c r="I2" s="14"/>
      <c r="J2" s="14"/>
      <c r="K2" s="14"/>
      <c r="L2" s="14"/>
      <c r="M2" s="13"/>
      <c r="N2" s="13"/>
      <c r="O2" s="13"/>
      <c r="P2" s="13"/>
      <c r="Q2" s="13"/>
      <c r="R2" s="13"/>
      <c r="S2" s="13"/>
      <c r="T2" s="15"/>
      <c r="U2" s="15"/>
      <c r="V2" s="15"/>
      <c r="W2" s="16"/>
      <c r="X2" s="16"/>
      <c r="Y2" s="15"/>
      <c r="Z2" s="219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463"/>
      <c r="AY2" s="13"/>
      <c r="AZ2" s="13"/>
      <c r="BA2" s="13"/>
      <c r="BB2" s="13"/>
      <c r="BC2" s="13"/>
      <c r="BD2" s="13"/>
      <c r="BE2" s="13"/>
      <c r="BF2" s="17"/>
      <c r="BZ2" s="1043"/>
      <c r="CC2" s="578" t="s">
        <v>533</v>
      </c>
      <c r="CD2" s="1072">
        <v>1</v>
      </c>
      <c r="CE2" s="578" t="s">
        <v>538</v>
      </c>
      <c r="CF2" s="578">
        <v>1</v>
      </c>
    </row>
    <row r="3" spans="1:84" ht="15.6" hidden="1" customHeight="1">
      <c r="A3" s="48"/>
      <c r="B3" s="248"/>
      <c r="C3" s="13"/>
      <c r="D3" s="1037" t="s">
        <v>1</v>
      </c>
      <c r="E3" s="677" t="s">
        <v>509</v>
      </c>
      <c r="F3" s="14"/>
      <c r="G3" s="14"/>
      <c r="H3" s="917"/>
      <c r="I3" s="14"/>
      <c r="J3" s="14"/>
      <c r="K3" s="14"/>
      <c r="L3" s="14"/>
      <c r="M3" s="13"/>
      <c r="N3" s="13"/>
      <c r="O3" s="13"/>
      <c r="P3" s="13"/>
      <c r="Q3" s="13"/>
      <c r="R3" s="13"/>
      <c r="S3" s="13"/>
      <c r="T3" s="15"/>
      <c r="U3" s="15"/>
      <c r="V3" s="15"/>
      <c r="W3" s="16"/>
      <c r="X3" s="16"/>
      <c r="Y3" s="15"/>
      <c r="Z3" s="219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463"/>
      <c r="AY3" s="13"/>
      <c r="AZ3" s="13"/>
      <c r="BA3" s="13"/>
      <c r="BB3" s="13"/>
      <c r="BC3" s="13"/>
      <c r="BD3" s="13"/>
      <c r="BE3" s="13"/>
      <c r="BF3" s="17"/>
      <c r="BZ3" s="1043"/>
      <c r="CC3" s="578" t="s">
        <v>534</v>
      </c>
      <c r="CD3" s="1072">
        <v>1</v>
      </c>
      <c r="CE3" s="578" t="s">
        <v>539</v>
      </c>
      <c r="CF3" s="578">
        <v>1</v>
      </c>
    </row>
    <row r="4" spans="1:84" ht="15.6" hidden="1" customHeight="1">
      <c r="A4" s="48"/>
      <c r="B4" s="248"/>
      <c r="C4" s="13"/>
      <c r="D4" s="93" t="s">
        <v>2</v>
      </c>
      <c r="E4" s="458">
        <f>SUMPRODUCT(U61:U368,X61:X368)+SUMPRODUCT(U61:U368,W61:W368)</f>
        <v>0</v>
      </c>
      <c r="F4" s="14"/>
      <c r="G4" s="14"/>
      <c r="H4" s="917"/>
      <c r="I4" s="14"/>
      <c r="J4" s="14"/>
      <c r="K4" s="14"/>
      <c r="L4" s="14"/>
      <c r="M4" s="13"/>
      <c r="N4" s="13"/>
      <c r="O4" s="13"/>
      <c r="P4" s="13"/>
      <c r="Q4" s="13"/>
      <c r="R4" s="13"/>
      <c r="S4" s="13"/>
      <c r="T4" s="15"/>
      <c r="U4" s="15"/>
      <c r="V4" s="15"/>
      <c r="W4" s="16"/>
      <c r="X4" s="16"/>
      <c r="Y4" s="15"/>
      <c r="Z4" s="219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463"/>
      <c r="AY4" s="13"/>
      <c r="AZ4" s="13"/>
      <c r="BA4" s="13"/>
      <c r="BB4" s="13"/>
      <c r="BC4" s="13"/>
      <c r="BD4" s="13"/>
      <c r="BE4" s="13"/>
      <c r="BF4" s="17"/>
      <c r="BM4" s="1073"/>
      <c r="BZ4" s="1043"/>
      <c r="CC4" s="578" t="s">
        <v>535</v>
      </c>
      <c r="CD4" s="1072">
        <v>1</v>
      </c>
      <c r="CE4" s="578" t="s">
        <v>540</v>
      </c>
      <c r="CF4" s="578">
        <v>1</v>
      </c>
    </row>
    <row r="5" spans="1:84" hidden="1">
      <c r="A5" s="48"/>
      <c r="B5" s="248"/>
      <c r="C5" s="13"/>
      <c r="D5" s="1074" t="s">
        <v>3</v>
      </c>
      <c r="E5" s="1075"/>
      <c r="F5" s="14"/>
      <c r="G5" s="14"/>
      <c r="H5" s="917"/>
      <c r="I5" s="14"/>
      <c r="J5" s="14"/>
      <c r="K5" s="14"/>
      <c r="L5" s="14"/>
      <c r="M5" s="13"/>
      <c r="N5" s="13"/>
      <c r="O5" s="13"/>
      <c r="P5" s="13"/>
      <c r="Q5" s="13"/>
      <c r="R5" s="13"/>
      <c r="S5" s="13"/>
      <c r="T5" s="15"/>
      <c r="U5" s="15"/>
      <c r="V5" s="15"/>
      <c r="W5" s="16"/>
      <c r="X5" s="16"/>
      <c r="Y5" s="15"/>
      <c r="Z5" s="219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463"/>
      <c r="AY5" s="13"/>
      <c r="AZ5" s="13"/>
      <c r="BA5" s="13"/>
      <c r="BB5" s="13"/>
      <c r="BC5" s="13"/>
      <c r="BD5" s="13"/>
      <c r="BE5" s="13"/>
      <c r="BF5" s="17"/>
      <c r="BM5" s="1073"/>
      <c r="BZ5" s="1043"/>
      <c r="CC5" s="578" t="s">
        <v>536</v>
      </c>
      <c r="CD5" s="1072">
        <v>1</v>
      </c>
      <c r="CE5" s="578" t="s">
        <v>541</v>
      </c>
      <c r="CF5" s="578">
        <v>1</v>
      </c>
    </row>
    <row r="6" spans="1:84" hidden="1">
      <c r="A6" s="48"/>
      <c r="B6" s="248"/>
      <c r="C6" s="13"/>
      <c r="D6" s="1074" t="s">
        <v>4</v>
      </c>
      <c r="E6" s="1075"/>
      <c r="F6" s="14"/>
      <c r="G6" s="14"/>
      <c r="H6" s="917"/>
      <c r="I6" s="14"/>
      <c r="J6" s="14"/>
      <c r="K6" s="14"/>
      <c r="L6" s="14"/>
      <c r="M6" s="13"/>
      <c r="N6" s="13"/>
      <c r="O6" s="13"/>
      <c r="P6" s="13"/>
      <c r="Q6" s="13"/>
      <c r="R6" s="13"/>
      <c r="S6" s="13"/>
      <c r="T6" s="15"/>
      <c r="U6" s="15"/>
      <c r="V6" s="15"/>
      <c r="W6" s="16"/>
      <c r="X6" s="16"/>
      <c r="Y6" s="15"/>
      <c r="Z6" s="219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463"/>
      <c r="AY6" s="13"/>
      <c r="AZ6" s="13"/>
      <c r="BA6" s="13"/>
      <c r="BB6" s="13"/>
      <c r="BC6" s="13"/>
      <c r="BD6" s="13"/>
      <c r="BE6" s="13"/>
      <c r="BF6" s="18" t="s">
        <v>214</v>
      </c>
      <c r="BZ6" s="1043"/>
    </row>
    <row r="7" spans="1:84" hidden="1">
      <c r="A7" s="49"/>
      <c r="B7" s="249"/>
      <c r="C7" s="19"/>
      <c r="D7" s="1074" t="s">
        <v>5</v>
      </c>
      <c r="E7" s="1075"/>
      <c r="F7" s="249" t="s">
        <v>400</v>
      </c>
      <c r="G7" s="1076">
        <f>Pedido!G7</f>
        <v>0</v>
      </c>
      <c r="J7" s="1077"/>
      <c r="K7" s="1077"/>
      <c r="L7" s="19"/>
      <c r="M7" s="19"/>
      <c r="N7" s="19"/>
      <c r="O7" s="19"/>
      <c r="P7" s="19"/>
      <c r="Q7" s="19"/>
      <c r="R7" s="678"/>
      <c r="S7" s="678"/>
      <c r="T7" s="679"/>
      <c r="U7" s="265"/>
      <c r="Y7" s="491"/>
      <c r="Z7" s="492"/>
      <c r="AS7" s="21"/>
      <c r="AT7" s="22"/>
      <c r="AU7" s="19"/>
      <c r="AV7" s="19"/>
      <c r="AW7" s="19"/>
      <c r="AX7" s="464"/>
      <c r="AY7" s="19"/>
      <c r="AZ7" s="19"/>
      <c r="BA7" s="19"/>
      <c r="BB7" s="19"/>
      <c r="BC7" s="19"/>
      <c r="BD7" s="19"/>
      <c r="BE7" s="19"/>
      <c r="BF7" s="17"/>
      <c r="BG7" s="280"/>
      <c r="BH7" s="272"/>
      <c r="BI7" s="281"/>
      <c r="BZ7" s="717"/>
      <c r="CD7" s="1183">
        <f>IFERROR(VLOOKUP(Pedido!D5,Cálculo!CC1:CD5,2,0),0)</f>
        <v>0</v>
      </c>
      <c r="CF7" s="1183">
        <f>IFERROR(VLOOKUP(Pedido!D6,Cálculo!CE1:CF5,2,0),0)</f>
        <v>0</v>
      </c>
    </row>
    <row r="8" spans="1:84" ht="15.6" hidden="1" customHeight="1">
      <c r="A8" s="49"/>
      <c r="C8" s="19"/>
      <c r="D8" s="93" t="s">
        <v>6</v>
      </c>
      <c r="E8" s="1078"/>
      <c r="F8" s="20"/>
      <c r="G8" s="20"/>
      <c r="H8" s="1079"/>
      <c r="I8" s="1077"/>
      <c r="J8" s="1077"/>
      <c r="K8" s="1080"/>
      <c r="L8" s="1080"/>
      <c r="M8" s="19"/>
      <c r="N8" s="19"/>
      <c r="O8" s="19"/>
      <c r="P8" s="19"/>
      <c r="Q8" s="697">
        <f ca="1">TODAY()</f>
        <v>46203</v>
      </c>
      <c r="R8" s="678"/>
      <c r="S8" s="678"/>
      <c r="T8" s="679"/>
      <c r="U8" s="265"/>
      <c r="Y8" s="491"/>
      <c r="Z8" s="492"/>
      <c r="AS8" s="21"/>
      <c r="AT8" s="22"/>
      <c r="AU8" s="19"/>
      <c r="AV8" s="19"/>
      <c r="AW8" s="19"/>
      <c r="AX8" s="464"/>
      <c r="AY8" s="19"/>
      <c r="AZ8" s="19"/>
      <c r="BA8" s="19"/>
      <c r="BB8" s="19"/>
      <c r="BC8" s="19"/>
      <c r="BD8" s="19"/>
      <c r="BE8" s="19"/>
      <c r="BF8" s="17"/>
      <c r="BG8" s="282">
        <v>0</v>
      </c>
      <c r="BH8" s="283"/>
      <c r="BI8" s="284"/>
      <c r="BJ8" s="285"/>
      <c r="BZ8" s="1081"/>
    </row>
    <row r="9" spans="1:84" ht="15.6" hidden="1" customHeight="1">
      <c r="A9" s="49"/>
      <c r="B9" s="249"/>
      <c r="C9" s="19"/>
      <c r="D9" s="93" t="s">
        <v>7</v>
      </c>
      <c r="E9" s="1078"/>
      <c r="F9" s="1874" t="s">
        <v>363</v>
      </c>
      <c r="G9" s="1875"/>
      <c r="H9" s="1875"/>
      <c r="I9" s="1875"/>
      <c r="J9" s="20"/>
      <c r="K9" s="20"/>
      <c r="L9" s="1082"/>
      <c r="M9" s="19"/>
      <c r="N9" s="19"/>
      <c r="O9" s="19"/>
      <c r="P9" s="19"/>
      <c r="Q9" s="697">
        <v>45327</v>
      </c>
      <c r="R9" s="678"/>
      <c r="S9" s="678"/>
      <c r="T9" s="678"/>
      <c r="U9" s="266"/>
      <c r="V9" s="491"/>
      <c r="W9" s="491"/>
      <c r="X9" s="491"/>
      <c r="Y9" s="491"/>
      <c r="Z9" s="492"/>
      <c r="AR9" s="717" t="s">
        <v>478</v>
      </c>
      <c r="AS9" s="718"/>
      <c r="AT9" s="719"/>
      <c r="AU9" s="717"/>
      <c r="AV9" s="717"/>
      <c r="AW9" s="717"/>
      <c r="AX9" s="720">
        <f>SUMPRODUCT(U61:U350,W61:W350)</f>
        <v>0</v>
      </c>
      <c r="AY9" s="19"/>
      <c r="AZ9" s="19"/>
      <c r="BA9" s="19"/>
      <c r="BB9" s="19"/>
      <c r="BC9" s="19"/>
      <c r="BD9" s="19"/>
      <c r="BE9" s="19"/>
      <c r="BF9" s="17"/>
      <c r="BG9" s="286" t="s">
        <v>307</v>
      </c>
      <c r="BH9" s="287"/>
      <c r="BI9" s="286"/>
      <c r="BJ9" s="286"/>
      <c r="BZ9" s="1083"/>
      <c r="CD9" s="1184">
        <v>1</v>
      </c>
      <c r="CE9" s="578">
        <v>1</v>
      </c>
    </row>
    <row r="10" spans="1:84" hidden="1">
      <c r="A10" s="49"/>
      <c r="B10" s="249"/>
      <c r="C10" s="19"/>
      <c r="D10" s="1038" t="s">
        <v>9</v>
      </c>
      <c r="E10" s="498">
        <v>0.05</v>
      </c>
      <c r="F10" s="20"/>
      <c r="G10" s="20"/>
      <c r="H10" s="1079"/>
      <c r="I10" s="1077"/>
      <c r="J10" s="20"/>
      <c r="K10" s="20"/>
      <c r="L10" s="1080"/>
      <c r="M10" s="19"/>
      <c r="N10" s="19"/>
      <c r="O10" s="19"/>
      <c r="P10" s="23"/>
      <c r="Q10" s="698"/>
      <c r="R10" s="678"/>
      <c r="S10" s="678"/>
      <c r="T10" s="678"/>
      <c r="U10" s="266"/>
      <c r="V10" s="491"/>
      <c r="W10" s="491"/>
      <c r="X10" s="491"/>
      <c r="Y10" s="491"/>
      <c r="Z10" s="492"/>
      <c r="AR10" s="717"/>
      <c r="AS10" s="718"/>
      <c r="AT10" s="719"/>
      <c r="AU10" s="717"/>
      <c r="AV10" s="717"/>
      <c r="AW10" s="717"/>
      <c r="AX10" s="717"/>
      <c r="AY10" s="19"/>
      <c r="AZ10" s="19"/>
      <c r="BA10" s="19"/>
      <c r="BB10" s="19"/>
      <c r="BC10" s="19"/>
      <c r="BD10" s="19"/>
      <c r="BE10" s="19"/>
      <c r="BF10" s="17"/>
      <c r="BG10" s="286"/>
      <c r="BH10" s="287"/>
      <c r="BI10" s="286"/>
      <c r="BJ10" s="286"/>
      <c r="BZ10" s="1081"/>
    </row>
    <row r="11" spans="1:84" hidden="1">
      <c r="A11" s="49"/>
      <c r="B11" s="249"/>
      <c r="C11" s="19"/>
      <c r="D11" s="1038" t="s">
        <v>10</v>
      </c>
      <c r="E11" s="498">
        <f>IFERROR(VLOOKUP(E15,Sup!M:O,3,0),0)</f>
        <v>0</v>
      </c>
      <c r="F11" s="20"/>
      <c r="G11" s="20"/>
      <c r="H11" s="1079"/>
      <c r="I11" s="1077"/>
      <c r="J11" s="20"/>
      <c r="K11" s="20"/>
      <c r="L11" s="1080"/>
      <c r="M11" s="19"/>
      <c r="N11" s="19"/>
      <c r="O11" s="19"/>
      <c r="P11" s="23"/>
      <c r="Q11" s="698"/>
      <c r="R11" s="678"/>
      <c r="S11" s="678"/>
      <c r="T11" s="678"/>
      <c r="U11" s="266"/>
      <c r="V11" s="491"/>
      <c r="W11" s="491"/>
      <c r="X11" s="491"/>
      <c r="Y11" s="491"/>
      <c r="Z11" s="492"/>
      <c r="AR11" s="717"/>
      <c r="AS11" s="718"/>
      <c r="AT11" s="719"/>
      <c r="AU11" s="717"/>
      <c r="AV11" s="717"/>
      <c r="AW11" s="717"/>
      <c r="AX11" s="717"/>
      <c r="AY11" s="19"/>
      <c r="AZ11" s="19"/>
      <c r="BA11" s="19"/>
      <c r="BB11" s="19"/>
      <c r="BC11" s="19"/>
      <c r="BD11" s="19"/>
      <c r="BE11" s="19"/>
      <c r="BF11" s="17"/>
      <c r="BG11" s="286"/>
      <c r="BH11" s="287"/>
      <c r="BI11" s="286"/>
      <c r="BJ11" s="286"/>
      <c r="BZ11" s="1081"/>
    </row>
    <row r="12" spans="1:84" hidden="1">
      <c r="A12" s="49"/>
      <c r="B12" s="249"/>
      <c r="C12" s="19"/>
      <c r="D12" s="1039" t="s">
        <v>11</v>
      </c>
      <c r="E12" s="499">
        <v>0.02</v>
      </c>
      <c r="F12" s="20"/>
      <c r="G12" s="20"/>
      <c r="H12" s="1079"/>
      <c r="I12" s="1077"/>
      <c r="J12" s="20"/>
      <c r="K12" s="20"/>
      <c r="L12" s="1080"/>
      <c r="M12" s="19"/>
      <c r="N12" s="19"/>
      <c r="O12" s="19"/>
      <c r="P12" s="19"/>
      <c r="Q12" s="698"/>
      <c r="R12" s="678"/>
      <c r="S12" s="678"/>
      <c r="T12" s="678"/>
      <c r="U12" s="266"/>
      <c r="V12" s="491"/>
      <c r="W12" s="491"/>
      <c r="X12" s="491"/>
      <c r="Y12" s="491"/>
      <c r="Z12" s="492"/>
      <c r="AR12" s="717"/>
      <c r="AS12" s="718"/>
      <c r="AT12" s="719"/>
      <c r="AU12" s="717"/>
      <c r="AV12" s="717"/>
      <c r="AW12" s="717"/>
      <c r="AX12" s="717"/>
      <c r="AY12" s="19"/>
      <c r="AZ12" s="19"/>
      <c r="BA12" s="19"/>
      <c r="BB12" s="19"/>
      <c r="BC12" s="19"/>
      <c r="BD12" s="19"/>
      <c r="BE12" s="19"/>
      <c r="BF12" s="17"/>
      <c r="BG12" s="286"/>
      <c r="BH12" s="287"/>
      <c r="BI12" s="286"/>
      <c r="BJ12" s="286"/>
      <c r="BZ12" s="1081"/>
    </row>
    <row r="13" spans="1:84" hidden="1">
      <c r="A13" s="49"/>
      <c r="B13" s="249"/>
      <c r="C13" s="19"/>
      <c r="D13" s="1039" t="s">
        <v>12</v>
      </c>
      <c r="E13" s="500">
        <f>IF(E9="À vista",1-E10,IF(AND(E9="A prazo",E15=15),0.96,IF(AND(E9="A prazo",E15=30),0.985,IF(AND(E9="A prazo",E15="15/30"),0.985,IF(AND(E9="A prazo",E15="14/21/28/35"),0.985,IF(AND(E9="A prazo",E14="C. Crédito",E15&lt;=4),1-E11,1))))))*IF(E8="FOB",1-E12,1)</f>
        <v>1</v>
      </c>
      <c r="F13" s="20"/>
      <c r="G13" s="20"/>
      <c r="H13" s="1079"/>
      <c r="I13" s="1084"/>
      <c r="J13" s="20"/>
      <c r="K13" s="20"/>
      <c r="L13" s="1080"/>
      <c r="M13" s="19"/>
      <c r="N13" s="19"/>
      <c r="O13" s="19"/>
      <c r="P13" s="19"/>
      <c r="Q13" s="698"/>
      <c r="R13" s="678"/>
      <c r="S13" s="678"/>
      <c r="T13" s="678"/>
      <c r="U13" s="266"/>
      <c r="V13" s="491"/>
      <c r="W13" s="491"/>
      <c r="X13" s="491"/>
      <c r="Y13" s="491"/>
      <c r="Z13" s="492"/>
      <c r="AR13" s="717"/>
      <c r="AS13" s="718"/>
      <c r="AT13" s="719"/>
      <c r="AU13" s="717"/>
      <c r="AV13" s="717"/>
      <c r="AW13" s="717"/>
      <c r="AX13" s="717"/>
      <c r="AY13" s="19"/>
      <c r="AZ13" s="19"/>
      <c r="BA13" s="19"/>
      <c r="BB13" s="19"/>
      <c r="BC13" s="19"/>
      <c r="BD13" s="19"/>
      <c r="BE13" s="19"/>
      <c r="BF13" s="17"/>
      <c r="BG13" s="286"/>
      <c r="BH13" s="287"/>
      <c r="BI13" s="286"/>
      <c r="BJ13" s="286"/>
      <c r="BZ13" s="1081"/>
    </row>
    <row r="14" spans="1:84" hidden="1">
      <c r="A14"/>
      <c r="B14" s="249"/>
      <c r="C14" s="19"/>
      <c r="D14" s="93" t="s">
        <v>13</v>
      </c>
      <c r="E14" s="499"/>
      <c r="F14" s="1876"/>
      <c r="G14" s="1877"/>
      <c r="H14" s="1877"/>
      <c r="I14" s="1877"/>
      <c r="J14" s="20"/>
      <c r="K14" s="20"/>
      <c r="L14" s="1080"/>
      <c r="M14" s="19"/>
      <c r="N14" s="19"/>
      <c r="O14" s="19"/>
      <c r="P14" s="19"/>
      <c r="Q14" s="698">
        <f ca="1">Q9-Q8</f>
        <v>-876</v>
      </c>
      <c r="R14" s="678"/>
      <c r="S14" s="678"/>
      <c r="T14" s="678"/>
      <c r="U14" s="266"/>
      <c r="V14" s="491"/>
      <c r="W14" s="491"/>
      <c r="X14" s="491"/>
      <c r="Y14" s="491"/>
      <c r="Z14" s="492"/>
      <c r="AR14" s="717" t="s">
        <v>487</v>
      </c>
      <c r="AS14" s="718"/>
      <c r="AT14" s="719"/>
      <c r="AU14" s="717"/>
      <c r="AV14" s="717"/>
      <c r="AW14" s="717"/>
      <c r="AX14" s="720">
        <f>SUMPRODUCT(U28:U60,W28:W60)</f>
        <v>0</v>
      </c>
      <c r="AY14" s="19"/>
      <c r="AZ14" s="19"/>
      <c r="BA14" s="19"/>
      <c r="BB14" s="19"/>
      <c r="BC14" s="19"/>
      <c r="BD14" s="19"/>
      <c r="BE14" s="19"/>
      <c r="BF14" s="17"/>
      <c r="BG14" s="286">
        <v>900</v>
      </c>
      <c r="BH14" s="287">
        <f>SUMIF(G189:G192,BG14,W189:W192)+SUMIF(G223:G234,BG14,W223:W234)+SUMIF(G259:G266,BG14,W259:W266)</f>
        <v>0</v>
      </c>
      <c r="BI14" s="288">
        <f>BH14/2</f>
        <v>0</v>
      </c>
      <c r="BJ14" s="289">
        <f>ROUNDDOWN(BI14,0)</f>
        <v>0</v>
      </c>
      <c r="BZ14" s="1081"/>
    </row>
    <row r="15" spans="1:84" hidden="1">
      <c r="A15" s="49">
        <f>IF(SUM(Pedido!L170:L176)=0,0,ISEVEN(SUM(Pedido!L170:L176)))</f>
        <v>0</v>
      </c>
      <c r="C15" s="19"/>
      <c r="D15" s="93" t="s">
        <v>15</v>
      </c>
      <c r="E15" s="1085"/>
      <c r="F15" s="20"/>
      <c r="G15" s="20"/>
      <c r="H15" s="919"/>
      <c r="I15" s="20"/>
      <c r="J15" s="20"/>
      <c r="K15" s="20"/>
      <c r="L15" s="19"/>
      <c r="M15" s="1086"/>
      <c r="N15" s="1086"/>
      <c r="O15" s="1086"/>
      <c r="P15" s="1086" t="s">
        <v>364</v>
      </c>
      <c r="Q15" s="1087">
        <f>SUM(W106:W109)</f>
        <v>0</v>
      </c>
      <c r="R15" s="1088"/>
      <c r="S15" s="1088"/>
      <c r="T15" s="678"/>
      <c r="U15" s="266"/>
      <c r="V15" s="491"/>
      <c r="W15" s="491"/>
      <c r="X15" s="491"/>
      <c r="Y15" s="491"/>
      <c r="Z15" s="492"/>
      <c r="AR15" s="721" t="s">
        <v>488</v>
      </c>
      <c r="AS15" s="718"/>
      <c r="AT15" s="719"/>
      <c r="AU15" s="717"/>
      <c r="AV15" s="717"/>
      <c r="AW15" s="717"/>
      <c r="AX15" s="722">
        <f>SUM(AX9:AX14)</f>
        <v>0</v>
      </c>
      <c r="AY15" s="19"/>
      <c r="AZ15" s="19"/>
      <c r="BA15" s="19"/>
      <c r="BB15" s="19"/>
      <c r="BC15" s="19"/>
      <c r="BD15" s="19"/>
      <c r="BE15" s="19"/>
      <c r="BF15" s="17"/>
      <c r="BG15" s="286">
        <v>1800</v>
      </c>
      <c r="BH15" s="287">
        <f>SUMIF(G235:G244,BG15,W235:W244)+SUMIF(G268:G275,BG15,W268:W275)</f>
        <v>0</v>
      </c>
      <c r="BI15" s="286"/>
      <c r="BJ15" s="289">
        <f>BH15</f>
        <v>0</v>
      </c>
      <c r="BK15" s="1089" t="s">
        <v>308</v>
      </c>
      <c r="BP15" s="578"/>
      <c r="BQ15" s="1090"/>
      <c r="BR15" s="579"/>
      <c r="BS15" s="578"/>
      <c r="BT15" s="576"/>
      <c r="BZ15" s="717"/>
    </row>
    <row r="16" spans="1:84" ht="15.6" hidden="1" customHeight="1">
      <c r="A16" s="49"/>
      <c r="B16" s="249"/>
      <c r="C16" s="19"/>
      <c r="D16" s="1039" t="s">
        <v>16</v>
      </c>
      <c r="E16" s="1040">
        <f>AF373</f>
        <v>0</v>
      </c>
      <c r="F16" s="20"/>
      <c r="G16" s="20"/>
      <c r="H16" s="919"/>
      <c r="I16" s="20"/>
      <c r="J16" s="20"/>
      <c r="K16" s="20"/>
      <c r="L16" s="19"/>
      <c r="M16" s="19"/>
      <c r="N16" s="19"/>
      <c r="O16" s="19"/>
      <c r="P16" s="19"/>
      <c r="Q16" s="19"/>
      <c r="R16" s="678"/>
      <c r="S16" s="678"/>
      <c r="T16" s="679"/>
      <c r="U16" s="265"/>
      <c r="V16" s="491"/>
      <c r="W16" s="491"/>
      <c r="X16" s="491"/>
      <c r="Y16" s="491"/>
      <c r="Z16" s="492"/>
      <c r="AS16" s="21"/>
      <c r="AT16" s="22"/>
      <c r="AU16" s="19"/>
      <c r="AV16" s="19"/>
      <c r="AW16" s="19"/>
      <c r="AX16" s="464"/>
      <c r="AY16" s="19"/>
      <c r="AZ16" s="19"/>
      <c r="BA16" s="19"/>
      <c r="BB16" s="19"/>
      <c r="BC16" s="19"/>
      <c r="BD16" s="19"/>
      <c r="BE16" s="19"/>
      <c r="BF16" s="17"/>
      <c r="BH16" s="21"/>
      <c r="BP16" s="578"/>
      <c r="BQ16" s="1091"/>
      <c r="BR16" s="579"/>
      <c r="BS16" s="578"/>
      <c r="BT16" s="576"/>
      <c r="BZ16" s="717"/>
    </row>
    <row r="17" spans="1:85" ht="15.6" hidden="1" customHeight="1">
      <c r="A17" s="49"/>
      <c r="B17" s="249"/>
      <c r="C17" s="19"/>
      <c r="D17" s="1039" t="s">
        <v>17</v>
      </c>
      <c r="E17" s="1040">
        <f>AT373</f>
        <v>0</v>
      </c>
      <c r="F17" s="20"/>
      <c r="G17" s="20"/>
      <c r="H17" s="919"/>
      <c r="I17" s="20"/>
      <c r="J17" s="20"/>
      <c r="K17" s="20"/>
      <c r="L17" s="19"/>
      <c r="M17" s="19"/>
      <c r="N17" s="19"/>
      <c r="O17" s="19"/>
      <c r="P17" s="19"/>
      <c r="Q17" s="19"/>
      <c r="R17" s="678"/>
      <c r="S17" s="678"/>
      <c r="T17" s="679"/>
      <c r="U17" s="265"/>
      <c r="V17" s="491"/>
      <c r="W17" s="491"/>
      <c r="X17" s="491"/>
      <c r="Y17" s="491"/>
      <c r="Z17" s="492"/>
      <c r="AS17" s="21"/>
      <c r="AT17" s="22"/>
      <c r="AU17" s="19"/>
      <c r="AV17" s="19"/>
      <c r="AW17" s="19"/>
      <c r="AX17" s="464"/>
      <c r="AY17" s="19"/>
      <c r="AZ17" s="19"/>
      <c r="BA17" s="19"/>
      <c r="BB17" s="19"/>
      <c r="BC17" s="19"/>
      <c r="BD17" s="19"/>
      <c r="BE17" s="19"/>
      <c r="BF17" s="17"/>
      <c r="BH17" s="21"/>
      <c r="BP17" s="578"/>
      <c r="BQ17" s="1091"/>
      <c r="BR17" s="579"/>
      <c r="BS17" s="578"/>
      <c r="BT17" s="576"/>
      <c r="BZ17" s="717"/>
    </row>
    <row r="18" spans="1:85" ht="15.6" hidden="1" customHeight="1">
      <c r="A18" s="49"/>
      <c r="B18" s="249"/>
      <c r="C18" s="19"/>
      <c r="D18" s="1039" t="s">
        <v>18</v>
      </c>
      <c r="E18" s="91">
        <f>E4*E17</f>
        <v>0</v>
      </c>
      <c r="F18" s="20"/>
      <c r="G18" s="20"/>
      <c r="H18" s="919"/>
      <c r="I18" s="20"/>
      <c r="J18" s="20"/>
      <c r="K18" s="20"/>
      <c r="L18" s="19"/>
      <c r="M18" s="19"/>
      <c r="N18" s="19"/>
      <c r="O18" s="19"/>
      <c r="P18" s="19"/>
      <c r="Q18" s="19"/>
      <c r="R18" s="678"/>
      <c r="S18" s="678"/>
      <c r="T18" s="679"/>
      <c r="U18" s="265"/>
      <c r="V18" s="491"/>
      <c r="W18" s="491"/>
      <c r="X18" s="491"/>
      <c r="Y18" s="491"/>
      <c r="Z18" s="492"/>
      <c r="AS18" s="21"/>
      <c r="AT18" s="22"/>
      <c r="AU18" s="19"/>
      <c r="AV18" s="19"/>
      <c r="AW18" s="19"/>
      <c r="AX18" s="464"/>
      <c r="AY18" s="19"/>
      <c r="AZ18" s="19"/>
      <c r="BA18" s="19"/>
      <c r="BB18" s="19"/>
      <c r="BC18" s="19"/>
      <c r="BD18" s="19"/>
      <c r="BE18" s="19"/>
      <c r="BF18" s="17"/>
      <c r="BH18" s="21"/>
      <c r="BP18" s="578"/>
      <c r="BQ18" s="1091"/>
      <c r="BR18" s="579"/>
      <c r="BS18" s="578"/>
      <c r="BT18" s="576"/>
      <c r="BZ18" s="717"/>
    </row>
    <row r="19" spans="1:85" ht="15.6" hidden="1" customHeight="1">
      <c r="A19" s="49"/>
      <c r="B19" s="249"/>
      <c r="C19" s="19"/>
      <c r="D19" s="1039"/>
      <c r="E19" s="92"/>
      <c r="F19" s="20"/>
      <c r="G19" s="20"/>
      <c r="H19" s="919"/>
      <c r="I19" s="20"/>
      <c r="J19" s="20"/>
      <c r="K19" s="20"/>
      <c r="L19" s="19"/>
      <c r="M19" s="19"/>
      <c r="N19" s="19"/>
      <c r="O19" s="19"/>
      <c r="P19" s="19"/>
      <c r="Q19" s="19"/>
      <c r="R19" s="678"/>
      <c r="S19" s="678"/>
      <c r="T19" s="679"/>
      <c r="U19" s="265"/>
      <c r="V19" s="491"/>
      <c r="W19" s="491"/>
      <c r="X19" s="491"/>
      <c r="Y19" s="491"/>
      <c r="Z19" s="492"/>
      <c r="AS19" s="21"/>
      <c r="AT19" s="22"/>
      <c r="AU19" s="19"/>
      <c r="AV19" s="19"/>
      <c r="AW19" s="19"/>
      <c r="AX19" s="464"/>
      <c r="AY19" s="19"/>
      <c r="AZ19" s="19"/>
      <c r="BA19" s="19"/>
      <c r="BB19" s="19"/>
      <c r="BC19" s="19"/>
      <c r="BD19" s="19"/>
      <c r="BE19" s="19"/>
      <c r="BF19" s="17"/>
      <c r="BH19" s="21"/>
      <c r="BP19" s="578"/>
      <c r="BQ19" s="1091"/>
      <c r="BR19" s="579"/>
      <c r="BS19" s="578"/>
      <c r="BT19" s="576"/>
      <c r="BZ19" s="717"/>
    </row>
    <row r="20" spans="1:85" ht="15.6" hidden="1" customHeight="1">
      <c r="A20" s="49"/>
      <c r="B20" s="249"/>
      <c r="C20" s="19"/>
      <c r="D20" s="1039"/>
      <c r="E20" s="1092"/>
      <c r="F20" s="20"/>
      <c r="G20" s="20"/>
      <c r="H20" s="919"/>
      <c r="I20" s="20"/>
      <c r="J20" s="20"/>
      <c r="K20" s="20"/>
      <c r="L20" s="19"/>
      <c r="M20" s="19"/>
      <c r="N20" s="19"/>
      <c r="O20" s="19"/>
      <c r="P20" s="19"/>
      <c r="Q20" s="19"/>
      <c r="R20" s="678"/>
      <c r="S20" s="678"/>
      <c r="T20" s="679"/>
      <c r="U20" s="265"/>
      <c r="V20" s="491"/>
      <c r="W20" s="491"/>
      <c r="X20" s="491"/>
      <c r="Y20" s="491"/>
      <c r="Z20" s="492"/>
      <c r="AS20" s="21"/>
      <c r="AT20" s="22"/>
      <c r="AU20" s="19"/>
      <c r="AV20" s="19"/>
      <c r="AW20" s="19"/>
      <c r="AX20" s="464"/>
      <c r="AY20" s="19"/>
      <c r="AZ20" s="19"/>
      <c r="BA20" s="19"/>
      <c r="BB20" s="19"/>
      <c r="BC20" s="19"/>
      <c r="BD20" s="19"/>
      <c r="BE20" s="19"/>
      <c r="BF20" s="17"/>
      <c r="BH20" s="21"/>
      <c r="BP20" s="578"/>
      <c r="BQ20" s="1091"/>
      <c r="BR20" s="579"/>
      <c r="BS20" s="578"/>
      <c r="BT20" s="576"/>
      <c r="BZ20" s="717"/>
    </row>
    <row r="21" spans="1:85" ht="15.6" hidden="1" customHeight="1">
      <c r="A21" s="49"/>
      <c r="B21" s="249"/>
      <c r="C21" s="19"/>
      <c r="D21" s="1039"/>
      <c r="E21" s="90"/>
      <c r="F21" s="20"/>
      <c r="G21" s="20"/>
      <c r="H21" s="919"/>
      <c r="I21" s="20"/>
      <c r="J21" s="20"/>
      <c r="K21" s="20"/>
      <c r="L21" s="19"/>
      <c r="M21" s="19"/>
      <c r="N21" s="19"/>
      <c r="O21" s="19"/>
      <c r="P21" s="19"/>
      <c r="Q21" s="19"/>
      <c r="R21" s="678"/>
      <c r="S21" s="678"/>
      <c r="T21" s="679"/>
      <c r="U21" s="265"/>
      <c r="V21" s="491"/>
      <c r="W21" s="491"/>
      <c r="X21" s="491"/>
      <c r="Y21" s="491"/>
      <c r="Z21" s="492"/>
      <c r="AS21" s="21"/>
      <c r="AT21" s="22"/>
      <c r="AU21" s="19"/>
      <c r="AV21" s="19"/>
      <c r="AW21" s="19"/>
      <c r="AX21" s="464"/>
      <c r="AY21" s="19"/>
      <c r="AZ21" s="19"/>
      <c r="BA21" s="19"/>
      <c r="BB21" s="19"/>
      <c r="BC21" s="19"/>
      <c r="BD21" s="19"/>
      <c r="BE21" s="19"/>
      <c r="BF21" s="17"/>
      <c r="BH21" s="21"/>
      <c r="BP21" s="578"/>
      <c r="BQ21" s="1091"/>
      <c r="BR21" s="579"/>
      <c r="BS21" s="578"/>
      <c r="BT21" s="576"/>
      <c r="BZ21" s="717"/>
    </row>
    <row r="22" spans="1:85" s="11" customFormat="1" ht="15.6" hidden="1" customHeight="1">
      <c r="A22" s="50"/>
      <c r="B22" s="250"/>
      <c r="C22" s="26"/>
      <c r="D22" s="1144" t="s">
        <v>545</v>
      </c>
      <c r="E22" s="1145">
        <f>BB372-AD373+BC372+Cálculo!CD24</f>
        <v>0</v>
      </c>
      <c r="F22" s="20"/>
      <c r="G22" s="20"/>
      <c r="H22" s="919"/>
      <c r="I22" s="20"/>
      <c r="J22" s="20"/>
      <c r="K22" s="20"/>
      <c r="L22" s="26"/>
      <c r="M22" s="1093"/>
      <c r="N22" s="1093"/>
      <c r="O22" s="1093"/>
      <c r="P22" s="1093"/>
      <c r="Q22" s="1093"/>
      <c r="R22" s="1094"/>
      <c r="S22" s="680"/>
      <c r="T22" s="681"/>
      <c r="U22" s="267"/>
      <c r="V22" s="493"/>
      <c r="W22" s="493"/>
      <c r="X22" s="493"/>
      <c r="Y22" s="493"/>
      <c r="Z22" s="493"/>
      <c r="AS22" s="27"/>
      <c r="AT22" s="22"/>
      <c r="AU22" s="19"/>
      <c r="AV22" s="26"/>
      <c r="AW22" s="19"/>
      <c r="AX22" s="464"/>
      <c r="AY22" s="19"/>
      <c r="AZ22" s="19"/>
      <c r="BA22" s="19"/>
      <c r="BB22" s="19"/>
      <c r="BC22" s="19"/>
      <c r="BD22" s="19"/>
      <c r="BE22" s="19"/>
      <c r="BF22" s="28"/>
      <c r="BG22" s="273"/>
      <c r="BH22" s="21"/>
      <c r="BJ22" s="271"/>
      <c r="BL22"/>
      <c r="BM22" s="461"/>
      <c r="BN22"/>
      <c r="BO22"/>
      <c r="BP22" s="578"/>
      <c r="BQ22" s="1090"/>
      <c r="BR22" s="579"/>
      <c r="BS22" s="578"/>
      <c r="BT22" s="576"/>
      <c r="BU22"/>
      <c r="BV22"/>
      <c r="BW22"/>
      <c r="BX22"/>
      <c r="BZ22" s="1044"/>
      <c r="CA22" s="1181"/>
      <c r="CB22" s="1181"/>
      <c r="CC22" s="1178"/>
      <c r="CD22" s="1178"/>
      <c r="CE22" s="1178"/>
      <c r="CF22" s="1178"/>
      <c r="CG22" s="1175"/>
    </row>
    <row r="23" spans="1:85" s="11" customFormat="1" ht="16.2" hidden="1" customHeight="1" thickBot="1">
      <c r="A23" s="50"/>
      <c r="B23" s="251"/>
      <c r="C23" s="26"/>
      <c r="D23" s="94" t="s">
        <v>19</v>
      </c>
      <c r="E23" s="483">
        <f>IF(SUM(Z:Z)&lt;0,"Pedido Reprovado",IF(E4&gt;0,IF(E22&gt;=0,"Pedido Aprovado","Pedido Reprovado"),))</f>
        <v>0</v>
      </c>
      <c r="F23" s="20"/>
      <c r="G23" s="20"/>
      <c r="H23" s="919"/>
      <c r="I23" s="20"/>
      <c r="J23" s="20"/>
      <c r="K23" s="20"/>
      <c r="L23" s="259"/>
      <c r="M23" s="1093"/>
      <c r="N23" s="1093"/>
      <c r="O23" s="1093"/>
      <c r="P23" s="1093"/>
      <c r="Q23" s="1093"/>
      <c r="R23" s="1094"/>
      <c r="S23" s="682"/>
      <c r="T23" s="681"/>
      <c r="U23" s="267"/>
      <c r="V23" s="493"/>
      <c r="W23" s="493"/>
      <c r="X23" s="496"/>
      <c r="Y23" s="493"/>
      <c r="Z23" s="493"/>
      <c r="AS23" s="27"/>
      <c r="AT23" s="22"/>
      <c r="AU23" s="19"/>
      <c r="AV23" s="26"/>
      <c r="AW23" s="19"/>
      <c r="AX23" s="464"/>
      <c r="AY23" s="19"/>
      <c r="AZ23" s="19"/>
      <c r="BA23" s="19"/>
      <c r="BB23" s="19"/>
      <c r="BC23" s="19"/>
      <c r="BD23" s="19"/>
      <c r="BE23" s="19"/>
      <c r="BF23" s="28"/>
      <c r="BG23" s="494">
        <f>IF(BH23=0,1,BH23)</f>
        <v>1</v>
      </c>
      <c r="BH23" s="494">
        <f>ABS(IF(W73="",AH373,(U73*W73)-AH373))</f>
        <v>0</v>
      </c>
      <c r="BI23" s="495"/>
      <c r="BJ23" s="493"/>
      <c r="BL23"/>
      <c r="BM23" s="461"/>
      <c r="BN23"/>
      <c r="BO23"/>
      <c r="BP23" s="578"/>
      <c r="BQ23"/>
      <c r="BR23"/>
      <c r="BS23"/>
      <c r="BT23" s="576"/>
      <c r="BU23"/>
      <c r="BV23"/>
      <c r="BW23"/>
      <c r="BX23"/>
      <c r="BZ23" s="1045"/>
      <c r="CA23" s="1181"/>
      <c r="CB23" s="1181"/>
      <c r="CC23" s="1178"/>
      <c r="CD23" s="1178"/>
      <c r="CE23" s="1178"/>
      <c r="CF23" s="1178"/>
      <c r="CG23" s="1175"/>
    </row>
    <row r="24" spans="1:85" ht="16.2" thickBot="1">
      <c r="A24" s="34"/>
      <c r="B24" s="252"/>
      <c r="C24" s="29"/>
      <c r="D24" s="29"/>
      <c r="E24" s="25"/>
      <c r="F24" s="29"/>
      <c r="G24" s="29"/>
      <c r="H24" s="920"/>
      <c r="I24" s="21"/>
      <c r="J24" s="21"/>
      <c r="K24" s="21"/>
      <c r="L24" s="1095"/>
      <c r="M24" s="1095"/>
      <c r="N24" s="1095"/>
      <c r="O24" s="1095"/>
      <c r="P24" s="1095"/>
      <c r="Q24" s="1095"/>
      <c r="R24" s="1095"/>
      <c r="S24" s="1095"/>
      <c r="T24" s="683"/>
      <c r="U24" s="268"/>
      <c r="V24" s="268"/>
      <c r="W24" s="489"/>
      <c r="X24" s="497"/>
      <c r="Y24" s="268"/>
      <c r="Z24" s="269"/>
      <c r="AA24" s="270"/>
      <c r="AB24" s="268"/>
      <c r="AC24" s="268"/>
      <c r="AD24" s="268"/>
      <c r="AE24" s="268"/>
      <c r="AF24" s="268"/>
      <c r="AG24" s="268"/>
      <c r="AH24" s="268"/>
      <c r="AI24" s="268"/>
      <c r="AJ24" s="268"/>
      <c r="AK24" s="268"/>
      <c r="AL24" s="268"/>
      <c r="AM24" s="268"/>
      <c r="AN24" s="268"/>
      <c r="AO24" s="268"/>
      <c r="AP24" s="268"/>
      <c r="AQ24" s="268"/>
      <c r="AR24" s="268"/>
      <c r="AS24" s="21"/>
      <c r="AT24" s="21"/>
      <c r="AU24" s="21"/>
      <c r="AV24" s="21"/>
      <c r="AW24" s="21"/>
      <c r="AX24" s="465"/>
      <c r="AY24" s="21"/>
      <c r="AZ24" s="21"/>
      <c r="BA24" s="21"/>
      <c r="BB24" s="21"/>
      <c r="BC24" s="21"/>
      <c r="BD24" s="21"/>
      <c r="BE24" s="21"/>
      <c r="BF24" s="17"/>
      <c r="BG24" s="495"/>
      <c r="BH24" s="495"/>
      <c r="BI24" s="1096">
        <f>IF(W73="",0,IF(BG23=1,BG23,(U73*W73)/BG23))</f>
        <v>0</v>
      </c>
      <c r="BJ24" s="491"/>
      <c r="BP24" s="578"/>
      <c r="BQ24" s="1091"/>
      <c r="BR24" s="579"/>
      <c r="BS24" s="1091"/>
      <c r="BT24" s="577"/>
      <c r="BZ24" s="1046"/>
      <c r="CC24" s="578" t="s">
        <v>546</v>
      </c>
    </row>
    <row r="25" spans="1:85" ht="15.6" thickBot="1">
      <c r="A25" s="1878" t="s">
        <v>218</v>
      </c>
      <c r="B25" s="940"/>
      <c r="C25" s="941"/>
      <c r="D25" s="1881" t="s">
        <v>20</v>
      </c>
      <c r="E25" s="1882"/>
      <c r="F25" s="1882"/>
      <c r="G25" s="1883"/>
      <c r="H25" s="942"/>
      <c r="I25" s="1881" t="s">
        <v>21</v>
      </c>
      <c r="J25" s="1884"/>
      <c r="K25" s="1884"/>
      <c r="L25" s="1884"/>
      <c r="M25" s="1882" t="s">
        <v>22</v>
      </c>
      <c r="N25" s="1882"/>
      <c r="O25" s="1882"/>
      <c r="P25" s="1882"/>
      <c r="Q25" s="1882"/>
      <c r="R25" s="1882"/>
      <c r="S25" s="1883"/>
      <c r="T25" s="1885" t="s">
        <v>23</v>
      </c>
      <c r="U25" s="1886"/>
      <c r="V25" s="1886"/>
      <c r="W25" s="1886"/>
      <c r="X25" s="1886"/>
      <c r="Y25" s="1886"/>
      <c r="Z25" s="1886"/>
      <c r="AA25" s="943"/>
      <c r="AB25" s="943"/>
      <c r="AC25" s="943"/>
      <c r="AD25" s="943"/>
      <c r="AE25" s="943"/>
      <c r="AF25" s="943"/>
      <c r="AG25" s="943"/>
      <c r="AH25" s="943"/>
      <c r="AI25" s="943"/>
      <c r="AJ25" s="1097">
        <v>0.1</v>
      </c>
      <c r="AK25" s="1097">
        <v>8.5000000000000006E-2</v>
      </c>
      <c r="AL25" s="1097">
        <v>0.02</v>
      </c>
      <c r="AM25" s="943"/>
      <c r="AN25" s="943"/>
      <c r="AO25" s="943"/>
      <c r="AP25" s="943"/>
      <c r="AQ25" s="943"/>
      <c r="AR25" s="944"/>
      <c r="AS25" s="943"/>
      <c r="AT25" s="943"/>
      <c r="AU25" s="943"/>
      <c r="AV25" s="943"/>
      <c r="AW25" s="945"/>
      <c r="AX25" s="1887"/>
      <c r="AY25" s="1888"/>
      <c r="AZ25" s="1888"/>
      <c r="BA25" s="1888"/>
      <c r="BB25" s="1888"/>
      <c r="BC25" s="1888"/>
      <c r="BD25" s="1888"/>
      <c r="BE25" s="1888"/>
      <c r="BF25" s="1888"/>
      <c r="BG25" s="1888"/>
      <c r="BH25" s="1888"/>
      <c r="BI25" s="1888"/>
      <c r="BJ25" s="1888"/>
      <c r="BK25" s="1888"/>
      <c r="BL25" s="1888"/>
      <c r="BM25" s="1888"/>
      <c r="BN25" s="1888"/>
      <c r="BO25" s="1888"/>
      <c r="BP25" s="1888"/>
      <c r="BQ25" s="1888"/>
      <c r="BR25" s="1888"/>
      <c r="BS25" s="1888"/>
      <c r="BT25" s="1888"/>
      <c r="BU25" s="1888"/>
      <c r="BV25" s="1888"/>
      <c r="BW25" s="1888"/>
      <c r="BX25" s="1888"/>
      <c r="BY25" s="1888"/>
      <c r="BZ25" s="1889"/>
    </row>
    <row r="26" spans="1:85" ht="15.6" thickBot="1">
      <c r="A26" s="1879"/>
      <c r="B26" s="253"/>
      <c r="C26" s="64"/>
      <c r="D26" s="66"/>
      <c r="E26" s="67"/>
      <c r="F26" s="67" t="s">
        <v>28</v>
      </c>
      <c r="G26" s="81"/>
      <c r="H26" s="921"/>
      <c r="I26" s="83"/>
      <c r="J26" s="69"/>
      <c r="K26" s="69"/>
      <c r="L26" s="68"/>
      <c r="M26" s="468">
        <v>1800</v>
      </c>
      <c r="N26" s="468">
        <v>1800</v>
      </c>
      <c r="O26" s="468">
        <v>1800</v>
      </c>
      <c r="P26" s="70">
        <v>1800</v>
      </c>
      <c r="Q26" s="70">
        <v>30000</v>
      </c>
      <c r="R26" s="70">
        <v>45000</v>
      </c>
      <c r="S26" s="263">
        <v>10000000</v>
      </c>
      <c r="T26" s="88"/>
      <c r="U26" s="71"/>
      <c r="V26" s="71"/>
      <c r="W26" s="72"/>
      <c r="X26" s="72"/>
      <c r="Y26" s="73"/>
      <c r="Z26" s="221"/>
      <c r="AA26" s="74"/>
      <c r="AB26" s="74"/>
      <c r="AC26" s="74"/>
      <c r="AD26" s="74"/>
      <c r="AE26" s="74"/>
      <c r="AF26" s="74"/>
      <c r="AG26" s="75"/>
      <c r="AH26" s="76"/>
      <c r="AI26" s="76"/>
      <c r="AJ26" s="76"/>
      <c r="AK26" s="76"/>
      <c r="AL26" s="76"/>
      <c r="AM26" s="76"/>
      <c r="AN26" s="76"/>
      <c r="AO26" s="76"/>
      <c r="AP26" s="77"/>
      <c r="AQ26" s="77"/>
      <c r="AR26" s="366"/>
      <c r="AS26" s="86"/>
      <c r="AT26" s="78"/>
      <c r="AU26" s="79"/>
      <c r="AV26" s="261"/>
      <c r="AW26" s="966"/>
      <c r="AX26" s="970"/>
      <c r="AY26" s="938"/>
      <c r="AZ26" s="30"/>
      <c r="BA26" s="30"/>
      <c r="BB26" s="30"/>
      <c r="BC26" s="30"/>
      <c r="BD26" s="30"/>
      <c r="BE26" s="38"/>
      <c r="BF26" s="971"/>
      <c r="BG26" s="12"/>
      <c r="BH26" s="12"/>
      <c r="BI26" s="12"/>
      <c r="BJ26" s="12"/>
      <c r="BK26" s="12"/>
      <c r="BL26" s="12"/>
      <c r="BM26" s="972"/>
      <c r="BN26" s="367"/>
      <c r="BO26" s="12"/>
      <c r="BP26" s="973"/>
      <c r="BQ26" s="1098"/>
      <c r="BR26" s="974"/>
      <c r="BS26" s="1098"/>
      <c r="BT26" s="975"/>
      <c r="BU26" s="12"/>
      <c r="BV26" s="12"/>
      <c r="BW26" s="12"/>
      <c r="BX26" s="12"/>
      <c r="BY26" s="12"/>
      <c r="BZ26" s="1890" t="s">
        <v>532</v>
      </c>
    </row>
    <row r="27" spans="1:85" ht="24.75" customHeight="1" thickBot="1">
      <c r="A27" s="1880"/>
      <c r="B27" s="254" t="s">
        <v>24</v>
      </c>
      <c r="C27" s="65" t="s">
        <v>25</v>
      </c>
      <c r="D27" s="80" t="s">
        <v>26</v>
      </c>
      <c r="E27" s="235" t="s">
        <v>27</v>
      </c>
      <c r="F27" s="54" t="s">
        <v>220</v>
      </c>
      <c r="G27" s="82" t="s">
        <v>29</v>
      </c>
      <c r="H27" s="922"/>
      <c r="I27" s="84" t="s">
        <v>31</v>
      </c>
      <c r="J27" s="56" t="s">
        <v>32</v>
      </c>
      <c r="K27" s="56" t="s">
        <v>33</v>
      </c>
      <c r="L27" s="55" t="s">
        <v>34</v>
      </c>
      <c r="M27" s="469">
        <v>1500</v>
      </c>
      <c r="N27" s="469">
        <v>1800</v>
      </c>
      <c r="O27" s="469">
        <v>1800</v>
      </c>
      <c r="P27" s="245">
        <v>1800</v>
      </c>
      <c r="Q27" s="57">
        <v>60</v>
      </c>
      <c r="R27" s="57">
        <v>120</v>
      </c>
      <c r="S27" s="85">
        <v>200</v>
      </c>
      <c r="T27" s="89" t="s">
        <v>34</v>
      </c>
      <c r="U27" s="58" t="s">
        <v>35</v>
      </c>
      <c r="V27" s="58" t="s">
        <v>36</v>
      </c>
      <c r="W27" s="58" t="s">
        <v>37</v>
      </c>
      <c r="X27" s="58" t="s">
        <v>38</v>
      </c>
      <c r="Y27" s="59" t="s">
        <v>34</v>
      </c>
      <c r="Z27" s="222" t="s">
        <v>39</v>
      </c>
      <c r="AA27" s="55" t="s">
        <v>40</v>
      </c>
      <c r="AB27" s="55" t="s">
        <v>41</v>
      </c>
      <c r="AC27" s="55" t="s">
        <v>42</v>
      </c>
      <c r="AD27" s="55" t="s">
        <v>43</v>
      </c>
      <c r="AE27" s="55" t="s">
        <v>44</v>
      </c>
      <c r="AF27" s="55" t="s">
        <v>45</v>
      </c>
      <c r="AG27" s="60" t="s">
        <v>46</v>
      </c>
      <c r="AH27" s="55" t="s">
        <v>47</v>
      </c>
      <c r="AI27" s="55" t="s">
        <v>30</v>
      </c>
      <c r="AJ27" s="55" t="s">
        <v>48</v>
      </c>
      <c r="AK27" s="55" t="s">
        <v>49</v>
      </c>
      <c r="AL27" s="55" t="s">
        <v>50</v>
      </c>
      <c r="AM27" s="55" t="s">
        <v>51</v>
      </c>
      <c r="AN27" s="55" t="s">
        <v>52</v>
      </c>
      <c r="AO27" s="55" t="s">
        <v>53</v>
      </c>
      <c r="AP27" s="61" t="s">
        <v>54</v>
      </c>
      <c r="AQ27" s="61" t="s">
        <v>55</v>
      </c>
      <c r="AR27" s="532" t="s">
        <v>56</v>
      </c>
      <c r="AS27" s="87" t="s">
        <v>54</v>
      </c>
      <c r="AT27" s="62" t="s">
        <v>54</v>
      </c>
      <c r="AU27" s="63" t="s">
        <v>57</v>
      </c>
      <c r="AV27" s="262"/>
      <c r="AW27" s="967" t="s">
        <v>213</v>
      </c>
      <c r="AX27" s="976" t="s">
        <v>213</v>
      </c>
      <c r="AY27" s="939" t="s">
        <v>200</v>
      </c>
      <c r="AZ27" s="31" t="s">
        <v>207</v>
      </c>
      <c r="BA27" s="31" t="s">
        <v>206</v>
      </c>
      <c r="BB27" s="31" t="s">
        <v>205</v>
      </c>
      <c r="BC27" s="31" t="s">
        <v>208</v>
      </c>
      <c r="BD27" s="31" t="s">
        <v>211</v>
      </c>
      <c r="BE27" s="39" t="s">
        <v>212</v>
      </c>
      <c r="BF27" s="971"/>
      <c r="BG27" s="12"/>
      <c r="BH27" s="12"/>
      <c r="BI27" s="12"/>
      <c r="BJ27" s="12"/>
      <c r="BK27" s="12"/>
      <c r="BL27" s="12"/>
      <c r="BM27" s="977"/>
      <c r="BN27" s="368"/>
      <c r="BO27" s="978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891"/>
    </row>
    <row r="28" spans="1:85" ht="33.75" customHeight="1">
      <c r="A28" s="946"/>
      <c r="B28" s="769">
        <v>14842467944</v>
      </c>
      <c r="C28" s="770" t="s">
        <v>463</v>
      </c>
      <c r="D28" s="771" t="s">
        <v>463</v>
      </c>
      <c r="E28" s="772" t="s">
        <v>72</v>
      </c>
      <c r="F28" s="773" t="s">
        <v>61</v>
      </c>
      <c r="G28" s="774" t="s">
        <v>464</v>
      </c>
      <c r="H28" s="1146">
        <v>157.77000000000001</v>
      </c>
      <c r="I28" s="775">
        <v>648.48960000000011</v>
      </c>
      <c r="J28" s="776" t="str">
        <f>IFERROR(IF(T28&lt;&gt;"",I28/T28,IF(AND(Y28="",V28=""),"",IF(V28="",I28/Y28,I28/V28))),"")</f>
        <v/>
      </c>
      <c r="K28" s="777" t="str">
        <f>IF(Y28="","",IFERROR(1-(Y28/I28),0))</f>
        <v/>
      </c>
      <c r="L28" s="768">
        <v>391.6</v>
      </c>
      <c r="M28" s="768">
        <f>P28</f>
        <v>360.27200000000005</v>
      </c>
      <c r="N28" s="768">
        <f>P28</f>
        <v>360.27200000000005</v>
      </c>
      <c r="O28" s="768">
        <f>P28</f>
        <v>360.27200000000005</v>
      </c>
      <c r="P28" s="923">
        <v>360.27200000000005</v>
      </c>
      <c r="Q28" s="923">
        <v>360.27200000000005</v>
      </c>
      <c r="R28" s="923">
        <v>360.27200000000005</v>
      </c>
      <c r="S28" s="923">
        <v>360.27200000000005</v>
      </c>
      <c r="T28" s="778" t="str">
        <f t="shared" ref="T28:T106" si="0">IF(V28&gt;0,V28,IFERROR(IF(AND(W28&lt;&gt;"",X28&lt;&gt;""),AH28/W28,Y28),""))</f>
        <v/>
      </c>
      <c r="U28" s="779" t="str">
        <f t="shared" ref="U28:U106" si="1">IFERROR((T28*W28)/(W28+X28),"")</f>
        <v/>
      </c>
      <c r="V28" s="780"/>
      <c r="W28" s="1099"/>
      <c r="X28" s="781"/>
      <c r="Y28" s="782" t="str">
        <f>IF(AND(W28="",X28=""),"",$E$13*IF(V28&lt;&gt;"",V28,IF(SUMIF($C:$C,C28,$W:$W)&gt;=$S$27,S28,IF(OR($AA$373&gt;=$R$26,SUMIF($C:$C,C28,$W:$W)&gt;=$R$27),R28,IF(OR($AA$373&gt;=$Q$26,SUMIF($C:$C,C28,$W:$W)&gt;=$Q$27),Q28,IF(OR($AA$373&gt;=$P$26,SUMIF($C:$C,C28,$W:$W)&gt;=$P$27),P28,IF(OR($AA$373&gt;=$O$26,SUMIF($C:$C,C28,$W:$W)&gt;=$O$27),O28,IF(OR($AA$373&gt;=$N$26,SUMIF($C:$C,C28,$W:$W)&gt;=$N$27),N28,IF($AA$373&gt;=$M$26,M28,L28)))))))))</f>
        <v/>
      </c>
      <c r="Z28" s="783">
        <f t="shared" ref="Z28:Z106" si="2">IF(X28&gt;W28,-1,IF(W28=0,0,IF(U28&lt;(H28/0.75),-1,IF(W28&lt;=3,0,0.0001))))</f>
        <v>0</v>
      </c>
      <c r="AA28" s="738">
        <f t="shared" ref="AA28:AA106" si="3">IFERROR(L28*W28,0)</f>
        <v>0</v>
      </c>
      <c r="AB28" s="738">
        <f>IFERROR(IF(OR($AA$373&gt;=$S$26,SUMIF($C:$C,C28,$W:$W)&gt;=$S$27),S28,IF(OR($AA$373&gt;=$R$26,SUMIF($C:$C,C28,$W:$W)&gt;=$R$27),R28,IF(OR($AA$373&gt;=$Q$26,SUMIF($C:$C,C28,$W:$W)&gt;=$Q$27),Q28,IF(OR($AA$373&gt;=$P$26,SUMIF($C:$C,C28,$W:$W)&gt;=$P$27),P28,IF(OR($AA$373&gt;=$O$26,SUMIF($C:$C,C28,$W:$W)&gt;=$O$27),O28,IF(OR($AA$373&gt;=$N$26,SUMIF($C:$C,C28,$W:$W)&gt;=$N$27),N28,IF($AA$373&gt;=$M$26,M28,L28)))))))*W28,0)</f>
        <v>0</v>
      </c>
      <c r="AC28" s="738">
        <f>IFERROR(IF(V28="",0,(IF(AND(W28="",X28=""),"",IF(OR($AA$373&gt;=$S$26,SUMIF($C:$C,C28,$W:$W)&gt;=$S$27),S28*$E$13,IF(OR($AA$373&gt;=$R$26,SUMIF($C:$C,C28,$W:$W)&gt;=$R$27),R28*$E$13,IF(OR($AA$373&gt;=$Q$26,SUMIF($C:$C,C28,$W:$W)&gt;=$Q$27),Q28*$E$13,IF(OR($AA$373&gt;=$P$26,SUMIF($C:$C,C28,$W:$W)&gt;=$P$27),P28*$E$13,IF(OR($AA$373&gt;=$O$26,SUMIF($C:$C,C28,$W:$W)&gt;=$O$27),O28*$E$13,IF(OR($AA$373&gt;=$N$26,SUMIF($C:$C,C28,$W:$W)&gt;=$N$27),N28*$E$13,IF($AA$373&gt;=$M$26,M28*$E$13,L28))))))))-V28)*W28),0)</f>
        <v>0</v>
      </c>
      <c r="AD28" s="738">
        <f t="shared" ref="AD28:AD60" si="4">IFERROR(X28*T28,0)</f>
        <v>0</v>
      </c>
      <c r="AE28" s="738">
        <f t="shared" ref="AE28:AE60" si="5">IFERROR(W28*H28,0)</f>
        <v>0</v>
      </c>
      <c r="AF28" s="738">
        <f t="shared" ref="AF28:AF60" si="6">IFERROR(1-(AE28/AB28),0)</f>
        <v>0</v>
      </c>
      <c r="AG28" s="739">
        <f t="shared" ref="AG28:AG60" si="7">IFERROR(SUM(W28:X28)*I28,0)</f>
        <v>0</v>
      </c>
      <c r="AH28" s="738">
        <f t="shared" ref="AH28:AH60" si="8">IFERROR(IF(V28&gt;0,V28*W28,(Y28*W28)),0)</f>
        <v>0</v>
      </c>
      <c r="AI28" s="738">
        <f t="shared" ref="AI28:AI60" si="9">IFERROR(SUM(W28)*H28,0)</f>
        <v>0</v>
      </c>
      <c r="AJ28" s="738">
        <f t="shared" ref="AJ28:AJ106" si="10">AH28*$AJ$25</f>
        <v>0</v>
      </c>
      <c r="AK28" s="738">
        <f t="shared" ref="AK28:AK106" si="11">AH28*AK$25</f>
        <v>0</v>
      </c>
      <c r="AL28" s="738">
        <f t="shared" ref="AL28:AL106" si="12">AH28*AL$25</f>
        <v>0</v>
      </c>
      <c r="AM28" s="738">
        <f t="shared" ref="AM28:AM60" si="13">SUM(AJ28:AL28)</f>
        <v>0</v>
      </c>
      <c r="AN28" s="738">
        <f t="shared" ref="AN28:AN106" si="14">AH28-AM28</f>
        <v>0</v>
      </c>
      <c r="AO28" s="738">
        <f t="shared" ref="AO28:AO106" si="15">AN28-AI28</f>
        <v>0</v>
      </c>
      <c r="AP28" s="740">
        <f t="shared" ref="AP28:AP60" si="16">IFERROR(IF(V28&lt;&gt;"",1-(H28/V28),IF(Y28&lt;&gt;"",1-(H28/Y28),1-(H28/L28))),0)</f>
        <v>0.59711440245148117</v>
      </c>
      <c r="AQ28" s="741">
        <f t="shared" ref="AQ28:AQ60" si="17">H28/0.75</f>
        <v>210.36</v>
      </c>
      <c r="AR28" s="742">
        <v>4</v>
      </c>
      <c r="AS28" s="743">
        <f>(AP28-MIN($AP$65:$AP$368))/(MAX($AP$65:$AP$368)-MIN($AP$65:$AP$368))*100</f>
        <v>59.711440245148118</v>
      </c>
      <c r="AT28" s="740">
        <f t="shared" ref="AT28:AT106" si="18">IFERROR(1-(AI28/AH28),0)</f>
        <v>0</v>
      </c>
      <c r="AU28" s="744">
        <f t="shared" ref="AU28:AU106" si="19">IFERROR(AO28/AH28,0)</f>
        <v>0</v>
      </c>
      <c r="AV28" s="745"/>
      <c r="AW28" s="740" t="e">
        <f>VLOOKUP(AX28,Sup!#REF!,8,0)</f>
        <v>#REF!</v>
      </c>
      <c r="AX28" s="979" t="s">
        <v>198</v>
      </c>
      <c r="AY28" s="556">
        <v>0</v>
      </c>
      <c r="AZ28" s="35"/>
      <c r="BA28" s="35"/>
      <c r="BB28" s="35"/>
      <c r="BC28" s="35">
        <f t="shared" ref="BC28:BC106" si="20">IF(BE28&lt;0,BE28,0)</f>
        <v>0</v>
      </c>
      <c r="BD28" s="35" t="str">
        <f>IFERROR(IF(AND(W28="",X28=""),"",IF(OR($AA$373&gt;=$S$26,SUMIF($C:$C,C28,$W:$W)&gt;=$S$27),S28,IF(OR($AA$373&gt;=$R$26,SUMIF($C:$C,C28,$W:$W)&gt;=$R$27),R28,IF(OR($AA$373&gt;=$Q$26,SUMIF($C:$C,C28,$W:$W)&gt;=$Q$27),Q28,IF(OR($AA$373&gt;=$P$26,SUMIF($C:$C,C28,$W:$W)&gt;=$P$27),P28,IF(OR($AA$373&gt;=$O$26,SUMIF($C:$C,C28,$W:$W)&gt;=$O$27),O28,IF(OR($AA$373&gt;=$N$26,SUMIF($C:$C,C28,$W:$W)&gt;=$N$27),N28,IF($AA$373&gt;=$M$26,M28,L28)))))))*$E$13),0)</f>
        <v/>
      </c>
      <c r="BE28" s="45">
        <f t="shared" ref="BE28:BE60" si="21">IF(V28="",0,(V28*W28)-(BD28*W28))</f>
        <v>0</v>
      </c>
      <c r="BF28" s="971"/>
      <c r="BG28" s="236"/>
      <c r="BH28" s="12"/>
      <c r="BI28" s="12"/>
      <c r="BJ28" s="12"/>
      <c r="BK28" s="12"/>
      <c r="BL28" s="12"/>
      <c r="BM28" s="980" t="e">
        <f>#REF!+24</f>
        <v>#REF!</v>
      </c>
      <c r="BN28" s="367"/>
      <c r="BO28" s="981"/>
      <c r="BP28" s="12"/>
      <c r="BQ28" s="12"/>
      <c r="BR28" s="12"/>
      <c r="BS28" s="973"/>
      <c r="BT28" s="12"/>
      <c r="BU28" s="12"/>
      <c r="BV28" s="12"/>
      <c r="BW28" s="982" t="s">
        <v>506</v>
      </c>
      <c r="BX28" s="983">
        <f t="shared" ref="BX28:BX60" si="22">IFERROR(W28*U28,0)</f>
        <v>0</v>
      </c>
      <c r="BY28" s="984" t="e">
        <f>VLOOKUP(B28,#REF!,13,0)</f>
        <v>#REF!</v>
      </c>
      <c r="BZ28" s="1047">
        <v>322</v>
      </c>
      <c r="CA28" s="1181" t="e">
        <f>VLOOKUP(B28,Pedido!$B$16:$L$292,22,0)</f>
        <v>#N/A</v>
      </c>
      <c r="CD28" s="578">
        <v>12</v>
      </c>
      <c r="CE28" s="578">
        <f>CD28/12</f>
        <v>1</v>
      </c>
      <c r="CF28" s="578" t="str">
        <f>CONCATENATE(CD28,CE28)</f>
        <v>121</v>
      </c>
      <c r="CG28" s="576" t="s">
        <v>547</v>
      </c>
    </row>
    <row r="29" spans="1:85" ht="33.75" customHeight="1">
      <c r="A29" s="524"/>
      <c r="B29" s="699">
        <v>16041273496</v>
      </c>
      <c r="C29" s="700" t="s">
        <v>463</v>
      </c>
      <c r="D29" s="701" t="s">
        <v>463</v>
      </c>
      <c r="E29" s="702" t="s">
        <v>126</v>
      </c>
      <c r="F29" s="703" t="s">
        <v>61</v>
      </c>
      <c r="G29" s="704" t="s">
        <v>464</v>
      </c>
      <c r="H29" s="1147">
        <v>175.97</v>
      </c>
      <c r="I29" s="705">
        <v>648.48960000000011</v>
      </c>
      <c r="J29" s="706" t="str">
        <f>IFERROR(IF(T29&lt;&gt;"",I29/T29,IF(AND(Y29="",V29=""),"",IF(V29="",I29/Y29,I29/V29))),"")</f>
        <v/>
      </c>
      <c r="K29" s="707" t="str">
        <f>IF(Y29="","",IFERROR(1-(Y29/I29),0))</f>
        <v/>
      </c>
      <c r="L29" s="708">
        <v>391.6</v>
      </c>
      <c r="M29" s="708">
        <f t="shared" ref="M29:M107" si="23">P29</f>
        <v>360.27200000000005</v>
      </c>
      <c r="N29" s="708">
        <f t="shared" ref="N29:N107" si="24">P29</f>
        <v>360.27200000000005</v>
      </c>
      <c r="O29" s="708">
        <f t="shared" ref="O29:O107" si="25">P29</f>
        <v>360.27200000000005</v>
      </c>
      <c r="P29" s="924">
        <v>360.27200000000005</v>
      </c>
      <c r="Q29" s="924">
        <v>360.27200000000005</v>
      </c>
      <c r="R29" s="924">
        <v>360.27200000000005</v>
      </c>
      <c r="S29" s="924">
        <v>360.27200000000005</v>
      </c>
      <c r="T29" s="134" t="str">
        <f t="shared" si="0"/>
        <v/>
      </c>
      <c r="U29" s="298" t="str">
        <f t="shared" si="1"/>
        <v/>
      </c>
      <c r="V29" s="734"/>
      <c r="W29" s="1100"/>
      <c r="X29" s="264"/>
      <c r="Y29" s="113" t="str">
        <f>IF(AND(W29="",X29=""),"",$E$13*IF(V29&lt;&gt;"",V29,IF(SUMIF($C:$C,C29,$W:$W)&gt;=$S$27,S29,IF(OR($AA$373&gt;=$R$26,SUMIF($C:$C,C29,$W:$W)&gt;=$R$27),R29,IF(OR($AA$373&gt;=$Q$26,SUMIF($C:$C,C29,$W:$W)&gt;=$Q$27),Q29,IF(OR($AA$373&gt;=$P$26,SUMIF($C:$C,C29,$W:$W)&gt;=$P$27),P29,IF(OR($AA$373&gt;=$O$26,SUMIF($C:$C,C29,$W:$W)&gt;=$O$27),O29,IF(OR($AA$373&gt;=$N$26,SUMIF($C:$C,C29,$W:$W)&gt;=$N$27),N29,IF($AA$373&gt;=$M$26,M29,L29)))))))))</f>
        <v/>
      </c>
      <c r="Z29" s="223">
        <f t="shared" si="2"/>
        <v>0</v>
      </c>
      <c r="AA29" s="307">
        <f t="shared" si="3"/>
        <v>0</v>
      </c>
      <c r="AB29" s="307">
        <f>IFERROR(IF(OR($AA$373&gt;=$S$26,SUMIF($C:$C,C29,$W:$W)&gt;=$S$27),S29,IF(OR($AA$373&gt;=$R$26,SUMIF($C:$C,C29,$W:$W)&gt;=$R$27),R29,IF(OR($AA$373&gt;=$Q$26,SUMIF($C:$C,C29,$W:$W)&gt;=$Q$27),Q29,IF(OR($AA$373&gt;=$P$26,SUMIF($C:$C,C29,$W:$W)&gt;=$P$27),P29,IF(OR($AA$373&gt;=$O$26,SUMIF($C:$C,C29,$W:$W)&gt;=$O$27),O29,IF(OR($AA$373&gt;=$N$26,SUMIF($C:$C,C29,$W:$W)&gt;=$N$27),N29,IF($AA$373&gt;=$M$26,M29,L29)))))))*W29,0)</f>
        <v>0</v>
      </c>
      <c r="AC29" s="307">
        <f>IFERROR(IF(V29="",0,(IF(AND(W29="",X29=""),"",IF(OR($AA$373&gt;=$S$26,SUMIF($C:$C,C29,$W:$W)&gt;=$S$27),S29*$E$13,IF(OR($AA$373&gt;=$R$26,SUMIF($C:$C,C29,$W:$W)&gt;=$R$27),R29*$E$13,IF(OR($AA$373&gt;=$Q$26,SUMIF($C:$C,C29,$W:$W)&gt;=$Q$27),Q29*$E$13,IF(OR($AA$373&gt;=$P$26,SUMIF($C:$C,C29,$W:$W)&gt;=$P$27),P29*$E$13,IF(OR($AA$373&gt;=$O$26,SUMIF($C:$C,C29,$W:$W)&gt;=$O$27),O29*$E$13,IF(OR($AA$373&gt;=$N$26,SUMIF($C:$C,C29,$W:$W)&gt;=$N$27),N29*$E$13,IF($AA$373&gt;=$M$26,M29*$E$13,L29))))))))-V29)*W29),0)</f>
        <v>0</v>
      </c>
      <c r="AD29" s="307">
        <f t="shared" si="4"/>
        <v>0</v>
      </c>
      <c r="AE29" s="307">
        <f t="shared" si="5"/>
        <v>0</v>
      </c>
      <c r="AF29" s="307">
        <f t="shared" si="6"/>
        <v>0</v>
      </c>
      <c r="AG29" s="308">
        <f t="shared" si="7"/>
        <v>0</v>
      </c>
      <c r="AH29" s="307">
        <f t="shared" si="8"/>
        <v>0</v>
      </c>
      <c r="AI29" s="307">
        <f t="shared" si="9"/>
        <v>0</v>
      </c>
      <c r="AJ29" s="307">
        <f t="shared" si="10"/>
        <v>0</v>
      </c>
      <c r="AK29" s="307">
        <f t="shared" si="11"/>
        <v>0</v>
      </c>
      <c r="AL29" s="307">
        <f t="shared" si="12"/>
        <v>0</v>
      </c>
      <c r="AM29" s="307">
        <f t="shared" si="13"/>
        <v>0</v>
      </c>
      <c r="AN29" s="307">
        <f t="shared" si="14"/>
        <v>0</v>
      </c>
      <c r="AO29" s="307">
        <f t="shared" si="15"/>
        <v>0</v>
      </c>
      <c r="AP29" s="309">
        <f t="shared" si="16"/>
        <v>0.55063840653728291</v>
      </c>
      <c r="AQ29" s="310">
        <f t="shared" si="17"/>
        <v>234.62666666666667</v>
      </c>
      <c r="AR29" s="544">
        <v>4</v>
      </c>
      <c r="AS29" s="725">
        <f>(AP29-MIN($AP$65:$AP$368))/(MAX($AP$65:$AP$368)-MIN($AP$65:$AP$368))*100</f>
        <v>55.063840653728292</v>
      </c>
      <c r="AT29" s="309">
        <f t="shared" si="18"/>
        <v>0</v>
      </c>
      <c r="AU29" s="726">
        <f t="shared" si="19"/>
        <v>0</v>
      </c>
      <c r="AV29" s="311"/>
      <c r="AW29" s="309" t="e">
        <f>VLOOKUP(AX29,Sup!#REF!,8,0)</f>
        <v>#REF!</v>
      </c>
      <c r="AX29" s="985" t="s">
        <v>198</v>
      </c>
      <c r="AY29" s="556">
        <v>0</v>
      </c>
      <c r="AZ29" s="35"/>
      <c r="BA29" s="35"/>
      <c r="BB29" s="35"/>
      <c r="BC29" s="35">
        <f t="shared" si="20"/>
        <v>0</v>
      </c>
      <c r="BD29" s="35" t="str">
        <f>IFERROR(IF(AND(W29="",X29=""),"",IF(OR($AA$373&gt;=$S$26,SUMIF($C:$C,C29,$W:$W)&gt;=$S$27),S29,IF(OR($AA$373&gt;=$R$26,SUMIF($C:$C,C29,$W:$W)&gt;=$R$27),R29,IF(OR($AA$373&gt;=$Q$26,SUMIF($C:$C,C29,$W:$W)&gt;=$Q$27),Q29,IF(OR($AA$373&gt;=$P$26,SUMIF($C:$C,C29,$W:$W)&gt;=$P$27),P29,IF(OR($AA$373&gt;=$O$26,SUMIF($C:$C,C29,$W:$W)&gt;=$O$27),O29,IF(OR($AA$373&gt;=$N$26,SUMIF($C:$C,C29,$W:$W)&gt;=$N$27),N29,IF($AA$373&gt;=$M$26,M29,L29)))))))*$E$13),0)</f>
        <v/>
      </c>
      <c r="BE29" s="45">
        <f t="shared" si="21"/>
        <v>0</v>
      </c>
      <c r="BF29" s="971"/>
      <c r="BG29" s="236"/>
      <c r="BH29" s="12"/>
      <c r="BI29" s="12"/>
      <c r="BJ29" s="12"/>
      <c r="BK29" s="12"/>
      <c r="BL29" s="12"/>
      <c r="BM29" s="980" t="e">
        <f t="shared" ref="BM29:BM60" si="26">BM28+24</f>
        <v>#REF!</v>
      </c>
      <c r="BN29" s="367"/>
      <c r="BO29" s="981"/>
      <c r="BP29" s="12"/>
      <c r="BQ29" s="12"/>
      <c r="BR29" s="12"/>
      <c r="BS29" s="973"/>
      <c r="BT29" s="12"/>
      <c r="BU29" s="12"/>
      <c r="BV29" s="12"/>
      <c r="BW29" s="982" t="s">
        <v>506</v>
      </c>
      <c r="BX29" s="983">
        <f t="shared" si="22"/>
        <v>0</v>
      </c>
      <c r="BY29" s="12" t="e">
        <f>VLOOKUP(B29,#REF!,13,0)</f>
        <v>#REF!</v>
      </c>
      <c r="BZ29" s="1048">
        <v>322</v>
      </c>
      <c r="CA29" s="1181" t="e">
        <f>VLOOKUP(B29,Pedido!$B$16:$L$292,22,0)</f>
        <v>#N/A</v>
      </c>
      <c r="CD29" s="578">
        <f t="shared" ref="CD29:CD62" si="27">CD28+12</f>
        <v>24</v>
      </c>
      <c r="CE29" s="578">
        <f>CD29/12</f>
        <v>2</v>
      </c>
      <c r="CF29" s="578" t="str">
        <f t="shared" ref="CF29:CF62" si="28">CONCATENATE(CD29,CE29)</f>
        <v>242</v>
      </c>
      <c r="CG29" s="576" t="s">
        <v>547</v>
      </c>
    </row>
    <row r="30" spans="1:85" ht="33.75" customHeight="1">
      <c r="A30" s="524"/>
      <c r="B30" s="699">
        <v>520412027</v>
      </c>
      <c r="C30" s="700" t="s">
        <v>463</v>
      </c>
      <c r="D30" s="701" t="s">
        <v>463</v>
      </c>
      <c r="E30" s="702" t="s">
        <v>271</v>
      </c>
      <c r="F30" s="703" t="s">
        <v>61</v>
      </c>
      <c r="G30" s="704" t="s">
        <v>464</v>
      </c>
      <c r="H30" s="1147">
        <v>175.97</v>
      </c>
      <c r="I30" s="705">
        <v>648.48960000000011</v>
      </c>
      <c r="J30" s="706" t="str">
        <f>IFERROR(IF(T30&lt;&gt;"",I30/T30,IF(AND(Y30="",V30=""),"",IF(V30="",I30/Y30,I30/V30))),"")</f>
        <v/>
      </c>
      <c r="K30" s="707" t="str">
        <f>IF(Y30="","",IFERROR(1-(Y30/I30),0))</f>
        <v/>
      </c>
      <c r="L30" s="708">
        <v>391.6</v>
      </c>
      <c r="M30" s="708">
        <f>P30</f>
        <v>360.27200000000005</v>
      </c>
      <c r="N30" s="708">
        <f>P30</f>
        <v>360.27200000000005</v>
      </c>
      <c r="O30" s="708">
        <f>P30</f>
        <v>360.27200000000005</v>
      </c>
      <c r="P30" s="924">
        <v>360.27200000000005</v>
      </c>
      <c r="Q30" s="924">
        <v>360.27200000000005</v>
      </c>
      <c r="R30" s="924">
        <v>360.27200000000005</v>
      </c>
      <c r="S30" s="924">
        <v>360.27200000000005</v>
      </c>
      <c r="T30" s="134" t="str">
        <f>IF(V30&gt;0,V30,IFERROR(IF(AND(W30&lt;&gt;"",X30&lt;&gt;""),AH30/W30,Y30),""))</f>
        <v/>
      </c>
      <c r="U30" s="298" t="str">
        <f>IFERROR((T30*W30)/(W30+X30),"")</f>
        <v/>
      </c>
      <c r="V30" s="734"/>
      <c r="W30" s="1100"/>
      <c r="X30" s="264"/>
      <c r="Y30" s="113" t="str">
        <f>IF(AND(W30="",X30=""),"",$E$13*IF(V30&lt;&gt;"",V30,IF(SUMIF($C:$C,C30,$W:$W)&gt;=$S$27,S30,IF(OR($AA$373&gt;=$R$26,SUMIF($C:$C,C30,$W:$W)&gt;=$R$27),R30,IF(OR($AA$373&gt;=$Q$26,SUMIF($C:$C,C30,$W:$W)&gt;=$Q$27),Q30,IF(OR($AA$373&gt;=$P$26,SUMIF($C:$C,C30,$W:$W)&gt;=$P$27),P30,IF(OR($AA$373&gt;=$O$26,SUMIF($C:$C,C30,$W:$W)&gt;=$O$27),O30,IF(OR($AA$373&gt;=$N$26,SUMIF($C:$C,C30,$W:$W)&gt;=$N$27),N30,IF($AA$373&gt;=$M$26,M30,L30)))))))))</f>
        <v/>
      </c>
      <c r="Z30" s="223">
        <f>IF(X30&gt;W30,-1,IF(W30=0,0,IF(U30&lt;(H30/0.75),-1,IF(W30&lt;=3,0,0.0001))))</f>
        <v>0</v>
      </c>
      <c r="AA30" s="307">
        <f>IFERROR(L30*W30,0)</f>
        <v>0</v>
      </c>
      <c r="AB30" s="307">
        <f>IFERROR(IF(OR($AA$373&gt;=$S$26,SUMIF($C:$C,C30,$W:$W)&gt;=$S$27),S30,IF(OR($AA$373&gt;=$R$26,SUMIF($C:$C,C30,$W:$W)&gt;=$R$27),R30,IF(OR($AA$373&gt;=$Q$26,SUMIF($C:$C,C30,$W:$W)&gt;=$Q$27),Q30,IF(OR($AA$373&gt;=$P$26,SUMIF($C:$C,C30,$W:$W)&gt;=$P$27),P30,IF(OR($AA$373&gt;=$O$26,SUMIF($C:$C,C30,$W:$W)&gt;=$O$27),O30,IF(OR($AA$373&gt;=$N$26,SUMIF($C:$C,C30,$W:$W)&gt;=$N$27),N30,IF($AA$373&gt;=$M$26,M30,L30)))))))*W30,0)</f>
        <v>0</v>
      </c>
      <c r="AC30" s="307">
        <f>IFERROR(IF(V30="",0,(IF(AND(W30="",X30=""),"",IF(OR($AA$373&gt;=$S$26,SUMIF($C:$C,C30,$W:$W)&gt;=$S$27),S30*$E$13,IF(OR($AA$373&gt;=$R$26,SUMIF($C:$C,C30,$W:$W)&gt;=$R$27),R30*$E$13,IF(OR($AA$373&gt;=$Q$26,SUMIF($C:$C,C30,$W:$W)&gt;=$Q$27),Q30*$E$13,IF(OR($AA$373&gt;=$P$26,SUMIF($C:$C,C30,$W:$W)&gt;=$P$27),P30*$E$13,IF(OR($AA$373&gt;=$O$26,SUMIF($C:$C,C30,$W:$W)&gt;=$O$27),O30*$E$13,IF(OR($AA$373&gt;=$N$26,SUMIF($C:$C,C30,$W:$W)&gt;=$N$27),N30*$E$13,IF($AA$373&gt;=$M$26,M30*$E$13,L30))))))))-V30)*W30),0)</f>
        <v>0</v>
      </c>
      <c r="AD30" s="307">
        <f>IFERROR(X30*T30,0)</f>
        <v>0</v>
      </c>
      <c r="AE30" s="307">
        <f>IFERROR(W30*H30,0)</f>
        <v>0</v>
      </c>
      <c r="AF30" s="307">
        <f>IFERROR(1-(AE30/AB30),0)</f>
        <v>0</v>
      </c>
      <c r="AG30" s="308">
        <f>IFERROR(SUM(W30:X30)*I30,0)</f>
        <v>0</v>
      </c>
      <c r="AH30" s="307">
        <f>IFERROR(IF(V30&gt;0,V30*W30,(Y30*W30)),0)</f>
        <v>0</v>
      </c>
      <c r="AI30" s="307">
        <f>IFERROR(SUM(W30)*H30,0)</f>
        <v>0</v>
      </c>
      <c r="AJ30" s="307">
        <f>AH30*$AJ$25</f>
        <v>0</v>
      </c>
      <c r="AK30" s="307">
        <f>AH30*AK$25</f>
        <v>0</v>
      </c>
      <c r="AL30" s="307">
        <f>AH30*AL$25</f>
        <v>0</v>
      </c>
      <c r="AM30" s="307">
        <f>SUM(AJ30:AL30)</f>
        <v>0</v>
      </c>
      <c r="AN30" s="307">
        <f>AH30-AM30</f>
        <v>0</v>
      </c>
      <c r="AO30" s="307">
        <f>AN30-AI30</f>
        <v>0</v>
      </c>
      <c r="AP30" s="309">
        <f>IFERROR(IF(V30&lt;&gt;"",1-(H30/V30),IF(Y30&lt;&gt;"",1-(H30/Y30),1-(H30/L30))),0)</f>
        <v>0.55063840653728291</v>
      </c>
      <c r="AQ30" s="310">
        <f>H30/0.75</f>
        <v>234.62666666666667</v>
      </c>
      <c r="AR30" s="544">
        <v>4</v>
      </c>
      <c r="AS30" s="725">
        <f>(AP30-MIN($AP$65:$AP$368))/(MAX($AP$65:$AP$368)-MIN($AP$65:$AP$368))*100</f>
        <v>55.063840653728292</v>
      </c>
      <c r="AT30" s="309">
        <f>IFERROR(1-(AI30/AH30),0)</f>
        <v>0</v>
      </c>
      <c r="AU30" s="726">
        <f>IFERROR(AO30/AH30,0)</f>
        <v>0</v>
      </c>
      <c r="AV30" s="311"/>
      <c r="AW30" s="309" t="e">
        <f>VLOOKUP(AX30,Sup!#REF!,8,0)</f>
        <v>#REF!</v>
      </c>
      <c r="AX30" s="985" t="s">
        <v>198</v>
      </c>
      <c r="AY30" s="556">
        <v>0</v>
      </c>
      <c r="AZ30" s="35"/>
      <c r="BA30" s="35"/>
      <c r="BB30" s="35"/>
      <c r="BC30" s="35">
        <f>IF(BE30&lt;0,BE30,0)</f>
        <v>0</v>
      </c>
      <c r="BD30" s="35" t="str">
        <f>IFERROR(IF(AND(W30="",X30=""),"",IF(OR($AA$373&gt;=$S$26,SUMIF($C:$C,C30,$W:$W)&gt;=$S$27),S30,IF(OR($AA$373&gt;=$R$26,SUMIF($C:$C,C30,$W:$W)&gt;=$R$27),R30,IF(OR($AA$373&gt;=$Q$26,SUMIF($C:$C,C30,$W:$W)&gt;=$Q$27),Q30,IF(OR($AA$373&gt;=$P$26,SUMIF($C:$C,C30,$W:$W)&gt;=$P$27),P30,IF(OR($AA$373&gt;=$O$26,SUMIF($C:$C,C30,$W:$W)&gt;=$O$27),O30,IF(OR($AA$373&gt;=$N$26,SUMIF($C:$C,C30,$W:$W)&gt;=$N$27),N30,IF($AA$373&gt;=$M$26,M30,L30)))))))*$E$13),0)</f>
        <v/>
      </c>
      <c r="BE30" s="45">
        <f>IF(V30="",0,(V30*W30)-(BD30*W30))</f>
        <v>0</v>
      </c>
      <c r="BF30" s="971"/>
      <c r="BG30" s="236"/>
      <c r="BH30" s="12"/>
      <c r="BI30" s="12"/>
      <c r="BJ30" s="12"/>
      <c r="BK30" s="12"/>
      <c r="BL30" s="12"/>
      <c r="BM30" s="980" t="e">
        <f t="shared" si="26"/>
        <v>#REF!</v>
      </c>
      <c r="BN30" s="367"/>
      <c r="BO30" s="981"/>
      <c r="BP30" s="12"/>
      <c r="BQ30" s="12"/>
      <c r="BR30" s="12"/>
      <c r="BS30" s="973"/>
      <c r="BT30" s="12"/>
      <c r="BU30" s="12"/>
      <c r="BV30" s="12"/>
      <c r="BW30" s="982" t="s">
        <v>506</v>
      </c>
      <c r="BX30" s="983">
        <f>IFERROR(W30*U30,0)</f>
        <v>0</v>
      </c>
      <c r="BY30" s="12" t="e">
        <f>VLOOKUP(B30,#REF!,13,0)</f>
        <v>#REF!</v>
      </c>
      <c r="BZ30" s="1048">
        <v>322</v>
      </c>
      <c r="CA30" s="1181" t="e">
        <f>VLOOKUP(B30,Pedido!$B$16:$L$292,22,0)</f>
        <v>#REF!</v>
      </c>
      <c r="CD30" s="578">
        <f t="shared" si="27"/>
        <v>36</v>
      </c>
      <c r="CE30" s="578">
        <f>CD30/12</f>
        <v>3</v>
      </c>
      <c r="CF30" s="578" t="str">
        <f>CONCATENATE(CD30,CE30)</f>
        <v>363</v>
      </c>
      <c r="CG30" s="576" t="s">
        <v>547</v>
      </c>
    </row>
    <row r="31" spans="1:85" ht="33.75" customHeight="1" thickBot="1">
      <c r="A31" s="947"/>
      <c r="B31" s="784">
        <v>14797218847</v>
      </c>
      <c r="C31" s="785" t="s">
        <v>463</v>
      </c>
      <c r="D31" s="786" t="s">
        <v>463</v>
      </c>
      <c r="E31" s="787" t="s">
        <v>465</v>
      </c>
      <c r="F31" s="788" t="s">
        <v>61</v>
      </c>
      <c r="G31" s="789" t="s">
        <v>464</v>
      </c>
      <c r="H31" s="1148">
        <v>192.81</v>
      </c>
      <c r="I31" s="790">
        <v>648.48960000000011</v>
      </c>
      <c r="J31" s="791" t="str">
        <f>IFERROR(IF(T31&lt;&gt;"",I31/T31,IF(AND(Y31="",V31=""),"",IF(V31="",I31/Y31,I31/V31))),"")</f>
        <v/>
      </c>
      <c r="K31" s="792" t="str">
        <f>IF(Y31="","",IFERROR(1-(Y31/I31),0))</f>
        <v/>
      </c>
      <c r="L31" s="793">
        <v>391.6</v>
      </c>
      <c r="M31" s="793">
        <f t="shared" si="23"/>
        <v>360.27200000000005</v>
      </c>
      <c r="N31" s="793">
        <f t="shared" si="24"/>
        <v>360.27200000000005</v>
      </c>
      <c r="O31" s="793">
        <f t="shared" si="25"/>
        <v>360.27200000000005</v>
      </c>
      <c r="P31" s="964">
        <v>360.27200000000005</v>
      </c>
      <c r="Q31" s="964">
        <v>360.27200000000005</v>
      </c>
      <c r="R31" s="964">
        <v>360.27200000000005</v>
      </c>
      <c r="S31" s="964">
        <v>360.27200000000005</v>
      </c>
      <c r="T31" s="794" t="str">
        <f t="shared" si="0"/>
        <v/>
      </c>
      <c r="U31" s="747" t="str">
        <f t="shared" si="1"/>
        <v/>
      </c>
      <c r="V31" s="795"/>
      <c r="W31" s="1101"/>
      <c r="X31" s="796"/>
      <c r="Y31" s="797" t="str">
        <f>IF(AND(W31="",X31=""),"",$E$13*IF(V31&lt;&gt;"",V31,IF(SUMIF($C:$C,C31,$W:$W)&gt;=$S$27,S31,IF(OR($AA$373&gt;=$R$26,SUMIF($C:$C,C31,$W:$W)&gt;=$R$27),R31,IF(OR($AA$373&gt;=$Q$26,SUMIF($C:$C,C31,$W:$W)&gt;=$Q$27),Q31,IF(OR($AA$373&gt;=$P$26,SUMIF($C:$C,C31,$W:$W)&gt;=$P$27),P31,IF(OR($AA$373&gt;=$O$26,SUMIF($C:$C,C31,$W:$W)&gt;=$O$27),O31,IF(OR($AA$373&gt;=$N$26,SUMIF($C:$C,C31,$W:$W)&gt;=$N$27),N31,IF($AA$373&gt;=$M$26,M31,L31)))))))))</f>
        <v/>
      </c>
      <c r="Z31" s="798">
        <f t="shared" si="2"/>
        <v>0</v>
      </c>
      <c r="AA31" s="748">
        <f t="shared" si="3"/>
        <v>0</v>
      </c>
      <c r="AB31" s="748">
        <f>IFERROR(IF(OR($AA$373&gt;=$S$26,SUMIF($C:$C,C31,$W:$W)&gt;=$S$27),S31,IF(OR($AA$373&gt;=$R$26,SUMIF($C:$C,C31,$W:$W)&gt;=$R$27),R31,IF(OR($AA$373&gt;=$Q$26,SUMIF($C:$C,C31,$W:$W)&gt;=$Q$27),Q31,IF(OR($AA$373&gt;=$P$26,SUMIF($C:$C,C31,$W:$W)&gt;=$P$27),P31,IF(OR($AA$373&gt;=$O$26,SUMIF($C:$C,C31,$W:$W)&gt;=$O$27),O31,IF(OR($AA$373&gt;=$N$26,SUMIF($C:$C,C31,$W:$W)&gt;=$N$27),N31,IF($AA$373&gt;=$M$26,M31,L31)))))))*W31,0)</f>
        <v>0</v>
      </c>
      <c r="AC31" s="748">
        <f>IFERROR(IF(V31="",0,(IF(AND(W31="",X31=""),"",IF(OR($AA$373&gt;=$S$26,SUMIF($C:$C,C31,$W:$W)&gt;=$S$27),S31*$E$13,IF(OR($AA$373&gt;=$R$26,SUMIF($C:$C,C31,$W:$W)&gt;=$R$27),R31*$E$13,IF(OR($AA$373&gt;=$Q$26,SUMIF($C:$C,C31,$W:$W)&gt;=$Q$27),Q31*$E$13,IF(OR($AA$373&gt;=$P$26,SUMIF($C:$C,C31,$W:$W)&gt;=$P$27),P31*$E$13,IF(OR($AA$373&gt;=$O$26,SUMIF($C:$C,C31,$W:$W)&gt;=$O$27),O31*$E$13,IF(OR($AA$373&gt;=$N$26,SUMIF($C:$C,C31,$W:$W)&gt;=$N$27),N31*$E$13,IF($AA$373&gt;=$M$26,M31*$E$13,L31))))))))-V31)*W31),0)</f>
        <v>0</v>
      </c>
      <c r="AD31" s="748">
        <f t="shared" si="4"/>
        <v>0</v>
      </c>
      <c r="AE31" s="748">
        <f t="shared" si="5"/>
        <v>0</v>
      </c>
      <c r="AF31" s="748">
        <f t="shared" si="6"/>
        <v>0</v>
      </c>
      <c r="AG31" s="749">
        <f t="shared" si="7"/>
        <v>0</v>
      </c>
      <c r="AH31" s="748">
        <f t="shared" si="8"/>
        <v>0</v>
      </c>
      <c r="AI31" s="748">
        <f t="shared" si="9"/>
        <v>0</v>
      </c>
      <c r="AJ31" s="748">
        <f t="shared" si="10"/>
        <v>0</v>
      </c>
      <c r="AK31" s="748">
        <f t="shared" si="11"/>
        <v>0</v>
      </c>
      <c r="AL31" s="748">
        <f t="shared" si="12"/>
        <v>0</v>
      </c>
      <c r="AM31" s="748">
        <f t="shared" si="13"/>
        <v>0</v>
      </c>
      <c r="AN31" s="748">
        <f t="shared" si="14"/>
        <v>0</v>
      </c>
      <c r="AO31" s="748">
        <f t="shared" si="15"/>
        <v>0</v>
      </c>
      <c r="AP31" s="750">
        <f t="shared" si="16"/>
        <v>0.507635342185904</v>
      </c>
      <c r="AQ31" s="751">
        <f t="shared" si="17"/>
        <v>257.08</v>
      </c>
      <c r="AR31" s="752">
        <v>4</v>
      </c>
      <c r="AS31" s="753">
        <f>(AP31-MIN($AP$65:$AP$368))/(MAX($AP$65:$AP$368)-MIN($AP$65:$AP$368))*100</f>
        <v>50.763534218590401</v>
      </c>
      <c r="AT31" s="750">
        <f t="shared" si="18"/>
        <v>0</v>
      </c>
      <c r="AU31" s="754">
        <f t="shared" si="19"/>
        <v>0</v>
      </c>
      <c r="AV31" s="755"/>
      <c r="AW31" s="750" t="e">
        <f>VLOOKUP(AX31,Sup!#REF!,8,0)</f>
        <v>#REF!</v>
      </c>
      <c r="AX31" s="986" t="s">
        <v>198</v>
      </c>
      <c r="AY31" s="556">
        <v>0</v>
      </c>
      <c r="AZ31" s="35"/>
      <c r="BA31" s="35"/>
      <c r="BB31" s="35"/>
      <c r="BC31" s="35">
        <f t="shared" si="20"/>
        <v>0</v>
      </c>
      <c r="BD31" s="35" t="str">
        <f>IFERROR(IF(AND(W31="",X31=""),"",IF(OR($AA$373&gt;=$S$26,SUMIF($C:$C,C31,$W:$W)&gt;=$S$27),S31,IF(OR($AA$373&gt;=$R$26,SUMIF($C:$C,C31,$W:$W)&gt;=$R$27),R31,IF(OR($AA$373&gt;=$Q$26,SUMIF($C:$C,C31,$W:$W)&gt;=$Q$27),Q31,IF(OR($AA$373&gt;=$P$26,SUMIF($C:$C,C31,$W:$W)&gt;=$P$27),P31,IF(OR($AA$373&gt;=$O$26,SUMIF($C:$C,C31,$W:$W)&gt;=$O$27),O31,IF(OR($AA$373&gt;=$N$26,SUMIF($C:$C,C31,$W:$W)&gt;=$N$27),N31,IF($AA$373&gt;=$M$26,M31,L31)))))))*$E$13),0)</f>
        <v/>
      </c>
      <c r="BE31" s="45">
        <f t="shared" si="21"/>
        <v>0</v>
      </c>
      <c r="BF31" s="971"/>
      <c r="BG31" s="236"/>
      <c r="BH31" s="12"/>
      <c r="BI31" s="12"/>
      <c r="BJ31" s="12"/>
      <c r="BK31" s="12"/>
      <c r="BL31" s="12"/>
      <c r="BM31" s="980" t="e">
        <f>BM29+24</f>
        <v>#REF!</v>
      </c>
      <c r="BN31" s="367"/>
      <c r="BO31" s="981"/>
      <c r="BP31" s="12"/>
      <c r="BQ31" s="12"/>
      <c r="BR31" s="12"/>
      <c r="BS31" s="973"/>
      <c r="BT31" s="12"/>
      <c r="BU31" s="12"/>
      <c r="BV31" s="12"/>
      <c r="BW31" s="982" t="s">
        <v>506</v>
      </c>
      <c r="BX31" s="983">
        <f t="shared" si="22"/>
        <v>0</v>
      </c>
      <c r="BY31" s="12" t="e">
        <f>VLOOKUP(B31,#REF!,13,0)</f>
        <v>#REF!</v>
      </c>
      <c r="BZ31" s="1049">
        <v>322</v>
      </c>
      <c r="CA31" s="1181" t="e">
        <f>VLOOKUP(B31,Pedido!$B$16:$L$292,22,0)</f>
        <v>#N/A</v>
      </c>
      <c r="CD31" s="578">
        <f>CD29+12</f>
        <v>36</v>
      </c>
      <c r="CE31" s="578">
        <f t="shared" ref="CE31:CE62" si="29">CD31/12</f>
        <v>3</v>
      </c>
      <c r="CF31" s="578" t="str">
        <f t="shared" si="28"/>
        <v>363</v>
      </c>
      <c r="CG31" s="576" t="s">
        <v>547</v>
      </c>
    </row>
    <row r="32" spans="1:85" ht="66" customHeight="1" thickBot="1">
      <c r="A32" s="948"/>
      <c r="B32" s="799">
        <v>14839602048</v>
      </c>
      <c r="C32" s="800" t="s">
        <v>313</v>
      </c>
      <c r="D32" s="801" t="s">
        <v>313</v>
      </c>
      <c r="E32" s="802" t="s">
        <v>466</v>
      </c>
      <c r="F32" s="803" t="s">
        <v>61</v>
      </c>
      <c r="G32" s="804">
        <v>300</v>
      </c>
      <c r="H32" s="1149">
        <v>74.16</v>
      </c>
      <c r="I32" s="805">
        <v>599.6</v>
      </c>
      <c r="J32" s="806" t="str">
        <f>IFERROR(IF(T32&lt;&gt;"",I32/T32,IF(AND(Y32="",V32=""),"",IF(V32="",I32/Y32,I32/V32))),"")</f>
        <v/>
      </c>
      <c r="K32" s="807" t="str">
        <f>IF(Y32="","",IFERROR(1-(Y32/I32),0))</f>
        <v/>
      </c>
      <c r="L32" s="808">
        <v>460</v>
      </c>
      <c r="M32" s="808">
        <f t="shared" si="23"/>
        <v>259.60000000000002</v>
      </c>
      <c r="N32" s="808">
        <f t="shared" si="24"/>
        <v>259.60000000000002</v>
      </c>
      <c r="O32" s="808">
        <f t="shared" si="25"/>
        <v>259.60000000000002</v>
      </c>
      <c r="P32" s="965">
        <v>259.60000000000002</v>
      </c>
      <c r="Q32" s="965">
        <v>259.60000000000002</v>
      </c>
      <c r="R32" s="965">
        <v>259.60000000000002</v>
      </c>
      <c r="S32" s="965">
        <v>259.60000000000002</v>
      </c>
      <c r="T32" s="756" t="str">
        <f t="shared" si="0"/>
        <v/>
      </c>
      <c r="U32" s="757" t="str">
        <f t="shared" si="1"/>
        <v/>
      </c>
      <c r="V32" s="809"/>
      <c r="W32" s="1102"/>
      <c r="X32" s="810"/>
      <c r="Y32" s="758" t="str">
        <f>IF(AND(W32="",X32=""),"",$E$13*IF(V32&lt;&gt;"",V32,IF(SUMIF($C:$C,C32,$W:$W)&gt;=$S$27,S32,IF(OR($AA$373&gt;=$R$26,SUMIF($C:$C,C32,$W:$W)&gt;=$R$27),R32,IF(OR($AA$373&gt;=$Q$26,SUMIF($C:$C,C32,$W:$W)&gt;=$Q$27),Q32,IF(OR($AA$373&gt;=$P$26,SUMIF($C:$C,C32,$W:$W)&gt;=$P$27),P32,IF(OR($AA$373&gt;=$O$26,SUMIF($C:$C,C32,$W:$W)&gt;=$O$27),O32,IF(OR($AA$373&gt;=$N$26,SUMIF($C:$C,C32,$W:$W)&gt;=$N$27),N32,IF($AA$373&gt;=$M$26,M32,L32)))))))))</f>
        <v/>
      </c>
      <c r="Z32" s="759">
        <f t="shared" si="2"/>
        <v>0</v>
      </c>
      <c r="AA32" s="760">
        <f t="shared" si="3"/>
        <v>0</v>
      </c>
      <c r="AB32" s="760">
        <f>IFERROR(IF(OR($AA$373&gt;=$S$26,SUMIF($C:$C,C32,$W:$W)&gt;=$S$27),S32,IF(OR($AA$373&gt;=$R$26,SUMIF($C:$C,C32,$W:$W)&gt;=$R$27),R32,IF(OR($AA$373&gt;=$Q$26,SUMIF($C:$C,C32,$W:$W)&gt;=$Q$27),Q32,IF(OR($AA$373&gt;=$P$26,SUMIF($C:$C,C32,$W:$W)&gt;=$P$27),P32,IF(OR($AA$373&gt;=$O$26,SUMIF($C:$C,C32,$W:$W)&gt;=$O$27),O32,IF(OR($AA$373&gt;=$N$26,SUMIF($C:$C,C32,$W:$W)&gt;=$N$27),N32,IF($AA$373&gt;=$M$26,M32,L32)))))))*W32,0)</f>
        <v>0</v>
      </c>
      <c r="AC32" s="760">
        <f>IFERROR(IF(V32="",0,(IF(AND(W32="",X32=""),"",IF(OR($AA$373&gt;=$S$26,SUMIF($C:$C,C32,$W:$W)&gt;=$S$27),S32*$E$13,IF(OR($AA$373&gt;=$R$26,SUMIF($C:$C,C32,$W:$W)&gt;=$R$27),R32*$E$13,IF(OR($AA$373&gt;=$Q$26,SUMIF($C:$C,C32,$W:$W)&gt;=$Q$27),Q32*$E$13,IF(OR($AA$373&gt;=$P$26,SUMIF($C:$C,C32,$W:$W)&gt;=$P$27),P32*$E$13,IF(OR($AA$373&gt;=$O$26,SUMIF($C:$C,C32,$W:$W)&gt;=$O$27),O32*$E$13,IF(OR($AA$373&gt;=$N$26,SUMIF($C:$C,C32,$W:$W)&gt;=$N$27),N32*$E$13,IF($AA$373&gt;=$M$26,M32*$E$13,L32))))))))-V32)*W32),0)</f>
        <v>0</v>
      </c>
      <c r="AD32" s="760">
        <f t="shared" si="4"/>
        <v>0</v>
      </c>
      <c r="AE32" s="760">
        <f t="shared" si="5"/>
        <v>0</v>
      </c>
      <c r="AF32" s="760">
        <f t="shared" si="6"/>
        <v>0</v>
      </c>
      <c r="AG32" s="761">
        <f t="shared" si="7"/>
        <v>0</v>
      </c>
      <c r="AH32" s="760">
        <f t="shared" si="8"/>
        <v>0</v>
      </c>
      <c r="AI32" s="760">
        <f t="shared" si="9"/>
        <v>0</v>
      </c>
      <c r="AJ32" s="760">
        <f t="shared" si="10"/>
        <v>0</v>
      </c>
      <c r="AK32" s="760">
        <f t="shared" si="11"/>
        <v>0</v>
      </c>
      <c r="AL32" s="760">
        <f t="shared" si="12"/>
        <v>0</v>
      </c>
      <c r="AM32" s="760">
        <f t="shared" si="13"/>
        <v>0</v>
      </c>
      <c r="AN32" s="760">
        <f t="shared" si="14"/>
        <v>0</v>
      </c>
      <c r="AO32" s="760">
        <f t="shared" si="15"/>
        <v>0</v>
      </c>
      <c r="AP32" s="762">
        <f t="shared" si="16"/>
        <v>0.83878260869565224</v>
      </c>
      <c r="AQ32" s="763">
        <f t="shared" si="17"/>
        <v>98.88</v>
      </c>
      <c r="AR32" s="764">
        <v>4</v>
      </c>
      <c r="AS32" s="765">
        <f>(AP32-MIN($AP$65:$AP$368))/(MAX($AP$65:$AP$368)-MIN($AP$65:$AP$368))*100</f>
        <v>83.878260869565224</v>
      </c>
      <c r="AT32" s="762">
        <f t="shared" si="18"/>
        <v>0</v>
      </c>
      <c r="AU32" s="766">
        <f t="shared" si="19"/>
        <v>0</v>
      </c>
      <c r="AV32" s="767"/>
      <c r="AW32" s="762" t="e">
        <f>VLOOKUP(AX32,Sup!#REF!,8,0)</f>
        <v>#REF!</v>
      </c>
      <c r="AX32" s="987" t="s">
        <v>198</v>
      </c>
      <c r="AY32" s="556">
        <v>0</v>
      </c>
      <c r="AZ32" s="35"/>
      <c r="BA32" s="35"/>
      <c r="BB32" s="35"/>
      <c r="BC32" s="35">
        <f t="shared" si="20"/>
        <v>0</v>
      </c>
      <c r="BD32" s="35" t="str">
        <f>IFERROR(IF(AND(W32="",X32=""),"",IF(OR($AA$373&gt;=$S$26,SUMIF($C:$C,C32,$W:$W)&gt;=$S$27),S32,IF(OR($AA$373&gt;=$R$26,SUMIF($C:$C,C32,$W:$W)&gt;=$R$27),R32,IF(OR($AA$373&gt;=$Q$26,SUMIF($C:$C,C32,$W:$W)&gt;=$Q$27),Q32,IF(OR($AA$373&gt;=$P$26,SUMIF($C:$C,C32,$W:$W)&gt;=$P$27),P32,IF(OR($AA$373&gt;=$O$26,SUMIF($C:$C,C32,$W:$W)&gt;=$O$27),O32,IF(OR($AA$373&gt;=$N$26,SUMIF($C:$C,C32,$W:$W)&gt;=$N$27),N32,IF($AA$373&gt;=$M$26,M32,L32)))))))*$E$13),0)</f>
        <v/>
      </c>
      <c r="BE32" s="45">
        <f t="shared" si="21"/>
        <v>0</v>
      </c>
      <c r="BF32" s="971"/>
      <c r="BG32" s="236"/>
      <c r="BH32" s="12"/>
      <c r="BI32" s="12"/>
      <c r="BJ32" s="12"/>
      <c r="BK32" s="12"/>
      <c r="BL32" s="12"/>
      <c r="BM32" s="980" t="e">
        <f t="shared" si="26"/>
        <v>#REF!</v>
      </c>
      <c r="BN32" s="367"/>
      <c r="BO32" s="981"/>
      <c r="BP32" s="12"/>
      <c r="BQ32" s="12"/>
      <c r="BR32" s="12"/>
      <c r="BS32" s="973"/>
      <c r="BT32" s="12"/>
      <c r="BU32" s="12"/>
      <c r="BV32" s="12"/>
      <c r="BW32" s="982" t="s">
        <v>506</v>
      </c>
      <c r="BX32" s="983">
        <f t="shared" si="22"/>
        <v>0</v>
      </c>
      <c r="BY32" s="12" t="e">
        <f>VLOOKUP(B32,#REF!,13,0)</f>
        <v>#REF!</v>
      </c>
      <c r="BZ32" s="1050">
        <v>236</v>
      </c>
      <c r="CA32" s="1181" t="e">
        <f>VLOOKUP(B32,Pedido!$B$16:$L$292,22,0)</f>
        <v>#N/A</v>
      </c>
      <c r="CD32" s="578">
        <f t="shared" si="27"/>
        <v>48</v>
      </c>
      <c r="CE32" s="578">
        <f t="shared" si="29"/>
        <v>4</v>
      </c>
      <c r="CF32" s="578" t="str">
        <f t="shared" si="28"/>
        <v>484</v>
      </c>
      <c r="CG32" s="576" t="s">
        <v>547</v>
      </c>
    </row>
    <row r="33" spans="1:85" ht="66" customHeight="1" thickBot="1">
      <c r="A33" s="948"/>
      <c r="B33" s="699">
        <v>520554098</v>
      </c>
      <c r="C33" s="700" t="s">
        <v>677</v>
      </c>
      <c r="D33" s="701" t="s">
        <v>313</v>
      </c>
      <c r="E33" s="702" t="s">
        <v>678</v>
      </c>
      <c r="F33" s="703" t="s">
        <v>61</v>
      </c>
      <c r="G33" s="704">
        <v>210</v>
      </c>
      <c r="H33" s="1147">
        <v>175.97</v>
      </c>
      <c r="I33" s="705">
        <f>119.9*4</f>
        <v>479.6</v>
      </c>
      <c r="J33" s="806"/>
      <c r="K33" s="807"/>
      <c r="L33" s="708">
        <v>343.6</v>
      </c>
      <c r="M33" s="924">
        <v>263.60000000000002</v>
      </c>
      <c r="N33" s="924">
        <v>263.60000000000002</v>
      </c>
      <c r="O33" s="924">
        <v>263.60000000000002</v>
      </c>
      <c r="P33" s="924">
        <v>263.60000000000002</v>
      </c>
      <c r="Q33" s="924">
        <v>263.60000000000002</v>
      </c>
      <c r="R33" s="924">
        <v>263.60000000000002</v>
      </c>
      <c r="S33" s="924">
        <v>263.60000000000002</v>
      </c>
      <c r="T33" s="756"/>
      <c r="U33" s="757"/>
      <c r="V33" s="809"/>
      <c r="W33" s="1102"/>
      <c r="X33" s="810"/>
      <c r="Y33" s="758"/>
      <c r="Z33" s="759"/>
      <c r="AA33" s="760"/>
      <c r="AB33" s="760"/>
      <c r="AC33" s="760"/>
      <c r="AD33" s="760"/>
      <c r="AE33" s="760"/>
      <c r="AF33" s="760"/>
      <c r="AG33" s="761"/>
      <c r="AH33" s="760"/>
      <c r="AI33" s="760"/>
      <c r="AJ33" s="760"/>
      <c r="AK33" s="760"/>
      <c r="AL33" s="760"/>
      <c r="AM33" s="760"/>
      <c r="AN33" s="760"/>
      <c r="AO33" s="760"/>
      <c r="AP33" s="762"/>
      <c r="AQ33" s="763"/>
      <c r="AR33" s="764"/>
      <c r="AS33" s="765"/>
      <c r="AT33" s="762"/>
      <c r="AU33" s="766"/>
      <c r="AV33" s="767"/>
      <c r="AW33" s="762"/>
      <c r="AX33" s="987"/>
      <c r="AY33" s="556"/>
      <c r="AZ33" s="35"/>
      <c r="BA33" s="35"/>
      <c r="BB33" s="35"/>
      <c r="BC33" s="35"/>
      <c r="BD33" s="35"/>
      <c r="BE33" s="45"/>
      <c r="BF33" s="971"/>
      <c r="BG33" s="236"/>
      <c r="BH33" s="12"/>
      <c r="BI33" s="12"/>
      <c r="BJ33" s="12"/>
      <c r="BK33" s="12"/>
      <c r="BL33" s="12"/>
      <c r="BM33" s="980"/>
      <c r="BN33" s="367"/>
      <c r="BO33" s="981"/>
      <c r="BP33" s="12"/>
      <c r="BQ33" s="12"/>
      <c r="BR33" s="12"/>
      <c r="BS33" s="973"/>
      <c r="BT33" s="12"/>
      <c r="BU33" s="12"/>
      <c r="BV33" s="12"/>
      <c r="BW33" s="982"/>
      <c r="BX33" s="983"/>
      <c r="BY33" s="12"/>
      <c r="BZ33" s="1050"/>
    </row>
    <row r="34" spans="1:85" ht="66" customHeight="1" thickBot="1">
      <c r="A34" s="948"/>
      <c r="B34" s="699">
        <v>520554099</v>
      </c>
      <c r="C34" s="700" t="s">
        <v>677</v>
      </c>
      <c r="D34" s="701" t="s">
        <v>313</v>
      </c>
      <c r="E34" s="702" t="s">
        <v>679</v>
      </c>
      <c r="F34" s="703" t="s">
        <v>61</v>
      </c>
      <c r="G34" s="704">
        <v>210</v>
      </c>
      <c r="H34" s="1147">
        <v>175.97</v>
      </c>
      <c r="I34" s="705">
        <v>479.6</v>
      </c>
      <c r="J34" s="806"/>
      <c r="K34" s="807"/>
      <c r="L34" s="708">
        <v>343.6</v>
      </c>
      <c r="M34" s="708">
        <v>263.60000000000002</v>
      </c>
      <c r="N34" s="708">
        <v>263.60000000000002</v>
      </c>
      <c r="O34" s="708">
        <v>263.60000000000002</v>
      </c>
      <c r="P34" s="924">
        <v>263.60000000000002</v>
      </c>
      <c r="Q34" s="924">
        <v>263.60000000000002</v>
      </c>
      <c r="R34" s="924">
        <v>263.60000000000002</v>
      </c>
      <c r="S34" s="924">
        <v>263.60000000000002</v>
      </c>
      <c r="T34" s="756"/>
      <c r="U34" s="757"/>
      <c r="V34" s="809"/>
      <c r="W34" s="1102"/>
      <c r="X34" s="810"/>
      <c r="Y34" s="758"/>
      <c r="Z34" s="759"/>
      <c r="AA34" s="760"/>
      <c r="AB34" s="760"/>
      <c r="AC34" s="760"/>
      <c r="AD34" s="760"/>
      <c r="AE34" s="760"/>
      <c r="AF34" s="760"/>
      <c r="AG34" s="761"/>
      <c r="AH34" s="760"/>
      <c r="AI34" s="760"/>
      <c r="AJ34" s="760"/>
      <c r="AK34" s="760"/>
      <c r="AL34" s="760"/>
      <c r="AM34" s="760"/>
      <c r="AN34" s="760"/>
      <c r="AO34" s="760"/>
      <c r="AP34" s="762"/>
      <c r="AQ34" s="763"/>
      <c r="AR34" s="764"/>
      <c r="AS34" s="765"/>
      <c r="AT34" s="762"/>
      <c r="AU34" s="766"/>
      <c r="AV34" s="767"/>
      <c r="AW34" s="762"/>
      <c r="AX34" s="987"/>
      <c r="AY34" s="556"/>
      <c r="AZ34" s="35"/>
      <c r="BA34" s="35"/>
      <c r="BB34" s="35"/>
      <c r="BC34" s="35"/>
      <c r="BD34" s="35"/>
      <c r="BE34" s="45"/>
      <c r="BF34" s="971"/>
      <c r="BG34" s="236"/>
      <c r="BH34" s="12"/>
      <c r="BI34" s="12"/>
      <c r="BJ34" s="12"/>
      <c r="BK34" s="12"/>
      <c r="BL34" s="12"/>
      <c r="BM34" s="980"/>
      <c r="BN34" s="367"/>
      <c r="BO34" s="981"/>
      <c r="BP34" s="12"/>
      <c r="BQ34" s="12"/>
      <c r="BR34" s="12"/>
      <c r="BS34" s="973"/>
      <c r="BT34" s="12"/>
      <c r="BU34" s="12"/>
      <c r="BV34" s="12"/>
      <c r="BW34" s="982"/>
      <c r="BX34" s="983"/>
      <c r="BY34" s="12"/>
      <c r="BZ34" s="1050"/>
    </row>
    <row r="35" spans="1:85" ht="66" customHeight="1" thickBot="1">
      <c r="A35" s="948"/>
      <c r="B35" s="1292">
        <v>520554034</v>
      </c>
      <c r="C35" s="1293" t="s">
        <v>677</v>
      </c>
      <c r="D35" s="1285" t="s">
        <v>313</v>
      </c>
      <c r="E35" s="1286" t="s">
        <v>102</v>
      </c>
      <c r="F35" s="1287" t="s">
        <v>61</v>
      </c>
      <c r="G35" s="1288">
        <v>210</v>
      </c>
      <c r="H35" s="1289">
        <v>175.97</v>
      </c>
      <c r="I35" s="1294">
        <v>479.6</v>
      </c>
      <c r="J35" s="806"/>
      <c r="K35" s="807"/>
      <c r="L35" s="708">
        <v>343.6</v>
      </c>
      <c r="M35" s="1290">
        <v>263.60000000000002</v>
      </c>
      <c r="N35" s="1290">
        <v>263.60000000000002</v>
      </c>
      <c r="O35" s="1290">
        <v>263.60000000000002</v>
      </c>
      <c r="P35" s="1291">
        <v>263.60000000000002</v>
      </c>
      <c r="Q35" s="1291">
        <v>263.60000000000002</v>
      </c>
      <c r="R35" s="1291">
        <v>263.60000000000002</v>
      </c>
      <c r="S35" s="1291">
        <v>263.60000000000002</v>
      </c>
      <c r="T35" s="756"/>
      <c r="U35" s="757"/>
      <c r="V35" s="809"/>
      <c r="W35" s="1102"/>
      <c r="X35" s="810"/>
      <c r="Y35" s="758"/>
      <c r="Z35" s="759"/>
      <c r="AA35" s="760"/>
      <c r="AB35" s="760"/>
      <c r="AC35" s="760"/>
      <c r="AD35" s="760"/>
      <c r="AE35" s="760"/>
      <c r="AF35" s="760"/>
      <c r="AG35" s="761"/>
      <c r="AH35" s="760"/>
      <c r="AI35" s="760"/>
      <c r="AJ35" s="760"/>
      <c r="AK35" s="760"/>
      <c r="AL35" s="760"/>
      <c r="AM35" s="760"/>
      <c r="AN35" s="760"/>
      <c r="AO35" s="760"/>
      <c r="AP35" s="762"/>
      <c r="AQ35" s="763"/>
      <c r="AR35" s="764"/>
      <c r="AS35" s="765"/>
      <c r="AT35" s="762"/>
      <c r="AU35" s="766"/>
      <c r="AV35" s="767"/>
      <c r="AW35" s="762"/>
      <c r="AX35" s="987"/>
      <c r="AY35" s="556"/>
      <c r="AZ35" s="35"/>
      <c r="BA35" s="35"/>
      <c r="BB35" s="35"/>
      <c r="BC35" s="35"/>
      <c r="BD35" s="35"/>
      <c r="BE35" s="45"/>
      <c r="BF35" s="971"/>
      <c r="BG35" s="236"/>
      <c r="BH35" s="12"/>
      <c r="BI35" s="12"/>
      <c r="BJ35" s="12"/>
      <c r="BK35" s="12"/>
      <c r="BL35" s="12"/>
      <c r="BM35" s="980"/>
      <c r="BN35" s="367"/>
      <c r="BO35" s="981"/>
      <c r="BP35" s="12"/>
      <c r="BQ35" s="12"/>
      <c r="BR35" s="12"/>
      <c r="BS35" s="973"/>
      <c r="BT35" s="12"/>
      <c r="BU35" s="12"/>
      <c r="BV35" s="12"/>
      <c r="BW35" s="982"/>
      <c r="BX35" s="983"/>
      <c r="BY35" s="12"/>
      <c r="BZ35" s="1050"/>
    </row>
    <row r="36" spans="1:85" ht="66" customHeight="1" thickBot="1">
      <c r="A36" s="948"/>
      <c r="B36" s="799">
        <v>16129967737</v>
      </c>
      <c r="C36" s="800" t="s">
        <v>467</v>
      </c>
      <c r="D36" s="801" t="s">
        <v>467</v>
      </c>
      <c r="E36" s="802" t="s">
        <v>158</v>
      </c>
      <c r="F36" s="803" t="s">
        <v>61</v>
      </c>
      <c r="G36" s="811" t="s">
        <v>283</v>
      </c>
      <c r="H36" s="1149">
        <v>34.6</v>
      </c>
      <c r="I36" s="805">
        <v>112.9</v>
      </c>
      <c r="J36" s="806" t="str">
        <f t="shared" ref="J36:J110" si="30">IFERROR(IF(T36&lt;&gt;"",I36/T36,IF(AND(Y36="",V36=""),"",IF(V36="",I36/Y36,I36/V36))),"")</f>
        <v/>
      </c>
      <c r="K36" s="807" t="str">
        <f>IF(Y36="","",IFERROR(1-(Y36/I36),0))</f>
        <v/>
      </c>
      <c r="L36" s="808">
        <v>59.8</v>
      </c>
      <c r="M36" s="808">
        <f t="shared" si="23"/>
        <v>59.8</v>
      </c>
      <c r="N36" s="808">
        <f t="shared" si="24"/>
        <v>59.8</v>
      </c>
      <c r="O36" s="808">
        <f t="shared" si="25"/>
        <v>59.8</v>
      </c>
      <c r="P36" s="965">
        <v>59.8</v>
      </c>
      <c r="Q36" s="965">
        <v>59.8</v>
      </c>
      <c r="R36" s="965">
        <v>59.8</v>
      </c>
      <c r="S36" s="965">
        <v>59.8</v>
      </c>
      <c r="T36" s="756" t="str">
        <f t="shared" si="0"/>
        <v/>
      </c>
      <c r="U36" s="757" t="str">
        <f t="shared" si="1"/>
        <v/>
      </c>
      <c r="V36" s="809"/>
      <c r="W36" s="1102"/>
      <c r="X36" s="810"/>
      <c r="Y36" s="758" t="str">
        <f t="shared" ref="Y36:Y99" si="31">IF(AND(W36="",X36=""),"",$E$13*IF(V36&lt;&gt;"",V36,IF(SUMIF($C:$C,C36,$W:$W)&gt;=$S$27,S36,IF(OR($AA$373&gt;=$R$26,SUMIF($C:$C,C36,$W:$W)&gt;=$R$27),R36,IF(OR($AA$373&gt;=$Q$26,SUMIF($C:$C,C36,$W:$W)&gt;=$Q$27),Q36,IF(OR($AA$373&gt;=$P$26,SUMIF($C:$C,C36,$W:$W)&gt;=$P$27),P36,IF(OR($AA$373&gt;=$O$26,SUMIF($C:$C,C36,$W:$W)&gt;=$O$27),O36,IF(OR($AA$373&gt;=$N$26,SUMIF($C:$C,C36,$W:$W)&gt;=$N$27),N36,IF($AA$373&gt;=$M$26,M36,L36)))))))))</f>
        <v/>
      </c>
      <c r="Z36" s="759">
        <f t="shared" si="2"/>
        <v>0</v>
      </c>
      <c r="AA36" s="760">
        <f t="shared" si="3"/>
        <v>0</v>
      </c>
      <c r="AB36" s="760">
        <f t="shared" ref="AB36:AB67" si="32">IFERROR(IF(OR($AA$373&gt;=$S$26,SUMIF($C:$C,C36,$W:$W)&gt;=$S$27),S36,IF(OR($AA$373&gt;=$R$26,SUMIF($C:$C,C36,$W:$W)&gt;=$R$27),R36,IF(OR($AA$373&gt;=$Q$26,SUMIF($C:$C,C36,$W:$W)&gt;=$Q$27),Q36,IF(OR($AA$373&gt;=$P$26,SUMIF($C:$C,C36,$W:$W)&gt;=$P$27),P36,IF(OR($AA$373&gt;=$O$26,SUMIF($C:$C,C36,$W:$W)&gt;=$O$27),O36,IF(OR($AA$373&gt;=$N$26,SUMIF($C:$C,C36,$W:$W)&gt;=$N$27),N36,IF($AA$373&gt;=$M$26,M36,L36)))))))*W36,0)</f>
        <v>0</v>
      </c>
      <c r="AC36" s="760">
        <f t="shared" ref="AC36:AC67" si="33">IFERROR(IF(V36="",0,(IF(AND(W36="",X36=""),"",IF(OR($AA$373&gt;=$S$26,SUMIF($C:$C,C36,$W:$W)&gt;=$S$27),S36*$E$13,IF(OR($AA$373&gt;=$R$26,SUMIF($C:$C,C36,$W:$W)&gt;=$R$27),R36*$E$13,IF(OR($AA$373&gt;=$Q$26,SUMIF($C:$C,C36,$W:$W)&gt;=$Q$27),Q36*$E$13,IF(OR($AA$373&gt;=$P$26,SUMIF($C:$C,C36,$W:$W)&gt;=$P$27),P36*$E$13,IF(OR($AA$373&gt;=$O$26,SUMIF($C:$C,C36,$W:$W)&gt;=$O$27),O36*$E$13,IF(OR($AA$373&gt;=$N$26,SUMIF($C:$C,C36,$W:$W)&gt;=$N$27),N36*$E$13,IF($AA$373&gt;=$M$26,M36*$E$13,L36))))))))-V36)*W36),0)</f>
        <v>0</v>
      </c>
      <c r="AD36" s="760">
        <f t="shared" si="4"/>
        <v>0</v>
      </c>
      <c r="AE36" s="760">
        <f t="shared" si="5"/>
        <v>0</v>
      </c>
      <c r="AF36" s="760">
        <f t="shared" si="6"/>
        <v>0</v>
      </c>
      <c r="AG36" s="761">
        <f t="shared" si="7"/>
        <v>0</v>
      </c>
      <c r="AH36" s="760">
        <f t="shared" si="8"/>
        <v>0</v>
      </c>
      <c r="AI36" s="760">
        <f t="shared" si="9"/>
        <v>0</v>
      </c>
      <c r="AJ36" s="760">
        <f t="shared" si="10"/>
        <v>0</v>
      </c>
      <c r="AK36" s="760">
        <f t="shared" si="11"/>
        <v>0</v>
      </c>
      <c r="AL36" s="760">
        <f t="shared" si="12"/>
        <v>0</v>
      </c>
      <c r="AM36" s="760">
        <f t="shared" si="13"/>
        <v>0</v>
      </c>
      <c r="AN36" s="760">
        <f t="shared" si="14"/>
        <v>0</v>
      </c>
      <c r="AO36" s="760">
        <f t="shared" si="15"/>
        <v>0</v>
      </c>
      <c r="AP36" s="762">
        <f t="shared" si="16"/>
        <v>0.42140468227424743</v>
      </c>
      <c r="AQ36" s="763">
        <f t="shared" si="17"/>
        <v>46.133333333333333</v>
      </c>
      <c r="AR36" s="764">
        <v>4</v>
      </c>
      <c r="AS36" s="765">
        <f t="shared" ref="AS36:AS60" si="34">(AP36-MIN($AP$65:$AP$368))/(MAX($AP$65:$AP$368)-MIN($AP$65:$AP$368))*100</f>
        <v>42.140468227424741</v>
      </c>
      <c r="AT36" s="762">
        <f t="shared" si="18"/>
        <v>0</v>
      </c>
      <c r="AU36" s="766">
        <f t="shared" si="19"/>
        <v>0</v>
      </c>
      <c r="AV36" s="767"/>
      <c r="AW36" s="762" t="e">
        <f>VLOOKUP(AX36,Sup!#REF!,8,0)</f>
        <v>#REF!</v>
      </c>
      <c r="AX36" s="987" t="s">
        <v>198</v>
      </c>
      <c r="AY36" s="556">
        <v>0</v>
      </c>
      <c r="AZ36" s="35"/>
      <c r="BA36" s="35"/>
      <c r="BB36" s="35"/>
      <c r="BC36" s="35">
        <f t="shared" si="20"/>
        <v>0</v>
      </c>
      <c r="BD36" s="35" t="str">
        <f t="shared" ref="BD36:BD67" si="35">IFERROR(IF(AND(W36="",X36=""),"",IF(OR($AA$373&gt;=$S$26,SUMIF($C:$C,C36,$W:$W)&gt;=$S$27),S36,IF(OR($AA$373&gt;=$R$26,SUMIF($C:$C,C36,$W:$W)&gt;=$R$27),R36,IF(OR($AA$373&gt;=$Q$26,SUMIF($C:$C,C36,$W:$W)&gt;=$Q$27),Q36,IF(OR($AA$373&gt;=$P$26,SUMIF($C:$C,C36,$W:$W)&gt;=$P$27),P36,IF(OR($AA$373&gt;=$O$26,SUMIF($C:$C,C36,$W:$W)&gt;=$O$27),O36,IF(OR($AA$373&gt;=$N$26,SUMIF($C:$C,C36,$W:$W)&gt;=$N$27),N36,IF($AA$373&gt;=$M$26,M36,L36)))))))*$E$13),0)</f>
        <v/>
      </c>
      <c r="BE36" s="45">
        <f t="shared" si="21"/>
        <v>0</v>
      </c>
      <c r="BF36" s="971"/>
      <c r="BG36" s="236"/>
      <c r="BH36" s="12"/>
      <c r="BI36" s="12"/>
      <c r="BJ36" s="12"/>
      <c r="BK36" s="12"/>
      <c r="BL36" s="12"/>
      <c r="BM36" s="980" t="e">
        <f>BM32+24</f>
        <v>#REF!</v>
      </c>
      <c r="BN36" s="367"/>
      <c r="BO36" s="981"/>
      <c r="BP36" s="12"/>
      <c r="BQ36" s="12"/>
      <c r="BR36" s="12"/>
      <c r="BS36" s="973"/>
      <c r="BT36" s="12"/>
      <c r="BU36" s="12"/>
      <c r="BV36" s="12"/>
      <c r="BW36" s="982" t="s">
        <v>506</v>
      </c>
      <c r="BX36" s="983">
        <f t="shared" si="22"/>
        <v>0</v>
      </c>
      <c r="BY36" s="12" t="e">
        <f>VLOOKUP(B36,#REF!,13,0)</f>
        <v>#REF!</v>
      </c>
      <c r="BZ36" s="1050">
        <v>57</v>
      </c>
      <c r="CA36" s="1181" t="e">
        <f>VLOOKUP(B36,Pedido!$B$16:$L$292,22,0)</f>
        <v>#N/A</v>
      </c>
      <c r="CD36" s="578">
        <f>CD32+12</f>
        <v>60</v>
      </c>
      <c r="CE36" s="578">
        <f t="shared" si="29"/>
        <v>5</v>
      </c>
      <c r="CF36" s="578" t="str">
        <f t="shared" si="28"/>
        <v>605</v>
      </c>
      <c r="CG36" s="576" t="s">
        <v>547</v>
      </c>
    </row>
    <row r="37" spans="1:85" ht="33.75" customHeight="1">
      <c r="A37" s="946"/>
      <c r="B37" s="812" t="s">
        <v>491</v>
      </c>
      <c r="C37" s="770" t="s">
        <v>468</v>
      </c>
      <c r="D37" s="771" t="s">
        <v>469</v>
      </c>
      <c r="E37" s="772" t="s">
        <v>470</v>
      </c>
      <c r="F37" s="773" t="s">
        <v>438</v>
      </c>
      <c r="G37" s="813" t="s">
        <v>471</v>
      </c>
      <c r="H37" s="1146">
        <v>24.13</v>
      </c>
      <c r="I37" s="775">
        <v>144.9</v>
      </c>
      <c r="J37" s="776" t="str">
        <f t="shared" ref="J37:J47" si="36">IFERROR(IF(T37&lt;&gt;"",I37/T37,IF(AND(Y37="",V37=""),"",IF(V37="",I37/Y37,I37/V37))),"")</f>
        <v/>
      </c>
      <c r="K37" s="777" t="str">
        <f t="shared" ref="K37:K47" si="37">IF(Y37="","",IFERROR(1-(Y37/I37),0))</f>
        <v/>
      </c>
      <c r="L37" s="768">
        <v>84.9</v>
      </c>
      <c r="M37" s="768">
        <f t="shared" si="23"/>
        <v>78.108000000000004</v>
      </c>
      <c r="N37" s="768">
        <f t="shared" si="24"/>
        <v>78.108000000000004</v>
      </c>
      <c r="O37" s="768">
        <f t="shared" si="25"/>
        <v>78.108000000000004</v>
      </c>
      <c r="P37" s="923">
        <v>78.108000000000004</v>
      </c>
      <c r="Q37" s="923">
        <v>78.108000000000004</v>
      </c>
      <c r="R37" s="923">
        <v>78.108000000000004</v>
      </c>
      <c r="S37" s="923">
        <v>78.108000000000004</v>
      </c>
      <c r="T37" s="736" t="str">
        <f t="shared" si="0"/>
        <v/>
      </c>
      <c r="U37" s="737" t="str">
        <f t="shared" si="1"/>
        <v/>
      </c>
      <c r="V37" s="780"/>
      <c r="W37" s="1099"/>
      <c r="X37" s="781"/>
      <c r="Y37" s="782" t="str">
        <f t="shared" si="31"/>
        <v/>
      </c>
      <c r="Z37" s="783">
        <f t="shared" si="2"/>
        <v>0</v>
      </c>
      <c r="AA37" s="738">
        <f t="shared" si="3"/>
        <v>0</v>
      </c>
      <c r="AB37" s="738">
        <f t="shared" si="32"/>
        <v>0</v>
      </c>
      <c r="AC37" s="738">
        <f t="shared" si="33"/>
        <v>0</v>
      </c>
      <c r="AD37" s="738">
        <f t="shared" si="4"/>
        <v>0</v>
      </c>
      <c r="AE37" s="738">
        <f t="shared" si="5"/>
        <v>0</v>
      </c>
      <c r="AF37" s="738">
        <f t="shared" si="6"/>
        <v>0</v>
      </c>
      <c r="AG37" s="739">
        <f t="shared" si="7"/>
        <v>0</v>
      </c>
      <c r="AH37" s="738">
        <f t="shared" si="8"/>
        <v>0</v>
      </c>
      <c r="AI37" s="738">
        <f t="shared" si="9"/>
        <v>0</v>
      </c>
      <c r="AJ37" s="738">
        <f t="shared" si="10"/>
        <v>0</v>
      </c>
      <c r="AK37" s="738">
        <f t="shared" si="11"/>
        <v>0</v>
      </c>
      <c r="AL37" s="738">
        <f t="shared" si="12"/>
        <v>0</v>
      </c>
      <c r="AM37" s="738">
        <f t="shared" si="13"/>
        <v>0</v>
      </c>
      <c r="AN37" s="738">
        <f t="shared" si="14"/>
        <v>0</v>
      </c>
      <c r="AO37" s="738">
        <f t="shared" si="15"/>
        <v>0</v>
      </c>
      <c r="AP37" s="740">
        <f t="shared" si="16"/>
        <v>0.71578327444051837</v>
      </c>
      <c r="AQ37" s="741">
        <f t="shared" si="17"/>
        <v>32.173333333333332</v>
      </c>
      <c r="AR37" s="742">
        <v>12</v>
      </c>
      <c r="AS37" s="743">
        <f t="shared" si="34"/>
        <v>71.578327444051837</v>
      </c>
      <c r="AT37" s="740">
        <f t="shared" si="18"/>
        <v>0</v>
      </c>
      <c r="AU37" s="744">
        <f t="shared" si="19"/>
        <v>0</v>
      </c>
      <c r="AV37" s="745"/>
      <c r="AW37" s="740" t="e">
        <f>VLOOKUP(AX37,Sup!#REF!,8,0)</f>
        <v>#REF!</v>
      </c>
      <c r="AX37" s="979" t="s">
        <v>198</v>
      </c>
      <c r="AY37" s="556">
        <v>0</v>
      </c>
      <c r="AZ37" s="35"/>
      <c r="BA37" s="35"/>
      <c r="BB37" s="35"/>
      <c r="BC37" s="35">
        <f t="shared" si="20"/>
        <v>0</v>
      </c>
      <c r="BD37" s="35" t="str">
        <f t="shared" si="35"/>
        <v/>
      </c>
      <c r="BE37" s="45">
        <f t="shared" si="21"/>
        <v>0</v>
      </c>
      <c r="BF37" s="971"/>
      <c r="BG37" s="236"/>
      <c r="BH37" s="12"/>
      <c r="BI37" s="12"/>
      <c r="BJ37" s="12"/>
      <c r="BK37" s="12"/>
      <c r="BL37" s="12"/>
      <c r="BM37" s="980" t="e">
        <f t="shared" si="26"/>
        <v>#REF!</v>
      </c>
      <c r="BN37" s="367"/>
      <c r="BO37" s="981"/>
      <c r="BP37" s="12"/>
      <c r="BQ37" s="12"/>
      <c r="BR37" s="12"/>
      <c r="BS37" s="973"/>
      <c r="BT37" s="12"/>
      <c r="BU37" s="12"/>
      <c r="BV37" s="12"/>
      <c r="BW37" s="982" t="s">
        <v>506</v>
      </c>
      <c r="BX37" s="983">
        <f t="shared" si="22"/>
        <v>0</v>
      </c>
      <c r="BY37" s="12" t="e">
        <f>VLOOKUP(B37,#REF!,13,0)</f>
        <v>#REF!</v>
      </c>
      <c r="BZ37" s="1047">
        <v>74</v>
      </c>
      <c r="CA37" s="1181" t="e">
        <f>VLOOKUP(B37,Pedido!$B$16:$L$292,22,0)</f>
        <v>#N/A</v>
      </c>
      <c r="CD37" s="578">
        <f t="shared" si="27"/>
        <v>72</v>
      </c>
      <c r="CE37" s="578">
        <f t="shared" si="29"/>
        <v>6</v>
      </c>
      <c r="CF37" s="578" t="str">
        <f t="shared" si="28"/>
        <v>726</v>
      </c>
      <c r="CG37" s="576" t="s">
        <v>547</v>
      </c>
    </row>
    <row r="38" spans="1:85" ht="33.75" customHeight="1">
      <c r="A38" s="524"/>
      <c r="B38" s="709">
        <v>17898966827782</v>
      </c>
      <c r="C38" s="710" t="s">
        <v>468</v>
      </c>
      <c r="D38" s="701" t="s">
        <v>469</v>
      </c>
      <c r="E38" s="702" t="s">
        <v>472</v>
      </c>
      <c r="F38" s="703" t="s">
        <v>438</v>
      </c>
      <c r="G38" s="712" t="s">
        <v>471</v>
      </c>
      <c r="H38" s="1147">
        <v>24.53</v>
      </c>
      <c r="I38" s="705">
        <v>144.9</v>
      </c>
      <c r="J38" s="706" t="str">
        <f t="shared" si="36"/>
        <v/>
      </c>
      <c r="K38" s="707" t="str">
        <f t="shared" si="37"/>
        <v/>
      </c>
      <c r="L38" s="711">
        <v>84.9</v>
      </c>
      <c r="M38" s="708">
        <f t="shared" si="23"/>
        <v>78.108000000000004</v>
      </c>
      <c r="N38" s="708">
        <f t="shared" si="24"/>
        <v>78.108000000000004</v>
      </c>
      <c r="O38" s="708">
        <f t="shared" si="25"/>
        <v>78.108000000000004</v>
      </c>
      <c r="P38" s="924">
        <v>78.108000000000004</v>
      </c>
      <c r="Q38" s="924">
        <v>78.108000000000004</v>
      </c>
      <c r="R38" s="924">
        <v>78.108000000000004</v>
      </c>
      <c r="S38" s="924">
        <v>78.108000000000004</v>
      </c>
      <c r="T38" s="246" t="str">
        <f t="shared" si="0"/>
        <v/>
      </c>
      <c r="U38" s="298" t="str">
        <f t="shared" si="1"/>
        <v/>
      </c>
      <c r="V38" s="734"/>
      <c r="W38" s="1100"/>
      <c r="X38" s="264"/>
      <c r="Y38" s="113" t="str">
        <f t="shared" si="31"/>
        <v/>
      </c>
      <c r="Z38" s="223">
        <f t="shared" si="2"/>
        <v>0</v>
      </c>
      <c r="AA38" s="307">
        <f t="shared" si="3"/>
        <v>0</v>
      </c>
      <c r="AB38" s="307">
        <f t="shared" si="32"/>
        <v>0</v>
      </c>
      <c r="AC38" s="307">
        <f t="shared" si="33"/>
        <v>0</v>
      </c>
      <c r="AD38" s="307">
        <f t="shared" si="4"/>
        <v>0</v>
      </c>
      <c r="AE38" s="307">
        <f t="shared" si="5"/>
        <v>0</v>
      </c>
      <c r="AF38" s="307">
        <f t="shared" si="6"/>
        <v>0</v>
      </c>
      <c r="AG38" s="308">
        <f t="shared" si="7"/>
        <v>0</v>
      </c>
      <c r="AH38" s="307">
        <f t="shared" si="8"/>
        <v>0</v>
      </c>
      <c r="AI38" s="307">
        <f t="shared" si="9"/>
        <v>0</v>
      </c>
      <c r="AJ38" s="307">
        <f t="shared" si="10"/>
        <v>0</v>
      </c>
      <c r="AK38" s="307">
        <f t="shared" si="11"/>
        <v>0</v>
      </c>
      <c r="AL38" s="307">
        <f t="shared" si="12"/>
        <v>0</v>
      </c>
      <c r="AM38" s="307">
        <f t="shared" si="13"/>
        <v>0</v>
      </c>
      <c r="AN38" s="307">
        <f t="shared" si="14"/>
        <v>0</v>
      </c>
      <c r="AO38" s="307">
        <f t="shared" si="15"/>
        <v>0</v>
      </c>
      <c r="AP38" s="309">
        <f t="shared" si="16"/>
        <v>0.71107184923439348</v>
      </c>
      <c r="AQ38" s="310">
        <f t="shared" si="17"/>
        <v>32.706666666666671</v>
      </c>
      <c r="AR38" s="544">
        <v>12</v>
      </c>
      <c r="AS38" s="725">
        <f t="shared" si="34"/>
        <v>71.107184923439348</v>
      </c>
      <c r="AT38" s="309">
        <f t="shared" si="18"/>
        <v>0</v>
      </c>
      <c r="AU38" s="726">
        <f t="shared" si="19"/>
        <v>0</v>
      </c>
      <c r="AV38" s="311"/>
      <c r="AW38" s="309" t="e">
        <f>VLOOKUP(AX38,Sup!#REF!,8,0)</f>
        <v>#REF!</v>
      </c>
      <c r="AX38" s="985" t="s">
        <v>198</v>
      </c>
      <c r="AY38" s="556">
        <v>0</v>
      </c>
      <c r="AZ38" s="35"/>
      <c r="BA38" s="35"/>
      <c r="BB38" s="35"/>
      <c r="BC38" s="35">
        <f t="shared" si="20"/>
        <v>0</v>
      </c>
      <c r="BD38" s="35" t="str">
        <f t="shared" si="35"/>
        <v/>
      </c>
      <c r="BE38" s="45">
        <f t="shared" si="21"/>
        <v>0</v>
      </c>
      <c r="BF38" s="971"/>
      <c r="BG38" s="236"/>
      <c r="BH38" s="12"/>
      <c r="BI38" s="12"/>
      <c r="BJ38" s="12"/>
      <c r="BK38" s="12"/>
      <c r="BL38" s="12"/>
      <c r="BM38" s="980" t="e">
        <f t="shared" si="26"/>
        <v>#REF!</v>
      </c>
      <c r="BN38" s="367"/>
      <c r="BO38" s="981"/>
      <c r="BP38" s="12"/>
      <c r="BQ38" s="12"/>
      <c r="BR38" s="12"/>
      <c r="BS38" s="973"/>
      <c r="BT38" s="12"/>
      <c r="BU38" s="12"/>
      <c r="BV38" s="12"/>
      <c r="BW38" s="982" t="s">
        <v>506</v>
      </c>
      <c r="BX38" s="983">
        <f t="shared" si="22"/>
        <v>0</v>
      </c>
      <c r="BY38" s="12" t="e">
        <f>VLOOKUP(B38,#REF!,13,0)</f>
        <v>#REF!</v>
      </c>
      <c r="BZ38" s="1051">
        <v>74</v>
      </c>
      <c r="CA38" s="1181" t="e">
        <f>VLOOKUP(B38,Pedido!$B$16:$L$292,22,0)</f>
        <v>#N/A</v>
      </c>
      <c r="CD38" s="578">
        <f t="shared" si="27"/>
        <v>84</v>
      </c>
      <c r="CE38" s="578">
        <f t="shared" si="29"/>
        <v>7</v>
      </c>
      <c r="CF38" s="578" t="str">
        <f t="shared" si="28"/>
        <v>847</v>
      </c>
      <c r="CG38" s="576" t="s">
        <v>547</v>
      </c>
    </row>
    <row r="39" spans="1:85" ht="33.75" customHeight="1">
      <c r="A39" s="524"/>
      <c r="B39" s="709">
        <v>520349027</v>
      </c>
      <c r="C39" s="710" t="s">
        <v>468</v>
      </c>
      <c r="D39" s="701" t="s">
        <v>469</v>
      </c>
      <c r="E39" s="702" t="s">
        <v>271</v>
      </c>
      <c r="F39" s="703" t="s">
        <v>438</v>
      </c>
      <c r="G39" s="712" t="s">
        <v>471</v>
      </c>
      <c r="H39" s="1147">
        <v>24.53</v>
      </c>
      <c r="I39" s="705">
        <v>144.9</v>
      </c>
      <c r="J39" s="706" t="str">
        <f t="shared" si="36"/>
        <v/>
      </c>
      <c r="K39" s="707" t="str">
        <f t="shared" si="37"/>
        <v/>
      </c>
      <c r="L39" s="711">
        <v>84.9</v>
      </c>
      <c r="M39" s="708">
        <f>P39</f>
        <v>78.108000000000004</v>
      </c>
      <c r="N39" s="708">
        <f>P39</f>
        <v>78.108000000000004</v>
      </c>
      <c r="O39" s="708">
        <f>P39</f>
        <v>78.108000000000004</v>
      </c>
      <c r="P39" s="924">
        <v>78.108000000000004</v>
      </c>
      <c r="Q39" s="924">
        <v>78.108000000000004</v>
      </c>
      <c r="R39" s="924">
        <v>78.108000000000004</v>
      </c>
      <c r="S39" s="924">
        <v>78.108000000000004</v>
      </c>
      <c r="T39" s="246" t="str">
        <f>IF(V39&gt;0,V39,IFERROR(IF(AND(W39&lt;&gt;"",X39&lt;&gt;""),AH39/W39,Y39),""))</f>
        <v/>
      </c>
      <c r="U39" s="298" t="str">
        <f>IFERROR((T39*W39)/(W39+X39),"")</f>
        <v/>
      </c>
      <c r="V39" s="734"/>
      <c r="W39" s="1100"/>
      <c r="X39" s="264"/>
      <c r="Y39" s="113" t="str">
        <f t="shared" si="31"/>
        <v/>
      </c>
      <c r="Z39" s="223">
        <f>IF(X39&gt;W39,-1,IF(W39=0,0,IF(U39&lt;(H39/0.75),-1,IF(W39&lt;=3,0,0.0001))))</f>
        <v>0</v>
      </c>
      <c r="AA39" s="307">
        <f>IFERROR(L39*W39,0)</f>
        <v>0</v>
      </c>
      <c r="AB39" s="307">
        <f t="shared" si="32"/>
        <v>0</v>
      </c>
      <c r="AC39" s="307">
        <f t="shared" si="33"/>
        <v>0</v>
      </c>
      <c r="AD39" s="307">
        <f>IFERROR(X39*T39,0)</f>
        <v>0</v>
      </c>
      <c r="AE39" s="307">
        <f>IFERROR(W39*H39,0)</f>
        <v>0</v>
      </c>
      <c r="AF39" s="307">
        <f>IFERROR(1-(AE39/AB39),0)</f>
        <v>0</v>
      </c>
      <c r="AG39" s="308">
        <f>IFERROR(SUM(W39:X39)*I39,0)</f>
        <v>0</v>
      </c>
      <c r="AH39" s="307">
        <f>IFERROR(IF(V39&gt;0,V39*W39,(Y39*W39)),0)</f>
        <v>0</v>
      </c>
      <c r="AI39" s="307">
        <f>IFERROR(SUM(W39)*H39,0)</f>
        <v>0</v>
      </c>
      <c r="AJ39" s="307">
        <f>AH39*$AJ$25</f>
        <v>0</v>
      </c>
      <c r="AK39" s="307">
        <f>AH39*AK$25</f>
        <v>0</v>
      </c>
      <c r="AL39" s="307">
        <f>AH39*AL$25</f>
        <v>0</v>
      </c>
      <c r="AM39" s="307">
        <f>SUM(AJ39:AL39)</f>
        <v>0</v>
      </c>
      <c r="AN39" s="307">
        <f>AH39-AM39</f>
        <v>0</v>
      </c>
      <c r="AO39" s="307">
        <f>AN39-AI39</f>
        <v>0</v>
      </c>
      <c r="AP39" s="309">
        <f>IFERROR(IF(V39&lt;&gt;"",1-(H39/V39),IF(Y39&lt;&gt;"",1-(H39/Y39),1-(H39/L39))),0)</f>
        <v>0.71107184923439348</v>
      </c>
      <c r="AQ39" s="310">
        <f>H39/0.75</f>
        <v>32.706666666666671</v>
      </c>
      <c r="AR39" s="544">
        <v>12</v>
      </c>
      <c r="AS39" s="725">
        <f t="shared" si="34"/>
        <v>71.107184923439348</v>
      </c>
      <c r="AT39" s="309">
        <f>IFERROR(1-(AI39/AH39),0)</f>
        <v>0</v>
      </c>
      <c r="AU39" s="726">
        <f>IFERROR(AO39/AH39,0)</f>
        <v>0</v>
      </c>
      <c r="AV39" s="311"/>
      <c r="AW39" s="309" t="e">
        <f>VLOOKUP(AX39,Sup!#REF!,8,0)</f>
        <v>#REF!</v>
      </c>
      <c r="AX39" s="985" t="s">
        <v>198</v>
      </c>
      <c r="AY39" s="556">
        <v>0</v>
      </c>
      <c r="AZ39" s="35"/>
      <c r="BA39" s="35"/>
      <c r="BB39" s="35"/>
      <c r="BC39" s="35">
        <f>IF(BE39&lt;0,BE39,0)</f>
        <v>0</v>
      </c>
      <c r="BD39" s="35" t="str">
        <f t="shared" si="35"/>
        <v/>
      </c>
      <c r="BE39" s="45">
        <f>IF(V39="",0,(V39*W39)-(BD39*W39))</f>
        <v>0</v>
      </c>
      <c r="BF39" s="971"/>
      <c r="BG39" s="236"/>
      <c r="BH39" s="12"/>
      <c r="BI39" s="12"/>
      <c r="BJ39" s="12"/>
      <c r="BK39" s="12"/>
      <c r="BL39" s="12"/>
      <c r="BM39" s="980" t="e">
        <f t="shared" si="26"/>
        <v>#REF!</v>
      </c>
      <c r="BN39" s="367"/>
      <c r="BO39" s="981"/>
      <c r="BP39" s="12"/>
      <c r="BQ39" s="12"/>
      <c r="BR39" s="12"/>
      <c r="BS39" s="973"/>
      <c r="BT39" s="12"/>
      <c r="BU39" s="12"/>
      <c r="BV39" s="12"/>
      <c r="BW39" s="982" t="s">
        <v>506</v>
      </c>
      <c r="BX39" s="983">
        <f>IFERROR(W39*U39,0)</f>
        <v>0</v>
      </c>
      <c r="BY39" s="12" t="e">
        <f>VLOOKUP(B39,#REF!,13,0)</f>
        <v>#REF!</v>
      </c>
      <c r="BZ39" s="1051">
        <v>74</v>
      </c>
      <c r="CA39" s="1181" t="e">
        <f>VLOOKUP(B39,Pedido!$B$16:$L$292,22,0)</f>
        <v>#REF!</v>
      </c>
      <c r="CD39" s="578">
        <f t="shared" si="27"/>
        <v>96</v>
      </c>
      <c r="CE39" s="578">
        <f>CD39/12</f>
        <v>8</v>
      </c>
      <c r="CF39" s="578" t="str">
        <f>CONCATENATE(CD39,CE39)</f>
        <v>968</v>
      </c>
      <c r="CG39" s="576" t="s">
        <v>547</v>
      </c>
    </row>
    <row r="40" spans="1:85" ht="33.75" customHeight="1">
      <c r="A40" s="524"/>
      <c r="B40" s="723" t="s">
        <v>489</v>
      </c>
      <c r="C40" s="710" t="s">
        <v>468</v>
      </c>
      <c r="D40" s="701" t="s">
        <v>469</v>
      </c>
      <c r="E40" s="702" t="s">
        <v>473</v>
      </c>
      <c r="F40" s="703" t="s">
        <v>438</v>
      </c>
      <c r="G40" s="712" t="s">
        <v>471</v>
      </c>
      <c r="H40" s="1147">
        <v>24.08</v>
      </c>
      <c r="I40" s="705">
        <v>144.9</v>
      </c>
      <c r="J40" s="706" t="str">
        <f t="shared" si="36"/>
        <v/>
      </c>
      <c r="K40" s="707" t="str">
        <f t="shared" si="37"/>
        <v/>
      </c>
      <c r="L40" s="708">
        <v>84.9</v>
      </c>
      <c r="M40" s="708">
        <f t="shared" si="23"/>
        <v>78.108000000000004</v>
      </c>
      <c r="N40" s="708">
        <f t="shared" si="24"/>
        <v>78.108000000000004</v>
      </c>
      <c r="O40" s="708">
        <f t="shared" si="25"/>
        <v>78.108000000000004</v>
      </c>
      <c r="P40" s="924">
        <v>78.108000000000004</v>
      </c>
      <c r="Q40" s="924">
        <v>78.108000000000004</v>
      </c>
      <c r="R40" s="924">
        <v>78.108000000000004</v>
      </c>
      <c r="S40" s="924">
        <v>78.108000000000004</v>
      </c>
      <c r="T40" s="274" t="str">
        <f t="shared" si="0"/>
        <v/>
      </c>
      <c r="U40" s="152" t="str">
        <f t="shared" si="1"/>
        <v/>
      </c>
      <c r="V40" s="695"/>
      <c r="W40" s="696"/>
      <c r="X40" s="171"/>
      <c r="Y40" s="103" t="str">
        <f t="shared" si="31"/>
        <v/>
      </c>
      <c r="Z40" s="225">
        <f t="shared" si="2"/>
        <v>0</v>
      </c>
      <c r="AA40" s="275">
        <f t="shared" si="3"/>
        <v>0</v>
      </c>
      <c r="AB40" s="275">
        <f t="shared" si="32"/>
        <v>0</v>
      </c>
      <c r="AC40" s="275">
        <f t="shared" si="33"/>
        <v>0</v>
      </c>
      <c r="AD40" s="275">
        <f t="shared" si="4"/>
        <v>0</v>
      </c>
      <c r="AE40" s="275">
        <f t="shared" si="5"/>
        <v>0</v>
      </c>
      <c r="AF40" s="275">
        <f t="shared" si="6"/>
        <v>0</v>
      </c>
      <c r="AG40" s="290">
        <f t="shared" si="7"/>
        <v>0</v>
      </c>
      <c r="AH40" s="275">
        <f t="shared" si="8"/>
        <v>0</v>
      </c>
      <c r="AI40" s="275">
        <f t="shared" si="9"/>
        <v>0</v>
      </c>
      <c r="AJ40" s="275">
        <f t="shared" si="10"/>
        <v>0</v>
      </c>
      <c r="AK40" s="275">
        <f t="shared" si="11"/>
        <v>0</v>
      </c>
      <c r="AL40" s="275">
        <f t="shared" si="12"/>
        <v>0</v>
      </c>
      <c r="AM40" s="275">
        <f t="shared" si="13"/>
        <v>0</v>
      </c>
      <c r="AN40" s="275">
        <f t="shared" si="14"/>
        <v>0</v>
      </c>
      <c r="AO40" s="275">
        <f t="shared" si="15"/>
        <v>0</v>
      </c>
      <c r="AP40" s="276">
        <f t="shared" si="16"/>
        <v>0.71637220259128398</v>
      </c>
      <c r="AQ40" s="291">
        <f t="shared" si="17"/>
        <v>32.106666666666662</v>
      </c>
      <c r="AR40" s="542">
        <v>12</v>
      </c>
      <c r="AS40" s="727">
        <f t="shared" si="34"/>
        <v>71.637220259128398</v>
      </c>
      <c r="AT40" s="276">
        <f t="shared" si="18"/>
        <v>0</v>
      </c>
      <c r="AU40" s="728">
        <f t="shared" si="19"/>
        <v>0</v>
      </c>
      <c r="AV40" s="277"/>
      <c r="AW40" s="276" t="e">
        <f>VLOOKUP(AX40,Sup!#REF!,8,0)</f>
        <v>#REF!</v>
      </c>
      <c r="AX40" s="988" t="s">
        <v>198</v>
      </c>
      <c r="AY40" s="556">
        <v>0</v>
      </c>
      <c r="AZ40" s="35"/>
      <c r="BA40" s="35"/>
      <c r="BB40" s="35"/>
      <c r="BC40" s="35">
        <f t="shared" si="20"/>
        <v>0</v>
      </c>
      <c r="BD40" s="35" t="str">
        <f t="shared" si="35"/>
        <v/>
      </c>
      <c r="BE40" s="45">
        <f t="shared" si="21"/>
        <v>0</v>
      </c>
      <c r="BF40" s="971"/>
      <c r="BG40" s="236"/>
      <c r="BH40" s="12"/>
      <c r="BI40" s="12"/>
      <c r="BJ40" s="12"/>
      <c r="BK40" s="12"/>
      <c r="BL40" s="12"/>
      <c r="BM40" s="980" t="e">
        <f>BM38+24</f>
        <v>#REF!</v>
      </c>
      <c r="BN40" s="367"/>
      <c r="BO40" s="981"/>
      <c r="BP40" s="12"/>
      <c r="BQ40" s="12"/>
      <c r="BR40" s="12"/>
      <c r="BS40" s="973"/>
      <c r="BT40" s="12"/>
      <c r="BU40" s="12"/>
      <c r="BV40" s="12"/>
      <c r="BW40" s="982" t="s">
        <v>506</v>
      </c>
      <c r="BX40" s="983">
        <f t="shared" si="22"/>
        <v>0</v>
      </c>
      <c r="BY40" s="12" t="e">
        <f>VLOOKUP(B40,#REF!,13,0)</f>
        <v>#REF!</v>
      </c>
      <c r="BZ40" s="1048">
        <v>74</v>
      </c>
      <c r="CA40" s="1181" t="e">
        <f>VLOOKUP(B40,Pedido!$B$16:$L$292,22,0)</f>
        <v>#N/A</v>
      </c>
      <c r="CD40" s="578">
        <f>CD38+12</f>
        <v>96</v>
      </c>
      <c r="CE40" s="578">
        <f t="shared" si="29"/>
        <v>8</v>
      </c>
      <c r="CF40" s="578" t="str">
        <f t="shared" si="28"/>
        <v>968</v>
      </c>
      <c r="CG40" s="576" t="s">
        <v>547</v>
      </c>
    </row>
    <row r="41" spans="1:85" ht="33.75" customHeight="1">
      <c r="A41" s="524"/>
      <c r="B41" s="723">
        <v>520349083</v>
      </c>
      <c r="C41" s="710" t="s">
        <v>468</v>
      </c>
      <c r="D41" s="701" t="s">
        <v>469</v>
      </c>
      <c r="E41" s="702" t="s">
        <v>595</v>
      </c>
      <c r="F41" s="703" t="s">
        <v>438</v>
      </c>
      <c r="G41" s="712" t="s">
        <v>471</v>
      </c>
      <c r="H41" s="1147">
        <v>24.08</v>
      </c>
      <c r="I41" s="705">
        <v>144.9</v>
      </c>
      <c r="J41" s="706" t="str">
        <f t="shared" si="36"/>
        <v/>
      </c>
      <c r="K41" s="707" t="str">
        <f t="shared" si="37"/>
        <v/>
      </c>
      <c r="L41" s="708">
        <v>84.9</v>
      </c>
      <c r="M41" s="708">
        <f>P41</f>
        <v>78.108000000000004</v>
      </c>
      <c r="N41" s="708">
        <f>P41</f>
        <v>78.108000000000004</v>
      </c>
      <c r="O41" s="708">
        <f>P41</f>
        <v>78.108000000000004</v>
      </c>
      <c r="P41" s="924">
        <v>78.108000000000004</v>
      </c>
      <c r="Q41" s="924">
        <v>78.108000000000004</v>
      </c>
      <c r="R41" s="924">
        <v>78.108000000000004</v>
      </c>
      <c r="S41" s="924">
        <v>78.108000000000004</v>
      </c>
      <c r="T41" s="274" t="str">
        <f>IF(V41&gt;0,V41,IFERROR(IF(AND(W41&lt;&gt;"",X41&lt;&gt;""),AH41/W41,Y41),""))</f>
        <v/>
      </c>
      <c r="U41" s="152" t="str">
        <f>IFERROR((T41*W41)/(W41+X41),"")</f>
        <v/>
      </c>
      <c r="V41" s="695"/>
      <c r="W41" s="696"/>
      <c r="X41" s="171"/>
      <c r="Y41" s="103" t="str">
        <f t="shared" si="31"/>
        <v/>
      </c>
      <c r="Z41" s="225">
        <f>IF(X41&gt;W41,-1,IF(W41=0,0,IF(U41&lt;(H41/0.75),-1,IF(W41&lt;=3,0,0.0001))))</f>
        <v>0</v>
      </c>
      <c r="AA41" s="275">
        <f>IFERROR(L41*W41,0)</f>
        <v>0</v>
      </c>
      <c r="AB41" s="275">
        <f t="shared" si="32"/>
        <v>0</v>
      </c>
      <c r="AC41" s="275">
        <f t="shared" si="33"/>
        <v>0</v>
      </c>
      <c r="AD41" s="275">
        <f>IFERROR(X41*T41,0)</f>
        <v>0</v>
      </c>
      <c r="AE41" s="275">
        <f>IFERROR(W41*H41,0)</f>
        <v>0</v>
      </c>
      <c r="AF41" s="275">
        <f>IFERROR(1-(AE41/AB41),0)</f>
        <v>0</v>
      </c>
      <c r="AG41" s="290">
        <f>IFERROR(SUM(W41:X41)*I41,0)</f>
        <v>0</v>
      </c>
      <c r="AH41" s="275">
        <f>IFERROR(IF(V41&gt;0,V41*W41,(Y41*W41)),0)</f>
        <v>0</v>
      </c>
      <c r="AI41" s="275">
        <f>IFERROR(SUM(W41)*H41,0)</f>
        <v>0</v>
      </c>
      <c r="AJ41" s="275">
        <f>AH41*$AJ$25</f>
        <v>0</v>
      </c>
      <c r="AK41" s="275">
        <f>AH41*AK$25</f>
        <v>0</v>
      </c>
      <c r="AL41" s="275">
        <f>AH41*AL$25</f>
        <v>0</v>
      </c>
      <c r="AM41" s="275">
        <f>SUM(AJ41:AL41)</f>
        <v>0</v>
      </c>
      <c r="AN41" s="275">
        <f>AH41-AM41</f>
        <v>0</v>
      </c>
      <c r="AO41" s="275">
        <f>AN41-AI41</f>
        <v>0</v>
      </c>
      <c r="AP41" s="276">
        <f>IFERROR(IF(V41&lt;&gt;"",1-(H41/V41),IF(Y41&lt;&gt;"",1-(H41/Y41),1-(H41/L41))),0)</f>
        <v>0.71637220259128398</v>
      </c>
      <c r="AQ41" s="291">
        <f>H41/0.75</f>
        <v>32.106666666666662</v>
      </c>
      <c r="AR41" s="542">
        <v>12</v>
      </c>
      <c r="AS41" s="727">
        <f t="shared" si="34"/>
        <v>71.637220259128398</v>
      </c>
      <c r="AT41" s="276">
        <f>IFERROR(1-(AI41/AH41),0)</f>
        <v>0</v>
      </c>
      <c r="AU41" s="728">
        <f>IFERROR(AO41/AH41,0)</f>
        <v>0</v>
      </c>
      <c r="AV41" s="277"/>
      <c r="AW41" s="276" t="e">
        <f>VLOOKUP(AX41,Sup!#REF!,8,0)</f>
        <v>#REF!</v>
      </c>
      <c r="AX41" s="988" t="s">
        <v>198</v>
      </c>
      <c r="AY41" s="556">
        <v>0</v>
      </c>
      <c r="AZ41" s="35"/>
      <c r="BA41" s="35"/>
      <c r="BB41" s="35"/>
      <c r="BC41" s="35">
        <f>IF(BE41&lt;0,BE41,0)</f>
        <v>0</v>
      </c>
      <c r="BD41" s="35" t="str">
        <f t="shared" si="35"/>
        <v/>
      </c>
      <c r="BE41" s="45">
        <f>IF(V41="",0,(V41*W41)-(BD41*W41))</f>
        <v>0</v>
      </c>
      <c r="BF41" s="971"/>
      <c r="BG41" s="236"/>
      <c r="BH41" s="12"/>
      <c r="BI41" s="12"/>
      <c r="BJ41" s="12"/>
      <c r="BK41" s="12"/>
      <c r="BL41" s="12"/>
      <c r="BM41" s="980" t="e">
        <f>BM39+24</f>
        <v>#REF!</v>
      </c>
      <c r="BN41" s="367"/>
      <c r="BO41" s="981"/>
      <c r="BP41" s="12"/>
      <c r="BQ41" s="12"/>
      <c r="BR41" s="12"/>
      <c r="BS41" s="973"/>
      <c r="BT41" s="12"/>
      <c r="BU41" s="12"/>
      <c r="BV41" s="12"/>
      <c r="BW41" s="982" t="s">
        <v>506</v>
      </c>
      <c r="BX41" s="983">
        <f>IFERROR(W41*U41,0)</f>
        <v>0</v>
      </c>
      <c r="BY41" s="12" t="e">
        <f>VLOOKUP(B41,#REF!,13,0)</f>
        <v>#REF!</v>
      </c>
      <c r="BZ41" s="1048">
        <v>74</v>
      </c>
      <c r="CA41" s="1181" t="e">
        <f>VLOOKUP(B41,Pedido!$B$16:$L$292,22,0)</f>
        <v>#REF!</v>
      </c>
      <c r="CD41" s="578">
        <f>CD39+12</f>
        <v>108</v>
      </c>
      <c r="CE41" s="578">
        <f>CD41/12</f>
        <v>9</v>
      </c>
      <c r="CF41" s="578" t="str">
        <f>CONCATENATE(CD41,CE41)</f>
        <v>1089</v>
      </c>
      <c r="CG41" s="576" t="s">
        <v>547</v>
      </c>
    </row>
    <row r="42" spans="1:85" ht="33.75" customHeight="1" thickBot="1">
      <c r="A42" s="947"/>
      <c r="B42" s="814" t="s">
        <v>490</v>
      </c>
      <c r="C42" s="785" t="s">
        <v>468</v>
      </c>
      <c r="D42" s="786" t="s">
        <v>469</v>
      </c>
      <c r="E42" s="787" t="s">
        <v>465</v>
      </c>
      <c r="F42" s="788" t="s">
        <v>438</v>
      </c>
      <c r="G42" s="815" t="s">
        <v>471</v>
      </c>
      <c r="H42" s="1148">
        <v>22.9</v>
      </c>
      <c r="I42" s="816">
        <v>144.9</v>
      </c>
      <c r="J42" s="817" t="str">
        <f t="shared" si="36"/>
        <v/>
      </c>
      <c r="K42" s="818" t="str">
        <f t="shared" si="37"/>
        <v/>
      </c>
      <c r="L42" s="819">
        <v>84.9</v>
      </c>
      <c r="M42" s="819">
        <f t="shared" si="23"/>
        <v>78.108000000000004</v>
      </c>
      <c r="N42" s="819">
        <f t="shared" si="24"/>
        <v>78.108000000000004</v>
      </c>
      <c r="O42" s="819">
        <f t="shared" si="25"/>
        <v>78.108000000000004</v>
      </c>
      <c r="P42" s="925">
        <v>78.108000000000004</v>
      </c>
      <c r="Q42" s="925">
        <v>78.108000000000004</v>
      </c>
      <c r="R42" s="925">
        <v>78.108000000000004</v>
      </c>
      <c r="S42" s="925">
        <v>78.108000000000004</v>
      </c>
      <c r="T42" s="746" t="str">
        <f t="shared" si="0"/>
        <v/>
      </c>
      <c r="U42" s="747" t="str">
        <f t="shared" si="1"/>
        <v/>
      </c>
      <c r="V42" s="795"/>
      <c r="W42" s="1101"/>
      <c r="X42" s="796"/>
      <c r="Y42" s="797" t="str">
        <f t="shared" si="31"/>
        <v/>
      </c>
      <c r="Z42" s="798">
        <f t="shared" si="2"/>
        <v>0</v>
      </c>
      <c r="AA42" s="748">
        <f t="shared" si="3"/>
        <v>0</v>
      </c>
      <c r="AB42" s="748">
        <f t="shared" si="32"/>
        <v>0</v>
      </c>
      <c r="AC42" s="748">
        <f t="shared" si="33"/>
        <v>0</v>
      </c>
      <c r="AD42" s="748">
        <f t="shared" si="4"/>
        <v>0</v>
      </c>
      <c r="AE42" s="748">
        <f t="shared" si="5"/>
        <v>0</v>
      </c>
      <c r="AF42" s="748">
        <f t="shared" si="6"/>
        <v>0</v>
      </c>
      <c r="AG42" s="749">
        <f t="shared" si="7"/>
        <v>0</v>
      </c>
      <c r="AH42" s="748">
        <f t="shared" si="8"/>
        <v>0</v>
      </c>
      <c r="AI42" s="748">
        <f t="shared" si="9"/>
        <v>0</v>
      </c>
      <c r="AJ42" s="748">
        <f t="shared" si="10"/>
        <v>0</v>
      </c>
      <c r="AK42" s="748">
        <f t="shared" si="11"/>
        <v>0</v>
      </c>
      <c r="AL42" s="748">
        <f t="shared" si="12"/>
        <v>0</v>
      </c>
      <c r="AM42" s="748">
        <f t="shared" si="13"/>
        <v>0</v>
      </c>
      <c r="AN42" s="748">
        <f t="shared" si="14"/>
        <v>0</v>
      </c>
      <c r="AO42" s="748">
        <f t="shared" si="15"/>
        <v>0</v>
      </c>
      <c r="AP42" s="750">
        <f t="shared" si="16"/>
        <v>0.73027090694935226</v>
      </c>
      <c r="AQ42" s="751">
        <f t="shared" si="17"/>
        <v>30.533333333333331</v>
      </c>
      <c r="AR42" s="752">
        <v>12</v>
      </c>
      <c r="AS42" s="753">
        <f t="shared" si="34"/>
        <v>73.027090694935225</v>
      </c>
      <c r="AT42" s="750">
        <f t="shared" si="18"/>
        <v>0</v>
      </c>
      <c r="AU42" s="754">
        <f t="shared" si="19"/>
        <v>0</v>
      </c>
      <c r="AV42" s="755"/>
      <c r="AW42" s="750" t="e">
        <f>VLOOKUP(AX42,Sup!#REF!,8,0)</f>
        <v>#REF!</v>
      </c>
      <c r="AX42" s="986" t="s">
        <v>198</v>
      </c>
      <c r="AY42" s="556">
        <v>0</v>
      </c>
      <c r="AZ42" s="35"/>
      <c r="BA42" s="35"/>
      <c r="BB42" s="35"/>
      <c r="BC42" s="35">
        <f t="shared" si="20"/>
        <v>0</v>
      </c>
      <c r="BD42" s="35" t="str">
        <f t="shared" si="35"/>
        <v/>
      </c>
      <c r="BE42" s="45">
        <f t="shared" si="21"/>
        <v>0</v>
      </c>
      <c r="BF42" s="971"/>
      <c r="BG42" s="236"/>
      <c r="BH42" s="12"/>
      <c r="BI42" s="12"/>
      <c r="BJ42" s="12"/>
      <c r="BK42" s="12"/>
      <c r="BL42" s="12"/>
      <c r="BM42" s="980" t="e">
        <f>BM40+24</f>
        <v>#REF!</v>
      </c>
      <c r="BN42" s="367"/>
      <c r="BO42" s="981"/>
      <c r="BP42" s="12"/>
      <c r="BQ42" s="12"/>
      <c r="BR42" s="12"/>
      <c r="BS42" s="973"/>
      <c r="BT42" s="12"/>
      <c r="BU42" s="12"/>
      <c r="BV42" s="12"/>
      <c r="BW42" s="982" t="s">
        <v>506</v>
      </c>
      <c r="BX42" s="983">
        <f t="shared" si="22"/>
        <v>0</v>
      </c>
      <c r="BY42" s="12" t="e">
        <f>VLOOKUP(B42,#REF!,13,0)</f>
        <v>#REF!</v>
      </c>
      <c r="BZ42" s="1052">
        <v>74</v>
      </c>
      <c r="CA42" s="1181" t="e">
        <f>VLOOKUP(B42,Pedido!$B$16:$L$292,22,0)</f>
        <v>#N/A</v>
      </c>
      <c r="CD42" s="578">
        <f>CD40+12</f>
        <v>108</v>
      </c>
      <c r="CE42" s="578">
        <f t="shared" si="29"/>
        <v>9</v>
      </c>
      <c r="CF42" s="578" t="str">
        <f t="shared" si="28"/>
        <v>1089</v>
      </c>
      <c r="CG42" s="576" t="s">
        <v>547</v>
      </c>
    </row>
    <row r="43" spans="1:85" ht="33.75" customHeight="1">
      <c r="A43" s="524"/>
      <c r="B43" s="820">
        <v>520255079</v>
      </c>
      <c r="C43" s="770" t="s">
        <v>680</v>
      </c>
      <c r="D43" s="771" t="s">
        <v>682</v>
      </c>
      <c r="E43" s="772" t="s">
        <v>465</v>
      </c>
      <c r="F43" s="773" t="s">
        <v>61</v>
      </c>
      <c r="G43" s="813" t="s">
        <v>681</v>
      </c>
      <c r="H43" s="1147">
        <v>47.28</v>
      </c>
      <c r="I43" s="775">
        <v>59</v>
      </c>
      <c r="J43" s="776" t="str">
        <f t="shared" si="36"/>
        <v/>
      </c>
      <c r="K43" s="777" t="str">
        <f t="shared" si="37"/>
        <v/>
      </c>
      <c r="L43" s="768">
        <v>42</v>
      </c>
      <c r="M43" s="768">
        <v>32</v>
      </c>
      <c r="N43" s="768">
        <v>32</v>
      </c>
      <c r="O43" s="768">
        <v>32</v>
      </c>
      <c r="P43" s="923">
        <v>32</v>
      </c>
      <c r="Q43" s="923">
        <v>32</v>
      </c>
      <c r="R43" s="923">
        <v>32</v>
      </c>
      <c r="S43" s="923">
        <v>32</v>
      </c>
      <c r="T43" s="246" t="str">
        <f>IF(V43&gt;0,V43,IFERROR(IF(AND(W43&lt;&gt;"",X43&lt;&gt;""),AH43/W43,Y43),""))</f>
        <v/>
      </c>
      <c r="U43" s="298" t="str">
        <f>IFERROR((T43*W43)/(W43+X43),"")</f>
        <v/>
      </c>
      <c r="V43" s="734"/>
      <c r="W43" s="1100"/>
      <c r="X43" s="264"/>
      <c r="Y43" s="113" t="str">
        <f t="shared" si="31"/>
        <v/>
      </c>
      <c r="Z43" s="223">
        <f>IF(X43&gt;W43,-1,IF(W43=0,0,IF(U43&lt;(H43/0.75),-1,IF(W43&lt;=3,0,0.0001))))</f>
        <v>0</v>
      </c>
      <c r="AA43" s="307">
        <f>IFERROR(L43*W43,0)</f>
        <v>0</v>
      </c>
      <c r="AB43" s="307">
        <f t="shared" si="32"/>
        <v>0</v>
      </c>
      <c r="AC43" s="307">
        <f t="shared" si="33"/>
        <v>0</v>
      </c>
      <c r="AD43" s="307">
        <f>IFERROR(X43*T43,0)</f>
        <v>0</v>
      </c>
      <c r="AE43" s="307">
        <f>IFERROR(W43*H43,0)</f>
        <v>0</v>
      </c>
      <c r="AF43" s="307">
        <f>IFERROR(1-(AE43/AB43),0)</f>
        <v>0</v>
      </c>
      <c r="AG43" s="308">
        <f>IFERROR(SUM(W43:X43)*I43,0)</f>
        <v>0</v>
      </c>
      <c r="AH43" s="307">
        <f>IFERROR(IF(V43&gt;0,V43*W43,(Y43*W43)),0)</f>
        <v>0</v>
      </c>
      <c r="AI43" s="307">
        <f>IFERROR(SUM(W43)*H43,0)</f>
        <v>0</v>
      </c>
      <c r="AJ43" s="307">
        <f>AH43*$AJ$25</f>
        <v>0</v>
      </c>
      <c r="AK43" s="307">
        <f>AH43*AK$25</f>
        <v>0</v>
      </c>
      <c r="AL43" s="307">
        <f>AH43*AL$25</f>
        <v>0</v>
      </c>
      <c r="AM43" s="307">
        <f>SUM(AJ43:AL43)</f>
        <v>0</v>
      </c>
      <c r="AN43" s="307">
        <f>AH43-AM43</f>
        <v>0</v>
      </c>
      <c r="AO43" s="307">
        <f>AN43-AI43</f>
        <v>0</v>
      </c>
      <c r="AP43" s="309">
        <f>IFERROR(IF(V43&lt;&gt;"",1-(H43/V43),IF(Y43&lt;&gt;"",1-(H43/Y43),1-(H43/L43))),0)</f>
        <v>-0.12571428571428567</v>
      </c>
      <c r="AQ43" s="310">
        <f>H43/0.75</f>
        <v>63.04</v>
      </c>
      <c r="AR43" s="544">
        <v>6</v>
      </c>
      <c r="AS43" s="725">
        <f t="shared" si="34"/>
        <v>-12.571428571428566</v>
      </c>
      <c r="AT43" s="309">
        <f>IFERROR(1-(AI43/AH43),0)</f>
        <v>0</v>
      </c>
      <c r="AU43" s="726">
        <f>IFERROR(AO43/AH43,0)</f>
        <v>0</v>
      </c>
      <c r="AV43" s="311"/>
      <c r="AW43" s="309" t="e">
        <f>VLOOKUP(AX43,Sup!#REF!,8,0)</f>
        <v>#REF!</v>
      </c>
      <c r="AX43" s="985" t="s">
        <v>198</v>
      </c>
      <c r="AY43" s="556">
        <v>0</v>
      </c>
      <c r="AZ43" s="35"/>
      <c r="BA43" s="35"/>
      <c r="BB43" s="35"/>
      <c r="BC43" s="35">
        <f>IF(BE43&lt;0,BE43,0)</f>
        <v>0</v>
      </c>
      <c r="BD43" s="35" t="str">
        <f t="shared" si="35"/>
        <v/>
      </c>
      <c r="BE43" s="45">
        <f>IF(V43="",0,(V43*W43)-(BD43*W43))</f>
        <v>0</v>
      </c>
      <c r="BF43" s="971"/>
      <c r="BG43" s="236"/>
      <c r="BH43" s="12"/>
      <c r="BI43" s="12"/>
      <c r="BJ43" s="12"/>
      <c r="BK43" s="12"/>
      <c r="BL43" s="12"/>
      <c r="BM43" s="980" t="e">
        <f t="shared" si="26"/>
        <v>#REF!</v>
      </c>
      <c r="BN43" s="367"/>
      <c r="BO43" s="981"/>
      <c r="BP43" s="12"/>
      <c r="BQ43" s="12"/>
      <c r="BR43" s="12"/>
      <c r="BS43" s="973"/>
      <c r="BT43" s="12"/>
      <c r="BU43" s="12"/>
      <c r="BV43" s="12"/>
      <c r="BW43" s="982" t="s">
        <v>506</v>
      </c>
      <c r="BX43" s="983">
        <f>IFERROR(W43*U43,0)</f>
        <v>0</v>
      </c>
      <c r="BY43" s="12" t="e">
        <f>VLOOKUP(B43,#REF!,13,0)</f>
        <v>#REF!</v>
      </c>
      <c r="BZ43" s="1048">
        <v>99</v>
      </c>
      <c r="CA43" s="1181" t="e">
        <f>VLOOKUP(B43,Pedido!$B$16:$L$292,22,0)</f>
        <v>#N/A</v>
      </c>
      <c r="CD43" s="578">
        <f t="shared" si="27"/>
        <v>120</v>
      </c>
      <c r="CE43" s="578">
        <f>CD43/12</f>
        <v>10</v>
      </c>
      <c r="CF43" s="578" t="str">
        <f>CONCATENATE(CD43,CE43)</f>
        <v>12010</v>
      </c>
      <c r="CG43" s="576" t="s">
        <v>547</v>
      </c>
    </row>
    <row r="44" spans="1:85" ht="33.75" customHeight="1">
      <c r="A44" s="524"/>
      <c r="B44" s="714">
        <v>520255080</v>
      </c>
      <c r="C44" s="700" t="s">
        <v>680</v>
      </c>
      <c r="D44" s="701" t="s">
        <v>682</v>
      </c>
      <c r="E44" s="702" t="s">
        <v>470</v>
      </c>
      <c r="F44" s="703" t="s">
        <v>61</v>
      </c>
      <c r="G44" s="712" t="s">
        <v>681</v>
      </c>
      <c r="H44" s="1147">
        <v>47.28</v>
      </c>
      <c r="I44" s="705">
        <v>59</v>
      </c>
      <c r="J44" s="706" t="str">
        <f t="shared" si="36"/>
        <v/>
      </c>
      <c r="K44" s="707" t="str">
        <f t="shared" si="37"/>
        <v/>
      </c>
      <c r="L44" s="708">
        <v>42</v>
      </c>
      <c r="M44" s="708">
        <v>32</v>
      </c>
      <c r="N44" s="708">
        <v>32</v>
      </c>
      <c r="O44" s="708">
        <v>32</v>
      </c>
      <c r="P44" s="924">
        <v>32</v>
      </c>
      <c r="Q44" s="924">
        <v>32</v>
      </c>
      <c r="R44" s="924">
        <v>32</v>
      </c>
      <c r="S44" s="924">
        <v>32</v>
      </c>
      <c r="T44" s="246" t="str">
        <f>IF(V44&gt;0,V44,IFERROR(IF(AND(W44&lt;&gt;"",X44&lt;&gt;""),AH44/W44,Y44),""))</f>
        <v/>
      </c>
      <c r="U44" s="298" t="str">
        <f>IFERROR((T44*W44)/(W44+X44),"")</f>
        <v/>
      </c>
      <c r="V44" s="734"/>
      <c r="W44" s="1100"/>
      <c r="X44" s="264"/>
      <c r="Y44" s="113" t="str">
        <f t="shared" si="31"/>
        <v/>
      </c>
      <c r="Z44" s="223">
        <f>IF(X44&gt;W44,-1,IF(W44=0,0,IF(U44&lt;(H44/0.75),-1,IF(W44&lt;=3,0,0.0001))))</f>
        <v>0</v>
      </c>
      <c r="AA44" s="307">
        <f>IFERROR(L44*W44,0)</f>
        <v>0</v>
      </c>
      <c r="AB44" s="307">
        <f t="shared" si="32"/>
        <v>0</v>
      </c>
      <c r="AC44" s="307">
        <f t="shared" si="33"/>
        <v>0</v>
      </c>
      <c r="AD44" s="307">
        <f>IFERROR(X44*T44,0)</f>
        <v>0</v>
      </c>
      <c r="AE44" s="307">
        <f>IFERROR(W44*H44,0)</f>
        <v>0</v>
      </c>
      <c r="AF44" s="307">
        <f>IFERROR(1-(AE44/AB44),0)</f>
        <v>0</v>
      </c>
      <c r="AG44" s="308">
        <f>IFERROR(SUM(W44:X44)*I44,0)</f>
        <v>0</v>
      </c>
      <c r="AH44" s="307">
        <f>IFERROR(IF(V44&gt;0,V44*W44,(Y44*W44)),0)</f>
        <v>0</v>
      </c>
      <c r="AI44" s="307">
        <f>IFERROR(SUM(W44)*H44,0)</f>
        <v>0</v>
      </c>
      <c r="AJ44" s="307">
        <f>AH44*$AJ$25</f>
        <v>0</v>
      </c>
      <c r="AK44" s="307">
        <f>AH44*AK$25</f>
        <v>0</v>
      </c>
      <c r="AL44" s="307">
        <f>AH44*AL$25</f>
        <v>0</v>
      </c>
      <c r="AM44" s="307">
        <f>SUM(AJ44:AL44)</f>
        <v>0</v>
      </c>
      <c r="AN44" s="307">
        <f>AH44-AM44</f>
        <v>0</v>
      </c>
      <c r="AO44" s="307">
        <f>AN44-AI44</f>
        <v>0</v>
      </c>
      <c r="AP44" s="309">
        <f>IFERROR(IF(V44&lt;&gt;"",1-(H44/V44),IF(Y44&lt;&gt;"",1-(H44/Y44),1-(H44/L44))),0)</f>
        <v>-0.12571428571428567</v>
      </c>
      <c r="AQ44" s="310">
        <f>H44/0.75</f>
        <v>63.04</v>
      </c>
      <c r="AR44" s="544">
        <v>6</v>
      </c>
      <c r="AS44" s="725">
        <f t="shared" si="34"/>
        <v>-12.571428571428566</v>
      </c>
      <c r="AT44" s="309">
        <f>IFERROR(1-(AI44/AH44),0)</f>
        <v>0</v>
      </c>
      <c r="AU44" s="726">
        <f>IFERROR(AO44/AH44,0)</f>
        <v>0</v>
      </c>
      <c r="AV44" s="311"/>
      <c r="AW44" s="309" t="e">
        <f>VLOOKUP(AX44,Sup!#REF!,8,0)</f>
        <v>#REF!</v>
      </c>
      <c r="AX44" s="985" t="s">
        <v>198</v>
      </c>
      <c r="AY44" s="556">
        <v>0</v>
      </c>
      <c r="AZ44" s="35"/>
      <c r="BA44" s="35"/>
      <c r="BB44" s="35"/>
      <c r="BC44" s="35">
        <f>IF(BE44&lt;0,BE44,0)</f>
        <v>0</v>
      </c>
      <c r="BD44" s="35" t="str">
        <f t="shared" si="35"/>
        <v/>
      </c>
      <c r="BE44" s="45">
        <f>IF(V44="",0,(V44*W44)-(BD44*W44))</f>
        <v>0</v>
      </c>
      <c r="BF44" s="971"/>
      <c r="BG44" s="236"/>
      <c r="BH44" s="12"/>
      <c r="BI44" s="12"/>
      <c r="BJ44" s="12"/>
      <c r="BK44" s="12"/>
      <c r="BL44" s="12"/>
      <c r="BM44" s="980" t="e">
        <f t="shared" si="26"/>
        <v>#REF!</v>
      </c>
      <c r="BN44" s="367"/>
      <c r="BO44" s="981"/>
      <c r="BP44" s="12"/>
      <c r="BQ44" s="12"/>
      <c r="BR44" s="12"/>
      <c r="BS44" s="973"/>
      <c r="BT44" s="12"/>
      <c r="BU44" s="12"/>
      <c r="BV44" s="12"/>
      <c r="BW44" s="982" t="s">
        <v>506</v>
      </c>
      <c r="BX44" s="983">
        <f>IFERROR(W44*U44,0)</f>
        <v>0</v>
      </c>
      <c r="BY44" s="12" t="e">
        <f>VLOOKUP(B44,#REF!,13,0)</f>
        <v>#REF!</v>
      </c>
      <c r="BZ44" s="1048">
        <v>99</v>
      </c>
      <c r="CA44" s="1181" t="e">
        <f>VLOOKUP(B44,Pedido!$B$16:$L$292,22,0)</f>
        <v>#N/A</v>
      </c>
      <c r="CD44" s="578">
        <f t="shared" si="27"/>
        <v>132</v>
      </c>
      <c r="CE44" s="578">
        <f>CD44/12</f>
        <v>11</v>
      </c>
      <c r="CF44" s="578" t="str">
        <f>CONCATENATE(CD44,CE44)</f>
        <v>13211</v>
      </c>
      <c r="CG44" s="576" t="s">
        <v>547</v>
      </c>
    </row>
    <row r="45" spans="1:85" ht="33.75" customHeight="1">
      <c r="A45" s="524"/>
      <c r="B45" s="713">
        <v>520155027</v>
      </c>
      <c r="C45" s="710" t="s">
        <v>680</v>
      </c>
      <c r="D45" s="701" t="s">
        <v>684</v>
      </c>
      <c r="E45" s="702" t="s">
        <v>271</v>
      </c>
      <c r="F45" s="703" t="s">
        <v>61</v>
      </c>
      <c r="G45" s="712" t="s">
        <v>681</v>
      </c>
      <c r="H45" s="1147">
        <v>47.28</v>
      </c>
      <c r="I45" s="705">
        <v>69</v>
      </c>
      <c r="J45" s="706" t="str">
        <f t="shared" si="36"/>
        <v/>
      </c>
      <c r="K45" s="707" t="str">
        <f t="shared" si="37"/>
        <v/>
      </c>
      <c r="L45" s="711">
        <v>50</v>
      </c>
      <c r="M45" s="708">
        <v>39</v>
      </c>
      <c r="N45" s="708">
        <v>39</v>
      </c>
      <c r="O45" s="708">
        <v>39</v>
      </c>
      <c r="P45" s="924">
        <v>39</v>
      </c>
      <c r="Q45" s="924">
        <v>39</v>
      </c>
      <c r="R45" s="924">
        <v>39</v>
      </c>
      <c r="S45" s="924">
        <v>39</v>
      </c>
      <c r="T45" s="246" t="str">
        <f>IF(V45&gt;0,V45,IFERROR(IF(AND(W45&lt;&gt;"",X45&lt;&gt;""),AH45/W45,Y45),""))</f>
        <v/>
      </c>
      <c r="U45" s="298" t="str">
        <f>IFERROR((T45*W45)/(W45+X45),"")</f>
        <v/>
      </c>
      <c r="V45" s="734"/>
      <c r="W45" s="1100"/>
      <c r="X45" s="264"/>
      <c r="Y45" s="113" t="str">
        <f t="shared" si="31"/>
        <v/>
      </c>
      <c r="Z45" s="223">
        <f>IF(X45&gt;W45,-1,IF(W45=0,0,IF(U45&lt;(H45/0.75),-1,IF(W45&lt;=3,0,0.0001))))</f>
        <v>0</v>
      </c>
      <c r="AA45" s="307">
        <f>IFERROR(L45*W45,0)</f>
        <v>0</v>
      </c>
      <c r="AB45" s="307">
        <f t="shared" si="32"/>
        <v>0</v>
      </c>
      <c r="AC45" s="307">
        <f t="shared" si="33"/>
        <v>0</v>
      </c>
      <c r="AD45" s="307">
        <f>IFERROR(X45*T45,0)</f>
        <v>0</v>
      </c>
      <c r="AE45" s="307">
        <f>IFERROR(W45*H45,0)</f>
        <v>0</v>
      </c>
      <c r="AF45" s="307">
        <f>IFERROR(1-(AE45/AB45),0)</f>
        <v>0</v>
      </c>
      <c r="AG45" s="308">
        <f>IFERROR(SUM(W45:X45)*I45,0)</f>
        <v>0</v>
      </c>
      <c r="AH45" s="307">
        <f>IFERROR(IF(V45&gt;0,V45*W45,(Y45*W45)),0)</f>
        <v>0</v>
      </c>
      <c r="AI45" s="307">
        <f>IFERROR(SUM(W45)*H45,0)</f>
        <v>0</v>
      </c>
      <c r="AJ45" s="307">
        <f>AH45*$AJ$25</f>
        <v>0</v>
      </c>
      <c r="AK45" s="307">
        <f>AH45*AK$25</f>
        <v>0</v>
      </c>
      <c r="AL45" s="307">
        <f>AH45*AL$25</f>
        <v>0</v>
      </c>
      <c r="AM45" s="307">
        <f>SUM(AJ45:AL45)</f>
        <v>0</v>
      </c>
      <c r="AN45" s="307">
        <f>AH45-AM45</f>
        <v>0</v>
      </c>
      <c r="AO45" s="307">
        <f>AN45-AI45</f>
        <v>0</v>
      </c>
      <c r="AP45" s="309">
        <f>IFERROR(IF(V45&lt;&gt;"",1-(H45/V45),IF(Y45&lt;&gt;"",1-(H45/Y45),1-(H45/L45))),0)</f>
        <v>5.4400000000000004E-2</v>
      </c>
      <c r="AQ45" s="310">
        <f>H45/0.75</f>
        <v>63.04</v>
      </c>
      <c r="AR45" s="544">
        <v>6</v>
      </c>
      <c r="AS45" s="725">
        <f t="shared" si="34"/>
        <v>5.44</v>
      </c>
      <c r="AT45" s="309">
        <f>IFERROR(1-(AI45/AH45),0)</f>
        <v>0</v>
      </c>
      <c r="AU45" s="726">
        <f>IFERROR(AO45/AH45,0)</f>
        <v>0</v>
      </c>
      <c r="AV45" s="311"/>
      <c r="AW45" s="309" t="e">
        <f>VLOOKUP(AX45,Sup!#REF!,8,0)</f>
        <v>#REF!</v>
      </c>
      <c r="AX45" s="985" t="s">
        <v>198</v>
      </c>
      <c r="AY45" s="556">
        <v>0</v>
      </c>
      <c r="AZ45" s="35"/>
      <c r="BA45" s="35"/>
      <c r="BB45" s="35"/>
      <c r="BC45" s="35">
        <f>IF(BE45&lt;0,BE45,0)</f>
        <v>0</v>
      </c>
      <c r="BD45" s="35" t="str">
        <f t="shared" si="35"/>
        <v/>
      </c>
      <c r="BE45" s="45">
        <f>IF(V45="",0,(V45*W45)-(BD45*W45))</f>
        <v>0</v>
      </c>
      <c r="BF45" s="971"/>
      <c r="BG45" s="236"/>
      <c r="BH45" s="12"/>
      <c r="BI45" s="12"/>
      <c r="BJ45" s="12"/>
      <c r="BK45" s="12"/>
      <c r="BL45" s="12"/>
      <c r="BM45" s="980" t="e">
        <f t="shared" si="26"/>
        <v>#REF!</v>
      </c>
      <c r="BN45" s="367"/>
      <c r="BO45" s="981"/>
      <c r="BP45" s="12"/>
      <c r="BQ45" s="12"/>
      <c r="BR45" s="12"/>
      <c r="BS45" s="973"/>
      <c r="BT45" s="12"/>
      <c r="BU45" s="12"/>
      <c r="BV45" s="12"/>
      <c r="BW45" s="982" t="s">
        <v>506</v>
      </c>
      <c r="BX45" s="983">
        <f>IFERROR(W45*U45,0)</f>
        <v>0</v>
      </c>
      <c r="BY45" s="12" t="e">
        <f>VLOOKUP(B45,#REF!,13,0)</f>
        <v>#REF!</v>
      </c>
      <c r="BZ45" s="1048">
        <v>99</v>
      </c>
      <c r="CA45" s="1181" t="e">
        <f>VLOOKUP(B45,Pedido!$B$16:$L$292,22,0)</f>
        <v>#N/A</v>
      </c>
      <c r="CD45" s="578">
        <f t="shared" si="27"/>
        <v>144</v>
      </c>
      <c r="CE45" s="578">
        <f>CD45/12</f>
        <v>12</v>
      </c>
      <c r="CF45" s="578" t="str">
        <f>CONCATENATE(CD45,CE45)</f>
        <v>14412</v>
      </c>
      <c r="CG45" s="576" t="s">
        <v>547</v>
      </c>
    </row>
    <row r="46" spans="1:85" ht="33.75" customHeight="1">
      <c r="A46" s="524"/>
      <c r="B46" s="714">
        <v>520155023</v>
      </c>
      <c r="C46" s="700" t="s">
        <v>680</v>
      </c>
      <c r="D46" s="701" t="s">
        <v>684</v>
      </c>
      <c r="E46" s="702" t="s">
        <v>126</v>
      </c>
      <c r="F46" s="703" t="s">
        <v>61</v>
      </c>
      <c r="G46" s="712" t="s">
        <v>681</v>
      </c>
      <c r="H46" s="1147">
        <v>47.28</v>
      </c>
      <c r="I46" s="705">
        <v>69</v>
      </c>
      <c r="J46" s="706" t="str">
        <f t="shared" si="36"/>
        <v/>
      </c>
      <c r="K46" s="707" t="str">
        <f t="shared" si="37"/>
        <v/>
      </c>
      <c r="L46" s="708">
        <v>50</v>
      </c>
      <c r="M46" s="708">
        <v>39</v>
      </c>
      <c r="N46" s="708">
        <v>39</v>
      </c>
      <c r="O46" s="708">
        <v>39</v>
      </c>
      <c r="P46" s="924">
        <v>39</v>
      </c>
      <c r="Q46" s="924">
        <v>39</v>
      </c>
      <c r="R46" s="924">
        <v>39</v>
      </c>
      <c r="S46" s="924">
        <v>39</v>
      </c>
      <c r="T46" s="246" t="str">
        <f>IF(V46&gt;0,V46,IFERROR(IF(AND(W46&lt;&gt;"",X46&lt;&gt;""),AH46/W46,Y46),""))</f>
        <v/>
      </c>
      <c r="U46" s="298" t="str">
        <f>IFERROR((T46*W46)/(W46+X46),"")</f>
        <v/>
      </c>
      <c r="V46" s="734"/>
      <c r="W46" s="1100"/>
      <c r="X46" s="264"/>
      <c r="Y46" s="113" t="str">
        <f t="shared" si="31"/>
        <v/>
      </c>
      <c r="Z46" s="223">
        <f>IF(X46&gt;W46,-1,IF(W46=0,0,IF(U46&lt;(H46/0.75),-1,IF(W46&lt;=3,0,0.0001))))</f>
        <v>0</v>
      </c>
      <c r="AA46" s="307">
        <f>IFERROR(L46*W46,0)</f>
        <v>0</v>
      </c>
      <c r="AB46" s="307">
        <f t="shared" si="32"/>
        <v>0</v>
      </c>
      <c r="AC46" s="307">
        <f t="shared" si="33"/>
        <v>0</v>
      </c>
      <c r="AD46" s="307">
        <f>IFERROR(X46*T46,0)</f>
        <v>0</v>
      </c>
      <c r="AE46" s="307">
        <f>IFERROR(W46*H46,0)</f>
        <v>0</v>
      </c>
      <c r="AF46" s="307">
        <f>IFERROR(1-(AE46/AB46),0)</f>
        <v>0</v>
      </c>
      <c r="AG46" s="308">
        <f>IFERROR(SUM(W46:X46)*I46,0)</f>
        <v>0</v>
      </c>
      <c r="AH46" s="307">
        <f>IFERROR(IF(V46&gt;0,V46*W46,(Y46*W46)),0)</f>
        <v>0</v>
      </c>
      <c r="AI46" s="307">
        <f>IFERROR(SUM(W46)*H46,0)</f>
        <v>0</v>
      </c>
      <c r="AJ46" s="307">
        <f>AH46*$AJ$25</f>
        <v>0</v>
      </c>
      <c r="AK46" s="307">
        <f>AH46*AK$25</f>
        <v>0</v>
      </c>
      <c r="AL46" s="307">
        <f>AH46*AL$25</f>
        <v>0</v>
      </c>
      <c r="AM46" s="307">
        <f>SUM(AJ46:AL46)</f>
        <v>0</v>
      </c>
      <c r="AN46" s="307">
        <f>AH46-AM46</f>
        <v>0</v>
      </c>
      <c r="AO46" s="307">
        <f>AN46-AI46</f>
        <v>0</v>
      </c>
      <c r="AP46" s="309">
        <f>IFERROR(IF(V46&lt;&gt;"",1-(H46/V46),IF(Y46&lt;&gt;"",1-(H46/Y46),1-(H46/L46))),0)</f>
        <v>5.4400000000000004E-2</v>
      </c>
      <c r="AQ46" s="310">
        <f>H46/0.75</f>
        <v>63.04</v>
      </c>
      <c r="AR46" s="544">
        <v>6</v>
      </c>
      <c r="AS46" s="725">
        <f t="shared" si="34"/>
        <v>5.44</v>
      </c>
      <c r="AT46" s="309">
        <f>IFERROR(1-(AI46/AH46),0)</f>
        <v>0</v>
      </c>
      <c r="AU46" s="726">
        <f>IFERROR(AO46/AH46,0)</f>
        <v>0</v>
      </c>
      <c r="AV46" s="311"/>
      <c r="AW46" s="309" t="e">
        <f>VLOOKUP(AX46,Sup!#REF!,8,0)</f>
        <v>#REF!</v>
      </c>
      <c r="AX46" s="985" t="s">
        <v>198</v>
      </c>
      <c r="AY46" s="556">
        <v>0</v>
      </c>
      <c r="AZ46" s="35"/>
      <c r="BA46" s="35"/>
      <c r="BB46" s="35"/>
      <c r="BC46" s="35">
        <f>IF(BE46&lt;0,BE46,0)</f>
        <v>0</v>
      </c>
      <c r="BD46" s="35" t="str">
        <f t="shared" si="35"/>
        <v/>
      </c>
      <c r="BE46" s="45">
        <f>IF(V46="",0,(V46*W46)-(BD46*W46))</f>
        <v>0</v>
      </c>
      <c r="BF46" s="971"/>
      <c r="BG46" s="236"/>
      <c r="BH46" s="12"/>
      <c r="BI46" s="12"/>
      <c r="BJ46" s="12"/>
      <c r="BK46" s="12"/>
      <c r="BL46" s="12"/>
      <c r="BM46" s="980" t="e">
        <f t="shared" si="26"/>
        <v>#REF!</v>
      </c>
      <c r="BN46" s="367"/>
      <c r="BO46" s="981"/>
      <c r="BP46" s="12"/>
      <c r="BQ46" s="12"/>
      <c r="BR46" s="12"/>
      <c r="BS46" s="973"/>
      <c r="BT46" s="12"/>
      <c r="BU46" s="12"/>
      <c r="BV46" s="12"/>
      <c r="BW46" s="982" t="s">
        <v>506</v>
      </c>
      <c r="BX46" s="983">
        <f>IFERROR(W46*U46,0)</f>
        <v>0</v>
      </c>
      <c r="BY46" s="12" t="e">
        <f>VLOOKUP(B46,#REF!,13,0)</f>
        <v>#REF!</v>
      </c>
      <c r="BZ46" s="1048">
        <v>99</v>
      </c>
      <c r="CA46" s="1181" t="e">
        <f>VLOOKUP(B46,Pedido!$B$16:$L$292,22,0)</f>
        <v>#N/A</v>
      </c>
      <c r="CD46" s="578">
        <f t="shared" si="27"/>
        <v>156</v>
      </c>
      <c r="CE46" s="578">
        <f>CD46/12</f>
        <v>13</v>
      </c>
      <c r="CF46" s="578" t="str">
        <f>CONCATENATE(CD46,CE46)</f>
        <v>15613</v>
      </c>
      <c r="CG46" s="576" t="s">
        <v>547</v>
      </c>
    </row>
    <row r="47" spans="1:85" ht="33.75" customHeight="1" thickBot="1">
      <c r="A47" s="524"/>
      <c r="B47" s="821">
        <v>521355083</v>
      </c>
      <c r="C47" s="785" t="s">
        <v>680</v>
      </c>
      <c r="D47" s="786" t="s">
        <v>683</v>
      </c>
      <c r="E47" s="787" t="s">
        <v>595</v>
      </c>
      <c r="F47" s="788" t="s">
        <v>61</v>
      </c>
      <c r="G47" s="815" t="s">
        <v>681</v>
      </c>
      <c r="H47" s="1147">
        <v>47.28</v>
      </c>
      <c r="I47" s="816">
        <v>99</v>
      </c>
      <c r="J47" s="817" t="str">
        <f t="shared" si="36"/>
        <v/>
      </c>
      <c r="K47" s="818" t="str">
        <f t="shared" si="37"/>
        <v/>
      </c>
      <c r="L47" s="819">
        <v>76</v>
      </c>
      <c r="M47" s="819">
        <v>59</v>
      </c>
      <c r="N47" s="819">
        <v>59</v>
      </c>
      <c r="O47" s="819">
        <v>59</v>
      </c>
      <c r="P47" s="925">
        <v>59</v>
      </c>
      <c r="Q47" s="925">
        <v>59</v>
      </c>
      <c r="R47" s="925">
        <v>59</v>
      </c>
      <c r="S47" s="925">
        <v>59</v>
      </c>
      <c r="T47" s="246" t="str">
        <f>IF(V47&gt;0,V47,IFERROR(IF(AND(W47&lt;&gt;"",X47&lt;&gt;""),AH47/W47,Y47),""))</f>
        <v/>
      </c>
      <c r="U47" s="298" t="str">
        <f>IFERROR((T47*W47)/(W47+X47),"")</f>
        <v/>
      </c>
      <c r="V47" s="734"/>
      <c r="W47" s="1100"/>
      <c r="X47" s="264"/>
      <c r="Y47" s="113" t="str">
        <f t="shared" si="31"/>
        <v/>
      </c>
      <c r="Z47" s="223">
        <f>IF(X47&gt;W47,-1,IF(W47=0,0,IF(U47&lt;(H47/0.75),-1,IF(W47&lt;=3,0,0.0001))))</f>
        <v>0</v>
      </c>
      <c r="AA47" s="307">
        <f>IFERROR(L47*W47,0)</f>
        <v>0</v>
      </c>
      <c r="AB47" s="307">
        <f t="shared" si="32"/>
        <v>0</v>
      </c>
      <c r="AC47" s="307">
        <f t="shared" si="33"/>
        <v>0</v>
      </c>
      <c r="AD47" s="307">
        <f>IFERROR(X47*T47,0)</f>
        <v>0</v>
      </c>
      <c r="AE47" s="307">
        <f>IFERROR(W47*H47,0)</f>
        <v>0</v>
      </c>
      <c r="AF47" s="307">
        <f>IFERROR(1-(AE47/AB47),0)</f>
        <v>0</v>
      </c>
      <c r="AG47" s="308">
        <f>IFERROR(SUM(W47:X47)*I47,0)</f>
        <v>0</v>
      </c>
      <c r="AH47" s="307">
        <f>IFERROR(IF(V47&gt;0,V47*W47,(Y47*W47)),0)</f>
        <v>0</v>
      </c>
      <c r="AI47" s="307">
        <f>IFERROR(SUM(W47)*H47,0)</f>
        <v>0</v>
      </c>
      <c r="AJ47" s="307">
        <f>AH47*$AJ$25</f>
        <v>0</v>
      </c>
      <c r="AK47" s="307">
        <f>AH47*AK$25</f>
        <v>0</v>
      </c>
      <c r="AL47" s="307">
        <f>AH47*AL$25</f>
        <v>0</v>
      </c>
      <c r="AM47" s="307">
        <f>SUM(AJ47:AL47)</f>
        <v>0</v>
      </c>
      <c r="AN47" s="307">
        <f>AH47-AM47</f>
        <v>0</v>
      </c>
      <c r="AO47" s="307">
        <f>AN47-AI47</f>
        <v>0</v>
      </c>
      <c r="AP47" s="309">
        <f>IFERROR(IF(V47&lt;&gt;"",1-(H47/V47),IF(Y47&lt;&gt;"",1-(H47/Y47),1-(H47/L47))),0)</f>
        <v>0.37789473684210528</v>
      </c>
      <c r="AQ47" s="310">
        <f>H47/0.75</f>
        <v>63.04</v>
      </c>
      <c r="AR47" s="544">
        <v>6</v>
      </c>
      <c r="AS47" s="725">
        <f t="shared" si="34"/>
        <v>37.789473684210527</v>
      </c>
      <c r="AT47" s="309">
        <f>IFERROR(1-(AI47/AH47),0)</f>
        <v>0</v>
      </c>
      <c r="AU47" s="726">
        <f>IFERROR(AO47/AH47,0)</f>
        <v>0</v>
      </c>
      <c r="AV47" s="311"/>
      <c r="AW47" s="309" t="e">
        <f>VLOOKUP(AX47,Sup!#REF!,8,0)</f>
        <v>#REF!</v>
      </c>
      <c r="AX47" s="985" t="s">
        <v>198</v>
      </c>
      <c r="AY47" s="556">
        <v>0</v>
      </c>
      <c r="AZ47" s="35"/>
      <c r="BA47" s="35"/>
      <c r="BB47" s="35"/>
      <c r="BC47" s="35">
        <f>IF(BE47&lt;0,BE47,0)</f>
        <v>0</v>
      </c>
      <c r="BD47" s="35" t="str">
        <f t="shared" si="35"/>
        <v/>
      </c>
      <c r="BE47" s="45">
        <f>IF(V47="",0,(V47*W47)-(BD47*W47))</f>
        <v>0</v>
      </c>
      <c r="BF47" s="971"/>
      <c r="BG47" s="236"/>
      <c r="BH47" s="12"/>
      <c r="BI47" s="12"/>
      <c r="BJ47" s="12"/>
      <c r="BK47" s="12"/>
      <c r="BL47" s="12"/>
      <c r="BM47" s="980" t="e">
        <f t="shared" si="26"/>
        <v>#REF!</v>
      </c>
      <c r="BN47" s="367"/>
      <c r="BO47" s="981"/>
      <c r="BP47" s="12"/>
      <c r="BQ47" s="12"/>
      <c r="BR47" s="12"/>
      <c r="BS47" s="973"/>
      <c r="BT47" s="12"/>
      <c r="BU47" s="12"/>
      <c r="BV47" s="12"/>
      <c r="BW47" s="982" t="s">
        <v>506</v>
      </c>
      <c r="BX47" s="983">
        <f>IFERROR(W47*U47,0)</f>
        <v>0</v>
      </c>
      <c r="BY47" s="12" t="e">
        <f>VLOOKUP(B47,#REF!,13,0)</f>
        <v>#REF!</v>
      </c>
      <c r="BZ47" s="1048">
        <v>99</v>
      </c>
      <c r="CA47" s="1181" t="e">
        <f>VLOOKUP(B47,Pedido!$B$16:$L$292,22,0)</f>
        <v>#N/A</v>
      </c>
      <c r="CD47" s="578">
        <f t="shared" si="27"/>
        <v>168</v>
      </c>
      <c r="CE47" s="578">
        <f>CD47/12</f>
        <v>14</v>
      </c>
      <c r="CF47" s="578" t="str">
        <f>CONCATENATE(CD47,CE47)</f>
        <v>16814</v>
      </c>
      <c r="CG47" s="576" t="s">
        <v>547</v>
      </c>
    </row>
    <row r="48" spans="1:85" ht="33.75" customHeight="1">
      <c r="A48" s="946"/>
      <c r="B48" s="820">
        <v>9962476207</v>
      </c>
      <c r="C48" s="770" t="s">
        <v>474</v>
      </c>
      <c r="D48" s="771" t="s">
        <v>474</v>
      </c>
      <c r="E48" s="772" t="s">
        <v>470</v>
      </c>
      <c r="F48" s="773" t="s">
        <v>61</v>
      </c>
      <c r="G48" s="813" t="s">
        <v>284</v>
      </c>
      <c r="H48" s="1146">
        <v>34.85</v>
      </c>
      <c r="I48" s="775">
        <v>179.39999999999998</v>
      </c>
      <c r="J48" s="776" t="str">
        <f>IFERROR(IF(T48&lt;&gt;"",I48/T48,IF(AND(Y48="",V48=""),"",IF(V48="",I48/Y48,I48/V48))),"")</f>
        <v/>
      </c>
      <c r="K48" s="777" t="str">
        <f t="shared" ref="K48:K60" si="38">IF(Y48="","",IFERROR(1-(Y48/I48),0))</f>
        <v/>
      </c>
      <c r="L48" s="768">
        <v>118.80000000000001</v>
      </c>
      <c r="M48" s="768">
        <f t="shared" si="23"/>
        <v>92.9</v>
      </c>
      <c r="N48" s="768">
        <f t="shared" si="24"/>
        <v>92.9</v>
      </c>
      <c r="O48" s="768">
        <f t="shared" si="25"/>
        <v>92.9</v>
      </c>
      <c r="P48" s="923">
        <v>92.9</v>
      </c>
      <c r="Q48" s="923">
        <v>92.9</v>
      </c>
      <c r="R48" s="923">
        <v>92.9</v>
      </c>
      <c r="S48" s="923">
        <v>92.9</v>
      </c>
      <c r="T48" s="736" t="str">
        <f t="shared" si="0"/>
        <v/>
      </c>
      <c r="U48" s="737" t="str">
        <f t="shared" si="1"/>
        <v/>
      </c>
      <c r="V48" s="780"/>
      <c r="W48" s="1099"/>
      <c r="X48" s="781"/>
      <c r="Y48" s="782" t="str">
        <f t="shared" si="31"/>
        <v/>
      </c>
      <c r="Z48" s="783">
        <f t="shared" si="2"/>
        <v>0</v>
      </c>
      <c r="AA48" s="738">
        <f t="shared" si="3"/>
        <v>0</v>
      </c>
      <c r="AB48" s="738">
        <f t="shared" si="32"/>
        <v>0</v>
      </c>
      <c r="AC48" s="738">
        <f t="shared" si="33"/>
        <v>0</v>
      </c>
      <c r="AD48" s="738">
        <f t="shared" si="4"/>
        <v>0</v>
      </c>
      <c r="AE48" s="738">
        <f t="shared" si="5"/>
        <v>0</v>
      </c>
      <c r="AF48" s="738">
        <f t="shared" si="6"/>
        <v>0</v>
      </c>
      <c r="AG48" s="739">
        <f t="shared" si="7"/>
        <v>0</v>
      </c>
      <c r="AH48" s="738">
        <f t="shared" si="8"/>
        <v>0</v>
      </c>
      <c r="AI48" s="738">
        <f t="shared" si="9"/>
        <v>0</v>
      </c>
      <c r="AJ48" s="738">
        <f t="shared" si="10"/>
        <v>0</v>
      </c>
      <c r="AK48" s="738">
        <f t="shared" si="11"/>
        <v>0</v>
      </c>
      <c r="AL48" s="738">
        <f t="shared" si="12"/>
        <v>0</v>
      </c>
      <c r="AM48" s="738">
        <f t="shared" si="13"/>
        <v>0</v>
      </c>
      <c r="AN48" s="738">
        <f t="shared" si="14"/>
        <v>0</v>
      </c>
      <c r="AO48" s="738">
        <f t="shared" si="15"/>
        <v>0</v>
      </c>
      <c r="AP48" s="740">
        <f t="shared" si="16"/>
        <v>0.70664983164983164</v>
      </c>
      <c r="AQ48" s="741">
        <f t="shared" si="17"/>
        <v>46.466666666666669</v>
      </c>
      <c r="AR48" s="742">
        <v>6</v>
      </c>
      <c r="AS48" s="743">
        <f t="shared" si="34"/>
        <v>70.66498316498317</v>
      </c>
      <c r="AT48" s="740">
        <f t="shared" si="18"/>
        <v>0</v>
      </c>
      <c r="AU48" s="744">
        <f t="shared" si="19"/>
        <v>0</v>
      </c>
      <c r="AV48" s="745"/>
      <c r="AW48" s="740" t="e">
        <f>VLOOKUP(AX48,Sup!#REF!,8,0)</f>
        <v>#REF!</v>
      </c>
      <c r="AX48" s="979" t="s">
        <v>198</v>
      </c>
      <c r="AY48" s="556">
        <v>0</v>
      </c>
      <c r="AZ48" s="35"/>
      <c r="BA48" s="35"/>
      <c r="BB48" s="35"/>
      <c r="BC48" s="35">
        <f t="shared" si="20"/>
        <v>0</v>
      </c>
      <c r="BD48" s="35" t="str">
        <f t="shared" si="35"/>
        <v/>
      </c>
      <c r="BE48" s="45">
        <f t="shared" si="21"/>
        <v>0</v>
      </c>
      <c r="BF48" s="971"/>
      <c r="BG48" s="236"/>
      <c r="BH48" s="12"/>
      <c r="BI48" s="12"/>
      <c r="BJ48" s="12"/>
      <c r="BK48" s="12"/>
      <c r="BL48" s="12"/>
      <c r="BM48" s="980" t="e">
        <f>BM42+24</f>
        <v>#REF!</v>
      </c>
      <c r="BN48" s="367"/>
      <c r="BO48" s="981"/>
      <c r="BP48" s="12"/>
      <c r="BQ48" s="12"/>
      <c r="BR48" s="12"/>
      <c r="BS48" s="973"/>
      <c r="BT48" s="12"/>
      <c r="BU48" s="12"/>
      <c r="BV48" s="12"/>
      <c r="BW48" s="982" t="s">
        <v>506</v>
      </c>
      <c r="BX48" s="983">
        <f t="shared" si="22"/>
        <v>0</v>
      </c>
      <c r="BY48" s="12" t="e">
        <f>VLOOKUP(B48,#REF!,13,0)</f>
        <v>#REF!</v>
      </c>
      <c r="BZ48" s="1047">
        <v>99</v>
      </c>
      <c r="CA48" s="1181" t="e">
        <f>VLOOKUP(B48,Pedido!$B$16:$L$292,22,0)</f>
        <v>#N/A</v>
      </c>
      <c r="CD48" s="578">
        <f>CD42+12</f>
        <v>120</v>
      </c>
      <c r="CE48" s="578">
        <f t="shared" si="29"/>
        <v>10</v>
      </c>
      <c r="CF48" s="578" t="str">
        <f t="shared" si="28"/>
        <v>12010</v>
      </c>
      <c r="CG48" s="576" t="s">
        <v>547</v>
      </c>
    </row>
    <row r="49" spans="1:85" ht="33.75" customHeight="1">
      <c r="A49" s="524"/>
      <c r="B49" s="709">
        <v>15838521205</v>
      </c>
      <c r="C49" s="710" t="s">
        <v>474</v>
      </c>
      <c r="D49" s="701" t="s">
        <v>474</v>
      </c>
      <c r="E49" s="702" t="s">
        <v>475</v>
      </c>
      <c r="F49" s="703" t="s">
        <v>61</v>
      </c>
      <c r="G49" s="712" t="s">
        <v>284</v>
      </c>
      <c r="H49" s="1147">
        <v>47.28</v>
      </c>
      <c r="I49" s="705">
        <v>179.39999999999998</v>
      </c>
      <c r="J49" s="706" t="str">
        <f t="shared" si="30"/>
        <v/>
      </c>
      <c r="K49" s="707" t="str">
        <f t="shared" si="38"/>
        <v/>
      </c>
      <c r="L49" s="708">
        <v>118.80000000000001</v>
      </c>
      <c r="M49" s="708">
        <f t="shared" si="23"/>
        <v>92.9</v>
      </c>
      <c r="N49" s="708">
        <f t="shared" si="24"/>
        <v>92.9</v>
      </c>
      <c r="O49" s="708">
        <f t="shared" si="25"/>
        <v>92.9</v>
      </c>
      <c r="P49" s="924">
        <v>92.9</v>
      </c>
      <c r="Q49" s="924">
        <v>92.9</v>
      </c>
      <c r="R49" s="924">
        <v>92.9</v>
      </c>
      <c r="S49" s="924">
        <v>92.9</v>
      </c>
      <c r="T49" s="246" t="str">
        <f t="shared" si="0"/>
        <v/>
      </c>
      <c r="U49" s="298" t="str">
        <f t="shared" si="1"/>
        <v/>
      </c>
      <c r="V49" s="734"/>
      <c r="W49" s="1100"/>
      <c r="X49" s="264"/>
      <c r="Y49" s="113" t="str">
        <f t="shared" si="31"/>
        <v/>
      </c>
      <c r="Z49" s="223">
        <f t="shared" si="2"/>
        <v>0</v>
      </c>
      <c r="AA49" s="307">
        <f t="shared" si="3"/>
        <v>0</v>
      </c>
      <c r="AB49" s="307">
        <f t="shared" si="32"/>
        <v>0</v>
      </c>
      <c r="AC49" s="307">
        <f t="shared" si="33"/>
        <v>0</v>
      </c>
      <c r="AD49" s="307">
        <f t="shared" si="4"/>
        <v>0</v>
      </c>
      <c r="AE49" s="307">
        <f t="shared" si="5"/>
        <v>0</v>
      </c>
      <c r="AF49" s="307">
        <f t="shared" si="6"/>
        <v>0</v>
      </c>
      <c r="AG49" s="308">
        <f t="shared" si="7"/>
        <v>0</v>
      </c>
      <c r="AH49" s="307">
        <f t="shared" si="8"/>
        <v>0</v>
      </c>
      <c r="AI49" s="307">
        <f t="shared" si="9"/>
        <v>0</v>
      </c>
      <c r="AJ49" s="307">
        <f t="shared" si="10"/>
        <v>0</v>
      </c>
      <c r="AK49" s="307">
        <f t="shared" si="11"/>
        <v>0</v>
      </c>
      <c r="AL49" s="307">
        <f t="shared" si="12"/>
        <v>0</v>
      </c>
      <c r="AM49" s="307">
        <f t="shared" si="13"/>
        <v>0</v>
      </c>
      <c r="AN49" s="307">
        <f t="shared" si="14"/>
        <v>0</v>
      </c>
      <c r="AO49" s="307">
        <f t="shared" si="15"/>
        <v>0</v>
      </c>
      <c r="AP49" s="309">
        <f t="shared" si="16"/>
        <v>0.60202020202020212</v>
      </c>
      <c r="AQ49" s="310">
        <f t="shared" si="17"/>
        <v>63.04</v>
      </c>
      <c r="AR49" s="544">
        <v>6</v>
      </c>
      <c r="AS49" s="725">
        <f t="shared" si="34"/>
        <v>60.202020202020215</v>
      </c>
      <c r="AT49" s="309">
        <f t="shared" si="18"/>
        <v>0</v>
      </c>
      <c r="AU49" s="726">
        <f t="shared" si="19"/>
        <v>0</v>
      </c>
      <c r="AV49" s="311"/>
      <c r="AW49" s="309" t="e">
        <f>VLOOKUP(AX49,Sup!#REF!,8,0)</f>
        <v>#REF!</v>
      </c>
      <c r="AX49" s="985" t="s">
        <v>198</v>
      </c>
      <c r="AY49" s="556">
        <v>0</v>
      </c>
      <c r="AZ49" s="35"/>
      <c r="BA49" s="35"/>
      <c r="BB49" s="35"/>
      <c r="BC49" s="35">
        <f t="shared" si="20"/>
        <v>0</v>
      </c>
      <c r="BD49" s="35" t="str">
        <f t="shared" si="35"/>
        <v/>
      </c>
      <c r="BE49" s="45">
        <f t="shared" si="21"/>
        <v>0</v>
      </c>
      <c r="BF49" s="971"/>
      <c r="BG49" s="236"/>
      <c r="BH49" s="12"/>
      <c r="BI49" s="12"/>
      <c r="BJ49" s="12"/>
      <c r="BK49" s="12"/>
      <c r="BL49" s="12"/>
      <c r="BM49" s="980" t="e">
        <f t="shared" si="26"/>
        <v>#REF!</v>
      </c>
      <c r="BN49" s="367"/>
      <c r="BO49" s="981"/>
      <c r="BP49" s="12"/>
      <c r="BQ49" s="12"/>
      <c r="BR49" s="12"/>
      <c r="BS49" s="973"/>
      <c r="BT49" s="12"/>
      <c r="BU49" s="12"/>
      <c r="BV49" s="12"/>
      <c r="BW49" s="982" t="s">
        <v>506</v>
      </c>
      <c r="BX49" s="983">
        <f t="shared" si="22"/>
        <v>0</v>
      </c>
      <c r="BY49" s="12" t="e">
        <f>VLOOKUP(B49,#REF!,13,0)</f>
        <v>#REF!</v>
      </c>
      <c r="BZ49" s="1048">
        <v>99</v>
      </c>
      <c r="CA49" s="1181" t="e">
        <f>VLOOKUP(B49,Pedido!$B$16:$L$292,22,0)</f>
        <v>#N/A</v>
      </c>
      <c r="CD49" s="578">
        <f t="shared" si="27"/>
        <v>132</v>
      </c>
      <c r="CE49" s="578">
        <f t="shared" si="29"/>
        <v>11</v>
      </c>
      <c r="CF49" s="578" t="str">
        <f t="shared" si="28"/>
        <v>13211</v>
      </c>
      <c r="CG49" s="576" t="s">
        <v>547</v>
      </c>
    </row>
    <row r="50" spans="1:85" ht="33.75" customHeight="1">
      <c r="A50" s="524"/>
      <c r="B50" s="709">
        <v>14653323373</v>
      </c>
      <c r="C50" s="710" t="s">
        <v>474</v>
      </c>
      <c r="D50" s="701" t="s">
        <v>474</v>
      </c>
      <c r="E50" s="702" t="s">
        <v>476</v>
      </c>
      <c r="F50" s="703" t="s">
        <v>61</v>
      </c>
      <c r="G50" s="712" t="s">
        <v>284</v>
      </c>
      <c r="H50" s="1147">
        <v>49.29</v>
      </c>
      <c r="I50" s="705">
        <v>149.39999999999998</v>
      </c>
      <c r="J50" s="706" t="str">
        <f t="shared" si="30"/>
        <v/>
      </c>
      <c r="K50" s="707" t="str">
        <f t="shared" si="38"/>
        <v/>
      </c>
      <c r="L50" s="708">
        <v>93.6</v>
      </c>
      <c r="M50" s="708">
        <f t="shared" si="23"/>
        <v>74.900000000000006</v>
      </c>
      <c r="N50" s="708">
        <f t="shared" si="24"/>
        <v>74.900000000000006</v>
      </c>
      <c r="O50" s="708">
        <f t="shared" si="25"/>
        <v>74.900000000000006</v>
      </c>
      <c r="P50" s="924">
        <v>74.900000000000006</v>
      </c>
      <c r="Q50" s="924">
        <v>74.900000000000006</v>
      </c>
      <c r="R50" s="924">
        <v>74.900000000000006</v>
      </c>
      <c r="S50" s="924">
        <v>74.900000000000006</v>
      </c>
      <c r="T50" s="274" t="str">
        <f t="shared" si="0"/>
        <v/>
      </c>
      <c r="U50" s="152" t="str">
        <f t="shared" si="1"/>
        <v/>
      </c>
      <c r="V50" s="695"/>
      <c r="W50" s="696"/>
      <c r="X50" s="171"/>
      <c r="Y50" s="103" t="str">
        <f t="shared" si="31"/>
        <v/>
      </c>
      <c r="Z50" s="225">
        <f t="shared" si="2"/>
        <v>0</v>
      </c>
      <c r="AA50" s="275">
        <f t="shared" si="3"/>
        <v>0</v>
      </c>
      <c r="AB50" s="275">
        <f t="shared" si="32"/>
        <v>0</v>
      </c>
      <c r="AC50" s="275">
        <f t="shared" si="33"/>
        <v>0</v>
      </c>
      <c r="AD50" s="275">
        <f t="shared" si="4"/>
        <v>0</v>
      </c>
      <c r="AE50" s="275">
        <f t="shared" si="5"/>
        <v>0</v>
      </c>
      <c r="AF50" s="275">
        <f t="shared" si="6"/>
        <v>0</v>
      </c>
      <c r="AG50" s="290">
        <f t="shared" si="7"/>
        <v>0</v>
      </c>
      <c r="AH50" s="275">
        <f t="shared" si="8"/>
        <v>0</v>
      </c>
      <c r="AI50" s="275">
        <f t="shared" si="9"/>
        <v>0</v>
      </c>
      <c r="AJ50" s="275">
        <f t="shared" si="10"/>
        <v>0</v>
      </c>
      <c r="AK50" s="275">
        <f t="shared" si="11"/>
        <v>0</v>
      </c>
      <c r="AL50" s="275">
        <f t="shared" si="12"/>
        <v>0</v>
      </c>
      <c r="AM50" s="275">
        <f t="shared" si="13"/>
        <v>0</v>
      </c>
      <c r="AN50" s="275">
        <f t="shared" si="14"/>
        <v>0</v>
      </c>
      <c r="AO50" s="275">
        <f t="shared" si="15"/>
        <v>0</v>
      </c>
      <c r="AP50" s="276">
        <f t="shared" si="16"/>
        <v>0.47339743589743588</v>
      </c>
      <c r="AQ50" s="291">
        <f t="shared" si="17"/>
        <v>65.72</v>
      </c>
      <c r="AR50" s="542">
        <v>6</v>
      </c>
      <c r="AS50" s="727">
        <f t="shared" si="34"/>
        <v>47.339743589743591</v>
      </c>
      <c r="AT50" s="276">
        <f t="shared" si="18"/>
        <v>0</v>
      </c>
      <c r="AU50" s="728">
        <f t="shared" si="19"/>
        <v>0</v>
      </c>
      <c r="AV50" s="277"/>
      <c r="AW50" s="276" t="e">
        <f>VLOOKUP(AX50,Sup!#REF!,8,0)</f>
        <v>#REF!</v>
      </c>
      <c r="AX50" s="988" t="s">
        <v>198</v>
      </c>
      <c r="AY50" s="556">
        <v>0</v>
      </c>
      <c r="AZ50" s="35"/>
      <c r="BA50" s="35"/>
      <c r="BB50" s="35"/>
      <c r="BC50" s="35">
        <f t="shared" si="20"/>
        <v>0</v>
      </c>
      <c r="BD50" s="35" t="str">
        <f t="shared" si="35"/>
        <v/>
      </c>
      <c r="BE50" s="45">
        <f t="shared" si="21"/>
        <v>0</v>
      </c>
      <c r="BF50" s="971"/>
      <c r="BG50" s="236"/>
      <c r="BH50" s="12"/>
      <c r="BI50" s="12"/>
      <c r="BJ50" s="12"/>
      <c r="BK50" s="12"/>
      <c r="BL50" s="12"/>
      <c r="BM50" s="980" t="e">
        <f t="shared" si="26"/>
        <v>#REF!</v>
      </c>
      <c r="BN50" s="367"/>
      <c r="BO50" s="981"/>
      <c r="BP50" s="12"/>
      <c r="BQ50" s="12"/>
      <c r="BR50" s="12"/>
      <c r="BS50" s="973"/>
      <c r="BT50" s="12"/>
      <c r="BU50" s="12"/>
      <c r="BV50" s="12"/>
      <c r="BW50" s="982" t="s">
        <v>506</v>
      </c>
      <c r="BX50" s="983">
        <f t="shared" si="22"/>
        <v>0</v>
      </c>
      <c r="BY50" s="12" t="e">
        <f>VLOOKUP(B50,#REF!,13,0)</f>
        <v>#REF!</v>
      </c>
      <c r="BZ50" s="1048">
        <v>86</v>
      </c>
      <c r="CA50" s="1181" t="e">
        <f>VLOOKUP(B50,Pedido!$B$16:$L$292,22,0)</f>
        <v>#N/A</v>
      </c>
      <c r="CD50" s="578">
        <f t="shared" si="27"/>
        <v>144</v>
      </c>
      <c r="CE50" s="578">
        <f t="shared" si="29"/>
        <v>12</v>
      </c>
      <c r="CF50" s="578" t="str">
        <f t="shared" si="28"/>
        <v>14412</v>
      </c>
      <c r="CG50" s="576" t="s">
        <v>547</v>
      </c>
    </row>
    <row r="51" spans="1:85" ht="33.75" customHeight="1" thickBot="1">
      <c r="A51" s="947"/>
      <c r="B51" s="821">
        <v>9932472754</v>
      </c>
      <c r="C51" s="785" t="s">
        <v>474</v>
      </c>
      <c r="D51" s="786" t="s">
        <v>474</v>
      </c>
      <c r="E51" s="787" t="s">
        <v>465</v>
      </c>
      <c r="F51" s="788" t="s">
        <v>61</v>
      </c>
      <c r="G51" s="815" t="s">
        <v>284</v>
      </c>
      <c r="H51" s="1148">
        <v>41.27</v>
      </c>
      <c r="I51" s="816">
        <v>179.39999999999998</v>
      </c>
      <c r="J51" s="817" t="str">
        <f t="shared" si="30"/>
        <v/>
      </c>
      <c r="K51" s="818" t="str">
        <f t="shared" si="38"/>
        <v/>
      </c>
      <c r="L51" s="793">
        <v>118.80000000000001</v>
      </c>
      <c r="M51" s="819">
        <f t="shared" si="23"/>
        <v>92.9</v>
      </c>
      <c r="N51" s="819">
        <f t="shared" si="24"/>
        <v>92.9</v>
      </c>
      <c r="O51" s="819">
        <f t="shared" si="25"/>
        <v>92.9</v>
      </c>
      <c r="P51" s="925">
        <v>92.9</v>
      </c>
      <c r="Q51" s="925">
        <v>92.9</v>
      </c>
      <c r="R51" s="925">
        <v>92.9</v>
      </c>
      <c r="S51" s="925">
        <v>92.9</v>
      </c>
      <c r="T51" s="746" t="str">
        <f t="shared" si="0"/>
        <v/>
      </c>
      <c r="U51" s="747" t="str">
        <f t="shared" si="1"/>
        <v/>
      </c>
      <c r="V51" s="795"/>
      <c r="W51" s="1101"/>
      <c r="X51" s="796"/>
      <c r="Y51" s="797" t="str">
        <f t="shared" si="31"/>
        <v/>
      </c>
      <c r="Z51" s="798">
        <f t="shared" si="2"/>
        <v>0</v>
      </c>
      <c r="AA51" s="748">
        <f t="shared" si="3"/>
        <v>0</v>
      </c>
      <c r="AB51" s="748">
        <f t="shared" si="32"/>
        <v>0</v>
      </c>
      <c r="AC51" s="748">
        <f t="shared" si="33"/>
        <v>0</v>
      </c>
      <c r="AD51" s="748">
        <f t="shared" si="4"/>
        <v>0</v>
      </c>
      <c r="AE51" s="748">
        <f t="shared" si="5"/>
        <v>0</v>
      </c>
      <c r="AF51" s="748">
        <f t="shared" si="6"/>
        <v>0</v>
      </c>
      <c r="AG51" s="749">
        <f t="shared" si="7"/>
        <v>0</v>
      </c>
      <c r="AH51" s="748">
        <f t="shared" si="8"/>
        <v>0</v>
      </c>
      <c r="AI51" s="748">
        <f t="shared" si="9"/>
        <v>0</v>
      </c>
      <c r="AJ51" s="748">
        <f t="shared" si="10"/>
        <v>0</v>
      </c>
      <c r="AK51" s="748">
        <f t="shared" si="11"/>
        <v>0</v>
      </c>
      <c r="AL51" s="748">
        <f t="shared" si="12"/>
        <v>0</v>
      </c>
      <c r="AM51" s="748">
        <f t="shared" si="13"/>
        <v>0</v>
      </c>
      <c r="AN51" s="748">
        <f t="shared" si="14"/>
        <v>0</v>
      </c>
      <c r="AO51" s="748">
        <f t="shared" si="15"/>
        <v>0</v>
      </c>
      <c r="AP51" s="750">
        <f t="shared" si="16"/>
        <v>0.65260942760942764</v>
      </c>
      <c r="AQ51" s="751">
        <f t="shared" si="17"/>
        <v>55.026666666666671</v>
      </c>
      <c r="AR51" s="752">
        <v>6</v>
      </c>
      <c r="AS51" s="753">
        <f t="shared" si="34"/>
        <v>65.260942760942768</v>
      </c>
      <c r="AT51" s="750">
        <f t="shared" si="18"/>
        <v>0</v>
      </c>
      <c r="AU51" s="754">
        <f t="shared" si="19"/>
        <v>0</v>
      </c>
      <c r="AV51" s="755"/>
      <c r="AW51" s="750" t="e">
        <f>VLOOKUP(AX51,Sup!#REF!,8,0)</f>
        <v>#REF!</v>
      </c>
      <c r="AX51" s="986" t="s">
        <v>198</v>
      </c>
      <c r="AY51" s="556">
        <v>0</v>
      </c>
      <c r="AZ51" s="35"/>
      <c r="BA51" s="35"/>
      <c r="BB51" s="35"/>
      <c r="BC51" s="35">
        <f t="shared" si="20"/>
        <v>0</v>
      </c>
      <c r="BD51" s="35" t="str">
        <f t="shared" si="35"/>
        <v/>
      </c>
      <c r="BE51" s="45">
        <f t="shared" si="21"/>
        <v>0</v>
      </c>
      <c r="BF51" s="971"/>
      <c r="BG51" s="236"/>
      <c r="BH51" s="12"/>
      <c r="BI51" s="12"/>
      <c r="BJ51" s="12"/>
      <c r="BK51" s="12"/>
      <c r="BL51" s="12"/>
      <c r="BM51" s="980" t="e">
        <f t="shared" si="26"/>
        <v>#REF!</v>
      </c>
      <c r="BN51" s="367"/>
      <c r="BO51" s="981"/>
      <c r="BP51" s="12"/>
      <c r="BQ51" s="12"/>
      <c r="BR51" s="12"/>
      <c r="BS51" s="973"/>
      <c r="BT51" s="12"/>
      <c r="BU51" s="12"/>
      <c r="BV51" s="12"/>
      <c r="BW51" s="982" t="s">
        <v>506</v>
      </c>
      <c r="BX51" s="983">
        <f t="shared" si="22"/>
        <v>0</v>
      </c>
      <c r="BY51" s="12" t="e">
        <f>VLOOKUP(B51,#REF!,13,0)</f>
        <v>#REF!</v>
      </c>
      <c r="BZ51" s="1049">
        <v>99</v>
      </c>
      <c r="CA51" s="1181" t="e">
        <f>VLOOKUP(B51,Pedido!$B$16:$L$292,22,0)</f>
        <v>#N/A</v>
      </c>
      <c r="CD51" s="578">
        <f t="shared" si="27"/>
        <v>156</v>
      </c>
      <c r="CE51" s="578">
        <f t="shared" si="29"/>
        <v>13</v>
      </c>
      <c r="CF51" s="578" t="str">
        <f t="shared" si="28"/>
        <v>15613</v>
      </c>
      <c r="CG51" s="576" t="s">
        <v>547</v>
      </c>
    </row>
    <row r="52" spans="1:85" ht="33.75" customHeight="1" thickBot="1">
      <c r="A52" s="946"/>
      <c r="B52" s="820">
        <v>521304083</v>
      </c>
      <c r="C52" s="770" t="s">
        <v>477</v>
      </c>
      <c r="D52" s="771" t="s">
        <v>596</v>
      </c>
      <c r="E52" s="772"/>
      <c r="F52" s="773" t="s">
        <v>61</v>
      </c>
      <c r="G52" s="813" t="s">
        <v>284</v>
      </c>
      <c r="H52" s="1146">
        <v>34.85</v>
      </c>
      <c r="I52" s="775">
        <v>179.39999999999998</v>
      </c>
      <c r="J52" s="776" t="str">
        <f t="shared" si="30"/>
        <v/>
      </c>
      <c r="K52" s="777" t="str">
        <f>IF(Y52="","",IFERROR(1-(Y52/I52),0))</f>
        <v/>
      </c>
      <c r="L52" s="768">
        <v>118.80000000000001</v>
      </c>
      <c r="M52" s="768">
        <f>P52</f>
        <v>92.9</v>
      </c>
      <c r="N52" s="768">
        <f>P52</f>
        <v>92.9</v>
      </c>
      <c r="O52" s="768">
        <f>P52</f>
        <v>92.9</v>
      </c>
      <c r="P52" s="923">
        <v>92.9</v>
      </c>
      <c r="Q52" s="923">
        <v>92.9</v>
      </c>
      <c r="R52" s="923">
        <v>92.9</v>
      </c>
      <c r="S52" s="923">
        <v>92.9</v>
      </c>
      <c r="T52" s="736" t="str">
        <f>IF(V52&gt;0,V52,IFERROR(IF(AND(W52&lt;&gt;"",X52&lt;&gt;""),AH52/W52,Y52),""))</f>
        <v/>
      </c>
      <c r="U52" s="737" t="str">
        <f>IFERROR((T52*W52)/(W52+X52),"")</f>
        <v/>
      </c>
      <c r="V52" s="780"/>
      <c r="W52" s="1099"/>
      <c r="X52" s="781"/>
      <c r="Y52" s="782" t="str">
        <f t="shared" si="31"/>
        <v/>
      </c>
      <c r="Z52" s="783">
        <f>IF(X52&gt;W52,-1,IF(W52=0,0,IF(U52&lt;(H52/0.75),-1,IF(W52&lt;=3,0,0.0001))))</f>
        <v>0</v>
      </c>
      <c r="AA52" s="738">
        <f>IFERROR(L52*W52,0)</f>
        <v>0</v>
      </c>
      <c r="AB52" s="738">
        <f t="shared" si="32"/>
        <v>0</v>
      </c>
      <c r="AC52" s="738">
        <f t="shared" si="33"/>
        <v>0</v>
      </c>
      <c r="AD52" s="738">
        <f>IFERROR(X52*T52,0)</f>
        <v>0</v>
      </c>
      <c r="AE52" s="738">
        <f>IFERROR(W52*H52,0)</f>
        <v>0</v>
      </c>
      <c r="AF52" s="738">
        <f>IFERROR(1-(AE52/AB52),0)</f>
        <v>0</v>
      </c>
      <c r="AG52" s="739">
        <f>IFERROR(SUM(W52:X52)*I52,0)</f>
        <v>0</v>
      </c>
      <c r="AH52" s="738">
        <f>IFERROR(IF(V52&gt;0,V52*W52,(Y52*W52)),0)</f>
        <v>0</v>
      </c>
      <c r="AI52" s="738">
        <f>IFERROR(SUM(W52)*H52,0)</f>
        <v>0</v>
      </c>
      <c r="AJ52" s="738">
        <f>AH52*$AJ$25</f>
        <v>0</v>
      </c>
      <c r="AK52" s="738">
        <f>AH52*AK$25</f>
        <v>0</v>
      </c>
      <c r="AL52" s="738">
        <f>AH52*AL$25</f>
        <v>0</v>
      </c>
      <c r="AM52" s="738">
        <f>SUM(AJ52:AL52)</f>
        <v>0</v>
      </c>
      <c r="AN52" s="738">
        <f>AH52-AM52</f>
        <v>0</v>
      </c>
      <c r="AO52" s="738">
        <f>AN52-AI52</f>
        <v>0</v>
      </c>
      <c r="AP52" s="740">
        <f>IFERROR(IF(V52&lt;&gt;"",1-(H52/V52),IF(Y52&lt;&gt;"",1-(H52/Y52),1-(H52/L52))),0)</f>
        <v>0.70664983164983164</v>
      </c>
      <c r="AQ52" s="741">
        <f>H52/0.75</f>
        <v>46.466666666666669</v>
      </c>
      <c r="AR52" s="742">
        <v>6</v>
      </c>
      <c r="AS52" s="743">
        <f t="shared" si="34"/>
        <v>70.66498316498317</v>
      </c>
      <c r="AT52" s="740">
        <f>IFERROR(1-(AI52/AH52),0)</f>
        <v>0</v>
      </c>
      <c r="AU52" s="744">
        <f>IFERROR(AO52/AH52,0)</f>
        <v>0</v>
      </c>
      <c r="AV52" s="745"/>
      <c r="AW52" s="740" t="e">
        <f>VLOOKUP(AX52,Sup!#REF!,8,0)</f>
        <v>#REF!</v>
      </c>
      <c r="AX52" s="979" t="s">
        <v>198</v>
      </c>
      <c r="AY52" s="556">
        <v>0</v>
      </c>
      <c r="AZ52" s="35"/>
      <c r="BA52" s="35"/>
      <c r="BB52" s="35"/>
      <c r="BC52" s="35">
        <f>IF(BE52&lt;0,BE52,0)</f>
        <v>0</v>
      </c>
      <c r="BD52" s="35" t="str">
        <f t="shared" si="35"/>
        <v/>
      </c>
      <c r="BE52" s="45">
        <f>IF(V52="",0,(V52*W52)-(BD52*W52))</f>
        <v>0</v>
      </c>
      <c r="BF52" s="971"/>
      <c r="BG52" s="236"/>
      <c r="BH52" s="12"/>
      <c r="BI52" s="12"/>
      <c r="BJ52" s="12"/>
      <c r="BK52" s="12"/>
      <c r="BL52" s="12"/>
      <c r="BM52" s="980" t="e">
        <f t="shared" si="26"/>
        <v>#REF!</v>
      </c>
      <c r="BN52" s="367"/>
      <c r="BO52" s="981"/>
      <c r="BP52" s="12"/>
      <c r="BQ52" s="12"/>
      <c r="BR52" s="12"/>
      <c r="BS52" s="973"/>
      <c r="BT52" s="12"/>
      <c r="BU52" s="12"/>
      <c r="BV52" s="12"/>
      <c r="BW52" s="982" t="s">
        <v>506</v>
      </c>
      <c r="BX52" s="983">
        <f>IFERROR(W52*U52,0)</f>
        <v>0</v>
      </c>
      <c r="BY52" s="12" t="e">
        <f>VLOOKUP(B52,#REF!,13,0)</f>
        <v>#REF!</v>
      </c>
      <c r="BZ52" s="1047">
        <v>99</v>
      </c>
      <c r="CA52" s="1181" t="e">
        <f>VLOOKUP(B52,Pedido!$B$16:$L$292,22,0)</f>
        <v>#REF!</v>
      </c>
      <c r="CD52" s="578">
        <f t="shared" si="27"/>
        <v>168</v>
      </c>
      <c r="CE52" s="578">
        <f>CD52/12</f>
        <v>14</v>
      </c>
      <c r="CF52" s="578" t="str">
        <f>CONCATENATE(CD52,CE52)</f>
        <v>16814</v>
      </c>
      <c r="CG52" s="576" t="s">
        <v>547</v>
      </c>
    </row>
    <row r="53" spans="1:85" ht="33.75" customHeight="1" thickBot="1">
      <c r="A53" s="524"/>
      <c r="B53" s="709">
        <v>521304095</v>
      </c>
      <c r="C53" s="770" t="s">
        <v>477</v>
      </c>
      <c r="D53" s="701" t="s">
        <v>597</v>
      </c>
      <c r="E53" s="702"/>
      <c r="F53" s="703" t="s">
        <v>61</v>
      </c>
      <c r="G53" s="712" t="s">
        <v>284</v>
      </c>
      <c r="H53" s="1147">
        <v>47.28</v>
      </c>
      <c r="I53" s="705">
        <v>179.39999999999998</v>
      </c>
      <c r="J53" s="706" t="str">
        <f>IFERROR(IF(T53&lt;&gt;"",I53/T53,IF(AND(Y53="",V53=""),"",IF(V53="",I53/Y53,I53/V53))),"")</f>
        <v/>
      </c>
      <c r="K53" s="707" t="str">
        <f>IF(Y53="","",IFERROR(1-(Y53/I53),0))</f>
        <v/>
      </c>
      <c r="L53" s="708">
        <v>118.80000000000001</v>
      </c>
      <c r="M53" s="708">
        <f>P53</f>
        <v>92.9</v>
      </c>
      <c r="N53" s="708">
        <f>P53</f>
        <v>92.9</v>
      </c>
      <c r="O53" s="708">
        <f>P53</f>
        <v>92.9</v>
      </c>
      <c r="P53" s="924">
        <v>92.9</v>
      </c>
      <c r="Q53" s="924">
        <v>92.9</v>
      </c>
      <c r="R53" s="924">
        <v>92.9</v>
      </c>
      <c r="S53" s="924">
        <v>92.9</v>
      </c>
      <c r="T53" s="246" t="str">
        <f>IF(V53&gt;0,V53,IFERROR(IF(AND(W53&lt;&gt;"",X53&lt;&gt;""),AH53/W53,Y53),""))</f>
        <v/>
      </c>
      <c r="U53" s="298" t="str">
        <f>IFERROR((T53*W53)/(W53+X53),"")</f>
        <v/>
      </c>
      <c r="V53" s="734"/>
      <c r="W53" s="1100"/>
      <c r="X53" s="264"/>
      <c r="Y53" s="113" t="str">
        <f t="shared" si="31"/>
        <v/>
      </c>
      <c r="Z53" s="223">
        <f>IF(X53&gt;W53,-1,IF(W53=0,0,IF(U53&lt;(H53/0.75),-1,IF(W53&lt;=3,0,0.0001))))</f>
        <v>0</v>
      </c>
      <c r="AA53" s="307">
        <f>IFERROR(L53*W53,0)</f>
        <v>0</v>
      </c>
      <c r="AB53" s="307">
        <f t="shared" si="32"/>
        <v>0</v>
      </c>
      <c r="AC53" s="307">
        <f t="shared" si="33"/>
        <v>0</v>
      </c>
      <c r="AD53" s="307">
        <f>IFERROR(X53*T53,0)</f>
        <v>0</v>
      </c>
      <c r="AE53" s="307">
        <f>IFERROR(W53*H53,0)</f>
        <v>0</v>
      </c>
      <c r="AF53" s="307">
        <f>IFERROR(1-(AE53/AB53),0)</f>
        <v>0</v>
      </c>
      <c r="AG53" s="308">
        <f>IFERROR(SUM(W53:X53)*I53,0)</f>
        <v>0</v>
      </c>
      <c r="AH53" s="307">
        <f>IFERROR(IF(V53&gt;0,V53*W53,(Y53*W53)),0)</f>
        <v>0</v>
      </c>
      <c r="AI53" s="307">
        <f>IFERROR(SUM(W53)*H53,0)</f>
        <v>0</v>
      </c>
      <c r="AJ53" s="307">
        <f>AH53*$AJ$25</f>
        <v>0</v>
      </c>
      <c r="AK53" s="307">
        <f>AH53*AK$25</f>
        <v>0</v>
      </c>
      <c r="AL53" s="307">
        <f>AH53*AL$25</f>
        <v>0</v>
      </c>
      <c r="AM53" s="307">
        <f>SUM(AJ53:AL53)</f>
        <v>0</v>
      </c>
      <c r="AN53" s="307">
        <f>AH53-AM53</f>
        <v>0</v>
      </c>
      <c r="AO53" s="307">
        <f>AN53-AI53</f>
        <v>0</v>
      </c>
      <c r="AP53" s="309">
        <f>IFERROR(IF(V53&lt;&gt;"",1-(H53/V53),IF(Y53&lt;&gt;"",1-(H53/Y53),1-(H53/L53))),0)</f>
        <v>0.60202020202020212</v>
      </c>
      <c r="AQ53" s="310">
        <f>H53/0.75</f>
        <v>63.04</v>
      </c>
      <c r="AR53" s="544">
        <v>6</v>
      </c>
      <c r="AS53" s="725">
        <f t="shared" si="34"/>
        <v>60.202020202020215</v>
      </c>
      <c r="AT53" s="309">
        <f>IFERROR(1-(AI53/AH53),0)</f>
        <v>0</v>
      </c>
      <c r="AU53" s="726">
        <f>IFERROR(AO53/AH53,0)</f>
        <v>0</v>
      </c>
      <c r="AV53" s="311"/>
      <c r="AW53" s="309" t="e">
        <f>VLOOKUP(AX53,Sup!#REF!,8,0)</f>
        <v>#REF!</v>
      </c>
      <c r="AX53" s="985" t="s">
        <v>198</v>
      </c>
      <c r="AY53" s="556">
        <v>0</v>
      </c>
      <c r="AZ53" s="35"/>
      <c r="BA53" s="35"/>
      <c r="BB53" s="35"/>
      <c r="BC53" s="35">
        <f>IF(BE53&lt;0,BE53,0)</f>
        <v>0</v>
      </c>
      <c r="BD53" s="35" t="str">
        <f t="shared" si="35"/>
        <v/>
      </c>
      <c r="BE53" s="45">
        <f>IF(V53="",0,(V53*W53)-(BD53*W53))</f>
        <v>0</v>
      </c>
      <c r="BF53" s="971"/>
      <c r="BG53" s="236"/>
      <c r="BH53" s="12"/>
      <c r="BI53" s="12"/>
      <c r="BJ53" s="12"/>
      <c r="BK53" s="12"/>
      <c r="BL53" s="12"/>
      <c r="BM53" s="980" t="e">
        <f t="shared" si="26"/>
        <v>#REF!</v>
      </c>
      <c r="BN53" s="367"/>
      <c r="BO53" s="981"/>
      <c r="BP53" s="12"/>
      <c r="BQ53" s="12"/>
      <c r="BR53" s="12"/>
      <c r="BS53" s="973"/>
      <c r="BT53" s="12"/>
      <c r="BU53" s="12"/>
      <c r="BV53" s="12"/>
      <c r="BW53" s="982" t="s">
        <v>506</v>
      </c>
      <c r="BX53" s="983">
        <f>IFERROR(W53*U53,0)</f>
        <v>0</v>
      </c>
      <c r="BY53" s="12" t="e">
        <f>VLOOKUP(B53,#REF!,13,0)</f>
        <v>#REF!</v>
      </c>
      <c r="BZ53" s="1048">
        <v>99</v>
      </c>
      <c r="CA53" s="1181" t="e">
        <f>VLOOKUP(B53,Pedido!$B$16:$L$292,22,0)</f>
        <v>#REF!</v>
      </c>
      <c r="CD53" s="578">
        <f t="shared" si="27"/>
        <v>180</v>
      </c>
      <c r="CE53" s="578">
        <f>CD53/12</f>
        <v>15</v>
      </c>
      <c r="CF53" s="578" t="str">
        <f>CONCATENATE(CD53,CE53)</f>
        <v>18015</v>
      </c>
      <c r="CG53" s="576" t="s">
        <v>547</v>
      </c>
    </row>
    <row r="54" spans="1:85" ht="33.75" customHeight="1" thickBot="1">
      <c r="A54" s="524"/>
      <c r="B54" s="709">
        <v>521304097</v>
      </c>
      <c r="C54" s="770" t="s">
        <v>477</v>
      </c>
      <c r="D54" s="701" t="s">
        <v>598</v>
      </c>
      <c r="E54" s="702"/>
      <c r="F54" s="703" t="s">
        <v>61</v>
      </c>
      <c r="G54" s="712" t="s">
        <v>284</v>
      </c>
      <c r="H54" s="1147">
        <v>49.29</v>
      </c>
      <c r="I54" s="705">
        <v>149.39999999999998</v>
      </c>
      <c r="J54" s="706" t="str">
        <f>IFERROR(IF(T54&lt;&gt;"",I54/T54,IF(AND(Y54="",V54=""),"",IF(V54="",I54/Y54,I54/V54))),"")</f>
        <v/>
      </c>
      <c r="K54" s="707" t="str">
        <f>IF(Y54="","",IFERROR(1-(Y54/I54),0))</f>
        <v/>
      </c>
      <c r="L54" s="708">
        <v>93.6</v>
      </c>
      <c r="M54" s="708">
        <f>P54</f>
        <v>74.900000000000006</v>
      </c>
      <c r="N54" s="708">
        <f>P54</f>
        <v>74.900000000000006</v>
      </c>
      <c r="O54" s="708">
        <f>P54</f>
        <v>74.900000000000006</v>
      </c>
      <c r="P54" s="924">
        <v>74.900000000000006</v>
      </c>
      <c r="Q54" s="924">
        <v>74.900000000000006</v>
      </c>
      <c r="R54" s="924">
        <v>74.900000000000006</v>
      </c>
      <c r="S54" s="924">
        <v>74.900000000000006</v>
      </c>
      <c r="T54" s="274" t="str">
        <f>IF(V54&gt;0,V54,IFERROR(IF(AND(W54&lt;&gt;"",X54&lt;&gt;""),AH54/W54,Y54),""))</f>
        <v/>
      </c>
      <c r="U54" s="152" t="str">
        <f>IFERROR((T54*W54)/(W54+X54),"")</f>
        <v/>
      </c>
      <c r="V54" s="695"/>
      <c r="W54" s="696"/>
      <c r="X54" s="171"/>
      <c r="Y54" s="103" t="str">
        <f t="shared" si="31"/>
        <v/>
      </c>
      <c r="Z54" s="225">
        <f>IF(X54&gt;W54,-1,IF(W54=0,0,IF(U54&lt;(H54/0.75),-1,IF(W54&lt;=3,0,0.0001))))</f>
        <v>0</v>
      </c>
      <c r="AA54" s="275">
        <f>IFERROR(L54*W54,0)</f>
        <v>0</v>
      </c>
      <c r="AB54" s="275">
        <f t="shared" si="32"/>
        <v>0</v>
      </c>
      <c r="AC54" s="275">
        <f t="shared" si="33"/>
        <v>0</v>
      </c>
      <c r="AD54" s="275">
        <f>IFERROR(X54*T54,0)</f>
        <v>0</v>
      </c>
      <c r="AE54" s="275">
        <f>IFERROR(W54*H54,0)</f>
        <v>0</v>
      </c>
      <c r="AF54" s="275">
        <f>IFERROR(1-(AE54/AB54),0)</f>
        <v>0</v>
      </c>
      <c r="AG54" s="290">
        <f>IFERROR(SUM(W54:X54)*I54,0)</f>
        <v>0</v>
      </c>
      <c r="AH54" s="275">
        <f>IFERROR(IF(V54&gt;0,V54*W54,(Y54*W54)),0)</f>
        <v>0</v>
      </c>
      <c r="AI54" s="275">
        <f>IFERROR(SUM(W54)*H54,0)</f>
        <v>0</v>
      </c>
      <c r="AJ54" s="275">
        <f>AH54*$AJ$25</f>
        <v>0</v>
      </c>
      <c r="AK54" s="275">
        <f>AH54*AK$25</f>
        <v>0</v>
      </c>
      <c r="AL54" s="275">
        <f>AH54*AL$25</f>
        <v>0</v>
      </c>
      <c r="AM54" s="275">
        <f>SUM(AJ54:AL54)</f>
        <v>0</v>
      </c>
      <c r="AN54" s="275">
        <f>AH54-AM54</f>
        <v>0</v>
      </c>
      <c r="AO54" s="275">
        <f>AN54-AI54</f>
        <v>0</v>
      </c>
      <c r="AP54" s="276">
        <f>IFERROR(IF(V54&lt;&gt;"",1-(H54/V54),IF(Y54&lt;&gt;"",1-(H54/Y54),1-(H54/L54))),0)</f>
        <v>0.47339743589743588</v>
      </c>
      <c r="AQ54" s="291">
        <f>H54/0.75</f>
        <v>65.72</v>
      </c>
      <c r="AR54" s="542">
        <v>6</v>
      </c>
      <c r="AS54" s="727">
        <f t="shared" si="34"/>
        <v>47.339743589743591</v>
      </c>
      <c r="AT54" s="276">
        <f>IFERROR(1-(AI54/AH54),0)</f>
        <v>0</v>
      </c>
      <c r="AU54" s="728">
        <f>IFERROR(AO54/AH54,0)</f>
        <v>0</v>
      </c>
      <c r="AV54" s="277"/>
      <c r="AW54" s="276" t="e">
        <f>VLOOKUP(AX54,Sup!#REF!,8,0)</f>
        <v>#REF!</v>
      </c>
      <c r="AX54" s="988" t="s">
        <v>198</v>
      </c>
      <c r="AY54" s="556">
        <v>0</v>
      </c>
      <c r="AZ54" s="35"/>
      <c r="BA54" s="35"/>
      <c r="BB54" s="35"/>
      <c r="BC54" s="35">
        <f>IF(BE54&lt;0,BE54,0)</f>
        <v>0</v>
      </c>
      <c r="BD54" s="35" t="str">
        <f t="shared" si="35"/>
        <v/>
      </c>
      <c r="BE54" s="45">
        <f>IF(V54="",0,(V54*W54)-(BD54*W54))</f>
        <v>0</v>
      </c>
      <c r="BF54" s="971"/>
      <c r="BG54" s="236"/>
      <c r="BH54" s="12"/>
      <c r="BI54" s="12"/>
      <c r="BJ54" s="12"/>
      <c r="BK54" s="12"/>
      <c r="BL54" s="12"/>
      <c r="BM54" s="980" t="e">
        <f t="shared" si="26"/>
        <v>#REF!</v>
      </c>
      <c r="BN54" s="367"/>
      <c r="BO54" s="981"/>
      <c r="BP54" s="12"/>
      <c r="BQ54" s="12"/>
      <c r="BR54" s="12"/>
      <c r="BS54" s="973"/>
      <c r="BT54" s="12"/>
      <c r="BU54" s="12"/>
      <c r="BV54" s="12"/>
      <c r="BW54" s="982" t="s">
        <v>506</v>
      </c>
      <c r="BX54" s="983">
        <f>IFERROR(W54*U54,0)</f>
        <v>0</v>
      </c>
      <c r="BY54" s="12" t="e">
        <f>VLOOKUP(B54,#REF!,13,0)</f>
        <v>#REF!</v>
      </c>
      <c r="BZ54" s="1048">
        <v>86</v>
      </c>
      <c r="CA54" s="1181" t="e">
        <f>VLOOKUP(B54,Pedido!$B$16:$L$292,22,0)</f>
        <v>#REF!</v>
      </c>
      <c r="CD54" s="578">
        <f t="shared" si="27"/>
        <v>192</v>
      </c>
      <c r="CE54" s="578">
        <f>CD54/12</f>
        <v>16</v>
      </c>
      <c r="CF54" s="578" t="str">
        <f>CONCATENATE(CD54,CE54)</f>
        <v>19216</v>
      </c>
      <c r="CG54" s="576" t="s">
        <v>547</v>
      </c>
    </row>
    <row r="55" spans="1:85" ht="33.75" customHeight="1" thickBot="1">
      <c r="A55" s="947"/>
      <c r="B55" s="821">
        <v>521304096</v>
      </c>
      <c r="C55" s="770" t="s">
        <v>477</v>
      </c>
      <c r="D55" s="786" t="s">
        <v>599</v>
      </c>
      <c r="E55" s="787"/>
      <c r="F55" s="788" t="s">
        <v>61</v>
      </c>
      <c r="G55" s="815" t="s">
        <v>284</v>
      </c>
      <c r="H55" s="1148">
        <v>41.27</v>
      </c>
      <c r="I55" s="816">
        <v>179.39999999999998</v>
      </c>
      <c r="J55" s="817" t="str">
        <f>IFERROR(IF(T55&lt;&gt;"",I55/T55,IF(AND(Y55="",V55=""),"",IF(V55="",I55/Y55,I55/V55))),"")</f>
        <v/>
      </c>
      <c r="K55" s="818" t="str">
        <f>IF(Y55="","",IFERROR(1-(Y55/I55),0))</f>
        <v/>
      </c>
      <c r="L55" s="793">
        <v>118.80000000000001</v>
      </c>
      <c r="M55" s="819">
        <f>P55</f>
        <v>92.9</v>
      </c>
      <c r="N55" s="819">
        <f>P55</f>
        <v>92.9</v>
      </c>
      <c r="O55" s="819">
        <f>P55</f>
        <v>92.9</v>
      </c>
      <c r="P55" s="925">
        <v>92.9</v>
      </c>
      <c r="Q55" s="925">
        <v>92.9</v>
      </c>
      <c r="R55" s="925">
        <v>92.9</v>
      </c>
      <c r="S55" s="925">
        <v>92.9</v>
      </c>
      <c r="T55" s="746" t="str">
        <f>IF(V55&gt;0,V55,IFERROR(IF(AND(W55&lt;&gt;"",X55&lt;&gt;""),AH55/W55,Y55),""))</f>
        <v/>
      </c>
      <c r="U55" s="747" t="str">
        <f>IFERROR((T55*W55)/(W55+X55),"")</f>
        <v/>
      </c>
      <c r="V55" s="795"/>
      <c r="W55" s="1101"/>
      <c r="X55" s="796"/>
      <c r="Y55" s="797" t="str">
        <f t="shared" si="31"/>
        <v/>
      </c>
      <c r="Z55" s="798">
        <f>IF(X55&gt;W55,-1,IF(W55=0,0,IF(U55&lt;(H55/0.75),-1,IF(W55&lt;=3,0,0.0001))))</f>
        <v>0</v>
      </c>
      <c r="AA55" s="748">
        <f>IFERROR(L55*W55,0)</f>
        <v>0</v>
      </c>
      <c r="AB55" s="748">
        <f t="shared" si="32"/>
        <v>0</v>
      </c>
      <c r="AC55" s="748">
        <f t="shared" si="33"/>
        <v>0</v>
      </c>
      <c r="AD55" s="748">
        <f>IFERROR(X55*T55,0)</f>
        <v>0</v>
      </c>
      <c r="AE55" s="748">
        <f>IFERROR(W55*H55,0)</f>
        <v>0</v>
      </c>
      <c r="AF55" s="748">
        <f>IFERROR(1-(AE55/AB55),0)</f>
        <v>0</v>
      </c>
      <c r="AG55" s="749">
        <f>IFERROR(SUM(W55:X55)*I55,0)</f>
        <v>0</v>
      </c>
      <c r="AH55" s="748">
        <f>IFERROR(IF(V55&gt;0,V55*W55,(Y55*W55)),0)</f>
        <v>0</v>
      </c>
      <c r="AI55" s="748">
        <f>IFERROR(SUM(W55)*H55,0)</f>
        <v>0</v>
      </c>
      <c r="AJ55" s="748">
        <f>AH55*$AJ$25</f>
        <v>0</v>
      </c>
      <c r="AK55" s="748">
        <f>AH55*AK$25</f>
        <v>0</v>
      </c>
      <c r="AL55" s="748">
        <f>AH55*AL$25</f>
        <v>0</v>
      </c>
      <c r="AM55" s="748">
        <f>SUM(AJ55:AL55)</f>
        <v>0</v>
      </c>
      <c r="AN55" s="748">
        <f>AH55-AM55</f>
        <v>0</v>
      </c>
      <c r="AO55" s="748">
        <f>AN55-AI55</f>
        <v>0</v>
      </c>
      <c r="AP55" s="750">
        <f>IFERROR(IF(V55&lt;&gt;"",1-(H55/V55),IF(Y55&lt;&gt;"",1-(H55/Y55),1-(H55/L55))),0)</f>
        <v>0.65260942760942764</v>
      </c>
      <c r="AQ55" s="751">
        <f>H55/0.75</f>
        <v>55.026666666666671</v>
      </c>
      <c r="AR55" s="752">
        <v>6</v>
      </c>
      <c r="AS55" s="753">
        <f t="shared" si="34"/>
        <v>65.260942760942768</v>
      </c>
      <c r="AT55" s="750">
        <f>IFERROR(1-(AI55/AH55),0)</f>
        <v>0</v>
      </c>
      <c r="AU55" s="754">
        <f>IFERROR(AO55/AH55,0)</f>
        <v>0</v>
      </c>
      <c r="AV55" s="755"/>
      <c r="AW55" s="750" t="e">
        <f>VLOOKUP(AX55,Sup!#REF!,8,0)</f>
        <v>#REF!</v>
      </c>
      <c r="AX55" s="986" t="s">
        <v>198</v>
      </c>
      <c r="AY55" s="556">
        <v>0</v>
      </c>
      <c r="AZ55" s="35"/>
      <c r="BA55" s="35"/>
      <c r="BB55" s="35"/>
      <c r="BC55" s="35">
        <f>IF(BE55&lt;0,BE55,0)</f>
        <v>0</v>
      </c>
      <c r="BD55" s="35" t="str">
        <f t="shared" si="35"/>
        <v/>
      </c>
      <c r="BE55" s="45">
        <f>IF(V55="",0,(V55*W55)-(BD55*W55))</f>
        <v>0</v>
      </c>
      <c r="BF55" s="971"/>
      <c r="BG55" s="236"/>
      <c r="BH55" s="12"/>
      <c r="BI55" s="12"/>
      <c r="BJ55" s="12"/>
      <c r="BK55" s="12"/>
      <c r="BL55" s="12"/>
      <c r="BM55" s="980" t="e">
        <f t="shared" si="26"/>
        <v>#REF!</v>
      </c>
      <c r="BN55" s="367"/>
      <c r="BO55" s="981"/>
      <c r="BP55" s="12"/>
      <c r="BQ55" s="12"/>
      <c r="BR55" s="12"/>
      <c r="BS55" s="973"/>
      <c r="BT55" s="12"/>
      <c r="BU55" s="12"/>
      <c r="BV55" s="12"/>
      <c r="BW55" s="982" t="s">
        <v>506</v>
      </c>
      <c r="BX55" s="983">
        <f>IFERROR(W55*U55,0)</f>
        <v>0</v>
      </c>
      <c r="BY55" s="12" t="e">
        <f>VLOOKUP(B55,#REF!,13,0)</f>
        <v>#REF!</v>
      </c>
      <c r="BZ55" s="1049">
        <v>99</v>
      </c>
      <c r="CA55" s="1181" t="e">
        <f>VLOOKUP(B55,Pedido!$B$16:$L$292,22,0)</f>
        <v>#N/A</v>
      </c>
      <c r="CD55" s="578">
        <f t="shared" si="27"/>
        <v>204</v>
      </c>
      <c r="CE55" s="578">
        <f>CD55/12</f>
        <v>17</v>
      </c>
      <c r="CF55" s="578" t="str">
        <f>CONCATENATE(CD55,CE55)</f>
        <v>20417</v>
      </c>
      <c r="CG55" s="576" t="s">
        <v>547</v>
      </c>
    </row>
    <row r="56" spans="1:85" ht="33.75" customHeight="1">
      <c r="A56" s="946"/>
      <c r="B56" s="820">
        <v>9962535985</v>
      </c>
      <c r="C56" s="770" t="s">
        <v>477</v>
      </c>
      <c r="D56" s="771" t="s">
        <v>477</v>
      </c>
      <c r="E56" s="772" t="s">
        <v>470</v>
      </c>
      <c r="F56" s="773" t="s">
        <v>61</v>
      </c>
      <c r="G56" s="813" t="s">
        <v>284</v>
      </c>
      <c r="H56" s="1146">
        <v>56.44</v>
      </c>
      <c r="I56" s="775">
        <v>239.39999999999998</v>
      </c>
      <c r="J56" s="776" t="str">
        <f t="shared" si="30"/>
        <v/>
      </c>
      <c r="K56" s="777" t="str">
        <f t="shared" si="38"/>
        <v/>
      </c>
      <c r="L56" s="768">
        <v>168.18</v>
      </c>
      <c r="M56" s="768">
        <f t="shared" si="23"/>
        <v>129.9</v>
      </c>
      <c r="N56" s="768">
        <f t="shared" si="24"/>
        <v>129.9</v>
      </c>
      <c r="O56" s="768">
        <f t="shared" si="25"/>
        <v>129.9</v>
      </c>
      <c r="P56" s="923">
        <v>129.9</v>
      </c>
      <c r="Q56" s="923">
        <v>129.9</v>
      </c>
      <c r="R56" s="923">
        <v>129.9</v>
      </c>
      <c r="S56" s="923">
        <v>129.9</v>
      </c>
      <c r="T56" s="736" t="str">
        <f t="shared" si="0"/>
        <v/>
      </c>
      <c r="U56" s="737" t="str">
        <f t="shared" si="1"/>
        <v/>
      </c>
      <c r="V56" s="780"/>
      <c r="W56" s="1099"/>
      <c r="X56" s="781"/>
      <c r="Y56" s="782" t="str">
        <f t="shared" si="31"/>
        <v/>
      </c>
      <c r="Z56" s="783">
        <f t="shared" si="2"/>
        <v>0</v>
      </c>
      <c r="AA56" s="738">
        <f t="shared" si="3"/>
        <v>0</v>
      </c>
      <c r="AB56" s="738">
        <f t="shared" si="32"/>
        <v>0</v>
      </c>
      <c r="AC56" s="738">
        <f t="shared" si="33"/>
        <v>0</v>
      </c>
      <c r="AD56" s="738">
        <f t="shared" si="4"/>
        <v>0</v>
      </c>
      <c r="AE56" s="738">
        <f t="shared" si="5"/>
        <v>0</v>
      </c>
      <c r="AF56" s="738">
        <f t="shared" si="6"/>
        <v>0</v>
      </c>
      <c r="AG56" s="739">
        <f t="shared" si="7"/>
        <v>0</v>
      </c>
      <c r="AH56" s="738">
        <f t="shared" si="8"/>
        <v>0</v>
      </c>
      <c r="AI56" s="738">
        <f t="shared" si="9"/>
        <v>0</v>
      </c>
      <c r="AJ56" s="738">
        <f t="shared" si="10"/>
        <v>0</v>
      </c>
      <c r="AK56" s="738">
        <f t="shared" si="11"/>
        <v>0</v>
      </c>
      <c r="AL56" s="738">
        <f t="shared" si="12"/>
        <v>0</v>
      </c>
      <c r="AM56" s="738">
        <f t="shared" si="13"/>
        <v>0</v>
      </c>
      <c r="AN56" s="738">
        <f t="shared" si="14"/>
        <v>0</v>
      </c>
      <c r="AO56" s="738">
        <f t="shared" si="15"/>
        <v>0</v>
      </c>
      <c r="AP56" s="740">
        <f t="shared" si="16"/>
        <v>0.66440718278035438</v>
      </c>
      <c r="AQ56" s="741">
        <f t="shared" si="17"/>
        <v>75.25333333333333</v>
      </c>
      <c r="AR56" s="742">
        <v>6</v>
      </c>
      <c r="AS56" s="743">
        <f t="shared" si="34"/>
        <v>66.440718278035433</v>
      </c>
      <c r="AT56" s="740">
        <f t="shared" si="18"/>
        <v>0</v>
      </c>
      <c r="AU56" s="744">
        <f t="shared" si="19"/>
        <v>0</v>
      </c>
      <c r="AV56" s="745"/>
      <c r="AW56" s="740" t="e">
        <f>VLOOKUP(AX56,Sup!#REF!,8,0)</f>
        <v>#REF!</v>
      </c>
      <c r="AX56" s="979" t="s">
        <v>198</v>
      </c>
      <c r="AY56" s="556">
        <v>0</v>
      </c>
      <c r="AZ56" s="35"/>
      <c r="BA56" s="35"/>
      <c r="BB56" s="35"/>
      <c r="BC56" s="35">
        <f t="shared" si="20"/>
        <v>0</v>
      </c>
      <c r="BD56" s="35" t="str">
        <f t="shared" si="35"/>
        <v/>
      </c>
      <c r="BE56" s="45">
        <f t="shared" si="21"/>
        <v>0</v>
      </c>
      <c r="BF56" s="971"/>
      <c r="BG56" s="236"/>
      <c r="BH56" s="12"/>
      <c r="BI56" s="12"/>
      <c r="BJ56" s="12"/>
      <c r="BK56" s="12"/>
      <c r="BL56" s="12"/>
      <c r="BM56" s="980" t="e">
        <f>BM51+24</f>
        <v>#REF!</v>
      </c>
      <c r="BN56" s="367"/>
      <c r="BO56" s="981"/>
      <c r="BP56" s="12"/>
      <c r="BQ56" s="12"/>
      <c r="BR56" s="12"/>
      <c r="BS56" s="973"/>
      <c r="BT56" s="12"/>
      <c r="BU56" s="12"/>
      <c r="BV56" s="12"/>
      <c r="BW56" s="982" t="s">
        <v>506</v>
      </c>
      <c r="BX56" s="983">
        <f t="shared" si="22"/>
        <v>0</v>
      </c>
      <c r="BY56" s="12" t="e">
        <f>VLOOKUP(B56,#REF!,13,0)</f>
        <v>#REF!</v>
      </c>
      <c r="BZ56" s="1047">
        <v>136</v>
      </c>
      <c r="CA56" s="1181" t="e">
        <f>VLOOKUP(B56,Pedido!$B$16:$L$292,22,0)</f>
        <v>#N/A</v>
      </c>
      <c r="CD56" s="578">
        <f>CD51+12</f>
        <v>168</v>
      </c>
      <c r="CE56" s="578">
        <f t="shared" si="29"/>
        <v>14</v>
      </c>
      <c r="CF56" s="578" t="str">
        <f t="shared" si="28"/>
        <v>16814</v>
      </c>
      <c r="CG56" s="576" t="s">
        <v>547</v>
      </c>
    </row>
    <row r="57" spans="1:85" ht="33.75" customHeight="1">
      <c r="A57" s="524"/>
      <c r="B57" s="714">
        <v>15838521679</v>
      </c>
      <c r="C57" s="700" t="s">
        <v>477</v>
      </c>
      <c r="D57" s="701" t="s">
        <v>477</v>
      </c>
      <c r="E57" s="702" t="s">
        <v>475</v>
      </c>
      <c r="F57" s="703" t="s">
        <v>61</v>
      </c>
      <c r="G57" s="712" t="s">
        <v>284</v>
      </c>
      <c r="H57" s="1147">
        <v>65.88</v>
      </c>
      <c r="I57" s="705">
        <v>239.39999999999998</v>
      </c>
      <c r="J57" s="706" t="str">
        <f t="shared" si="30"/>
        <v/>
      </c>
      <c r="K57" s="707" t="str">
        <f t="shared" si="38"/>
        <v/>
      </c>
      <c r="L57" s="708">
        <v>168.18</v>
      </c>
      <c r="M57" s="708">
        <f t="shared" si="23"/>
        <v>129.9</v>
      </c>
      <c r="N57" s="708">
        <f t="shared" si="24"/>
        <v>129.9</v>
      </c>
      <c r="O57" s="708">
        <f t="shared" si="25"/>
        <v>129.9</v>
      </c>
      <c r="P57" s="924">
        <v>129.9</v>
      </c>
      <c r="Q57" s="924">
        <v>129.9</v>
      </c>
      <c r="R57" s="924">
        <v>129.9</v>
      </c>
      <c r="S57" s="924">
        <v>129.9</v>
      </c>
      <c r="T57" s="164" t="str">
        <f t="shared" si="0"/>
        <v/>
      </c>
      <c r="U57" s="729" t="str">
        <f t="shared" si="1"/>
        <v/>
      </c>
      <c r="V57" s="735"/>
      <c r="W57" s="1103"/>
      <c r="X57" s="733"/>
      <c r="Y57" s="151" t="str">
        <f t="shared" si="31"/>
        <v/>
      </c>
      <c r="Z57" s="231">
        <f t="shared" si="2"/>
        <v>0</v>
      </c>
      <c r="AA57" s="166">
        <f t="shared" si="3"/>
        <v>0</v>
      </c>
      <c r="AB57" s="166">
        <f t="shared" si="32"/>
        <v>0</v>
      </c>
      <c r="AC57" s="166">
        <f t="shared" si="33"/>
        <v>0</v>
      </c>
      <c r="AD57" s="166">
        <f t="shared" si="4"/>
        <v>0</v>
      </c>
      <c r="AE57" s="166">
        <f t="shared" si="5"/>
        <v>0</v>
      </c>
      <c r="AF57" s="166">
        <f t="shared" si="6"/>
        <v>0</v>
      </c>
      <c r="AG57" s="730">
        <f t="shared" si="7"/>
        <v>0</v>
      </c>
      <c r="AH57" s="166">
        <f t="shared" si="8"/>
        <v>0</v>
      </c>
      <c r="AI57" s="166">
        <f t="shared" si="9"/>
        <v>0</v>
      </c>
      <c r="AJ57" s="166">
        <f t="shared" si="10"/>
        <v>0</v>
      </c>
      <c r="AK57" s="166">
        <f t="shared" si="11"/>
        <v>0</v>
      </c>
      <c r="AL57" s="166">
        <f t="shared" si="12"/>
        <v>0</v>
      </c>
      <c r="AM57" s="166">
        <f t="shared" si="13"/>
        <v>0</v>
      </c>
      <c r="AN57" s="166">
        <f t="shared" si="14"/>
        <v>0</v>
      </c>
      <c r="AO57" s="166">
        <f t="shared" si="15"/>
        <v>0</v>
      </c>
      <c r="AP57" s="167">
        <f t="shared" si="16"/>
        <v>0.60827684623617562</v>
      </c>
      <c r="AQ57" s="168">
        <f t="shared" si="17"/>
        <v>87.839999999999989</v>
      </c>
      <c r="AR57" s="543">
        <v>6</v>
      </c>
      <c r="AS57" s="731">
        <f t="shared" si="34"/>
        <v>60.827684623617564</v>
      </c>
      <c r="AT57" s="167">
        <f t="shared" si="18"/>
        <v>0</v>
      </c>
      <c r="AU57" s="732">
        <f t="shared" si="19"/>
        <v>0</v>
      </c>
      <c r="AV57" s="169"/>
      <c r="AW57" s="167" t="e">
        <f>VLOOKUP(AX57,Sup!#REF!,8,0)</f>
        <v>#REF!</v>
      </c>
      <c r="AX57" s="989" t="s">
        <v>198</v>
      </c>
      <c r="AY57" s="556">
        <v>0</v>
      </c>
      <c r="AZ57" s="35"/>
      <c r="BA57" s="35"/>
      <c r="BB57" s="35"/>
      <c r="BC57" s="35">
        <f t="shared" si="20"/>
        <v>0</v>
      </c>
      <c r="BD57" s="35" t="str">
        <f t="shared" si="35"/>
        <v/>
      </c>
      <c r="BE57" s="45">
        <f t="shared" si="21"/>
        <v>0</v>
      </c>
      <c r="BF57" s="971"/>
      <c r="BG57" s="236"/>
      <c r="BH57" s="12"/>
      <c r="BI57" s="12"/>
      <c r="BJ57" s="12"/>
      <c r="BK57" s="12"/>
      <c r="BL57" s="12"/>
      <c r="BM57" s="980" t="e">
        <f t="shared" si="26"/>
        <v>#REF!</v>
      </c>
      <c r="BN57" s="367"/>
      <c r="BO57" s="981"/>
      <c r="BP57" s="12"/>
      <c r="BQ57" s="12"/>
      <c r="BR57" s="12"/>
      <c r="BS57" s="973"/>
      <c r="BT57" s="12"/>
      <c r="BU57" s="12"/>
      <c r="BV57" s="12"/>
      <c r="BW57" s="982" t="s">
        <v>506</v>
      </c>
      <c r="BX57" s="983">
        <f t="shared" si="22"/>
        <v>0</v>
      </c>
      <c r="BY57" s="12" t="e">
        <f>VLOOKUP(B57,#REF!,13,0)</f>
        <v>#REF!</v>
      </c>
      <c r="BZ57" s="1048">
        <v>136</v>
      </c>
      <c r="CA57" s="1181" t="e">
        <f>VLOOKUP(B57,Pedido!$B$16:$L$292,22,0)</f>
        <v>#N/A</v>
      </c>
      <c r="CD57" s="578">
        <f t="shared" si="27"/>
        <v>180</v>
      </c>
      <c r="CE57" s="578">
        <f t="shared" si="29"/>
        <v>15</v>
      </c>
      <c r="CF57" s="578" t="str">
        <f t="shared" si="28"/>
        <v>18015</v>
      </c>
      <c r="CG57" s="576" t="s">
        <v>547</v>
      </c>
    </row>
    <row r="58" spans="1:85" ht="33.75" customHeight="1">
      <c r="A58" s="524"/>
      <c r="B58" s="713">
        <v>11331746667</v>
      </c>
      <c r="C58" s="710" t="s">
        <v>477</v>
      </c>
      <c r="D58" s="701" t="s">
        <v>477</v>
      </c>
      <c r="E58" s="702" t="s">
        <v>271</v>
      </c>
      <c r="F58" s="703" t="s">
        <v>61</v>
      </c>
      <c r="G58" s="712" t="s">
        <v>284</v>
      </c>
      <c r="H58" s="1147">
        <v>76.72</v>
      </c>
      <c r="I58" s="705">
        <v>239.39999999999998</v>
      </c>
      <c r="J58" s="706" t="str">
        <f t="shared" si="30"/>
        <v/>
      </c>
      <c r="K58" s="707" t="str">
        <f t="shared" si="38"/>
        <v/>
      </c>
      <c r="L58" s="711">
        <v>168.18</v>
      </c>
      <c r="M58" s="708">
        <f t="shared" si="23"/>
        <v>129.9</v>
      </c>
      <c r="N58" s="708">
        <f t="shared" si="24"/>
        <v>129.9</v>
      </c>
      <c r="O58" s="708">
        <f t="shared" si="25"/>
        <v>129.9</v>
      </c>
      <c r="P58" s="924">
        <v>129.9</v>
      </c>
      <c r="Q58" s="924">
        <v>129.9</v>
      </c>
      <c r="R58" s="924">
        <v>129.9</v>
      </c>
      <c r="S58" s="924">
        <v>129.9</v>
      </c>
      <c r="T58" s="246" t="str">
        <f t="shared" si="0"/>
        <v/>
      </c>
      <c r="U58" s="298" t="str">
        <f t="shared" si="1"/>
        <v/>
      </c>
      <c r="V58" s="734"/>
      <c r="W58" s="1100"/>
      <c r="X58" s="264"/>
      <c r="Y58" s="113" t="str">
        <f t="shared" si="31"/>
        <v/>
      </c>
      <c r="Z58" s="223">
        <f t="shared" si="2"/>
        <v>0</v>
      </c>
      <c r="AA58" s="307">
        <f t="shared" si="3"/>
        <v>0</v>
      </c>
      <c r="AB58" s="307">
        <f t="shared" si="32"/>
        <v>0</v>
      </c>
      <c r="AC58" s="307">
        <f t="shared" si="33"/>
        <v>0</v>
      </c>
      <c r="AD58" s="307">
        <f t="shared" si="4"/>
        <v>0</v>
      </c>
      <c r="AE58" s="307">
        <f t="shared" si="5"/>
        <v>0</v>
      </c>
      <c r="AF58" s="307">
        <f t="shared" si="6"/>
        <v>0</v>
      </c>
      <c r="AG58" s="308">
        <f t="shared" si="7"/>
        <v>0</v>
      </c>
      <c r="AH58" s="307">
        <f t="shared" si="8"/>
        <v>0</v>
      </c>
      <c r="AI58" s="307">
        <f t="shared" si="9"/>
        <v>0</v>
      </c>
      <c r="AJ58" s="307">
        <f t="shared" si="10"/>
        <v>0</v>
      </c>
      <c r="AK58" s="307">
        <f t="shared" si="11"/>
        <v>0</v>
      </c>
      <c r="AL58" s="307">
        <f t="shared" si="12"/>
        <v>0</v>
      </c>
      <c r="AM58" s="307">
        <f t="shared" si="13"/>
        <v>0</v>
      </c>
      <c r="AN58" s="307">
        <f t="shared" si="14"/>
        <v>0</v>
      </c>
      <c r="AO58" s="307">
        <f t="shared" si="15"/>
        <v>0</v>
      </c>
      <c r="AP58" s="309">
        <f t="shared" si="16"/>
        <v>0.54382209537400406</v>
      </c>
      <c r="AQ58" s="310">
        <f t="shared" si="17"/>
        <v>102.29333333333334</v>
      </c>
      <c r="AR58" s="544">
        <v>6</v>
      </c>
      <c r="AS58" s="725">
        <f t="shared" si="34"/>
        <v>54.382209537400406</v>
      </c>
      <c r="AT58" s="309">
        <f t="shared" si="18"/>
        <v>0</v>
      </c>
      <c r="AU58" s="726">
        <f t="shared" si="19"/>
        <v>0</v>
      </c>
      <c r="AV58" s="311"/>
      <c r="AW58" s="309" t="e">
        <f>VLOOKUP(AX58,Sup!#REF!,8,0)</f>
        <v>#REF!</v>
      </c>
      <c r="AX58" s="985" t="s">
        <v>198</v>
      </c>
      <c r="AY58" s="556">
        <v>0</v>
      </c>
      <c r="AZ58" s="35"/>
      <c r="BA58" s="35"/>
      <c r="BB58" s="35"/>
      <c r="BC58" s="35">
        <f t="shared" si="20"/>
        <v>0</v>
      </c>
      <c r="BD58" s="35" t="str">
        <f t="shared" si="35"/>
        <v/>
      </c>
      <c r="BE58" s="45">
        <f t="shared" si="21"/>
        <v>0</v>
      </c>
      <c r="BF58" s="971"/>
      <c r="BG58" s="236"/>
      <c r="BH58" s="12"/>
      <c r="BI58" s="12"/>
      <c r="BJ58" s="12"/>
      <c r="BK58" s="12"/>
      <c r="BL58" s="12"/>
      <c r="BM58" s="980" t="e">
        <f t="shared" si="26"/>
        <v>#REF!</v>
      </c>
      <c r="BN58" s="367"/>
      <c r="BO58" s="981"/>
      <c r="BP58" s="12"/>
      <c r="BQ58" s="12"/>
      <c r="BR58" s="12"/>
      <c r="BS58" s="973"/>
      <c r="BT58" s="12"/>
      <c r="BU58" s="12"/>
      <c r="BV58" s="12"/>
      <c r="BW58" s="982" t="s">
        <v>506</v>
      </c>
      <c r="BX58" s="983">
        <f t="shared" si="22"/>
        <v>0</v>
      </c>
      <c r="BY58" s="12" t="e">
        <f>VLOOKUP(B58,#REF!,13,0)</f>
        <v>#REF!</v>
      </c>
      <c r="BZ58" s="1051">
        <v>136</v>
      </c>
      <c r="CA58" s="1181" t="e">
        <f>VLOOKUP(B58,Pedido!$B$16:$L$292,22,0)</f>
        <v>#N/A</v>
      </c>
      <c r="CD58" s="578">
        <f t="shared" si="27"/>
        <v>192</v>
      </c>
      <c r="CE58" s="578">
        <f t="shared" si="29"/>
        <v>16</v>
      </c>
      <c r="CF58" s="578" t="str">
        <f t="shared" si="28"/>
        <v>19216</v>
      </c>
      <c r="CG58" s="576" t="s">
        <v>547</v>
      </c>
    </row>
    <row r="59" spans="1:85" ht="33.75" customHeight="1">
      <c r="A59" s="524"/>
      <c r="B59" s="714">
        <v>9932709230</v>
      </c>
      <c r="C59" s="700" t="s">
        <v>477</v>
      </c>
      <c r="D59" s="701" t="s">
        <v>477</v>
      </c>
      <c r="E59" s="702" t="s">
        <v>476</v>
      </c>
      <c r="F59" s="703" t="s">
        <v>61</v>
      </c>
      <c r="G59" s="712" t="s">
        <v>284</v>
      </c>
      <c r="H59" s="1147">
        <v>60.57</v>
      </c>
      <c r="I59" s="705">
        <v>239.39999999999998</v>
      </c>
      <c r="J59" s="706" t="str">
        <f t="shared" si="30"/>
        <v/>
      </c>
      <c r="K59" s="707" t="str">
        <f t="shared" si="38"/>
        <v/>
      </c>
      <c r="L59" s="708">
        <v>158.28</v>
      </c>
      <c r="M59" s="708">
        <f t="shared" si="23"/>
        <v>129.9</v>
      </c>
      <c r="N59" s="708">
        <f t="shared" si="24"/>
        <v>129.9</v>
      </c>
      <c r="O59" s="708">
        <f t="shared" si="25"/>
        <v>129.9</v>
      </c>
      <c r="P59" s="924">
        <v>129.9</v>
      </c>
      <c r="Q59" s="924">
        <v>129.9</v>
      </c>
      <c r="R59" s="924">
        <v>129.9</v>
      </c>
      <c r="S59" s="924">
        <v>129.9</v>
      </c>
      <c r="T59" s="274" t="str">
        <f t="shared" si="0"/>
        <v/>
      </c>
      <c r="U59" s="152" t="str">
        <f t="shared" si="1"/>
        <v/>
      </c>
      <c r="V59" s="695"/>
      <c r="W59" s="696"/>
      <c r="X59" s="171"/>
      <c r="Y59" s="103" t="str">
        <f t="shared" si="31"/>
        <v/>
      </c>
      <c r="Z59" s="225">
        <f t="shared" si="2"/>
        <v>0</v>
      </c>
      <c r="AA59" s="275">
        <f t="shared" si="3"/>
        <v>0</v>
      </c>
      <c r="AB59" s="275">
        <f t="shared" si="32"/>
        <v>0</v>
      </c>
      <c r="AC59" s="275">
        <f t="shared" si="33"/>
        <v>0</v>
      </c>
      <c r="AD59" s="275">
        <f t="shared" si="4"/>
        <v>0</v>
      </c>
      <c r="AE59" s="275">
        <f t="shared" si="5"/>
        <v>0</v>
      </c>
      <c r="AF59" s="275">
        <f t="shared" si="6"/>
        <v>0</v>
      </c>
      <c r="AG59" s="290">
        <f t="shared" si="7"/>
        <v>0</v>
      </c>
      <c r="AH59" s="275">
        <f t="shared" si="8"/>
        <v>0</v>
      </c>
      <c r="AI59" s="275">
        <f t="shared" si="9"/>
        <v>0</v>
      </c>
      <c r="AJ59" s="275">
        <f t="shared" si="10"/>
        <v>0</v>
      </c>
      <c r="AK59" s="275">
        <f t="shared" si="11"/>
        <v>0</v>
      </c>
      <c r="AL59" s="275">
        <f t="shared" si="12"/>
        <v>0</v>
      </c>
      <c r="AM59" s="275">
        <f t="shared" si="13"/>
        <v>0</v>
      </c>
      <c r="AN59" s="275">
        <f t="shared" si="14"/>
        <v>0</v>
      </c>
      <c r="AO59" s="275">
        <f t="shared" si="15"/>
        <v>0</v>
      </c>
      <c r="AP59" s="276">
        <f t="shared" si="16"/>
        <v>0.61732373009855945</v>
      </c>
      <c r="AQ59" s="291">
        <f t="shared" si="17"/>
        <v>80.760000000000005</v>
      </c>
      <c r="AR59" s="542">
        <v>6</v>
      </c>
      <c r="AS59" s="727">
        <f t="shared" si="34"/>
        <v>61.732373009855948</v>
      </c>
      <c r="AT59" s="276">
        <f t="shared" si="18"/>
        <v>0</v>
      </c>
      <c r="AU59" s="728">
        <f t="shared" si="19"/>
        <v>0</v>
      </c>
      <c r="AV59" s="277"/>
      <c r="AW59" s="276" t="e">
        <f>VLOOKUP(AX59,Sup!#REF!,8,0)</f>
        <v>#REF!</v>
      </c>
      <c r="AX59" s="988" t="s">
        <v>198</v>
      </c>
      <c r="AY59" s="556">
        <v>0</v>
      </c>
      <c r="AZ59" s="35"/>
      <c r="BA59" s="35"/>
      <c r="BB59" s="35"/>
      <c r="BC59" s="35">
        <f t="shared" si="20"/>
        <v>0</v>
      </c>
      <c r="BD59" s="35" t="str">
        <f t="shared" si="35"/>
        <v/>
      </c>
      <c r="BE59" s="45">
        <f t="shared" si="21"/>
        <v>0</v>
      </c>
      <c r="BF59" s="971"/>
      <c r="BG59" s="236"/>
      <c r="BH59" s="12"/>
      <c r="BI59" s="12"/>
      <c r="BJ59" s="12"/>
      <c r="BK59" s="12"/>
      <c r="BL59" s="12"/>
      <c r="BM59" s="980" t="e">
        <f t="shared" si="26"/>
        <v>#REF!</v>
      </c>
      <c r="BN59" s="367"/>
      <c r="BO59" s="981"/>
      <c r="BP59" s="12"/>
      <c r="BQ59" s="12"/>
      <c r="BR59" s="12"/>
      <c r="BS59" s="973"/>
      <c r="BT59" s="12"/>
      <c r="BU59" s="12"/>
      <c r="BV59" s="12"/>
      <c r="BW59" s="982" t="s">
        <v>506</v>
      </c>
      <c r="BX59" s="983">
        <f t="shared" si="22"/>
        <v>0</v>
      </c>
      <c r="BY59" s="12" t="e">
        <f>VLOOKUP(B59,#REF!,13,0)</f>
        <v>#REF!</v>
      </c>
      <c r="BZ59" s="1048">
        <v>128</v>
      </c>
      <c r="CA59" s="1181" t="e">
        <f>VLOOKUP(B59,Pedido!$B$16:$L$292,22,0)</f>
        <v>#N/A</v>
      </c>
      <c r="CD59" s="578">
        <f t="shared" si="27"/>
        <v>204</v>
      </c>
      <c r="CE59" s="578">
        <f t="shared" si="29"/>
        <v>17</v>
      </c>
      <c r="CF59" s="578" t="str">
        <f t="shared" si="28"/>
        <v>20417</v>
      </c>
      <c r="CG59" s="576" t="s">
        <v>547</v>
      </c>
    </row>
    <row r="60" spans="1:85" ht="33.75" customHeight="1" thickBot="1">
      <c r="A60" s="947"/>
      <c r="B60" s="821">
        <v>9932775189</v>
      </c>
      <c r="C60" s="785" t="s">
        <v>477</v>
      </c>
      <c r="D60" s="786" t="s">
        <v>477</v>
      </c>
      <c r="E60" s="787" t="s">
        <v>465</v>
      </c>
      <c r="F60" s="788" t="s">
        <v>61</v>
      </c>
      <c r="G60" s="815" t="s">
        <v>284</v>
      </c>
      <c r="H60" s="1148">
        <v>63.32</v>
      </c>
      <c r="I60" s="816">
        <v>239.39999999999998</v>
      </c>
      <c r="J60" s="817" t="str">
        <f t="shared" si="30"/>
        <v/>
      </c>
      <c r="K60" s="818" t="str">
        <f t="shared" si="38"/>
        <v/>
      </c>
      <c r="L60" s="819">
        <v>168.18</v>
      </c>
      <c r="M60" s="819">
        <f t="shared" si="23"/>
        <v>129.9</v>
      </c>
      <c r="N60" s="819">
        <f t="shared" si="24"/>
        <v>129.9</v>
      </c>
      <c r="O60" s="819">
        <f t="shared" si="25"/>
        <v>129.9</v>
      </c>
      <c r="P60" s="925">
        <v>129.9</v>
      </c>
      <c r="Q60" s="925">
        <v>129.9</v>
      </c>
      <c r="R60" s="925">
        <v>129.9</v>
      </c>
      <c r="S60" s="925">
        <v>129.9</v>
      </c>
      <c r="T60" s="746" t="str">
        <f t="shared" si="0"/>
        <v/>
      </c>
      <c r="U60" s="747" t="str">
        <f t="shared" si="1"/>
        <v/>
      </c>
      <c r="V60" s="795"/>
      <c r="W60" s="1101"/>
      <c r="X60" s="796"/>
      <c r="Y60" s="797" t="str">
        <f t="shared" si="31"/>
        <v/>
      </c>
      <c r="Z60" s="798">
        <f t="shared" si="2"/>
        <v>0</v>
      </c>
      <c r="AA60" s="748">
        <f t="shared" si="3"/>
        <v>0</v>
      </c>
      <c r="AB60" s="748">
        <f t="shared" si="32"/>
        <v>0</v>
      </c>
      <c r="AC60" s="748">
        <f t="shared" si="33"/>
        <v>0</v>
      </c>
      <c r="AD60" s="748">
        <f t="shared" si="4"/>
        <v>0</v>
      </c>
      <c r="AE60" s="748">
        <f t="shared" si="5"/>
        <v>0</v>
      </c>
      <c r="AF60" s="748">
        <f t="shared" si="6"/>
        <v>0</v>
      </c>
      <c r="AG60" s="749">
        <f t="shared" si="7"/>
        <v>0</v>
      </c>
      <c r="AH60" s="748">
        <f t="shared" si="8"/>
        <v>0</v>
      </c>
      <c r="AI60" s="748">
        <f t="shared" si="9"/>
        <v>0</v>
      </c>
      <c r="AJ60" s="748">
        <f t="shared" si="10"/>
        <v>0</v>
      </c>
      <c r="AK60" s="748">
        <f t="shared" si="11"/>
        <v>0</v>
      </c>
      <c r="AL60" s="748">
        <f t="shared" si="12"/>
        <v>0</v>
      </c>
      <c r="AM60" s="748">
        <f t="shared" si="13"/>
        <v>0</v>
      </c>
      <c r="AN60" s="748">
        <f t="shared" si="14"/>
        <v>0</v>
      </c>
      <c r="AO60" s="748">
        <f t="shared" si="15"/>
        <v>0</v>
      </c>
      <c r="AP60" s="750">
        <f t="shared" si="16"/>
        <v>0.62349863241764769</v>
      </c>
      <c r="AQ60" s="751">
        <f t="shared" si="17"/>
        <v>84.426666666666662</v>
      </c>
      <c r="AR60" s="752">
        <v>6</v>
      </c>
      <c r="AS60" s="753">
        <f t="shared" si="34"/>
        <v>62.349863241764766</v>
      </c>
      <c r="AT60" s="750">
        <f t="shared" si="18"/>
        <v>0</v>
      </c>
      <c r="AU60" s="754">
        <f t="shared" si="19"/>
        <v>0</v>
      </c>
      <c r="AV60" s="755"/>
      <c r="AW60" s="750" t="e">
        <f>VLOOKUP(AX60,Sup!#REF!,8,0)</f>
        <v>#REF!</v>
      </c>
      <c r="AX60" s="986" t="s">
        <v>198</v>
      </c>
      <c r="AY60" s="556">
        <v>0</v>
      </c>
      <c r="AZ60" s="35"/>
      <c r="BA60" s="35"/>
      <c r="BB60" s="35"/>
      <c r="BC60" s="35">
        <f t="shared" si="20"/>
        <v>0</v>
      </c>
      <c r="BD60" s="35" t="str">
        <f t="shared" si="35"/>
        <v/>
      </c>
      <c r="BE60" s="45">
        <f t="shared" si="21"/>
        <v>0</v>
      </c>
      <c r="BF60" s="971"/>
      <c r="BG60" s="236"/>
      <c r="BH60" s="12"/>
      <c r="BI60" s="12"/>
      <c r="BJ60" s="12"/>
      <c r="BK60" s="12"/>
      <c r="BL60" s="12"/>
      <c r="BM60" s="980" t="e">
        <f t="shared" si="26"/>
        <v>#REF!</v>
      </c>
      <c r="BN60" s="367"/>
      <c r="BO60" s="981"/>
      <c r="BP60" s="12"/>
      <c r="BQ60" s="12"/>
      <c r="BR60" s="12"/>
      <c r="BS60" s="973"/>
      <c r="BT60" s="12"/>
      <c r="BU60" s="12"/>
      <c r="BV60" s="12"/>
      <c r="BW60" s="982" t="s">
        <v>506</v>
      </c>
      <c r="BX60" s="983">
        <f t="shared" si="22"/>
        <v>0</v>
      </c>
      <c r="BY60" s="12" t="e">
        <f>VLOOKUP(B60,#REF!,13,0)</f>
        <v>#REF!</v>
      </c>
      <c r="BZ60" s="1052">
        <v>136</v>
      </c>
      <c r="CA60" s="1181" t="e">
        <f>VLOOKUP(B60,Pedido!$B$16:$L$292,22,0)</f>
        <v>#N/A</v>
      </c>
      <c r="CD60" s="578">
        <f t="shared" si="27"/>
        <v>216</v>
      </c>
      <c r="CE60" s="578">
        <f t="shared" si="29"/>
        <v>18</v>
      </c>
      <c r="CF60" s="578" t="str">
        <f t="shared" si="28"/>
        <v>21618</v>
      </c>
      <c r="CG60" s="576" t="s">
        <v>547</v>
      </c>
    </row>
    <row r="61" spans="1:85" ht="58.5" customHeight="1">
      <c r="A61" s="949"/>
      <c r="B61" s="255" t="s">
        <v>159</v>
      </c>
      <c r="C61" s="186" t="str">
        <f t="shared" ref="C61:C68" si="39">LEFT(B61,6)</f>
        <v>XACGAL</v>
      </c>
      <c r="D61" s="391" t="s">
        <v>160</v>
      </c>
      <c r="E61" s="392" t="s">
        <v>161</v>
      </c>
      <c r="F61" s="393" t="s">
        <v>162</v>
      </c>
      <c r="G61" s="455">
        <v>1875</v>
      </c>
      <c r="H61" s="1150">
        <v>9.9</v>
      </c>
      <c r="I61" s="187">
        <v>39.9</v>
      </c>
      <c r="J61" s="260" t="str">
        <f t="shared" si="30"/>
        <v/>
      </c>
      <c r="K61" s="189" t="str">
        <f>IF(T61="","",IFERROR(1-(T61/I61),0))</f>
        <v/>
      </c>
      <c r="L61" s="237">
        <v>27.9</v>
      </c>
      <c r="M61" s="470">
        <f t="shared" si="23"/>
        <v>23.9</v>
      </c>
      <c r="N61" s="470">
        <f t="shared" si="24"/>
        <v>23.9</v>
      </c>
      <c r="O61" s="470">
        <f t="shared" si="25"/>
        <v>23.9</v>
      </c>
      <c r="P61" s="190">
        <v>23.9</v>
      </c>
      <c r="Q61" s="190">
        <v>21.9</v>
      </c>
      <c r="R61" s="190">
        <v>20.9</v>
      </c>
      <c r="S61" s="191">
        <v>19.899999999999999</v>
      </c>
      <c r="T61" s="192" t="str">
        <f t="shared" si="0"/>
        <v/>
      </c>
      <c r="U61" s="193" t="str">
        <f t="shared" si="1"/>
        <v/>
      </c>
      <c r="V61" s="1104"/>
      <c r="W61" s="1105"/>
      <c r="X61" s="1106"/>
      <c r="Y61" s="194" t="str">
        <f t="shared" si="31"/>
        <v/>
      </c>
      <c r="Z61" s="217">
        <f t="shared" si="2"/>
        <v>0</v>
      </c>
      <c r="AA61" s="104">
        <f t="shared" si="3"/>
        <v>0</v>
      </c>
      <c r="AB61" s="104">
        <f t="shared" si="32"/>
        <v>0</v>
      </c>
      <c r="AC61" s="104">
        <f t="shared" si="33"/>
        <v>0</v>
      </c>
      <c r="AD61" s="104">
        <f>IFERROR(X61*T61,0)</f>
        <v>0</v>
      </c>
      <c r="AE61" s="104">
        <f>IFERROR(W61*H61,0)</f>
        <v>0</v>
      </c>
      <c r="AF61" s="104">
        <f>IFERROR(1-(AE61/AB61),0)</f>
        <v>0</v>
      </c>
      <c r="AG61" s="105">
        <f>IFERROR(SUM(W61:X61)*I61,0)</f>
        <v>0</v>
      </c>
      <c r="AH61" s="104">
        <f>IFERROR(IF(V61&gt;0,V61*W61,(Y61*W61)),0)</f>
        <v>0</v>
      </c>
      <c r="AI61" s="104">
        <f>IFERROR(SUM(W61)*H61,0)</f>
        <v>0</v>
      </c>
      <c r="AJ61" s="104">
        <f t="shared" si="10"/>
        <v>0</v>
      </c>
      <c r="AK61" s="104">
        <f t="shared" si="11"/>
        <v>0</v>
      </c>
      <c r="AL61" s="104">
        <f t="shared" si="12"/>
        <v>0</v>
      </c>
      <c r="AM61" s="104">
        <f>SUM(AJ61:AL61)</f>
        <v>0</v>
      </c>
      <c r="AN61" s="104">
        <f t="shared" si="14"/>
        <v>0</v>
      </c>
      <c r="AO61" s="104">
        <f t="shared" si="15"/>
        <v>0</v>
      </c>
      <c r="AP61" s="106">
        <f>IFERROR(IF(V61&lt;&gt;"",1-(H61/V61),IF(Y61&lt;&gt;"",1-(H61/Y61),1-(H61/L61))),0)</f>
        <v>0.64516129032258063</v>
      </c>
      <c r="AQ61" s="107">
        <f>H61/0.75</f>
        <v>13.200000000000001</v>
      </c>
      <c r="AR61" s="533">
        <v>5</v>
      </c>
      <c r="AS61" s="108" t="s">
        <v>158</v>
      </c>
      <c r="AT61" s="106">
        <f t="shared" si="18"/>
        <v>0</v>
      </c>
      <c r="AU61" s="109">
        <f t="shared" si="19"/>
        <v>0</v>
      </c>
      <c r="AV61" s="110"/>
      <c r="AW61" s="106" t="e">
        <f>VLOOKUP(AX61,Sup!#REF!,8,0)</f>
        <v>#REF!</v>
      </c>
      <c r="AX61" s="990" t="s">
        <v>197</v>
      </c>
      <c r="AY61" s="556">
        <v>0</v>
      </c>
      <c r="AZ61" s="32"/>
      <c r="BA61" s="32"/>
      <c r="BB61" s="32"/>
      <c r="BC61" s="32">
        <f t="shared" si="20"/>
        <v>0</v>
      </c>
      <c r="BD61" s="32" t="str">
        <f t="shared" si="35"/>
        <v/>
      </c>
      <c r="BE61" s="40">
        <f>IF(V61="",0,(V61*W61)-(BD61*W61))</f>
        <v>0</v>
      </c>
      <c r="BF61" s="971"/>
      <c r="BG61" s="236"/>
      <c r="BH61" s="12"/>
      <c r="BI61" s="12"/>
      <c r="BJ61" s="12"/>
      <c r="BK61" s="12"/>
      <c r="BL61" s="12"/>
      <c r="BM61" s="980"/>
      <c r="BN61" s="367"/>
      <c r="BO61" s="981"/>
      <c r="BP61" s="12"/>
      <c r="BQ61" s="12"/>
      <c r="BR61" s="12"/>
      <c r="BS61" s="973"/>
      <c r="BT61" s="12"/>
      <c r="BU61" s="12"/>
      <c r="BV61" s="12"/>
      <c r="BW61" s="982" t="s">
        <v>392</v>
      </c>
      <c r="BX61" s="983">
        <f>IFERROR(W61*U61,0)</f>
        <v>0</v>
      </c>
      <c r="BY61" s="12" t="e">
        <f>VLOOKUP(B61,#REF!,13,0)</f>
        <v>#REF!</v>
      </c>
      <c r="BZ61" s="1053">
        <v>16.899999999999999</v>
      </c>
      <c r="CA61" s="1181" t="e">
        <f>VLOOKUP(B61,Pedido!$B$16:$L$292,22,0)</f>
        <v>#N/A</v>
      </c>
      <c r="CD61" s="578">
        <f t="shared" si="27"/>
        <v>228</v>
      </c>
      <c r="CE61" s="578">
        <f t="shared" si="29"/>
        <v>19</v>
      </c>
      <c r="CF61" s="578" t="str">
        <f t="shared" si="28"/>
        <v>22819</v>
      </c>
      <c r="CG61" s="576" t="s">
        <v>547</v>
      </c>
    </row>
    <row r="62" spans="1:85" ht="59.25" customHeight="1">
      <c r="A62" s="950"/>
      <c r="B62" s="256" t="s">
        <v>163</v>
      </c>
      <c r="C62" s="95" t="str">
        <f t="shared" si="39"/>
        <v>XACCOQ</v>
      </c>
      <c r="D62" s="374" t="s">
        <v>164</v>
      </c>
      <c r="E62" s="375" t="s">
        <v>161</v>
      </c>
      <c r="F62" s="376" t="s">
        <v>162</v>
      </c>
      <c r="G62" s="456">
        <v>800</v>
      </c>
      <c r="H62" s="1151">
        <v>5.45</v>
      </c>
      <c r="I62" s="96">
        <v>29.9</v>
      </c>
      <c r="J62" s="97" t="str">
        <f t="shared" si="30"/>
        <v/>
      </c>
      <c r="K62" s="98" t="str">
        <f t="shared" ref="K62:K162" si="40">IF(T62="","",IFERROR(1-(T62/I62),0))</f>
        <v/>
      </c>
      <c r="L62" s="238">
        <v>21.9</v>
      </c>
      <c r="M62" s="471">
        <f t="shared" si="23"/>
        <v>18.899999999999999</v>
      </c>
      <c r="N62" s="471">
        <f t="shared" si="24"/>
        <v>18.899999999999999</v>
      </c>
      <c r="O62" s="471">
        <f t="shared" si="25"/>
        <v>18.899999999999999</v>
      </c>
      <c r="P62" s="99">
        <v>18.899999999999999</v>
      </c>
      <c r="Q62" s="99">
        <v>16.899999999999999</v>
      </c>
      <c r="R62" s="99">
        <v>15.9</v>
      </c>
      <c r="S62" s="100">
        <v>14.9</v>
      </c>
      <c r="T62" s="111" t="str">
        <f t="shared" si="0"/>
        <v/>
      </c>
      <c r="U62" s="112" t="str">
        <f t="shared" si="1"/>
        <v/>
      </c>
      <c r="V62" s="1107"/>
      <c r="W62" s="696"/>
      <c r="X62" s="171"/>
      <c r="Y62" s="113" t="str">
        <f t="shared" si="31"/>
        <v/>
      </c>
      <c r="Z62" s="225">
        <f t="shared" si="2"/>
        <v>0</v>
      </c>
      <c r="AA62" s="104">
        <f t="shared" si="3"/>
        <v>0</v>
      </c>
      <c r="AB62" s="104">
        <f t="shared" si="32"/>
        <v>0</v>
      </c>
      <c r="AC62" s="104">
        <f t="shared" si="33"/>
        <v>0</v>
      </c>
      <c r="AD62" s="104">
        <f>IFERROR(X62*T62,0)</f>
        <v>0</v>
      </c>
      <c r="AE62" s="104">
        <f t="shared" ref="AE62:AE198" si="41">IFERROR(W62*H62,0)</f>
        <v>0</v>
      </c>
      <c r="AF62" s="104">
        <f t="shared" ref="AF62:AF198" si="42">IFERROR(1-(AE62/AB62),0)</f>
        <v>0</v>
      </c>
      <c r="AG62" s="105">
        <f t="shared" ref="AG62:AG198" si="43">IFERROR(SUM(W62:X62)*I62,0)</f>
        <v>0</v>
      </c>
      <c r="AH62" s="104">
        <f t="shared" ref="AH62:AH198" si="44">IFERROR(IF(V62&gt;0,V62*W62,(Y62*W62)),0)</f>
        <v>0</v>
      </c>
      <c r="AI62" s="104">
        <f t="shared" ref="AI62:AI198" si="45">IFERROR(SUM(W62)*H62,0)</f>
        <v>0</v>
      </c>
      <c r="AJ62" s="104">
        <f t="shared" si="10"/>
        <v>0</v>
      </c>
      <c r="AK62" s="104">
        <f t="shared" si="11"/>
        <v>0</v>
      </c>
      <c r="AL62" s="104">
        <f t="shared" si="12"/>
        <v>0</v>
      </c>
      <c r="AM62" s="104">
        <f t="shared" ref="AM62:AM198" si="46">SUM(AJ62:AL62)</f>
        <v>0</v>
      </c>
      <c r="AN62" s="104">
        <f t="shared" si="14"/>
        <v>0</v>
      </c>
      <c r="AO62" s="104">
        <f t="shared" si="15"/>
        <v>0</v>
      </c>
      <c r="AP62" s="106">
        <f t="shared" ref="AP62:AP198" si="47">IFERROR(IF(V62&lt;&gt;"",1-(H62/V62),IF(Y62&lt;&gt;"",1-(H62/Y62),1-(H62/L62))),0)</f>
        <v>0.75114155251141557</v>
      </c>
      <c r="AQ62" s="107">
        <f t="shared" ref="AQ62:AQ198" si="48">H62/0.75</f>
        <v>7.2666666666666666</v>
      </c>
      <c r="AR62" s="534">
        <v>12</v>
      </c>
      <c r="AS62" s="108" t="s">
        <v>158</v>
      </c>
      <c r="AT62" s="106">
        <f t="shared" si="18"/>
        <v>0</v>
      </c>
      <c r="AU62" s="109">
        <f t="shared" si="19"/>
        <v>0</v>
      </c>
      <c r="AV62" s="110"/>
      <c r="AW62" s="106" t="e">
        <f>VLOOKUP(AX62,Sup!#REF!,8,0)</f>
        <v>#REF!</v>
      </c>
      <c r="AX62" s="990" t="s">
        <v>197</v>
      </c>
      <c r="AY62" s="556">
        <v>0</v>
      </c>
      <c r="AZ62" s="32"/>
      <c r="BA62" s="32"/>
      <c r="BB62" s="32"/>
      <c r="BC62" s="32">
        <f t="shared" si="20"/>
        <v>0</v>
      </c>
      <c r="BD62" s="32" t="str">
        <f t="shared" si="35"/>
        <v/>
      </c>
      <c r="BE62" s="40">
        <f t="shared" ref="BE62:BE202" si="49">IF(V62="",0,(V62*W62)-(BD62*W62))</f>
        <v>0</v>
      </c>
      <c r="BF62" s="971"/>
      <c r="BG62" s="236"/>
      <c r="BH62" s="12"/>
      <c r="BI62" s="12"/>
      <c r="BJ62" s="12"/>
      <c r="BK62" s="12"/>
      <c r="BL62" s="12"/>
      <c r="BM62" s="980"/>
      <c r="BN62" s="367"/>
      <c r="BO62" s="981"/>
      <c r="BP62" s="12"/>
      <c r="BQ62" s="12"/>
      <c r="BR62" s="12"/>
      <c r="BS62" s="973"/>
      <c r="BT62" s="12"/>
      <c r="BU62" s="12"/>
      <c r="BV62" s="12"/>
      <c r="BW62" s="982" t="s">
        <v>392</v>
      </c>
      <c r="BX62" s="983">
        <f t="shared" ref="BX62:BX148" si="50">IFERROR(W62*U62,0)</f>
        <v>0</v>
      </c>
      <c r="BY62" s="12" t="e">
        <f>VLOOKUP(B62,#REF!,13,0)</f>
        <v>#REF!</v>
      </c>
      <c r="BZ62" s="1054">
        <v>11.9</v>
      </c>
      <c r="CA62" s="1181" t="e">
        <f>VLOOKUP(B62,Pedido!$B$16:$L$292,22,0)</f>
        <v>#N/A</v>
      </c>
      <c r="CD62" s="578">
        <f t="shared" si="27"/>
        <v>240</v>
      </c>
      <c r="CE62" s="578">
        <f t="shared" si="29"/>
        <v>20</v>
      </c>
      <c r="CF62" s="578" t="str">
        <f t="shared" si="28"/>
        <v>24020</v>
      </c>
      <c r="CG62" s="576" t="s">
        <v>547</v>
      </c>
    </row>
    <row r="63" spans="1:85" ht="37.5" customHeight="1">
      <c r="A63" s="950"/>
      <c r="B63" s="114" t="s">
        <v>165</v>
      </c>
      <c r="C63" s="114" t="str">
        <f t="shared" si="39"/>
        <v>XACSQZ</v>
      </c>
      <c r="D63" s="378" t="s">
        <v>166</v>
      </c>
      <c r="E63" s="379" t="s">
        <v>167</v>
      </c>
      <c r="F63" s="380" t="s">
        <v>162</v>
      </c>
      <c r="G63" s="457">
        <v>800</v>
      </c>
      <c r="H63" s="1152">
        <v>4.38</v>
      </c>
      <c r="I63" s="115">
        <v>21.9</v>
      </c>
      <c r="J63" s="116" t="str">
        <f t="shared" si="30"/>
        <v/>
      </c>
      <c r="K63" s="117" t="str">
        <f t="shared" si="40"/>
        <v/>
      </c>
      <c r="L63" s="239">
        <v>15.9</v>
      </c>
      <c r="M63" s="472">
        <f t="shared" si="23"/>
        <v>13.9</v>
      </c>
      <c r="N63" s="472">
        <f t="shared" si="24"/>
        <v>13.9</v>
      </c>
      <c r="O63" s="472">
        <f t="shared" si="25"/>
        <v>13.9</v>
      </c>
      <c r="P63" s="118">
        <v>13.9</v>
      </c>
      <c r="Q63" s="118">
        <v>12.9</v>
      </c>
      <c r="R63" s="118">
        <v>11.9</v>
      </c>
      <c r="S63" s="119">
        <v>10.9</v>
      </c>
      <c r="T63" s="120" t="str">
        <f t="shared" si="0"/>
        <v/>
      </c>
      <c r="U63" s="121" t="str">
        <f t="shared" si="1"/>
        <v/>
      </c>
      <c r="V63" s="1108"/>
      <c r="W63" s="694"/>
      <c r="X63" s="170"/>
      <c r="Y63" s="122" t="str">
        <f t="shared" si="31"/>
        <v/>
      </c>
      <c r="Z63" s="224">
        <f t="shared" si="2"/>
        <v>0</v>
      </c>
      <c r="AA63" s="123">
        <f t="shared" si="3"/>
        <v>0</v>
      </c>
      <c r="AB63" s="123">
        <f t="shared" si="32"/>
        <v>0</v>
      </c>
      <c r="AC63" s="123">
        <f t="shared" si="33"/>
        <v>0</v>
      </c>
      <c r="AD63" s="123">
        <f t="shared" ref="AD63:AD202" si="51">IFERROR(X63*T63,0)</f>
        <v>0</v>
      </c>
      <c r="AE63" s="123">
        <f t="shared" si="41"/>
        <v>0</v>
      </c>
      <c r="AF63" s="123">
        <f t="shared" si="42"/>
        <v>0</v>
      </c>
      <c r="AG63" s="124">
        <f t="shared" si="43"/>
        <v>0</v>
      </c>
      <c r="AH63" s="123">
        <f t="shared" si="44"/>
        <v>0</v>
      </c>
      <c r="AI63" s="123">
        <f t="shared" si="45"/>
        <v>0</v>
      </c>
      <c r="AJ63" s="123">
        <f t="shared" si="10"/>
        <v>0</v>
      </c>
      <c r="AK63" s="123">
        <f t="shared" si="11"/>
        <v>0</v>
      </c>
      <c r="AL63" s="123">
        <f t="shared" si="12"/>
        <v>0</v>
      </c>
      <c r="AM63" s="123">
        <f t="shared" si="46"/>
        <v>0</v>
      </c>
      <c r="AN63" s="123">
        <f t="shared" si="14"/>
        <v>0</v>
      </c>
      <c r="AO63" s="123">
        <f t="shared" si="15"/>
        <v>0</v>
      </c>
      <c r="AP63" s="125">
        <f t="shared" si="47"/>
        <v>0.72452830188679251</v>
      </c>
      <c r="AQ63" s="126">
        <f t="shared" si="48"/>
        <v>5.84</v>
      </c>
      <c r="AR63" s="535" t="s">
        <v>158</v>
      </c>
      <c r="AS63" s="127" t="s">
        <v>158</v>
      </c>
      <c r="AT63" s="125">
        <f t="shared" si="18"/>
        <v>0</v>
      </c>
      <c r="AU63" s="128">
        <f t="shared" si="19"/>
        <v>0</v>
      </c>
      <c r="AV63" s="110"/>
      <c r="AW63" s="125" t="e">
        <f>VLOOKUP(AX63,Sup!#REF!,8,0)</f>
        <v>#REF!</v>
      </c>
      <c r="AX63" s="991" t="s">
        <v>197</v>
      </c>
      <c r="AY63" s="556">
        <v>0</v>
      </c>
      <c r="AZ63" s="41"/>
      <c r="BA63" s="41"/>
      <c r="BB63" s="41"/>
      <c r="BC63" s="41">
        <f t="shared" si="20"/>
        <v>0</v>
      </c>
      <c r="BD63" s="41" t="str">
        <f t="shared" si="35"/>
        <v/>
      </c>
      <c r="BE63" s="42">
        <f t="shared" si="49"/>
        <v>0</v>
      </c>
      <c r="BF63" s="971"/>
      <c r="BG63" s="236"/>
      <c r="BH63" s="12"/>
      <c r="BI63" s="12"/>
      <c r="BJ63" s="12"/>
      <c r="BK63" s="12"/>
      <c r="BL63" s="12"/>
      <c r="BM63" s="980"/>
      <c r="BN63" s="367"/>
      <c r="BO63" s="981"/>
      <c r="BP63" s="12"/>
      <c r="BQ63" s="12"/>
      <c r="BR63" s="12"/>
      <c r="BS63" s="973"/>
      <c r="BT63" s="12"/>
      <c r="BU63" s="12"/>
      <c r="BV63" s="12"/>
      <c r="BW63" s="982" t="s">
        <v>392</v>
      </c>
      <c r="BX63" s="983">
        <f t="shared" si="50"/>
        <v>0</v>
      </c>
      <c r="BY63" s="12" t="e">
        <f>VLOOKUP(B63,#REF!,13,0)</f>
        <v>#REF!</v>
      </c>
      <c r="BZ63" s="1055">
        <v>9.9</v>
      </c>
      <c r="CA63" s="1181" t="e">
        <f>VLOOKUP(B63,Pedido!$B$16:$L$292,22,0)</f>
        <v>#N/A</v>
      </c>
    </row>
    <row r="64" spans="1:85" ht="37.5" customHeight="1" thickBot="1">
      <c r="A64" s="950"/>
      <c r="B64" s="95" t="s">
        <v>168</v>
      </c>
      <c r="C64" s="95" t="str">
        <f t="shared" si="39"/>
        <v>XACSQZ</v>
      </c>
      <c r="D64" s="374" t="s">
        <v>166</v>
      </c>
      <c r="E64" s="375" t="s">
        <v>169</v>
      </c>
      <c r="F64" s="376" t="s">
        <v>162</v>
      </c>
      <c r="G64" s="456">
        <v>800</v>
      </c>
      <c r="H64" s="1151">
        <v>4.38</v>
      </c>
      <c r="I64" s="96">
        <v>21.9</v>
      </c>
      <c r="J64" s="97" t="str">
        <f t="shared" si="30"/>
        <v/>
      </c>
      <c r="K64" s="98" t="str">
        <f t="shared" si="40"/>
        <v/>
      </c>
      <c r="L64" s="238">
        <v>15.9</v>
      </c>
      <c r="M64" s="471">
        <f t="shared" si="23"/>
        <v>13.9</v>
      </c>
      <c r="N64" s="471">
        <f t="shared" si="24"/>
        <v>13.9</v>
      </c>
      <c r="O64" s="471">
        <f t="shared" si="25"/>
        <v>13.9</v>
      </c>
      <c r="P64" s="99">
        <v>13.9</v>
      </c>
      <c r="Q64" s="99">
        <v>12.9</v>
      </c>
      <c r="R64" s="99">
        <v>11.9</v>
      </c>
      <c r="S64" s="100">
        <v>10.9</v>
      </c>
      <c r="T64" s="101" t="str">
        <f t="shared" si="0"/>
        <v/>
      </c>
      <c r="U64" s="102" t="str">
        <f t="shared" si="1"/>
        <v/>
      </c>
      <c r="V64" s="1107"/>
      <c r="W64" s="696"/>
      <c r="X64" s="171"/>
      <c r="Y64" s="103" t="str">
        <f t="shared" si="31"/>
        <v/>
      </c>
      <c r="Z64" s="225">
        <f t="shared" si="2"/>
        <v>0</v>
      </c>
      <c r="AA64" s="104">
        <f t="shared" si="3"/>
        <v>0</v>
      </c>
      <c r="AB64" s="104">
        <f t="shared" si="32"/>
        <v>0</v>
      </c>
      <c r="AC64" s="104">
        <f t="shared" si="33"/>
        <v>0</v>
      </c>
      <c r="AD64" s="104">
        <f t="shared" si="51"/>
        <v>0</v>
      </c>
      <c r="AE64" s="104">
        <f t="shared" si="41"/>
        <v>0</v>
      </c>
      <c r="AF64" s="104">
        <f t="shared" si="42"/>
        <v>0</v>
      </c>
      <c r="AG64" s="105">
        <f t="shared" si="43"/>
        <v>0</v>
      </c>
      <c r="AH64" s="104">
        <f t="shared" si="44"/>
        <v>0</v>
      </c>
      <c r="AI64" s="104">
        <f t="shared" si="45"/>
        <v>0</v>
      </c>
      <c r="AJ64" s="104">
        <f t="shared" si="10"/>
        <v>0</v>
      </c>
      <c r="AK64" s="104">
        <f t="shared" si="11"/>
        <v>0</v>
      </c>
      <c r="AL64" s="104">
        <f t="shared" si="12"/>
        <v>0</v>
      </c>
      <c r="AM64" s="104">
        <f t="shared" si="46"/>
        <v>0</v>
      </c>
      <c r="AN64" s="104">
        <f t="shared" si="14"/>
        <v>0</v>
      </c>
      <c r="AO64" s="104">
        <f t="shared" si="15"/>
        <v>0</v>
      </c>
      <c r="AP64" s="106">
        <f t="shared" si="47"/>
        <v>0.72452830188679251</v>
      </c>
      <c r="AQ64" s="107">
        <f t="shared" si="48"/>
        <v>5.84</v>
      </c>
      <c r="AR64" s="534" t="s">
        <v>158</v>
      </c>
      <c r="AS64" s="108" t="s">
        <v>158</v>
      </c>
      <c r="AT64" s="106">
        <f t="shared" si="18"/>
        <v>0</v>
      </c>
      <c r="AU64" s="109">
        <f t="shared" si="19"/>
        <v>0</v>
      </c>
      <c r="AV64" s="110"/>
      <c r="AW64" s="106" t="e">
        <f>VLOOKUP(AX64,Sup!#REF!,8,0)</f>
        <v>#REF!</v>
      </c>
      <c r="AX64" s="990" t="s">
        <v>197</v>
      </c>
      <c r="AY64" s="556">
        <v>0</v>
      </c>
      <c r="AZ64" s="32"/>
      <c r="BA64" s="32"/>
      <c r="BB64" s="32"/>
      <c r="BC64" s="32">
        <f t="shared" si="20"/>
        <v>0</v>
      </c>
      <c r="BD64" s="32" t="str">
        <f t="shared" si="35"/>
        <v/>
      </c>
      <c r="BE64" s="40">
        <f t="shared" si="49"/>
        <v>0</v>
      </c>
      <c r="BF64" s="971"/>
      <c r="BG64" s="236"/>
      <c r="BH64" s="12"/>
      <c r="BI64" s="12"/>
      <c r="BJ64" s="12"/>
      <c r="BK64" s="12"/>
      <c r="BL64" s="12"/>
      <c r="BM64" s="980"/>
      <c r="BN64" s="367"/>
      <c r="BO64" s="981"/>
      <c r="BP64" s="12"/>
      <c r="BQ64" s="12"/>
      <c r="BR64" s="12"/>
      <c r="BS64" s="973"/>
      <c r="BT64" s="12"/>
      <c r="BU64" s="12"/>
      <c r="BV64" s="12"/>
      <c r="BW64" s="982" t="s">
        <v>392</v>
      </c>
      <c r="BX64" s="983">
        <f t="shared" si="50"/>
        <v>0</v>
      </c>
      <c r="BY64" s="12" t="e">
        <f>VLOOKUP(B64,#REF!,13,0)</f>
        <v>#REF!</v>
      </c>
      <c r="BZ64" s="1054">
        <v>9.9</v>
      </c>
      <c r="CA64" s="1181" t="e">
        <f>VLOOKUP(B64,Pedido!$B$16:$L$292,22,0)</f>
        <v>#N/A</v>
      </c>
    </row>
    <row r="65" spans="1:84" ht="49.5" customHeight="1" thickBot="1">
      <c r="A65" s="951"/>
      <c r="B65" s="186" t="s">
        <v>81</v>
      </c>
      <c r="C65" s="186" t="str">
        <f t="shared" si="39"/>
        <v>PCPB21</v>
      </c>
      <c r="D65" s="391" t="s">
        <v>82</v>
      </c>
      <c r="E65" s="392" t="s">
        <v>80</v>
      </c>
      <c r="F65" s="393" t="s">
        <v>61</v>
      </c>
      <c r="G65" s="394">
        <v>100</v>
      </c>
      <c r="H65" s="1150">
        <v>18.09</v>
      </c>
      <c r="I65" s="187">
        <v>74.900000000000006</v>
      </c>
      <c r="J65" s="188" t="str">
        <f t="shared" si="30"/>
        <v/>
      </c>
      <c r="K65" s="189" t="str">
        <f t="shared" si="40"/>
        <v/>
      </c>
      <c r="L65" s="237">
        <v>53.9</v>
      </c>
      <c r="M65" s="470">
        <f t="shared" si="23"/>
        <v>46.9</v>
      </c>
      <c r="N65" s="470">
        <f t="shared" si="24"/>
        <v>46.9</v>
      </c>
      <c r="O65" s="470">
        <f t="shared" si="25"/>
        <v>46.9</v>
      </c>
      <c r="P65" s="190">
        <v>46.9</v>
      </c>
      <c r="Q65" s="190">
        <v>42.9</v>
      </c>
      <c r="R65" s="190">
        <v>41.9</v>
      </c>
      <c r="S65" s="191">
        <v>39.9</v>
      </c>
      <c r="T65" s="192" t="str">
        <f t="shared" si="0"/>
        <v/>
      </c>
      <c r="U65" s="193" t="str">
        <f t="shared" si="1"/>
        <v/>
      </c>
      <c r="V65" s="1104"/>
      <c r="W65" s="1105"/>
      <c r="X65" s="1106"/>
      <c r="Y65" s="194" t="str">
        <f t="shared" si="31"/>
        <v/>
      </c>
      <c r="Z65" s="227">
        <f t="shared" si="2"/>
        <v>0</v>
      </c>
      <c r="AA65" s="195">
        <f t="shared" si="3"/>
        <v>0</v>
      </c>
      <c r="AB65" s="195">
        <f t="shared" si="32"/>
        <v>0</v>
      </c>
      <c r="AC65" s="195">
        <f t="shared" si="33"/>
        <v>0</v>
      </c>
      <c r="AD65" s="195">
        <f t="shared" si="51"/>
        <v>0</v>
      </c>
      <c r="AE65" s="195">
        <f t="shared" si="41"/>
        <v>0</v>
      </c>
      <c r="AF65" s="195">
        <f t="shared" si="42"/>
        <v>0</v>
      </c>
      <c r="AG65" s="196">
        <f t="shared" si="43"/>
        <v>0</v>
      </c>
      <c r="AH65" s="195">
        <f t="shared" si="44"/>
        <v>0</v>
      </c>
      <c r="AI65" s="195">
        <f t="shared" si="45"/>
        <v>0</v>
      </c>
      <c r="AJ65" s="195">
        <f t="shared" si="10"/>
        <v>0</v>
      </c>
      <c r="AK65" s="195">
        <f t="shared" si="11"/>
        <v>0</v>
      </c>
      <c r="AL65" s="195">
        <f t="shared" si="12"/>
        <v>0</v>
      </c>
      <c r="AM65" s="195">
        <f t="shared" si="46"/>
        <v>0</v>
      </c>
      <c r="AN65" s="195">
        <f t="shared" si="14"/>
        <v>0</v>
      </c>
      <c r="AO65" s="195">
        <f t="shared" si="15"/>
        <v>0</v>
      </c>
      <c r="AP65" s="197">
        <f t="shared" si="47"/>
        <v>0.66437847866419286</v>
      </c>
      <c r="AQ65" s="198">
        <f t="shared" si="48"/>
        <v>24.12</v>
      </c>
      <c r="AR65" s="536">
        <v>24</v>
      </c>
      <c r="AS65" s="202">
        <f t="shared" ref="AS65:AS128" si="52">(AP65-MIN($AP$65:$AP$368))/(MAX($AP$65:$AP$368)-MIN($AP$65:$AP$368))*100</f>
        <v>66.43784786641929</v>
      </c>
      <c r="AT65" s="197">
        <f t="shared" si="18"/>
        <v>0</v>
      </c>
      <c r="AU65" s="199">
        <f t="shared" si="19"/>
        <v>0</v>
      </c>
      <c r="AV65" s="200"/>
      <c r="AW65" s="197" t="e">
        <f>VLOOKUP(AX65,Sup!#REF!,8,0)</f>
        <v>#REF!</v>
      </c>
      <c r="AX65" s="992" t="s">
        <v>197</v>
      </c>
      <c r="AY65" s="556">
        <v>0</v>
      </c>
      <c r="AZ65" s="43"/>
      <c r="BA65" s="43"/>
      <c r="BB65" s="43"/>
      <c r="BC65" s="43">
        <f t="shared" si="20"/>
        <v>0</v>
      </c>
      <c r="BD65" s="43" t="str">
        <f t="shared" si="35"/>
        <v/>
      </c>
      <c r="BE65" s="44">
        <f t="shared" si="49"/>
        <v>0</v>
      </c>
      <c r="BF65" s="971"/>
      <c r="BG65" s="236"/>
      <c r="BH65" s="12"/>
      <c r="BI65" s="12"/>
      <c r="BJ65" s="12"/>
      <c r="BK65" s="12"/>
      <c r="BL65" s="12"/>
      <c r="BM65" s="980"/>
      <c r="BN65" s="367"/>
      <c r="BO65" s="981"/>
      <c r="BP65" s="12"/>
      <c r="BQ65" s="12"/>
      <c r="BR65" s="12"/>
      <c r="BS65" s="973"/>
      <c r="BT65" s="12"/>
      <c r="BU65" s="12"/>
      <c r="BV65" s="12"/>
      <c r="BW65" s="982" t="s">
        <v>392</v>
      </c>
      <c r="BX65" s="983">
        <f t="shared" si="50"/>
        <v>0</v>
      </c>
      <c r="BY65" s="12" t="e">
        <f>VLOOKUP(B65,#REF!,13,0)</f>
        <v>#REF!</v>
      </c>
      <c r="BZ65" s="1053">
        <v>29.9</v>
      </c>
      <c r="CA65" s="1181" t="e">
        <f>VLOOKUP(B65,Pedido!$B$16:$L$292,22,0)</f>
        <v>#N/A</v>
      </c>
    </row>
    <row r="66" spans="1:84" ht="20.25" customHeight="1" thickBot="1">
      <c r="A66" s="524"/>
      <c r="B66" s="140" t="s">
        <v>83</v>
      </c>
      <c r="C66" s="140" t="str">
        <f t="shared" si="39"/>
        <v>PPOB41</v>
      </c>
      <c r="D66" s="378" t="s">
        <v>84</v>
      </c>
      <c r="E66" s="379" t="s">
        <v>75</v>
      </c>
      <c r="F66" s="380" t="s">
        <v>61</v>
      </c>
      <c r="G66" s="382">
        <v>200</v>
      </c>
      <c r="H66" s="1152">
        <v>14.23</v>
      </c>
      <c r="I66" s="115">
        <v>99.9</v>
      </c>
      <c r="J66" s="116" t="str">
        <f t="shared" si="30"/>
        <v/>
      </c>
      <c r="K66" s="117" t="str">
        <f t="shared" si="40"/>
        <v/>
      </c>
      <c r="L66" s="239">
        <v>68.900000000000006</v>
      </c>
      <c r="M66" s="472">
        <f t="shared" si="23"/>
        <v>60.9</v>
      </c>
      <c r="N66" s="472">
        <f t="shared" si="24"/>
        <v>60.9</v>
      </c>
      <c r="O66" s="472">
        <f t="shared" si="25"/>
        <v>60.9</v>
      </c>
      <c r="P66" s="118">
        <v>60.9</v>
      </c>
      <c r="Q66" s="118">
        <v>55.9</v>
      </c>
      <c r="R66" s="118">
        <v>54.9</v>
      </c>
      <c r="S66" s="119">
        <v>52.9</v>
      </c>
      <c r="T66" s="120" t="str">
        <f t="shared" si="0"/>
        <v/>
      </c>
      <c r="U66" s="121" t="str">
        <f t="shared" si="1"/>
        <v/>
      </c>
      <c r="V66" s="1108"/>
      <c r="W66" s="694"/>
      <c r="X66" s="170"/>
      <c r="Y66" s="122" t="str">
        <f t="shared" si="31"/>
        <v/>
      </c>
      <c r="Z66" s="224">
        <f t="shared" si="2"/>
        <v>0</v>
      </c>
      <c r="AA66" s="123">
        <f t="shared" si="3"/>
        <v>0</v>
      </c>
      <c r="AB66" s="123">
        <f t="shared" si="32"/>
        <v>0</v>
      </c>
      <c r="AC66" s="123">
        <f t="shared" si="33"/>
        <v>0</v>
      </c>
      <c r="AD66" s="123">
        <f t="shared" si="51"/>
        <v>0</v>
      </c>
      <c r="AE66" s="123">
        <f t="shared" si="41"/>
        <v>0</v>
      </c>
      <c r="AF66" s="123">
        <f t="shared" si="42"/>
        <v>0</v>
      </c>
      <c r="AG66" s="124">
        <f t="shared" si="43"/>
        <v>0</v>
      </c>
      <c r="AH66" s="123">
        <f t="shared" si="44"/>
        <v>0</v>
      </c>
      <c r="AI66" s="123">
        <f t="shared" si="45"/>
        <v>0</v>
      </c>
      <c r="AJ66" s="123">
        <f t="shared" si="10"/>
        <v>0</v>
      </c>
      <c r="AK66" s="123">
        <f t="shared" si="11"/>
        <v>0</v>
      </c>
      <c r="AL66" s="123">
        <f t="shared" si="12"/>
        <v>0</v>
      </c>
      <c r="AM66" s="123">
        <f t="shared" si="46"/>
        <v>0</v>
      </c>
      <c r="AN66" s="123">
        <f t="shared" si="14"/>
        <v>0</v>
      </c>
      <c r="AO66" s="123">
        <f t="shared" si="15"/>
        <v>0</v>
      </c>
      <c r="AP66" s="125">
        <f t="shared" si="47"/>
        <v>0.79346879535558779</v>
      </c>
      <c r="AQ66" s="126">
        <f t="shared" si="48"/>
        <v>18.973333333333333</v>
      </c>
      <c r="AR66" s="535">
        <v>14</v>
      </c>
      <c r="AS66" s="202">
        <f t="shared" si="52"/>
        <v>79.346879535558784</v>
      </c>
      <c r="AT66" s="197">
        <f t="shared" si="18"/>
        <v>0</v>
      </c>
      <c r="AU66" s="199">
        <f t="shared" si="19"/>
        <v>0</v>
      </c>
      <c r="AV66" s="110"/>
      <c r="AW66" s="138" t="e">
        <f>VLOOKUP(AX66,Sup!#REF!,8,0)</f>
        <v>#REF!</v>
      </c>
      <c r="AX66" s="993" t="s">
        <v>197</v>
      </c>
      <c r="AY66" s="556">
        <v>0</v>
      </c>
      <c r="AZ66" s="35"/>
      <c r="BA66" s="35"/>
      <c r="BB66" s="35">
        <f>IF($F$14="NOVO/REATIVAÇÃO",10*W66*1.4,10*W66)</f>
        <v>0</v>
      </c>
      <c r="BC66" s="35">
        <f t="shared" si="20"/>
        <v>0</v>
      </c>
      <c r="BD66" s="35" t="str">
        <f t="shared" si="35"/>
        <v/>
      </c>
      <c r="BE66" s="45">
        <f t="shared" si="49"/>
        <v>0</v>
      </c>
      <c r="BF66" s="971"/>
      <c r="BG66" s="236"/>
      <c r="BH66" s="12"/>
      <c r="BI66" s="12"/>
      <c r="BJ66" s="12"/>
      <c r="BK66" s="12"/>
      <c r="BL66" s="12"/>
      <c r="BM66" s="980"/>
      <c r="BN66" s="367"/>
      <c r="BO66" s="981"/>
      <c r="BP66" s="12"/>
      <c r="BQ66" s="12"/>
      <c r="BR66" s="12"/>
      <c r="BS66" s="973"/>
      <c r="BT66" s="12"/>
      <c r="BU66" s="12"/>
      <c r="BV66" s="12"/>
      <c r="BW66" s="982" t="s">
        <v>392</v>
      </c>
      <c r="BX66" s="983">
        <f t="shared" si="50"/>
        <v>0</v>
      </c>
      <c r="BY66" s="12" t="e">
        <f>VLOOKUP(B66,#REF!,13,0)</f>
        <v>#REF!</v>
      </c>
      <c r="BZ66" s="1055">
        <v>39.9</v>
      </c>
      <c r="CA66" s="1181" t="e">
        <f>VLOOKUP(B66,Pedido!$B$16:$L$292,22,0)</f>
        <v>#N/A</v>
      </c>
    </row>
    <row r="67" spans="1:84" ht="20.25" customHeight="1" thickBot="1">
      <c r="A67" s="524"/>
      <c r="B67" s="140" t="s">
        <v>85</v>
      </c>
      <c r="C67" s="140" t="str">
        <f t="shared" si="39"/>
        <v>PPOB41</v>
      </c>
      <c r="D67" s="369" t="s">
        <v>84</v>
      </c>
      <c r="E67" s="370" t="s">
        <v>79</v>
      </c>
      <c r="F67" s="371" t="s">
        <v>61</v>
      </c>
      <c r="G67" s="372">
        <v>200</v>
      </c>
      <c r="H67" s="1153">
        <v>14.23</v>
      </c>
      <c r="I67" s="129">
        <v>99.9</v>
      </c>
      <c r="J67" s="130" t="str">
        <f t="shared" si="30"/>
        <v/>
      </c>
      <c r="K67" s="131" t="str">
        <f t="shared" si="40"/>
        <v/>
      </c>
      <c r="L67" s="241">
        <v>68.900000000000006</v>
      </c>
      <c r="M67" s="473">
        <f t="shared" si="23"/>
        <v>60.9</v>
      </c>
      <c r="N67" s="473">
        <f t="shared" si="24"/>
        <v>60.9</v>
      </c>
      <c r="O67" s="473">
        <f t="shared" si="25"/>
        <v>60.9</v>
      </c>
      <c r="P67" s="132">
        <v>60.9</v>
      </c>
      <c r="Q67" s="132">
        <v>55.9</v>
      </c>
      <c r="R67" s="132">
        <v>54.9</v>
      </c>
      <c r="S67" s="133">
        <v>52.9</v>
      </c>
      <c r="T67" s="134" t="str">
        <f t="shared" si="0"/>
        <v/>
      </c>
      <c r="U67" s="135" t="str">
        <f t="shared" si="1"/>
        <v/>
      </c>
      <c r="V67" s="575"/>
      <c r="W67" s="694"/>
      <c r="X67" s="170"/>
      <c r="Y67" s="122" t="str">
        <f t="shared" si="31"/>
        <v/>
      </c>
      <c r="Z67" s="224">
        <f t="shared" si="2"/>
        <v>0</v>
      </c>
      <c r="AA67" s="136">
        <f t="shared" si="3"/>
        <v>0</v>
      </c>
      <c r="AB67" s="136">
        <f t="shared" si="32"/>
        <v>0</v>
      </c>
      <c r="AC67" s="136">
        <f t="shared" si="33"/>
        <v>0</v>
      </c>
      <c r="AD67" s="136">
        <f t="shared" si="51"/>
        <v>0</v>
      </c>
      <c r="AE67" s="136">
        <f t="shared" si="41"/>
        <v>0</v>
      </c>
      <c r="AF67" s="136">
        <f t="shared" si="42"/>
        <v>0</v>
      </c>
      <c r="AG67" s="137">
        <f t="shared" si="43"/>
        <v>0</v>
      </c>
      <c r="AH67" s="136">
        <f t="shared" si="44"/>
        <v>0</v>
      </c>
      <c r="AI67" s="136">
        <f t="shared" si="45"/>
        <v>0</v>
      </c>
      <c r="AJ67" s="136">
        <f t="shared" si="10"/>
        <v>0</v>
      </c>
      <c r="AK67" s="136">
        <f t="shared" si="11"/>
        <v>0</v>
      </c>
      <c r="AL67" s="136">
        <f t="shared" si="12"/>
        <v>0</v>
      </c>
      <c r="AM67" s="136">
        <f t="shared" si="46"/>
        <v>0</v>
      </c>
      <c r="AN67" s="136">
        <f t="shared" si="14"/>
        <v>0</v>
      </c>
      <c r="AO67" s="136">
        <f t="shared" si="15"/>
        <v>0</v>
      </c>
      <c r="AP67" s="138">
        <f t="shared" si="47"/>
        <v>0.79346879535558779</v>
      </c>
      <c r="AQ67" s="139">
        <f t="shared" si="48"/>
        <v>18.973333333333333</v>
      </c>
      <c r="AR67" s="537">
        <v>14</v>
      </c>
      <c r="AS67" s="202">
        <f t="shared" si="52"/>
        <v>79.346879535558784</v>
      </c>
      <c r="AT67" s="197">
        <f t="shared" si="18"/>
        <v>0</v>
      </c>
      <c r="AU67" s="199">
        <f t="shared" si="19"/>
        <v>0</v>
      </c>
      <c r="AV67" s="110"/>
      <c r="AW67" s="138" t="e">
        <f>VLOOKUP(AX67,Sup!#REF!,8,0)</f>
        <v>#REF!</v>
      </c>
      <c r="AX67" s="993" t="s">
        <v>197</v>
      </c>
      <c r="AY67" s="556">
        <v>0</v>
      </c>
      <c r="AZ67" s="35"/>
      <c r="BA67" s="35"/>
      <c r="BB67" s="35">
        <f>IF($F$14="NOVO/REATIVAÇÃO",10*W67*1.4,10*W67)</f>
        <v>0</v>
      </c>
      <c r="BC67" s="35">
        <f t="shared" si="20"/>
        <v>0</v>
      </c>
      <c r="BD67" s="35" t="str">
        <f t="shared" si="35"/>
        <v/>
      </c>
      <c r="BE67" s="45">
        <f t="shared" si="49"/>
        <v>0</v>
      </c>
      <c r="BF67" s="971"/>
      <c r="BG67" s="236"/>
      <c r="BH67" s="12"/>
      <c r="BI67" s="12"/>
      <c r="BJ67" s="12"/>
      <c r="BK67" s="12"/>
      <c r="BL67" s="12"/>
      <c r="BM67" s="980"/>
      <c r="BN67" s="367"/>
      <c r="BO67" s="981"/>
      <c r="BP67" s="12"/>
      <c r="BQ67" s="12"/>
      <c r="BR67" s="12"/>
      <c r="BS67" s="973"/>
      <c r="BT67" s="12"/>
      <c r="BU67" s="12"/>
      <c r="BV67" s="12"/>
      <c r="BW67" s="982" t="s">
        <v>392</v>
      </c>
      <c r="BX67" s="983">
        <f t="shared" si="50"/>
        <v>0</v>
      </c>
      <c r="BY67" s="12" t="e">
        <f>VLOOKUP(B67,#REF!,13,0)</f>
        <v>#REF!</v>
      </c>
      <c r="BZ67" s="1056">
        <v>39.9</v>
      </c>
      <c r="CA67" s="1181" t="e">
        <f>VLOOKUP(B67,Pedido!$B$16:$L$292,22,0)</f>
        <v>#N/A</v>
      </c>
    </row>
    <row r="68" spans="1:84" ht="20.25" customHeight="1" thickBot="1">
      <c r="A68" s="524"/>
      <c r="B68" s="140" t="s">
        <v>86</v>
      </c>
      <c r="C68" s="140" t="str">
        <f t="shared" si="39"/>
        <v>PPOB41</v>
      </c>
      <c r="D68" s="651" t="s">
        <v>84</v>
      </c>
      <c r="E68" s="652" t="s">
        <v>76</v>
      </c>
      <c r="F68" s="653" t="s">
        <v>61</v>
      </c>
      <c r="G68" s="654">
        <v>200</v>
      </c>
      <c r="H68" s="1154">
        <v>14.23</v>
      </c>
      <c r="I68" s="655">
        <v>99.9</v>
      </c>
      <c r="J68" s="656" t="str">
        <f t="shared" si="30"/>
        <v/>
      </c>
      <c r="K68" s="657" t="str">
        <f t="shared" si="40"/>
        <v/>
      </c>
      <c r="L68" s="658">
        <v>68.900000000000006</v>
      </c>
      <c r="M68" s="659">
        <f t="shared" si="23"/>
        <v>60.9</v>
      </c>
      <c r="N68" s="659">
        <f t="shared" si="24"/>
        <v>60.9</v>
      </c>
      <c r="O68" s="659">
        <f t="shared" si="25"/>
        <v>60.9</v>
      </c>
      <c r="P68" s="660">
        <v>60.9</v>
      </c>
      <c r="Q68" s="660">
        <v>55.9</v>
      </c>
      <c r="R68" s="660">
        <v>54.9</v>
      </c>
      <c r="S68" s="661">
        <v>52.9</v>
      </c>
      <c r="T68" s="662" t="str">
        <f t="shared" si="0"/>
        <v/>
      </c>
      <c r="U68" s="663" t="str">
        <f t="shared" si="1"/>
        <v/>
      </c>
      <c r="V68" s="1109"/>
      <c r="W68" s="1110"/>
      <c r="X68" s="1111"/>
      <c r="Y68" s="501" t="str">
        <f t="shared" si="31"/>
        <v/>
      </c>
      <c r="Z68" s="502">
        <f t="shared" si="2"/>
        <v>0</v>
      </c>
      <c r="AA68" s="664">
        <f t="shared" si="3"/>
        <v>0</v>
      </c>
      <c r="AB68" s="664">
        <f t="shared" ref="AB68:AB99" si="53">IFERROR(IF(OR($AA$373&gt;=$S$26,SUMIF($C:$C,C68,$W:$W)&gt;=$S$27),S68,IF(OR($AA$373&gt;=$R$26,SUMIF($C:$C,C68,$W:$W)&gt;=$R$27),R68,IF(OR($AA$373&gt;=$Q$26,SUMIF($C:$C,C68,$W:$W)&gt;=$Q$27),Q68,IF(OR($AA$373&gt;=$P$26,SUMIF($C:$C,C68,$W:$W)&gt;=$P$27),P68,IF(OR($AA$373&gt;=$O$26,SUMIF($C:$C,C68,$W:$W)&gt;=$O$27),O68,IF(OR($AA$373&gt;=$N$26,SUMIF($C:$C,C68,$W:$W)&gt;=$N$27),N68,IF($AA$373&gt;=$M$26,M68,L68)))))))*W68,0)</f>
        <v>0</v>
      </c>
      <c r="AC68" s="664">
        <f t="shared" ref="AC68:AC99" si="54">IFERROR(IF(V68="",0,(IF(AND(W68="",X68=""),"",IF(OR($AA$373&gt;=$S$26,SUMIF($C:$C,C68,$W:$W)&gt;=$S$27),S68*$E$13,IF(OR($AA$373&gt;=$R$26,SUMIF($C:$C,C68,$W:$W)&gt;=$R$27),R68*$E$13,IF(OR($AA$373&gt;=$Q$26,SUMIF($C:$C,C68,$W:$W)&gt;=$Q$27),Q68*$E$13,IF(OR($AA$373&gt;=$P$26,SUMIF($C:$C,C68,$W:$W)&gt;=$P$27),P68*$E$13,IF(OR($AA$373&gt;=$O$26,SUMIF($C:$C,C68,$W:$W)&gt;=$O$27),O68*$E$13,IF(OR($AA$373&gt;=$N$26,SUMIF($C:$C,C68,$W:$W)&gt;=$N$27),N68*$E$13,IF($AA$373&gt;=$M$26,M68*$E$13,L68))))))))-V68)*W68),0)</f>
        <v>0</v>
      </c>
      <c r="AD68" s="664">
        <f t="shared" si="51"/>
        <v>0</v>
      </c>
      <c r="AE68" s="664">
        <f t="shared" si="41"/>
        <v>0</v>
      </c>
      <c r="AF68" s="664">
        <f t="shared" si="42"/>
        <v>0</v>
      </c>
      <c r="AG68" s="665">
        <f t="shared" si="43"/>
        <v>0</v>
      </c>
      <c r="AH68" s="664">
        <f t="shared" si="44"/>
        <v>0</v>
      </c>
      <c r="AI68" s="664">
        <f t="shared" si="45"/>
        <v>0</v>
      </c>
      <c r="AJ68" s="664">
        <f t="shared" si="10"/>
        <v>0</v>
      </c>
      <c r="AK68" s="664">
        <f t="shared" si="11"/>
        <v>0</v>
      </c>
      <c r="AL68" s="664">
        <f t="shared" si="12"/>
        <v>0</v>
      </c>
      <c r="AM68" s="664">
        <f t="shared" si="46"/>
        <v>0</v>
      </c>
      <c r="AN68" s="664">
        <f t="shared" si="14"/>
        <v>0</v>
      </c>
      <c r="AO68" s="664">
        <f t="shared" si="15"/>
        <v>0</v>
      </c>
      <c r="AP68" s="666">
        <f t="shared" si="47"/>
        <v>0.79346879535558779</v>
      </c>
      <c r="AQ68" s="667">
        <f t="shared" si="48"/>
        <v>18.973333333333333</v>
      </c>
      <c r="AR68" s="668">
        <v>14</v>
      </c>
      <c r="AS68" s="669">
        <f t="shared" si="52"/>
        <v>79.346879535558784</v>
      </c>
      <c r="AT68" s="670">
        <f t="shared" si="18"/>
        <v>0</v>
      </c>
      <c r="AU68" s="671">
        <f t="shared" si="19"/>
        <v>0</v>
      </c>
      <c r="AV68" s="672"/>
      <c r="AW68" s="666" t="e">
        <f>VLOOKUP(AX68,Sup!#REF!,8,0)</f>
        <v>#REF!</v>
      </c>
      <c r="AX68" s="994" t="s">
        <v>197</v>
      </c>
      <c r="AY68" s="556">
        <v>0</v>
      </c>
      <c r="AZ68" s="35"/>
      <c r="BA68" s="35"/>
      <c r="BB68" s="35">
        <f>IF($F$14="NOVO/REATIVAÇÃO",10*W68*1.4,10*W68)</f>
        <v>0</v>
      </c>
      <c r="BC68" s="35">
        <f t="shared" si="20"/>
        <v>0</v>
      </c>
      <c r="BD68" s="35" t="str">
        <f t="shared" ref="BD68:BD99" si="55">IFERROR(IF(AND(W68="",X68=""),"",IF(OR($AA$373&gt;=$S$26,SUMIF($C:$C,C68,$W:$W)&gt;=$S$27),S68,IF(OR($AA$373&gt;=$R$26,SUMIF($C:$C,C68,$W:$W)&gt;=$R$27),R68,IF(OR($AA$373&gt;=$Q$26,SUMIF($C:$C,C68,$W:$W)&gt;=$Q$27),Q68,IF(OR($AA$373&gt;=$P$26,SUMIF($C:$C,C68,$W:$W)&gt;=$P$27),P68,IF(OR($AA$373&gt;=$O$26,SUMIF($C:$C,C68,$W:$W)&gt;=$O$27),O68,IF(OR($AA$373&gt;=$N$26,SUMIF($C:$C,C68,$W:$W)&gt;=$N$27),N68,IF($AA$373&gt;=$M$26,M68,L68)))))))*$E$13),0)</f>
        <v/>
      </c>
      <c r="BE68" s="45">
        <f t="shared" si="49"/>
        <v>0</v>
      </c>
      <c r="BF68" s="971"/>
      <c r="BG68" s="236"/>
      <c r="BH68" s="12"/>
      <c r="BI68" s="12"/>
      <c r="BJ68" s="12"/>
      <c r="BK68" s="12"/>
      <c r="BL68" s="12"/>
      <c r="BM68" s="980"/>
      <c r="BN68" s="367"/>
      <c r="BO68" s="981"/>
      <c r="BP68" s="12"/>
      <c r="BQ68" s="12"/>
      <c r="BR68" s="12"/>
      <c r="BS68" s="973"/>
      <c r="BT68" s="12"/>
      <c r="BU68" s="12"/>
      <c r="BV68" s="12"/>
      <c r="BW68" s="982" t="s">
        <v>392</v>
      </c>
      <c r="BX68" s="983">
        <f t="shared" si="50"/>
        <v>0</v>
      </c>
      <c r="BY68" s="12" t="e">
        <f>VLOOKUP(B68,#REF!,13,0)</f>
        <v>#REF!</v>
      </c>
      <c r="BZ68" s="1057">
        <v>39.9</v>
      </c>
      <c r="CA68" s="1181" t="e">
        <f>VLOOKUP(B68,Pedido!$B$16:$L$292,22,0)</f>
        <v>#N/A</v>
      </c>
    </row>
    <row r="69" spans="1:84" ht="36.75" customHeight="1" thickBot="1">
      <c r="A69" s="524"/>
      <c r="B69" s="937" t="s">
        <v>512</v>
      </c>
      <c r="C69" s="141" t="s">
        <v>513</v>
      </c>
      <c r="D69" s="383" t="s">
        <v>511</v>
      </c>
      <c r="E69" s="384" t="s">
        <v>80</v>
      </c>
      <c r="F69" s="385" t="s">
        <v>61</v>
      </c>
      <c r="G69" s="386">
        <v>120</v>
      </c>
      <c r="H69" s="1155">
        <v>23</v>
      </c>
      <c r="I69" s="142">
        <v>109.9</v>
      </c>
      <c r="J69" s="143" t="str">
        <f t="shared" si="30"/>
        <v/>
      </c>
      <c r="K69" s="144" t="str">
        <f t="shared" si="40"/>
        <v/>
      </c>
      <c r="L69" s="242">
        <v>79.900000000000006</v>
      </c>
      <c r="M69" s="474">
        <f t="shared" si="23"/>
        <v>69.900000000000006</v>
      </c>
      <c r="N69" s="474">
        <f t="shared" si="24"/>
        <v>69.900000000000006</v>
      </c>
      <c r="O69" s="474">
        <f t="shared" si="25"/>
        <v>69.900000000000006</v>
      </c>
      <c r="P69" s="145">
        <v>69.900000000000006</v>
      </c>
      <c r="Q69" s="145">
        <v>64.900000000000006</v>
      </c>
      <c r="R69" s="145">
        <v>63.9</v>
      </c>
      <c r="S69" s="146">
        <v>60.9</v>
      </c>
      <c r="T69" s="246" t="str">
        <f t="shared" si="0"/>
        <v/>
      </c>
      <c r="U69" s="298" t="str">
        <f t="shared" si="1"/>
        <v/>
      </c>
      <c r="V69" s="490"/>
      <c r="W69" s="1100"/>
      <c r="X69" s="264"/>
      <c r="Y69" s="113" t="str">
        <f t="shared" si="31"/>
        <v/>
      </c>
      <c r="Z69" s="228">
        <f t="shared" si="2"/>
        <v>0</v>
      </c>
      <c r="AA69" s="147">
        <f t="shared" si="3"/>
        <v>0</v>
      </c>
      <c r="AB69" s="147">
        <f t="shared" si="53"/>
        <v>0</v>
      </c>
      <c r="AC69" s="123">
        <f t="shared" si="54"/>
        <v>0</v>
      </c>
      <c r="AD69" s="147">
        <f t="shared" si="51"/>
        <v>0</v>
      </c>
      <c r="AE69" s="147">
        <f t="shared" si="41"/>
        <v>0</v>
      </c>
      <c r="AF69" s="147">
        <f t="shared" si="42"/>
        <v>0</v>
      </c>
      <c r="AG69" s="148">
        <f t="shared" si="43"/>
        <v>0</v>
      </c>
      <c r="AH69" s="147">
        <f t="shared" si="44"/>
        <v>0</v>
      </c>
      <c r="AI69" s="147">
        <f t="shared" si="45"/>
        <v>0</v>
      </c>
      <c r="AJ69" s="147">
        <f t="shared" si="10"/>
        <v>0</v>
      </c>
      <c r="AK69" s="147">
        <f t="shared" si="11"/>
        <v>0</v>
      </c>
      <c r="AL69" s="147">
        <f t="shared" si="12"/>
        <v>0</v>
      </c>
      <c r="AM69" s="147">
        <f t="shared" si="46"/>
        <v>0</v>
      </c>
      <c r="AN69" s="147">
        <f t="shared" si="14"/>
        <v>0</v>
      </c>
      <c r="AO69" s="147">
        <f t="shared" si="15"/>
        <v>0</v>
      </c>
      <c r="AP69" s="149">
        <f t="shared" si="47"/>
        <v>0.71214017521902373</v>
      </c>
      <c r="AQ69" s="150">
        <f t="shared" si="48"/>
        <v>30.666666666666668</v>
      </c>
      <c r="AR69" s="538">
        <v>18</v>
      </c>
      <c r="AS69" s="202">
        <f t="shared" si="52"/>
        <v>71.214017521902377</v>
      </c>
      <c r="AT69" s="197">
        <f t="shared" si="18"/>
        <v>0</v>
      </c>
      <c r="AU69" s="199">
        <f t="shared" si="19"/>
        <v>0</v>
      </c>
      <c r="AV69" s="110"/>
      <c r="AW69" s="149" t="e">
        <f>VLOOKUP(AX69,Sup!#REF!,8,0)</f>
        <v>#REF!</v>
      </c>
      <c r="AX69" s="995" t="s">
        <v>199</v>
      </c>
      <c r="AY69" s="556">
        <v>0</v>
      </c>
      <c r="AZ69" s="43"/>
      <c r="BA69" s="35"/>
      <c r="BB69" s="43"/>
      <c r="BC69" s="35">
        <f t="shared" si="20"/>
        <v>0</v>
      </c>
      <c r="BD69" s="43" t="str">
        <f t="shared" si="55"/>
        <v/>
      </c>
      <c r="BE69" s="44">
        <f t="shared" si="49"/>
        <v>0</v>
      </c>
      <c r="BF69" s="971"/>
      <c r="BG69" s="236"/>
      <c r="BH69" s="12"/>
      <c r="BI69" s="12"/>
      <c r="BJ69" s="12"/>
      <c r="BK69" s="12"/>
      <c r="BL69" s="12"/>
      <c r="BM69" s="980"/>
      <c r="BN69" s="367"/>
      <c r="BO69" s="981"/>
      <c r="BP69" s="12"/>
      <c r="BQ69" s="12"/>
      <c r="BR69" s="12"/>
      <c r="BS69" s="973"/>
      <c r="BT69" s="12"/>
      <c r="BU69" s="12"/>
      <c r="BV69" s="12"/>
      <c r="BW69" s="982" t="s">
        <v>392</v>
      </c>
      <c r="BX69" s="983">
        <f t="shared" si="50"/>
        <v>0</v>
      </c>
      <c r="BY69" s="12" t="e">
        <f>VLOOKUP(B69,#REF!,13,0)</f>
        <v>#REF!</v>
      </c>
      <c r="BZ69" s="1058">
        <v>47.9</v>
      </c>
      <c r="CA69" s="1181" t="e">
        <f>VLOOKUP(B69,Pedido!$B$16:$L$292,22,0)</f>
        <v>#N/A</v>
      </c>
    </row>
    <row r="70" spans="1:84" ht="36.75" customHeight="1" thickBot="1">
      <c r="A70" s="524"/>
      <c r="B70" s="141" t="s">
        <v>492</v>
      </c>
      <c r="C70" s="141" t="s">
        <v>494</v>
      </c>
      <c r="D70" s="383" t="s">
        <v>508</v>
      </c>
      <c r="E70" s="384" t="s">
        <v>80</v>
      </c>
      <c r="F70" s="385" t="s">
        <v>61</v>
      </c>
      <c r="G70" s="386">
        <v>100</v>
      </c>
      <c r="H70" s="1155">
        <v>20.399999999999999</v>
      </c>
      <c r="I70" s="142">
        <v>139.9</v>
      </c>
      <c r="J70" s="143" t="str">
        <f t="shared" si="30"/>
        <v/>
      </c>
      <c r="K70" s="144" t="str">
        <f t="shared" si="40"/>
        <v/>
      </c>
      <c r="L70" s="242">
        <v>101.9</v>
      </c>
      <c r="M70" s="474">
        <f t="shared" si="23"/>
        <v>89.9</v>
      </c>
      <c r="N70" s="474">
        <f t="shared" si="24"/>
        <v>89.9</v>
      </c>
      <c r="O70" s="474">
        <f t="shared" si="25"/>
        <v>89.9</v>
      </c>
      <c r="P70" s="145">
        <v>89.9</v>
      </c>
      <c r="Q70" s="145">
        <v>82.9</v>
      </c>
      <c r="R70" s="145">
        <v>80.900000000000006</v>
      </c>
      <c r="S70" s="146">
        <v>77.900000000000006</v>
      </c>
      <c r="T70" s="246" t="str">
        <f t="shared" si="0"/>
        <v/>
      </c>
      <c r="U70" s="298" t="str">
        <f t="shared" si="1"/>
        <v/>
      </c>
      <c r="V70" s="490"/>
      <c r="W70" s="1100"/>
      <c r="X70" s="264"/>
      <c r="Y70" s="113" t="str">
        <f t="shared" si="31"/>
        <v/>
      </c>
      <c r="Z70" s="228">
        <f t="shared" si="2"/>
        <v>0</v>
      </c>
      <c r="AA70" s="147">
        <f t="shared" si="3"/>
        <v>0</v>
      </c>
      <c r="AB70" s="147">
        <f t="shared" si="53"/>
        <v>0</v>
      </c>
      <c r="AC70" s="123">
        <f t="shared" si="54"/>
        <v>0</v>
      </c>
      <c r="AD70" s="147">
        <f t="shared" si="51"/>
        <v>0</v>
      </c>
      <c r="AE70" s="147">
        <f t="shared" si="41"/>
        <v>0</v>
      </c>
      <c r="AF70" s="147">
        <f t="shared" si="42"/>
        <v>0</v>
      </c>
      <c r="AG70" s="148">
        <f t="shared" si="43"/>
        <v>0</v>
      </c>
      <c r="AH70" s="147">
        <f t="shared" si="44"/>
        <v>0</v>
      </c>
      <c r="AI70" s="147">
        <f t="shared" si="45"/>
        <v>0</v>
      </c>
      <c r="AJ70" s="147">
        <f t="shared" si="10"/>
        <v>0</v>
      </c>
      <c r="AK70" s="147">
        <f t="shared" si="11"/>
        <v>0</v>
      </c>
      <c r="AL70" s="147">
        <f t="shared" si="12"/>
        <v>0</v>
      </c>
      <c r="AM70" s="147">
        <f t="shared" si="46"/>
        <v>0</v>
      </c>
      <c r="AN70" s="147">
        <f t="shared" si="14"/>
        <v>0</v>
      </c>
      <c r="AO70" s="147">
        <f t="shared" si="15"/>
        <v>0</v>
      </c>
      <c r="AP70" s="149">
        <f t="shared" si="47"/>
        <v>0.79980372914622178</v>
      </c>
      <c r="AQ70" s="150">
        <f t="shared" si="48"/>
        <v>27.2</v>
      </c>
      <c r="AR70" s="538">
        <v>18</v>
      </c>
      <c r="AS70" s="202">
        <f t="shared" si="52"/>
        <v>79.98037291462218</v>
      </c>
      <c r="AT70" s="197">
        <f t="shared" si="18"/>
        <v>0</v>
      </c>
      <c r="AU70" s="199">
        <f t="shared" si="19"/>
        <v>0</v>
      </c>
      <c r="AV70" s="110"/>
      <c r="AW70" s="149" t="e">
        <f>VLOOKUP(AX70,Sup!#REF!,8,0)</f>
        <v>#REF!</v>
      </c>
      <c r="AX70" s="995" t="s">
        <v>199</v>
      </c>
      <c r="AY70" s="556">
        <v>0</v>
      </c>
      <c r="AZ70" s="43"/>
      <c r="BA70" s="35"/>
      <c r="BB70" s="43"/>
      <c r="BC70" s="35">
        <f t="shared" si="20"/>
        <v>0</v>
      </c>
      <c r="BD70" s="43" t="str">
        <f t="shared" si="55"/>
        <v/>
      </c>
      <c r="BE70" s="44">
        <f t="shared" si="49"/>
        <v>0</v>
      </c>
      <c r="BF70" s="971"/>
      <c r="BG70" s="236"/>
      <c r="BH70" s="12"/>
      <c r="BI70" s="12"/>
      <c r="BJ70" s="12"/>
      <c r="BK70" s="12"/>
      <c r="BL70" s="12"/>
      <c r="BM70" s="980"/>
      <c r="BN70" s="367"/>
      <c r="BO70" s="981"/>
      <c r="BP70" s="12"/>
      <c r="BQ70" s="12"/>
      <c r="BR70" s="12"/>
      <c r="BS70" s="973"/>
      <c r="BT70" s="12"/>
      <c r="BU70" s="12"/>
      <c r="BV70" s="12"/>
      <c r="BW70" s="982" t="s">
        <v>392</v>
      </c>
      <c r="BX70" s="983">
        <f t="shared" si="50"/>
        <v>0</v>
      </c>
      <c r="BY70" s="12" t="e">
        <f>VLOOKUP(B70,#REF!,13,0)</f>
        <v>#REF!</v>
      </c>
      <c r="BZ70" s="1058">
        <v>63.9</v>
      </c>
      <c r="CA70" s="1181" t="e">
        <f>VLOOKUP(B70,Pedido!$B$16:$L$292,22,0)</f>
        <v>#N/A</v>
      </c>
    </row>
    <row r="71" spans="1:84" ht="36.75" customHeight="1" thickBot="1">
      <c r="A71" s="524"/>
      <c r="B71" s="141" t="s">
        <v>493</v>
      </c>
      <c r="C71" s="141" t="s">
        <v>495</v>
      </c>
      <c r="D71" s="383" t="s">
        <v>508</v>
      </c>
      <c r="E71" s="384" t="s">
        <v>80</v>
      </c>
      <c r="F71" s="385" t="s">
        <v>61</v>
      </c>
      <c r="G71" s="386">
        <v>300</v>
      </c>
      <c r="H71" s="1155">
        <v>56.8</v>
      </c>
      <c r="I71" s="142">
        <v>319.89999999999998</v>
      </c>
      <c r="J71" s="143" t="str">
        <f t="shared" si="30"/>
        <v/>
      </c>
      <c r="K71" s="144" t="str">
        <f t="shared" si="40"/>
        <v/>
      </c>
      <c r="L71" s="242">
        <v>228.9</v>
      </c>
      <c r="M71" s="474">
        <f t="shared" si="23"/>
        <v>201.9</v>
      </c>
      <c r="N71" s="474">
        <f t="shared" si="24"/>
        <v>201.9</v>
      </c>
      <c r="O71" s="474">
        <f t="shared" si="25"/>
        <v>201.9</v>
      </c>
      <c r="P71" s="145">
        <v>201.9</v>
      </c>
      <c r="Q71" s="145">
        <v>186.9</v>
      </c>
      <c r="R71" s="822">
        <v>183.9</v>
      </c>
      <c r="S71" s="146">
        <v>177.9</v>
      </c>
      <c r="T71" s="134" t="str">
        <f t="shared" si="0"/>
        <v/>
      </c>
      <c r="U71" s="135" t="str">
        <f t="shared" si="1"/>
        <v/>
      </c>
      <c r="V71" s="490"/>
      <c r="W71" s="1100"/>
      <c r="X71" s="264"/>
      <c r="Y71" s="113" t="str">
        <f t="shared" si="31"/>
        <v/>
      </c>
      <c r="Z71" s="228">
        <f t="shared" si="2"/>
        <v>0</v>
      </c>
      <c r="AA71" s="147">
        <f t="shared" si="3"/>
        <v>0</v>
      </c>
      <c r="AB71" s="147">
        <f t="shared" si="53"/>
        <v>0</v>
      </c>
      <c r="AC71" s="123">
        <f t="shared" si="54"/>
        <v>0</v>
      </c>
      <c r="AD71" s="147">
        <f t="shared" si="51"/>
        <v>0</v>
      </c>
      <c r="AE71" s="147">
        <f t="shared" si="41"/>
        <v>0</v>
      </c>
      <c r="AF71" s="147">
        <f t="shared" si="42"/>
        <v>0</v>
      </c>
      <c r="AG71" s="148">
        <f t="shared" si="43"/>
        <v>0</v>
      </c>
      <c r="AH71" s="147">
        <f t="shared" si="44"/>
        <v>0</v>
      </c>
      <c r="AI71" s="147">
        <f t="shared" si="45"/>
        <v>0</v>
      </c>
      <c r="AJ71" s="147">
        <f t="shared" si="10"/>
        <v>0</v>
      </c>
      <c r="AK71" s="147">
        <f t="shared" si="11"/>
        <v>0</v>
      </c>
      <c r="AL71" s="147">
        <f t="shared" si="12"/>
        <v>0</v>
      </c>
      <c r="AM71" s="147">
        <f t="shared" si="46"/>
        <v>0</v>
      </c>
      <c r="AN71" s="147">
        <f t="shared" si="14"/>
        <v>0</v>
      </c>
      <c r="AO71" s="147">
        <f t="shared" si="15"/>
        <v>0</v>
      </c>
      <c r="AP71" s="149">
        <f t="shared" si="47"/>
        <v>0.75185670598514642</v>
      </c>
      <c r="AQ71" s="150">
        <f t="shared" si="48"/>
        <v>75.733333333333334</v>
      </c>
      <c r="AR71" s="538">
        <v>6</v>
      </c>
      <c r="AS71" s="202">
        <f t="shared" si="52"/>
        <v>75.185670598514648</v>
      </c>
      <c r="AT71" s="197">
        <f t="shared" si="18"/>
        <v>0</v>
      </c>
      <c r="AU71" s="199">
        <f t="shared" si="19"/>
        <v>0</v>
      </c>
      <c r="AV71" s="110"/>
      <c r="AW71" s="149" t="e">
        <f>VLOOKUP(AX71,Sup!#REF!,8,0)</f>
        <v>#REF!</v>
      </c>
      <c r="AX71" s="995" t="s">
        <v>199</v>
      </c>
      <c r="AY71" s="556">
        <v>0</v>
      </c>
      <c r="AZ71" s="43"/>
      <c r="BA71" s="35"/>
      <c r="BB71" s="43"/>
      <c r="BC71" s="35">
        <f t="shared" si="20"/>
        <v>0</v>
      </c>
      <c r="BD71" s="43" t="str">
        <f t="shared" si="55"/>
        <v/>
      </c>
      <c r="BE71" s="44">
        <f t="shared" si="49"/>
        <v>0</v>
      </c>
      <c r="BF71" s="971"/>
      <c r="BG71" s="236"/>
      <c r="BH71" s="12"/>
      <c r="BI71" s="12"/>
      <c r="BJ71" s="12"/>
      <c r="BK71" s="12"/>
      <c r="BL71" s="12"/>
      <c r="BM71" s="980"/>
      <c r="BN71" s="367"/>
      <c r="BO71" s="981"/>
      <c r="BP71" s="12"/>
      <c r="BQ71" s="12"/>
      <c r="BR71" s="12"/>
      <c r="BS71" s="973"/>
      <c r="BT71" s="12"/>
      <c r="BU71" s="12"/>
      <c r="BV71" s="12"/>
      <c r="BW71" s="982" t="s">
        <v>392</v>
      </c>
      <c r="BX71" s="983">
        <f t="shared" si="50"/>
        <v>0</v>
      </c>
      <c r="BY71" s="12" t="e">
        <f>VLOOKUP(B71,#REF!,13,0)</f>
        <v>#REF!</v>
      </c>
      <c r="BZ71" s="1058">
        <v>158.9</v>
      </c>
      <c r="CA71" s="1181" t="e">
        <f>VLOOKUP(B71,Pedido!$B$16:$L$292,22,0)</f>
        <v>#N/A</v>
      </c>
    </row>
    <row r="72" spans="1:84" ht="36.75" customHeight="1" thickBot="1">
      <c r="A72" s="524"/>
      <c r="B72" s="141" t="s">
        <v>370</v>
      </c>
      <c r="C72" s="141" t="s">
        <v>369</v>
      </c>
      <c r="D72" s="383" t="s">
        <v>368</v>
      </c>
      <c r="E72" s="384" t="s">
        <v>80</v>
      </c>
      <c r="F72" s="385" t="s">
        <v>61</v>
      </c>
      <c r="G72" s="386">
        <v>100</v>
      </c>
      <c r="H72" s="1155">
        <v>21.345554876113031</v>
      </c>
      <c r="I72" s="142">
        <v>129.9</v>
      </c>
      <c r="J72" s="143" t="str">
        <f t="shared" si="30"/>
        <v/>
      </c>
      <c r="K72" s="144" t="str">
        <f t="shared" si="40"/>
        <v/>
      </c>
      <c r="L72" s="242">
        <v>91.9</v>
      </c>
      <c r="M72" s="474">
        <f t="shared" si="23"/>
        <v>80.900000000000006</v>
      </c>
      <c r="N72" s="474">
        <f t="shared" si="24"/>
        <v>80.900000000000006</v>
      </c>
      <c r="O72" s="474">
        <f t="shared" si="25"/>
        <v>80.900000000000006</v>
      </c>
      <c r="P72" s="145">
        <v>80.900000000000006</v>
      </c>
      <c r="Q72" s="145">
        <v>74.900000000000006</v>
      </c>
      <c r="R72" s="145">
        <v>72.900000000000006</v>
      </c>
      <c r="S72" s="146">
        <v>69.900000000000006</v>
      </c>
      <c r="T72" s="246" t="str">
        <f t="shared" si="0"/>
        <v/>
      </c>
      <c r="U72" s="298" t="str">
        <f t="shared" si="1"/>
        <v/>
      </c>
      <c r="V72" s="490"/>
      <c r="W72" s="1100"/>
      <c r="X72" s="264"/>
      <c r="Y72" s="113" t="str">
        <f t="shared" si="31"/>
        <v/>
      </c>
      <c r="Z72" s="228">
        <f t="shared" si="2"/>
        <v>0</v>
      </c>
      <c r="AA72" s="147">
        <f t="shared" si="3"/>
        <v>0</v>
      </c>
      <c r="AB72" s="147">
        <f t="shared" si="53"/>
        <v>0</v>
      </c>
      <c r="AC72" s="123">
        <f t="shared" si="54"/>
        <v>0</v>
      </c>
      <c r="AD72" s="147">
        <f t="shared" si="51"/>
        <v>0</v>
      </c>
      <c r="AE72" s="147">
        <f t="shared" si="41"/>
        <v>0</v>
      </c>
      <c r="AF72" s="147">
        <f t="shared" si="42"/>
        <v>0</v>
      </c>
      <c r="AG72" s="148">
        <f t="shared" si="43"/>
        <v>0</v>
      </c>
      <c r="AH72" s="147">
        <f t="shared" si="44"/>
        <v>0</v>
      </c>
      <c r="AI72" s="147">
        <f t="shared" si="45"/>
        <v>0</v>
      </c>
      <c r="AJ72" s="147">
        <f t="shared" si="10"/>
        <v>0</v>
      </c>
      <c r="AK72" s="147">
        <f t="shared" si="11"/>
        <v>0</v>
      </c>
      <c r="AL72" s="147">
        <f t="shared" si="12"/>
        <v>0</v>
      </c>
      <c r="AM72" s="147">
        <f t="shared" si="46"/>
        <v>0</v>
      </c>
      <c r="AN72" s="147">
        <f t="shared" si="14"/>
        <v>0</v>
      </c>
      <c r="AO72" s="147">
        <f t="shared" si="15"/>
        <v>0</v>
      </c>
      <c r="AP72" s="149">
        <f t="shared" si="47"/>
        <v>0.76773063246884621</v>
      </c>
      <c r="AQ72" s="150">
        <f t="shared" si="48"/>
        <v>28.460739834817375</v>
      </c>
      <c r="AR72" s="538">
        <v>27</v>
      </c>
      <c r="AS72" s="202">
        <f t="shared" si="52"/>
        <v>76.773063246884618</v>
      </c>
      <c r="AT72" s="197">
        <f t="shared" si="18"/>
        <v>0</v>
      </c>
      <c r="AU72" s="199">
        <f t="shared" si="19"/>
        <v>0</v>
      </c>
      <c r="AV72" s="110"/>
      <c r="AW72" s="149" t="e">
        <f>VLOOKUP(AX72,Sup!#REF!,8,0)</f>
        <v>#REF!</v>
      </c>
      <c r="AX72" s="995" t="s">
        <v>199</v>
      </c>
      <c r="AY72" s="556">
        <v>0</v>
      </c>
      <c r="AZ72" s="43"/>
      <c r="BA72" s="35"/>
      <c r="BB72" s="43"/>
      <c r="BC72" s="35">
        <f t="shared" si="20"/>
        <v>0</v>
      </c>
      <c r="BD72" s="43" t="str">
        <f t="shared" si="55"/>
        <v/>
      </c>
      <c r="BE72" s="44">
        <f t="shared" si="49"/>
        <v>0</v>
      </c>
      <c r="BF72" s="971"/>
      <c r="BG72" s="236"/>
      <c r="BH72" s="12"/>
      <c r="BI72" s="12"/>
      <c r="BJ72" s="12"/>
      <c r="BK72" s="12"/>
      <c r="BL72" s="12"/>
      <c r="BM72" s="980"/>
      <c r="BN72" s="367"/>
      <c r="BO72" s="981"/>
      <c r="BP72" s="12"/>
      <c r="BQ72" s="12"/>
      <c r="BR72" s="12"/>
      <c r="BS72" s="973"/>
      <c r="BT72" s="12"/>
      <c r="BU72" s="12"/>
      <c r="BV72" s="12"/>
      <c r="BW72" s="982" t="s">
        <v>392</v>
      </c>
      <c r="BX72" s="983">
        <f t="shared" si="50"/>
        <v>0</v>
      </c>
      <c r="BY72" s="12" t="e">
        <f>VLOOKUP(B72,#REF!,13,0)</f>
        <v>#REF!</v>
      </c>
      <c r="BZ72" s="1058">
        <v>55.9</v>
      </c>
      <c r="CA72" s="1181" t="e">
        <f>VLOOKUP(B72,Pedido!$B$16:$L$292,22,0)</f>
        <v>#N/A</v>
      </c>
      <c r="CC72" s="1185" t="e">
        <f>SUM(CA73)</f>
        <v>#N/A</v>
      </c>
      <c r="CD72" s="1185"/>
      <c r="CE72" s="1186"/>
      <c r="CF72" s="1186"/>
    </row>
    <row r="73" spans="1:84" ht="36.75" customHeight="1" thickBot="1">
      <c r="A73" s="524"/>
      <c r="B73" s="141" t="s">
        <v>366</v>
      </c>
      <c r="C73" s="141" t="s">
        <v>367</v>
      </c>
      <c r="D73" s="383" t="s">
        <v>368</v>
      </c>
      <c r="E73" s="384" t="s">
        <v>80</v>
      </c>
      <c r="F73" s="385" t="s">
        <v>61</v>
      </c>
      <c r="G73" s="386">
        <v>300</v>
      </c>
      <c r="H73" s="1155">
        <v>59.553127753571594</v>
      </c>
      <c r="I73" s="142">
        <v>299.89999999999998</v>
      </c>
      <c r="J73" s="143" t="str">
        <f t="shared" si="30"/>
        <v/>
      </c>
      <c r="K73" s="144" t="str">
        <f t="shared" si="40"/>
        <v/>
      </c>
      <c r="L73" s="242">
        <v>206.9</v>
      </c>
      <c r="M73" s="474">
        <f t="shared" si="23"/>
        <v>182.9</v>
      </c>
      <c r="N73" s="474">
        <f t="shared" si="24"/>
        <v>182.9</v>
      </c>
      <c r="O73" s="474">
        <f t="shared" si="25"/>
        <v>182.9</v>
      </c>
      <c r="P73" s="145">
        <v>182.9</v>
      </c>
      <c r="Q73" s="145">
        <v>168.9</v>
      </c>
      <c r="R73" s="822">
        <v>165.9</v>
      </c>
      <c r="S73" s="146">
        <v>159.9</v>
      </c>
      <c r="T73" s="134" t="str">
        <f t="shared" si="0"/>
        <v/>
      </c>
      <c r="U73" s="135" t="str">
        <f t="shared" si="1"/>
        <v/>
      </c>
      <c r="V73" s="490"/>
      <c r="W73" s="1100"/>
      <c r="X73" s="264"/>
      <c r="Y73" s="113" t="str">
        <f t="shared" si="31"/>
        <v/>
      </c>
      <c r="Z73" s="228">
        <f t="shared" si="2"/>
        <v>0</v>
      </c>
      <c r="AA73" s="147">
        <f t="shared" si="3"/>
        <v>0</v>
      </c>
      <c r="AB73" s="147">
        <f t="shared" si="53"/>
        <v>0</v>
      </c>
      <c r="AC73" s="123">
        <f t="shared" si="54"/>
        <v>0</v>
      </c>
      <c r="AD73" s="147">
        <f t="shared" si="51"/>
        <v>0</v>
      </c>
      <c r="AE73" s="147">
        <f t="shared" si="41"/>
        <v>0</v>
      </c>
      <c r="AF73" s="147">
        <f t="shared" si="42"/>
        <v>0</v>
      </c>
      <c r="AG73" s="148">
        <f t="shared" si="43"/>
        <v>0</v>
      </c>
      <c r="AH73" s="147">
        <f t="shared" si="44"/>
        <v>0</v>
      </c>
      <c r="AI73" s="147">
        <f t="shared" si="45"/>
        <v>0</v>
      </c>
      <c r="AJ73" s="147">
        <f t="shared" si="10"/>
        <v>0</v>
      </c>
      <c r="AK73" s="147">
        <f t="shared" si="11"/>
        <v>0</v>
      </c>
      <c r="AL73" s="147">
        <f t="shared" si="12"/>
        <v>0</v>
      </c>
      <c r="AM73" s="147">
        <f t="shared" si="46"/>
        <v>0</v>
      </c>
      <c r="AN73" s="147">
        <f t="shared" si="14"/>
        <v>0</v>
      </c>
      <c r="AO73" s="147">
        <f t="shared" si="15"/>
        <v>0</v>
      </c>
      <c r="AP73" s="149">
        <f t="shared" si="47"/>
        <v>0.71216467977974096</v>
      </c>
      <c r="AQ73" s="150">
        <f t="shared" si="48"/>
        <v>79.404170338095454</v>
      </c>
      <c r="AR73" s="538">
        <v>18</v>
      </c>
      <c r="AS73" s="202">
        <f t="shared" si="52"/>
        <v>71.216467977974091</v>
      </c>
      <c r="AT73" s="197">
        <f t="shared" si="18"/>
        <v>0</v>
      </c>
      <c r="AU73" s="199">
        <f t="shared" si="19"/>
        <v>0</v>
      </c>
      <c r="AV73" s="110"/>
      <c r="AW73" s="149" t="e">
        <f>VLOOKUP(AX73,Sup!#REF!,8,0)</f>
        <v>#REF!</v>
      </c>
      <c r="AX73" s="995" t="s">
        <v>199</v>
      </c>
      <c r="AY73" s="556">
        <v>0</v>
      </c>
      <c r="AZ73" s="43"/>
      <c r="BA73" s="35"/>
      <c r="BB73" s="43"/>
      <c r="BC73" s="35">
        <f t="shared" si="20"/>
        <v>0</v>
      </c>
      <c r="BD73" s="43" t="str">
        <f t="shared" si="55"/>
        <v/>
      </c>
      <c r="BE73" s="44">
        <f t="shared" si="49"/>
        <v>0</v>
      </c>
      <c r="BF73" s="971"/>
      <c r="BG73" s="236"/>
      <c r="BH73" s="12"/>
      <c r="BI73" s="12"/>
      <c r="BJ73" s="12"/>
      <c r="BK73" s="12"/>
      <c r="BL73" s="12"/>
      <c r="BM73" s="980"/>
      <c r="BN73" s="367"/>
      <c r="BO73" s="981"/>
      <c r="BP73" s="12"/>
      <c r="BQ73" s="12"/>
      <c r="BR73" s="12"/>
      <c r="BS73" s="973"/>
      <c r="BT73" s="12"/>
      <c r="BU73" s="12"/>
      <c r="BV73" s="12"/>
      <c r="BW73" s="982" t="s">
        <v>392</v>
      </c>
      <c r="BX73" s="983">
        <f t="shared" si="50"/>
        <v>0</v>
      </c>
      <c r="BY73" s="12" t="e">
        <f>VLOOKUP(B73,#REF!,13,0)</f>
        <v>#REF!</v>
      </c>
      <c r="BZ73" s="1058">
        <v>141.9</v>
      </c>
      <c r="CA73" s="1181" t="e">
        <f>VLOOKUP(B73,Pedido!$B$16:$L$292,22,0)</f>
        <v>#N/A</v>
      </c>
      <c r="CC73" s="1186" t="e">
        <f>ROUNDDOWN(CC72/12,0)</f>
        <v>#N/A</v>
      </c>
      <c r="CD73" s="1186"/>
      <c r="CE73" s="1186"/>
      <c r="CF73" s="1187">
        <f>IFERROR((CC73*Pedido!#REF!),0)</f>
        <v>0</v>
      </c>
    </row>
    <row r="74" spans="1:84" ht="36.75" customHeight="1" thickBot="1">
      <c r="A74" s="524"/>
      <c r="B74" s="141" t="s">
        <v>315</v>
      </c>
      <c r="C74" s="141" t="s">
        <v>316</v>
      </c>
      <c r="D74" s="383" t="s">
        <v>313</v>
      </c>
      <c r="E74" s="384" t="s">
        <v>80</v>
      </c>
      <c r="F74" s="385" t="s">
        <v>61</v>
      </c>
      <c r="G74" s="386">
        <v>100</v>
      </c>
      <c r="H74" s="1155">
        <v>6.651075809132327</v>
      </c>
      <c r="I74" s="142">
        <v>74.900000000000006</v>
      </c>
      <c r="J74" s="143" t="str">
        <f t="shared" si="30"/>
        <v/>
      </c>
      <c r="K74" s="144" t="str">
        <f t="shared" si="40"/>
        <v/>
      </c>
      <c r="L74" s="242">
        <v>53.9</v>
      </c>
      <c r="M74" s="474">
        <f t="shared" si="23"/>
        <v>46.9</v>
      </c>
      <c r="N74" s="474">
        <f t="shared" si="24"/>
        <v>46.9</v>
      </c>
      <c r="O74" s="474">
        <f t="shared" si="25"/>
        <v>46.9</v>
      </c>
      <c r="P74" s="145">
        <v>46.9</v>
      </c>
      <c r="Q74" s="145">
        <v>42.9</v>
      </c>
      <c r="R74" s="145">
        <v>41.9</v>
      </c>
      <c r="S74" s="146">
        <v>39.9</v>
      </c>
      <c r="T74" s="111" t="str">
        <f t="shared" si="0"/>
        <v/>
      </c>
      <c r="U74" s="112" t="str">
        <f t="shared" si="1"/>
        <v/>
      </c>
      <c r="V74" s="490"/>
      <c r="W74" s="1100"/>
      <c r="X74" s="264"/>
      <c r="Y74" s="113" t="str">
        <f t="shared" si="31"/>
        <v/>
      </c>
      <c r="Z74" s="228">
        <f t="shared" si="2"/>
        <v>0</v>
      </c>
      <c r="AA74" s="147">
        <f t="shared" si="3"/>
        <v>0</v>
      </c>
      <c r="AB74" s="147">
        <f t="shared" si="53"/>
        <v>0</v>
      </c>
      <c r="AC74" s="123">
        <f t="shared" si="54"/>
        <v>0</v>
      </c>
      <c r="AD74" s="147">
        <f t="shared" si="51"/>
        <v>0</v>
      </c>
      <c r="AE74" s="147">
        <f t="shared" si="41"/>
        <v>0</v>
      </c>
      <c r="AF74" s="147">
        <f t="shared" si="42"/>
        <v>0</v>
      </c>
      <c r="AG74" s="148">
        <f t="shared" si="43"/>
        <v>0</v>
      </c>
      <c r="AH74" s="147">
        <f t="shared" si="44"/>
        <v>0</v>
      </c>
      <c r="AI74" s="147">
        <f t="shared" si="45"/>
        <v>0</v>
      </c>
      <c r="AJ74" s="147">
        <f t="shared" si="10"/>
        <v>0</v>
      </c>
      <c r="AK74" s="147">
        <f t="shared" si="11"/>
        <v>0</v>
      </c>
      <c r="AL74" s="147">
        <f t="shared" si="12"/>
        <v>0</v>
      </c>
      <c r="AM74" s="147">
        <f t="shared" si="46"/>
        <v>0</v>
      </c>
      <c r="AN74" s="147">
        <f t="shared" si="14"/>
        <v>0</v>
      </c>
      <c r="AO74" s="147">
        <f t="shared" si="15"/>
        <v>0</v>
      </c>
      <c r="AP74" s="149">
        <f t="shared" si="47"/>
        <v>0.87660341727027224</v>
      </c>
      <c r="AQ74" s="150">
        <f t="shared" si="48"/>
        <v>8.8681010788431021</v>
      </c>
      <c r="AR74" s="538">
        <v>27</v>
      </c>
      <c r="AS74" s="202">
        <f t="shared" si="52"/>
        <v>87.66034172702723</v>
      </c>
      <c r="AT74" s="197">
        <f t="shared" si="18"/>
        <v>0</v>
      </c>
      <c r="AU74" s="199">
        <f t="shared" si="19"/>
        <v>0</v>
      </c>
      <c r="AV74" s="110"/>
      <c r="AW74" s="149" t="e">
        <f>VLOOKUP(AX74,Sup!#REF!,8,0)</f>
        <v>#REF!</v>
      </c>
      <c r="AX74" s="995" t="s">
        <v>199</v>
      </c>
      <c r="AY74" s="556">
        <v>0</v>
      </c>
      <c r="AZ74" s="43"/>
      <c r="BA74" s="43"/>
      <c r="BB74" s="43"/>
      <c r="BC74" s="43">
        <f t="shared" si="20"/>
        <v>0</v>
      </c>
      <c r="BD74" s="43" t="str">
        <f t="shared" si="55"/>
        <v/>
      </c>
      <c r="BE74" s="44">
        <f t="shared" si="49"/>
        <v>0</v>
      </c>
      <c r="BF74" s="971"/>
      <c r="BG74" s="236"/>
      <c r="BH74" s="12"/>
      <c r="BI74" s="12"/>
      <c r="BJ74" s="12"/>
      <c r="BK74" s="12"/>
      <c r="BL74" s="12"/>
      <c r="BM74" s="980"/>
      <c r="BN74" s="367"/>
      <c r="BO74" s="981"/>
      <c r="BP74" s="12"/>
      <c r="BQ74" s="12"/>
      <c r="BR74" s="12"/>
      <c r="BS74" s="973"/>
      <c r="BT74" s="12"/>
      <c r="BU74" s="12"/>
      <c r="BV74" s="12"/>
      <c r="BW74" s="982" t="s">
        <v>392</v>
      </c>
      <c r="BX74" s="983">
        <f t="shared" si="50"/>
        <v>0</v>
      </c>
      <c r="BY74" s="12" t="e">
        <f>VLOOKUP(B74,#REF!,13,0)</f>
        <v>#REF!</v>
      </c>
      <c r="BZ74" s="1058">
        <v>27.9</v>
      </c>
      <c r="CA74" s="1181" t="e">
        <f>VLOOKUP(B74,Pedido!$B$16:$L$292,22,0)</f>
        <v>#N/A</v>
      </c>
    </row>
    <row r="75" spans="1:84" ht="36.75" customHeight="1" thickBot="1">
      <c r="A75" s="524"/>
      <c r="B75" s="141" t="s">
        <v>314</v>
      </c>
      <c r="C75" s="141" t="s">
        <v>317</v>
      </c>
      <c r="D75" s="383" t="s">
        <v>313</v>
      </c>
      <c r="E75" s="384" t="s">
        <v>80</v>
      </c>
      <c r="F75" s="385" t="s">
        <v>61</v>
      </c>
      <c r="G75" s="386">
        <v>300</v>
      </c>
      <c r="H75" s="1155">
        <v>15.287935968872484</v>
      </c>
      <c r="I75" s="142">
        <v>149.9</v>
      </c>
      <c r="J75" s="143" t="str">
        <f t="shared" si="30"/>
        <v/>
      </c>
      <c r="K75" s="144" t="str">
        <f t="shared" si="40"/>
        <v/>
      </c>
      <c r="L75" s="242">
        <v>103.9</v>
      </c>
      <c r="M75" s="474">
        <f t="shared" si="23"/>
        <v>91.9</v>
      </c>
      <c r="N75" s="474">
        <f t="shared" si="24"/>
        <v>91.9</v>
      </c>
      <c r="O75" s="474">
        <f t="shared" si="25"/>
        <v>91.9</v>
      </c>
      <c r="P75" s="145">
        <v>91.9</v>
      </c>
      <c r="Q75" s="145">
        <v>84.9</v>
      </c>
      <c r="R75" s="145">
        <v>82.9</v>
      </c>
      <c r="S75" s="146">
        <v>79.900000000000006</v>
      </c>
      <c r="T75" s="586" t="str">
        <f t="shared" si="0"/>
        <v/>
      </c>
      <c r="U75" s="587" t="str">
        <f t="shared" si="1"/>
        <v/>
      </c>
      <c r="V75" s="490"/>
      <c r="W75" s="1100"/>
      <c r="X75" s="264"/>
      <c r="Y75" s="113" t="str">
        <f t="shared" si="31"/>
        <v/>
      </c>
      <c r="Z75" s="228">
        <f t="shared" si="2"/>
        <v>0</v>
      </c>
      <c r="AA75" s="147">
        <f t="shared" si="3"/>
        <v>0</v>
      </c>
      <c r="AB75" s="147">
        <f t="shared" si="53"/>
        <v>0</v>
      </c>
      <c r="AC75" s="123">
        <f t="shared" si="54"/>
        <v>0</v>
      </c>
      <c r="AD75" s="147">
        <f t="shared" si="51"/>
        <v>0</v>
      </c>
      <c r="AE75" s="147">
        <f t="shared" si="41"/>
        <v>0</v>
      </c>
      <c r="AF75" s="147">
        <f t="shared" si="42"/>
        <v>0</v>
      </c>
      <c r="AG75" s="148">
        <f t="shared" si="43"/>
        <v>0</v>
      </c>
      <c r="AH75" s="147">
        <f t="shared" si="44"/>
        <v>0</v>
      </c>
      <c r="AI75" s="147">
        <f t="shared" si="45"/>
        <v>0</v>
      </c>
      <c r="AJ75" s="147">
        <f t="shared" si="10"/>
        <v>0</v>
      </c>
      <c r="AK75" s="147">
        <f t="shared" si="11"/>
        <v>0</v>
      </c>
      <c r="AL75" s="147">
        <f t="shared" si="12"/>
        <v>0</v>
      </c>
      <c r="AM75" s="147">
        <f t="shared" si="46"/>
        <v>0</v>
      </c>
      <c r="AN75" s="147">
        <f t="shared" si="14"/>
        <v>0</v>
      </c>
      <c r="AO75" s="147">
        <f t="shared" si="15"/>
        <v>0</v>
      </c>
      <c r="AP75" s="149">
        <f t="shared" si="47"/>
        <v>0.85285913408207426</v>
      </c>
      <c r="AQ75" s="150">
        <f t="shared" si="48"/>
        <v>20.38391462516331</v>
      </c>
      <c r="AR75" s="538">
        <v>18</v>
      </c>
      <c r="AS75" s="202">
        <f t="shared" si="52"/>
        <v>85.285913408207421</v>
      </c>
      <c r="AT75" s="197">
        <f t="shared" si="18"/>
        <v>0</v>
      </c>
      <c r="AU75" s="199">
        <f t="shared" si="19"/>
        <v>0</v>
      </c>
      <c r="AV75" s="110"/>
      <c r="AW75" s="149" t="e">
        <f>VLOOKUP(AX75,Sup!#REF!,8,0)</f>
        <v>#REF!</v>
      </c>
      <c r="AX75" s="995" t="s">
        <v>199</v>
      </c>
      <c r="AY75" s="556">
        <v>0</v>
      </c>
      <c r="AZ75" s="43"/>
      <c r="BA75" s="43"/>
      <c r="BB75" s="35">
        <f>IF($F$14="NOVO/REATIVAÇÃO",W75*5*1.4,W75*5)</f>
        <v>0</v>
      </c>
      <c r="BC75" s="43">
        <f t="shared" si="20"/>
        <v>0</v>
      </c>
      <c r="BD75" s="43" t="str">
        <f t="shared" si="55"/>
        <v/>
      </c>
      <c r="BE75" s="44">
        <f t="shared" si="49"/>
        <v>0</v>
      </c>
      <c r="BF75" s="971"/>
      <c r="BG75" s="236"/>
      <c r="BH75" s="12"/>
      <c r="BI75" s="12"/>
      <c r="BJ75" s="12"/>
      <c r="BK75" s="12"/>
      <c r="BL75" s="12"/>
      <c r="BM75" s="980"/>
      <c r="BN75" s="367"/>
      <c r="BO75" s="981"/>
      <c r="BP75" s="12"/>
      <c r="BQ75" s="12"/>
      <c r="BR75" s="12"/>
      <c r="BS75" s="973"/>
      <c r="BT75" s="12"/>
      <c r="BU75" s="12"/>
      <c r="BV75" s="12"/>
      <c r="BW75" s="982" t="s">
        <v>392</v>
      </c>
      <c r="BX75" s="983">
        <f t="shared" si="50"/>
        <v>0</v>
      </c>
      <c r="BY75" s="12" t="e">
        <f>VLOOKUP(B75,#REF!,13,0)</f>
        <v>#REF!</v>
      </c>
      <c r="BZ75" s="1058">
        <v>65.900000000000006</v>
      </c>
      <c r="CA75" s="1181" t="e">
        <f>VLOOKUP(B75,Pedido!$B$16:$L$292,22,0)</f>
        <v>#N/A</v>
      </c>
    </row>
    <row r="76" spans="1:84" ht="46.5" customHeight="1" thickBot="1">
      <c r="A76" s="524"/>
      <c r="B76" s="257" t="s">
        <v>201</v>
      </c>
      <c r="C76" s="95" t="s">
        <v>216</v>
      </c>
      <c r="D76" s="369" t="s">
        <v>110</v>
      </c>
      <c r="E76" s="370" t="s">
        <v>80</v>
      </c>
      <c r="F76" s="371" t="s">
        <v>61</v>
      </c>
      <c r="G76" s="373">
        <v>100</v>
      </c>
      <c r="H76" s="1153">
        <v>7.580440779016401</v>
      </c>
      <c r="I76" s="129">
        <v>44.9</v>
      </c>
      <c r="J76" s="97" t="str">
        <f t="shared" si="30"/>
        <v/>
      </c>
      <c r="K76" s="131" t="str">
        <f t="shared" si="40"/>
        <v/>
      </c>
      <c r="L76" s="241">
        <v>31.9</v>
      </c>
      <c r="M76" s="473">
        <f t="shared" si="23"/>
        <v>27.9</v>
      </c>
      <c r="N76" s="473">
        <f t="shared" si="24"/>
        <v>27.9</v>
      </c>
      <c r="O76" s="473">
        <f t="shared" si="25"/>
        <v>27.9</v>
      </c>
      <c r="P76" s="132">
        <v>27.9</v>
      </c>
      <c r="Q76" s="132">
        <v>25.9</v>
      </c>
      <c r="R76" s="132">
        <v>24.9</v>
      </c>
      <c r="S76" s="133">
        <v>23.9</v>
      </c>
      <c r="T76" s="134" t="str">
        <f t="shared" si="0"/>
        <v/>
      </c>
      <c r="U76" s="298" t="str">
        <f t="shared" si="1"/>
        <v/>
      </c>
      <c r="V76" s="1107"/>
      <c r="W76" s="696"/>
      <c r="X76" s="171"/>
      <c r="Y76" s="103" t="str">
        <f t="shared" si="31"/>
        <v/>
      </c>
      <c r="Z76" s="228">
        <f t="shared" si="2"/>
        <v>0</v>
      </c>
      <c r="AA76" s="104">
        <f t="shared" si="3"/>
        <v>0</v>
      </c>
      <c r="AB76" s="104">
        <f t="shared" si="53"/>
        <v>0</v>
      </c>
      <c r="AC76" s="104">
        <f t="shared" si="54"/>
        <v>0</v>
      </c>
      <c r="AD76" s="104">
        <f t="shared" si="51"/>
        <v>0</v>
      </c>
      <c r="AE76" s="104">
        <f t="shared" si="41"/>
        <v>0</v>
      </c>
      <c r="AF76" s="104">
        <f t="shared" si="42"/>
        <v>0</v>
      </c>
      <c r="AG76" s="105">
        <f t="shared" si="43"/>
        <v>0</v>
      </c>
      <c r="AH76" s="104">
        <f t="shared" si="44"/>
        <v>0</v>
      </c>
      <c r="AI76" s="104">
        <f t="shared" si="45"/>
        <v>0</v>
      </c>
      <c r="AJ76" s="104">
        <f t="shared" si="10"/>
        <v>0</v>
      </c>
      <c r="AK76" s="104">
        <f t="shared" si="11"/>
        <v>0</v>
      </c>
      <c r="AL76" s="104">
        <f t="shared" si="12"/>
        <v>0</v>
      </c>
      <c r="AM76" s="104">
        <f t="shared" si="46"/>
        <v>0</v>
      </c>
      <c r="AN76" s="104">
        <f t="shared" si="14"/>
        <v>0</v>
      </c>
      <c r="AO76" s="104">
        <f t="shared" si="15"/>
        <v>0</v>
      </c>
      <c r="AP76" s="106">
        <f t="shared" si="47"/>
        <v>0.76236862761704072</v>
      </c>
      <c r="AQ76" s="107">
        <f t="shared" si="48"/>
        <v>10.107254372021869</v>
      </c>
      <c r="AR76" s="534">
        <v>18</v>
      </c>
      <c r="AS76" s="202">
        <f t="shared" si="52"/>
        <v>76.236862761704074</v>
      </c>
      <c r="AT76" s="197">
        <f t="shared" si="18"/>
        <v>0</v>
      </c>
      <c r="AU76" s="199">
        <f t="shared" si="19"/>
        <v>0</v>
      </c>
      <c r="AV76" s="110"/>
      <c r="AW76" s="106" t="e">
        <f>VLOOKUP(AX76,Sup!#REF!,8,0)</f>
        <v>#REF!</v>
      </c>
      <c r="AX76" s="995" t="s">
        <v>199</v>
      </c>
      <c r="AY76" s="556">
        <v>0</v>
      </c>
      <c r="AZ76" s="43"/>
      <c r="BA76" s="43"/>
      <c r="BB76" s="43"/>
      <c r="BC76" s="43">
        <f t="shared" si="20"/>
        <v>0</v>
      </c>
      <c r="BD76" s="43" t="str">
        <f t="shared" si="55"/>
        <v/>
      </c>
      <c r="BE76" s="44">
        <f t="shared" si="49"/>
        <v>0</v>
      </c>
      <c r="BF76" s="971"/>
      <c r="BG76" s="236"/>
      <c r="BH76" s="12"/>
      <c r="BI76" s="12"/>
      <c r="BJ76" s="12"/>
      <c r="BK76" s="12"/>
      <c r="BL76" s="12"/>
      <c r="BM76" s="980"/>
      <c r="BN76" s="367"/>
      <c r="BO76" s="981"/>
      <c r="BP76" s="12"/>
      <c r="BQ76" s="12"/>
      <c r="BR76" s="12"/>
      <c r="BS76" s="973"/>
      <c r="BT76" s="12"/>
      <c r="BU76" s="12"/>
      <c r="BV76" s="12"/>
      <c r="BW76" s="982" t="s">
        <v>392</v>
      </c>
      <c r="BX76" s="983">
        <f t="shared" si="50"/>
        <v>0</v>
      </c>
      <c r="BY76" s="12" t="e">
        <f>VLOOKUP(B76,#REF!,13,0)</f>
        <v>#REF!</v>
      </c>
      <c r="BZ76" s="1056">
        <v>17.899999999999999</v>
      </c>
      <c r="CA76" s="1181" t="e">
        <f>VLOOKUP(B76,Pedido!$B$16:$L$292,22,0)</f>
        <v>#N/A</v>
      </c>
    </row>
    <row r="77" spans="1:84" ht="46.5" customHeight="1" thickBot="1">
      <c r="A77" s="524"/>
      <c r="B77" s="114" t="s">
        <v>109</v>
      </c>
      <c r="C77" s="114" t="s">
        <v>217</v>
      </c>
      <c r="D77" s="378" t="s">
        <v>110</v>
      </c>
      <c r="E77" s="379" t="s">
        <v>80</v>
      </c>
      <c r="F77" s="380" t="s">
        <v>61</v>
      </c>
      <c r="G77" s="381">
        <v>300</v>
      </c>
      <c r="H77" s="1152">
        <v>18.253913670459703</v>
      </c>
      <c r="I77" s="115">
        <v>94.9</v>
      </c>
      <c r="J77" s="116" t="str">
        <f t="shared" si="30"/>
        <v/>
      </c>
      <c r="K77" s="117" t="str">
        <f t="shared" si="40"/>
        <v/>
      </c>
      <c r="L77" s="239">
        <v>66.900000000000006</v>
      </c>
      <c r="M77" s="472">
        <f t="shared" si="23"/>
        <v>58.9</v>
      </c>
      <c r="N77" s="472">
        <f t="shared" si="24"/>
        <v>58.9</v>
      </c>
      <c r="O77" s="472">
        <f t="shared" si="25"/>
        <v>58.9</v>
      </c>
      <c r="P77" s="118">
        <v>58.9</v>
      </c>
      <c r="Q77" s="118">
        <v>53.9</v>
      </c>
      <c r="R77" s="118">
        <v>52.9</v>
      </c>
      <c r="S77" s="119">
        <v>50.9</v>
      </c>
      <c r="T77" s="120" t="str">
        <f t="shared" si="0"/>
        <v/>
      </c>
      <c r="U77" s="135" t="str">
        <f t="shared" si="1"/>
        <v/>
      </c>
      <c r="V77" s="1108"/>
      <c r="W77" s="1103"/>
      <c r="X77" s="733"/>
      <c r="Y77" s="151" t="str">
        <f t="shared" si="31"/>
        <v/>
      </c>
      <c r="Z77" s="231">
        <f t="shared" si="2"/>
        <v>0</v>
      </c>
      <c r="AA77" s="123">
        <f t="shared" si="3"/>
        <v>0</v>
      </c>
      <c r="AB77" s="123">
        <f t="shared" si="53"/>
        <v>0</v>
      </c>
      <c r="AC77" s="123">
        <f t="shared" si="54"/>
        <v>0</v>
      </c>
      <c r="AD77" s="123">
        <f t="shared" si="51"/>
        <v>0</v>
      </c>
      <c r="AE77" s="123">
        <f t="shared" si="41"/>
        <v>0</v>
      </c>
      <c r="AF77" s="123">
        <f t="shared" si="42"/>
        <v>0</v>
      </c>
      <c r="AG77" s="124">
        <f t="shared" si="43"/>
        <v>0</v>
      </c>
      <c r="AH77" s="123">
        <f t="shared" si="44"/>
        <v>0</v>
      </c>
      <c r="AI77" s="123">
        <f t="shared" si="45"/>
        <v>0</v>
      </c>
      <c r="AJ77" s="123">
        <f t="shared" si="10"/>
        <v>0</v>
      </c>
      <c r="AK77" s="123">
        <f t="shared" si="11"/>
        <v>0</v>
      </c>
      <c r="AL77" s="123">
        <f t="shared" si="12"/>
        <v>0</v>
      </c>
      <c r="AM77" s="123">
        <f t="shared" si="46"/>
        <v>0</v>
      </c>
      <c r="AN77" s="123">
        <f t="shared" si="14"/>
        <v>0</v>
      </c>
      <c r="AO77" s="123">
        <f t="shared" si="15"/>
        <v>0</v>
      </c>
      <c r="AP77" s="125">
        <f t="shared" si="47"/>
        <v>0.72714628295276973</v>
      </c>
      <c r="AQ77" s="126">
        <f t="shared" si="48"/>
        <v>24.338551560612938</v>
      </c>
      <c r="AR77" s="535">
        <v>18</v>
      </c>
      <c r="AS77" s="202">
        <f t="shared" si="52"/>
        <v>72.714628295276967</v>
      </c>
      <c r="AT77" s="215">
        <f t="shared" si="18"/>
        <v>0</v>
      </c>
      <c r="AU77" s="520">
        <f t="shared" si="19"/>
        <v>0</v>
      </c>
      <c r="AV77" s="110"/>
      <c r="AW77" s="125" t="e">
        <f>VLOOKUP(AX77,Sup!#REF!,8,0)</f>
        <v>#REF!</v>
      </c>
      <c r="AX77" s="996" t="s">
        <v>199</v>
      </c>
      <c r="AY77" s="556">
        <v>0</v>
      </c>
      <c r="AZ77" s="43"/>
      <c r="BA77" s="43"/>
      <c r="BB77" s="35">
        <f>IF($F$14="NOVO/REATIVAÇÃO",W77*7*1.4,W77*7)</f>
        <v>0</v>
      </c>
      <c r="BC77" s="43">
        <f t="shared" si="20"/>
        <v>0</v>
      </c>
      <c r="BD77" s="43" t="str">
        <f t="shared" si="55"/>
        <v/>
      </c>
      <c r="BE77" s="44">
        <f t="shared" si="49"/>
        <v>0</v>
      </c>
      <c r="BF77" s="971"/>
      <c r="BG77" s="236"/>
      <c r="BH77" s="12"/>
      <c r="BI77" s="12"/>
      <c r="BJ77" s="12"/>
      <c r="BK77" s="12"/>
      <c r="BL77" s="12"/>
      <c r="BM77" s="980"/>
      <c r="BN77" s="367"/>
      <c r="BO77" s="981"/>
      <c r="BP77" s="12"/>
      <c r="BQ77" s="12"/>
      <c r="BR77" s="12"/>
      <c r="BS77" s="973"/>
      <c r="BT77" s="12"/>
      <c r="BU77" s="12"/>
      <c r="BV77" s="12"/>
      <c r="BW77" s="982" t="s">
        <v>392</v>
      </c>
      <c r="BX77" s="983">
        <f t="shared" si="50"/>
        <v>0</v>
      </c>
      <c r="BY77" s="12" t="e">
        <f>VLOOKUP(B77,#REF!,13,0)</f>
        <v>#REF!</v>
      </c>
      <c r="BZ77" s="1055">
        <v>38.9</v>
      </c>
      <c r="CA77" s="1181" t="e">
        <f>VLOOKUP(B77,Pedido!$B$16:$L$292,22,0)</f>
        <v>#N/A</v>
      </c>
    </row>
    <row r="78" spans="1:84" ht="16.5" customHeight="1" thickBot="1">
      <c r="A78" s="684"/>
      <c r="B78" s="300">
        <v>420739063</v>
      </c>
      <c r="C78" s="300" t="s">
        <v>452</v>
      </c>
      <c r="D78" s="685" t="s">
        <v>453</v>
      </c>
      <c r="E78" s="686" t="s">
        <v>454</v>
      </c>
      <c r="F78" s="687" t="s">
        <v>123</v>
      </c>
      <c r="G78" s="688">
        <v>30</v>
      </c>
      <c r="H78" s="1156">
        <v>8</v>
      </c>
      <c r="I78" s="322">
        <v>129.9</v>
      </c>
      <c r="J78" s="323">
        <f t="shared" si="30"/>
        <v>1.4611923509561304</v>
      </c>
      <c r="K78" s="324">
        <f t="shared" si="40"/>
        <v>0.31562740569668979</v>
      </c>
      <c r="L78" s="325">
        <v>88.9</v>
      </c>
      <c r="M78" s="481">
        <f>P78</f>
        <v>77.900000000000006</v>
      </c>
      <c r="N78" s="481">
        <f t="shared" si="24"/>
        <v>77.900000000000006</v>
      </c>
      <c r="O78" s="481">
        <f t="shared" si="25"/>
        <v>77.900000000000006</v>
      </c>
      <c r="P78" s="326">
        <f>IF(SUM($W$78:$W$85)&gt;9,39.9,IF(SUM($W$78:$W$85)&gt;2,44.9,77.9))</f>
        <v>77.900000000000006</v>
      </c>
      <c r="Q78" s="326">
        <f>IF(SUM($W$78:$W$85)&gt;9,39.9,IF(SUM($W$78:$W$85)&gt;2,44.9,71.9))</f>
        <v>71.900000000000006</v>
      </c>
      <c r="R78" s="326">
        <f>IF(SUM($W$78:$W$85)&gt;9,39.9,IF(SUM($W$78:$W$85)&gt;2,44.9,70.9))</f>
        <v>70.900000000000006</v>
      </c>
      <c r="S78" s="326">
        <f>IF(SUM($W$78:$W$85)&gt;9,39.9,IF(SUM($W$78:$W$85)&gt;2,44.9,67.9))</f>
        <v>67.900000000000006</v>
      </c>
      <c r="T78" s="327">
        <f t="shared" si="0"/>
        <v>88.9</v>
      </c>
      <c r="U78" s="328" t="str">
        <f t="shared" si="1"/>
        <v/>
      </c>
      <c r="V78" s="1112"/>
      <c r="W78" s="1113">
        <f>Pedido!L58</f>
        <v>0</v>
      </c>
      <c r="X78" s="1114"/>
      <c r="Y78" s="329">
        <f t="shared" si="31"/>
        <v>88.9</v>
      </c>
      <c r="Z78" s="330">
        <f t="shared" si="2"/>
        <v>0</v>
      </c>
      <c r="AA78" s="331">
        <f t="shared" si="3"/>
        <v>0</v>
      </c>
      <c r="AB78" s="331">
        <f t="shared" si="53"/>
        <v>0</v>
      </c>
      <c r="AC78" s="331">
        <f t="shared" si="54"/>
        <v>0</v>
      </c>
      <c r="AD78" s="331">
        <f t="shared" si="51"/>
        <v>0</v>
      </c>
      <c r="AE78" s="331">
        <f t="shared" si="41"/>
        <v>0</v>
      </c>
      <c r="AF78" s="331">
        <f t="shared" si="42"/>
        <v>0</v>
      </c>
      <c r="AG78" s="332">
        <f t="shared" si="43"/>
        <v>0</v>
      </c>
      <c r="AH78" s="331">
        <f t="shared" si="44"/>
        <v>0</v>
      </c>
      <c r="AI78" s="331">
        <f t="shared" si="45"/>
        <v>0</v>
      </c>
      <c r="AJ78" s="331">
        <f t="shared" si="10"/>
        <v>0</v>
      </c>
      <c r="AK78" s="331">
        <f t="shared" si="11"/>
        <v>0</v>
      </c>
      <c r="AL78" s="331">
        <f t="shared" si="12"/>
        <v>0</v>
      </c>
      <c r="AM78" s="331">
        <f t="shared" si="46"/>
        <v>0</v>
      </c>
      <c r="AN78" s="331">
        <f t="shared" si="14"/>
        <v>0</v>
      </c>
      <c r="AO78" s="331">
        <f t="shared" si="15"/>
        <v>0</v>
      </c>
      <c r="AP78" s="333">
        <f t="shared" si="47"/>
        <v>0.91001124859392579</v>
      </c>
      <c r="AQ78" s="334">
        <f t="shared" si="48"/>
        <v>10.666666666666666</v>
      </c>
      <c r="AR78" s="545">
        <v>19</v>
      </c>
      <c r="AS78" s="521">
        <f t="shared" si="52"/>
        <v>91.001124859392576</v>
      </c>
      <c r="AT78" s="522">
        <f t="shared" si="18"/>
        <v>0</v>
      </c>
      <c r="AU78" s="523">
        <f t="shared" si="19"/>
        <v>0</v>
      </c>
      <c r="AV78" s="335"/>
      <c r="AW78" s="333" t="s">
        <v>202</v>
      </c>
      <c r="AX78" s="997" t="s">
        <v>197</v>
      </c>
      <c r="AY78" s="556">
        <v>0</v>
      </c>
      <c r="AZ78" s="35"/>
      <c r="BA78" s="35"/>
      <c r="BB78" s="35"/>
      <c r="BC78" s="35">
        <f t="shared" si="20"/>
        <v>0</v>
      </c>
      <c r="BD78" s="35">
        <f t="shared" si="55"/>
        <v>88.9</v>
      </c>
      <c r="BE78" s="45">
        <f t="shared" si="49"/>
        <v>0</v>
      </c>
      <c r="BF78" s="971"/>
      <c r="BG78" s="236"/>
      <c r="BH78" s="12"/>
      <c r="BI78" s="12"/>
      <c r="BJ78" s="12"/>
      <c r="BK78" s="12"/>
      <c r="BL78" s="12"/>
      <c r="BM78" s="980"/>
      <c r="BN78" s="367"/>
      <c r="BO78" s="981"/>
      <c r="BP78" s="12"/>
      <c r="BQ78" s="12"/>
      <c r="BR78" s="12"/>
      <c r="BS78" s="973"/>
      <c r="BT78" s="12"/>
      <c r="BU78" s="12"/>
      <c r="BV78" s="12"/>
      <c r="BW78" s="982" t="s">
        <v>393</v>
      </c>
      <c r="BX78" s="983">
        <f t="shared" si="50"/>
        <v>0</v>
      </c>
      <c r="BY78" s="12" t="e">
        <f>VLOOKUP(B78,#REF!,13,0)</f>
        <v>#REF!</v>
      </c>
      <c r="BZ78" s="1059">
        <v>59.9</v>
      </c>
      <c r="CA78" s="1181" t="e">
        <f>VLOOKUP(B78,Pedido!$B$16:$L$292,22,0)</f>
        <v>#N/A</v>
      </c>
    </row>
    <row r="79" spans="1:84" ht="16.5" customHeight="1" thickBot="1">
      <c r="A79" s="524"/>
      <c r="B79" s="140">
        <v>420739066</v>
      </c>
      <c r="C79" s="140" t="s">
        <v>452</v>
      </c>
      <c r="D79" s="427" t="s">
        <v>453</v>
      </c>
      <c r="E79" s="428" t="s">
        <v>455</v>
      </c>
      <c r="F79" s="429" t="s">
        <v>123</v>
      </c>
      <c r="G79" s="430">
        <v>30</v>
      </c>
      <c r="H79" s="1153">
        <v>8</v>
      </c>
      <c r="I79" s="129">
        <v>129.9</v>
      </c>
      <c r="J79" s="130">
        <f t="shared" si="30"/>
        <v>1.4611923509561304</v>
      </c>
      <c r="K79" s="131">
        <f t="shared" si="40"/>
        <v>0.31562740569668979</v>
      </c>
      <c r="L79" s="241">
        <v>88.9</v>
      </c>
      <c r="M79" s="473">
        <f t="shared" si="23"/>
        <v>77.900000000000006</v>
      </c>
      <c r="N79" s="473">
        <f t="shared" si="24"/>
        <v>77.900000000000006</v>
      </c>
      <c r="O79" s="473">
        <f t="shared" si="25"/>
        <v>77.900000000000006</v>
      </c>
      <c r="P79" s="132">
        <f t="shared" ref="P79:P85" si="56">IF(SUM($W$78:$W$85)&gt;9,39.9,IF(SUM($W$78:$W$85)&gt;2,44.9,77.9))</f>
        <v>77.900000000000006</v>
      </c>
      <c r="Q79" s="132">
        <f t="shared" ref="Q79:Q85" si="57">IF(SUM($W$78:$W$85)&gt;9,39.9,IF(SUM($W$78:$W$85)&gt;2,44.9,71.9))</f>
        <v>71.900000000000006</v>
      </c>
      <c r="R79" s="132">
        <f t="shared" ref="R79:R85" si="58">IF(SUM($W$78:$W$85)&gt;9,39.9,IF(SUM($W$78:$W$85)&gt;2,44.9,70.9))</f>
        <v>70.900000000000006</v>
      </c>
      <c r="S79" s="132">
        <f t="shared" ref="S79:S85" si="59">IF(SUM($W$78:$W$85)&gt;9,39.9,IF(SUM($W$78:$W$85)&gt;2,44.9,67.9))</f>
        <v>67.900000000000006</v>
      </c>
      <c r="T79" s="134">
        <f t="shared" si="0"/>
        <v>88.9</v>
      </c>
      <c r="U79" s="135" t="str">
        <f t="shared" si="1"/>
        <v/>
      </c>
      <c r="V79" s="575"/>
      <c r="W79" s="694">
        <f>Pedido!L60</f>
        <v>0</v>
      </c>
      <c r="X79" s="170"/>
      <c r="Y79" s="122">
        <f t="shared" si="31"/>
        <v>88.9</v>
      </c>
      <c r="Z79" s="224">
        <f t="shared" si="2"/>
        <v>0</v>
      </c>
      <c r="AA79" s="136">
        <f t="shared" si="3"/>
        <v>0</v>
      </c>
      <c r="AB79" s="136">
        <f t="shared" si="53"/>
        <v>0</v>
      </c>
      <c r="AC79" s="136">
        <f t="shared" si="54"/>
        <v>0</v>
      </c>
      <c r="AD79" s="136">
        <f t="shared" si="51"/>
        <v>0</v>
      </c>
      <c r="AE79" s="136">
        <f t="shared" si="41"/>
        <v>0</v>
      </c>
      <c r="AF79" s="136">
        <f t="shared" si="42"/>
        <v>0</v>
      </c>
      <c r="AG79" s="137">
        <f t="shared" si="43"/>
        <v>0</v>
      </c>
      <c r="AH79" s="136">
        <f t="shared" si="44"/>
        <v>0</v>
      </c>
      <c r="AI79" s="136">
        <f t="shared" si="45"/>
        <v>0</v>
      </c>
      <c r="AJ79" s="136">
        <f t="shared" si="10"/>
        <v>0</v>
      </c>
      <c r="AK79" s="136">
        <f t="shared" si="11"/>
        <v>0</v>
      </c>
      <c r="AL79" s="136">
        <f t="shared" si="12"/>
        <v>0</v>
      </c>
      <c r="AM79" s="136">
        <f t="shared" si="46"/>
        <v>0</v>
      </c>
      <c r="AN79" s="136">
        <f t="shared" si="14"/>
        <v>0</v>
      </c>
      <c r="AO79" s="136">
        <f t="shared" si="15"/>
        <v>0</v>
      </c>
      <c r="AP79" s="138">
        <f t="shared" si="47"/>
        <v>0.91001124859392579</v>
      </c>
      <c r="AQ79" s="139">
        <f t="shared" si="48"/>
        <v>10.666666666666666</v>
      </c>
      <c r="AR79" s="537">
        <v>19</v>
      </c>
      <c r="AS79" s="202">
        <f t="shared" si="52"/>
        <v>91.001124859392576</v>
      </c>
      <c r="AT79" s="197">
        <f t="shared" si="18"/>
        <v>0</v>
      </c>
      <c r="AU79" s="199">
        <f t="shared" si="19"/>
        <v>0</v>
      </c>
      <c r="AV79" s="110"/>
      <c r="AW79" s="138" t="s">
        <v>202</v>
      </c>
      <c r="AX79" s="993" t="s">
        <v>197</v>
      </c>
      <c r="AY79" s="556">
        <v>0</v>
      </c>
      <c r="AZ79" s="35"/>
      <c r="BA79" s="35"/>
      <c r="BB79" s="35"/>
      <c r="BC79" s="35">
        <f t="shared" si="20"/>
        <v>0</v>
      </c>
      <c r="BD79" s="35">
        <f t="shared" si="55"/>
        <v>88.9</v>
      </c>
      <c r="BE79" s="45">
        <f t="shared" si="49"/>
        <v>0</v>
      </c>
      <c r="BF79" s="971"/>
      <c r="BG79" s="236"/>
      <c r="BH79" s="12"/>
      <c r="BI79" s="12"/>
      <c r="BJ79" s="12"/>
      <c r="BK79" s="12"/>
      <c r="BL79" s="12"/>
      <c r="BM79" s="980"/>
      <c r="BN79" s="367"/>
      <c r="BO79" s="981"/>
      <c r="BP79" s="12"/>
      <c r="BQ79" s="12"/>
      <c r="BR79" s="12"/>
      <c r="BS79" s="973"/>
      <c r="BT79" s="12"/>
      <c r="BU79" s="12"/>
      <c r="BV79" s="12"/>
      <c r="BW79" s="982" t="s">
        <v>393</v>
      </c>
      <c r="BX79" s="983">
        <f t="shared" si="50"/>
        <v>0</v>
      </c>
      <c r="BY79" s="12" t="e">
        <f>VLOOKUP(B79,#REF!,13,0)</f>
        <v>#REF!</v>
      </c>
      <c r="BZ79" s="1056">
        <v>59.9</v>
      </c>
      <c r="CA79" s="1181" t="e">
        <f>VLOOKUP(B79,Pedido!$B$16:$L$292,22,0)</f>
        <v>#N/A</v>
      </c>
    </row>
    <row r="80" spans="1:84" ht="16.5" customHeight="1" thickBot="1">
      <c r="A80" s="524"/>
      <c r="B80" s="140">
        <v>420739036</v>
      </c>
      <c r="C80" s="140" t="s">
        <v>452</v>
      </c>
      <c r="D80" s="427" t="s">
        <v>453</v>
      </c>
      <c r="E80" s="428" t="s">
        <v>275</v>
      </c>
      <c r="F80" s="429" t="s">
        <v>123</v>
      </c>
      <c r="G80" s="430">
        <v>30</v>
      </c>
      <c r="H80" s="1153">
        <v>8</v>
      </c>
      <c r="I80" s="129">
        <v>129.9</v>
      </c>
      <c r="J80" s="130">
        <f t="shared" si="30"/>
        <v>1.4611923509561304</v>
      </c>
      <c r="K80" s="131">
        <f t="shared" si="40"/>
        <v>0.31562740569668979</v>
      </c>
      <c r="L80" s="241">
        <v>88.9</v>
      </c>
      <c r="M80" s="473">
        <f t="shared" si="23"/>
        <v>77.900000000000006</v>
      </c>
      <c r="N80" s="473">
        <f t="shared" si="24"/>
        <v>77.900000000000006</v>
      </c>
      <c r="O80" s="473">
        <f t="shared" si="25"/>
        <v>77.900000000000006</v>
      </c>
      <c r="P80" s="132">
        <f t="shared" si="56"/>
        <v>77.900000000000006</v>
      </c>
      <c r="Q80" s="132">
        <f t="shared" si="57"/>
        <v>71.900000000000006</v>
      </c>
      <c r="R80" s="132">
        <f t="shared" si="58"/>
        <v>70.900000000000006</v>
      </c>
      <c r="S80" s="132">
        <f t="shared" si="59"/>
        <v>67.900000000000006</v>
      </c>
      <c r="T80" s="134">
        <f t="shared" si="0"/>
        <v>88.9</v>
      </c>
      <c r="U80" s="135" t="str">
        <f t="shared" si="1"/>
        <v/>
      </c>
      <c r="V80" s="575"/>
      <c r="W80" s="694">
        <f>Pedido!L61</f>
        <v>0</v>
      </c>
      <c r="X80" s="170"/>
      <c r="Y80" s="122">
        <f t="shared" si="31"/>
        <v>88.9</v>
      </c>
      <c r="Z80" s="224">
        <f t="shared" si="2"/>
        <v>0</v>
      </c>
      <c r="AA80" s="136">
        <f t="shared" si="3"/>
        <v>0</v>
      </c>
      <c r="AB80" s="136">
        <f t="shared" si="53"/>
        <v>0</v>
      </c>
      <c r="AC80" s="136">
        <f t="shared" si="54"/>
        <v>0</v>
      </c>
      <c r="AD80" s="136">
        <f t="shared" si="51"/>
        <v>0</v>
      </c>
      <c r="AE80" s="136">
        <f t="shared" si="41"/>
        <v>0</v>
      </c>
      <c r="AF80" s="136">
        <f t="shared" si="42"/>
        <v>0</v>
      </c>
      <c r="AG80" s="137">
        <f t="shared" si="43"/>
        <v>0</v>
      </c>
      <c r="AH80" s="136">
        <f t="shared" si="44"/>
        <v>0</v>
      </c>
      <c r="AI80" s="136">
        <f t="shared" si="45"/>
        <v>0</v>
      </c>
      <c r="AJ80" s="136">
        <f t="shared" si="10"/>
        <v>0</v>
      </c>
      <c r="AK80" s="136">
        <f t="shared" si="11"/>
        <v>0</v>
      </c>
      <c r="AL80" s="136">
        <f t="shared" si="12"/>
        <v>0</v>
      </c>
      <c r="AM80" s="136">
        <f t="shared" si="46"/>
        <v>0</v>
      </c>
      <c r="AN80" s="136">
        <f t="shared" si="14"/>
        <v>0</v>
      </c>
      <c r="AO80" s="136">
        <f t="shared" si="15"/>
        <v>0</v>
      </c>
      <c r="AP80" s="138">
        <f t="shared" si="47"/>
        <v>0.91001124859392579</v>
      </c>
      <c r="AQ80" s="139">
        <f t="shared" si="48"/>
        <v>10.666666666666666</v>
      </c>
      <c r="AR80" s="537">
        <v>19</v>
      </c>
      <c r="AS80" s="202">
        <f t="shared" si="52"/>
        <v>91.001124859392576</v>
      </c>
      <c r="AT80" s="197">
        <f t="shared" si="18"/>
        <v>0</v>
      </c>
      <c r="AU80" s="199">
        <f t="shared" si="19"/>
        <v>0</v>
      </c>
      <c r="AV80" s="110"/>
      <c r="AW80" s="138" t="s">
        <v>202</v>
      </c>
      <c r="AX80" s="993" t="s">
        <v>197</v>
      </c>
      <c r="AY80" s="556">
        <v>0</v>
      </c>
      <c r="AZ80" s="35"/>
      <c r="BA80" s="35"/>
      <c r="BB80" s="35"/>
      <c r="BC80" s="35">
        <f t="shared" si="20"/>
        <v>0</v>
      </c>
      <c r="BD80" s="35">
        <f t="shared" si="55"/>
        <v>88.9</v>
      </c>
      <c r="BE80" s="45">
        <f t="shared" si="49"/>
        <v>0</v>
      </c>
      <c r="BF80" s="971"/>
      <c r="BG80" s="236"/>
      <c r="BH80" s="12"/>
      <c r="BI80" s="12"/>
      <c r="BJ80" s="12"/>
      <c r="BK80" s="12"/>
      <c r="BL80" s="12"/>
      <c r="BM80" s="980"/>
      <c r="BN80" s="367"/>
      <c r="BO80" s="981"/>
      <c r="BP80" s="12"/>
      <c r="BQ80" s="12"/>
      <c r="BR80" s="12"/>
      <c r="BS80" s="973"/>
      <c r="BT80" s="12"/>
      <c r="BU80" s="12"/>
      <c r="BV80" s="12"/>
      <c r="BW80" s="982" t="s">
        <v>393</v>
      </c>
      <c r="BX80" s="983">
        <f t="shared" si="50"/>
        <v>0</v>
      </c>
      <c r="BY80" s="12" t="e">
        <f>VLOOKUP(B80,#REF!,13,0)</f>
        <v>#REF!</v>
      </c>
      <c r="BZ80" s="1056">
        <v>59.9</v>
      </c>
      <c r="CA80" s="1181" t="e">
        <f>VLOOKUP(B80,Pedido!$B$16:$L$292,22,0)</f>
        <v>#N/A</v>
      </c>
    </row>
    <row r="81" spans="1:84" ht="16.5" customHeight="1" thickBot="1">
      <c r="A81" s="524"/>
      <c r="B81" s="140">
        <v>420739046</v>
      </c>
      <c r="C81" s="140" t="s">
        <v>452</v>
      </c>
      <c r="D81" s="427" t="s">
        <v>453</v>
      </c>
      <c r="E81" s="428" t="s">
        <v>329</v>
      </c>
      <c r="F81" s="429" t="s">
        <v>123</v>
      </c>
      <c r="G81" s="430">
        <v>30</v>
      </c>
      <c r="H81" s="1153">
        <v>8</v>
      </c>
      <c r="I81" s="129">
        <v>129.9</v>
      </c>
      <c r="J81" s="130">
        <f t="shared" si="30"/>
        <v>1.4611923509561304</v>
      </c>
      <c r="K81" s="131">
        <f t="shared" si="40"/>
        <v>0.31562740569668979</v>
      </c>
      <c r="L81" s="241">
        <v>88.9</v>
      </c>
      <c r="M81" s="473">
        <f t="shared" si="23"/>
        <v>77.900000000000006</v>
      </c>
      <c r="N81" s="473">
        <f t="shared" si="24"/>
        <v>77.900000000000006</v>
      </c>
      <c r="O81" s="473">
        <f t="shared" si="25"/>
        <v>77.900000000000006</v>
      </c>
      <c r="P81" s="132">
        <f t="shared" si="56"/>
        <v>77.900000000000006</v>
      </c>
      <c r="Q81" s="132">
        <f t="shared" si="57"/>
        <v>71.900000000000006</v>
      </c>
      <c r="R81" s="132">
        <f t="shared" si="58"/>
        <v>70.900000000000006</v>
      </c>
      <c r="S81" s="132">
        <f t="shared" si="59"/>
        <v>67.900000000000006</v>
      </c>
      <c r="T81" s="134">
        <f t="shared" si="0"/>
        <v>88.9</v>
      </c>
      <c r="U81" s="135" t="str">
        <f t="shared" si="1"/>
        <v/>
      </c>
      <c r="V81" s="575"/>
      <c r="W81" s="694">
        <f>Pedido!L63</f>
        <v>0</v>
      </c>
      <c r="X81" s="170"/>
      <c r="Y81" s="122">
        <f t="shared" si="31"/>
        <v>88.9</v>
      </c>
      <c r="Z81" s="224">
        <f t="shared" si="2"/>
        <v>0</v>
      </c>
      <c r="AA81" s="136">
        <f t="shared" si="3"/>
        <v>0</v>
      </c>
      <c r="AB81" s="136">
        <f t="shared" si="53"/>
        <v>0</v>
      </c>
      <c r="AC81" s="136">
        <f t="shared" si="54"/>
        <v>0</v>
      </c>
      <c r="AD81" s="136">
        <f t="shared" si="51"/>
        <v>0</v>
      </c>
      <c r="AE81" s="136">
        <f t="shared" si="41"/>
        <v>0</v>
      </c>
      <c r="AF81" s="136">
        <f t="shared" si="42"/>
        <v>0</v>
      </c>
      <c r="AG81" s="137">
        <f t="shared" si="43"/>
        <v>0</v>
      </c>
      <c r="AH81" s="136">
        <f t="shared" si="44"/>
        <v>0</v>
      </c>
      <c r="AI81" s="136">
        <f t="shared" si="45"/>
        <v>0</v>
      </c>
      <c r="AJ81" s="136">
        <f t="shared" si="10"/>
        <v>0</v>
      </c>
      <c r="AK81" s="136">
        <f t="shared" si="11"/>
        <v>0</v>
      </c>
      <c r="AL81" s="136">
        <f t="shared" si="12"/>
        <v>0</v>
      </c>
      <c r="AM81" s="136">
        <f t="shared" si="46"/>
        <v>0</v>
      </c>
      <c r="AN81" s="136">
        <f t="shared" si="14"/>
        <v>0</v>
      </c>
      <c r="AO81" s="136">
        <f t="shared" si="15"/>
        <v>0</v>
      </c>
      <c r="AP81" s="138">
        <f t="shared" si="47"/>
        <v>0.91001124859392579</v>
      </c>
      <c r="AQ81" s="139">
        <f t="shared" si="48"/>
        <v>10.666666666666666</v>
      </c>
      <c r="AR81" s="537">
        <v>19</v>
      </c>
      <c r="AS81" s="202">
        <f t="shared" si="52"/>
        <v>91.001124859392576</v>
      </c>
      <c r="AT81" s="197">
        <f t="shared" si="18"/>
        <v>0</v>
      </c>
      <c r="AU81" s="199">
        <f t="shared" si="19"/>
        <v>0</v>
      </c>
      <c r="AV81" s="110"/>
      <c r="AW81" s="138" t="s">
        <v>202</v>
      </c>
      <c r="AX81" s="993" t="s">
        <v>197</v>
      </c>
      <c r="AY81" s="556">
        <v>0</v>
      </c>
      <c r="AZ81" s="35"/>
      <c r="BA81" s="35"/>
      <c r="BB81" s="35"/>
      <c r="BC81" s="35">
        <f t="shared" si="20"/>
        <v>0</v>
      </c>
      <c r="BD81" s="35">
        <f t="shared" si="55"/>
        <v>88.9</v>
      </c>
      <c r="BE81" s="45">
        <f t="shared" si="49"/>
        <v>0</v>
      </c>
      <c r="BF81" s="971"/>
      <c r="BG81" s="236"/>
      <c r="BH81" s="12"/>
      <c r="BI81" s="12"/>
      <c r="BJ81" s="12"/>
      <c r="BK81" s="12"/>
      <c r="BL81" s="12"/>
      <c r="BM81" s="980"/>
      <c r="BN81" s="367"/>
      <c r="BO81" s="981"/>
      <c r="BP81" s="12"/>
      <c r="BQ81" s="12"/>
      <c r="BR81" s="12"/>
      <c r="BS81" s="973"/>
      <c r="BT81" s="12"/>
      <c r="BU81" s="12"/>
      <c r="BV81" s="12"/>
      <c r="BW81" s="982" t="s">
        <v>393</v>
      </c>
      <c r="BX81" s="983">
        <f t="shared" si="50"/>
        <v>0</v>
      </c>
      <c r="BY81" s="12" t="e">
        <f>VLOOKUP(B81,#REF!,13,0)</f>
        <v>#REF!</v>
      </c>
      <c r="BZ81" s="1056">
        <v>59.9</v>
      </c>
      <c r="CA81" s="1181" t="e">
        <f>VLOOKUP(B81,Pedido!$B$16:$L$292,22,0)</f>
        <v>#N/A</v>
      </c>
    </row>
    <row r="82" spans="1:84" ht="16.5" customHeight="1" thickBot="1">
      <c r="A82" s="524"/>
      <c r="B82" s="140">
        <v>420739064</v>
      </c>
      <c r="C82" s="140" t="s">
        <v>452</v>
      </c>
      <c r="D82" s="427" t="s">
        <v>453</v>
      </c>
      <c r="E82" s="428" t="s">
        <v>456</v>
      </c>
      <c r="F82" s="429" t="s">
        <v>123</v>
      </c>
      <c r="G82" s="430">
        <v>30</v>
      </c>
      <c r="H82" s="1153">
        <v>8</v>
      </c>
      <c r="I82" s="129">
        <v>129.9</v>
      </c>
      <c r="J82" s="130">
        <f t="shared" si="30"/>
        <v>1.4611923509561304</v>
      </c>
      <c r="K82" s="131">
        <f t="shared" si="40"/>
        <v>0.31562740569668979</v>
      </c>
      <c r="L82" s="241">
        <v>88.9</v>
      </c>
      <c r="M82" s="473">
        <f t="shared" si="23"/>
        <v>77.900000000000006</v>
      </c>
      <c r="N82" s="473">
        <f t="shared" si="24"/>
        <v>77.900000000000006</v>
      </c>
      <c r="O82" s="473">
        <f t="shared" si="25"/>
        <v>77.900000000000006</v>
      </c>
      <c r="P82" s="132">
        <f t="shared" si="56"/>
        <v>77.900000000000006</v>
      </c>
      <c r="Q82" s="132">
        <f t="shared" si="57"/>
        <v>71.900000000000006</v>
      </c>
      <c r="R82" s="132">
        <f t="shared" si="58"/>
        <v>70.900000000000006</v>
      </c>
      <c r="S82" s="132">
        <f t="shared" si="59"/>
        <v>67.900000000000006</v>
      </c>
      <c r="T82" s="134">
        <f t="shared" si="0"/>
        <v>88.9</v>
      </c>
      <c r="U82" s="135" t="str">
        <f t="shared" si="1"/>
        <v/>
      </c>
      <c r="V82" s="575"/>
      <c r="W82" s="694">
        <f>Pedido!L64</f>
        <v>0</v>
      </c>
      <c r="X82" s="170"/>
      <c r="Y82" s="122">
        <f t="shared" si="31"/>
        <v>88.9</v>
      </c>
      <c r="Z82" s="224">
        <f t="shared" si="2"/>
        <v>0</v>
      </c>
      <c r="AA82" s="136">
        <f t="shared" si="3"/>
        <v>0</v>
      </c>
      <c r="AB82" s="136">
        <f t="shared" si="53"/>
        <v>0</v>
      </c>
      <c r="AC82" s="136">
        <f t="shared" si="54"/>
        <v>0</v>
      </c>
      <c r="AD82" s="136">
        <f t="shared" si="51"/>
        <v>0</v>
      </c>
      <c r="AE82" s="136">
        <f t="shared" si="41"/>
        <v>0</v>
      </c>
      <c r="AF82" s="136">
        <f t="shared" si="42"/>
        <v>0</v>
      </c>
      <c r="AG82" s="137">
        <f t="shared" si="43"/>
        <v>0</v>
      </c>
      <c r="AH82" s="136">
        <f t="shared" si="44"/>
        <v>0</v>
      </c>
      <c r="AI82" s="136">
        <f t="shared" si="45"/>
        <v>0</v>
      </c>
      <c r="AJ82" s="136">
        <f t="shared" si="10"/>
        <v>0</v>
      </c>
      <c r="AK82" s="136">
        <f t="shared" si="11"/>
        <v>0</v>
      </c>
      <c r="AL82" s="136">
        <f t="shared" si="12"/>
        <v>0</v>
      </c>
      <c r="AM82" s="136">
        <f t="shared" si="46"/>
        <v>0</v>
      </c>
      <c r="AN82" s="136">
        <f t="shared" si="14"/>
        <v>0</v>
      </c>
      <c r="AO82" s="136">
        <f t="shared" si="15"/>
        <v>0</v>
      </c>
      <c r="AP82" s="138">
        <f t="shared" si="47"/>
        <v>0.91001124859392579</v>
      </c>
      <c r="AQ82" s="139">
        <f t="shared" si="48"/>
        <v>10.666666666666666</v>
      </c>
      <c r="AR82" s="537">
        <v>19</v>
      </c>
      <c r="AS82" s="202">
        <f t="shared" si="52"/>
        <v>91.001124859392576</v>
      </c>
      <c r="AT82" s="197">
        <f t="shared" si="18"/>
        <v>0</v>
      </c>
      <c r="AU82" s="199">
        <f t="shared" si="19"/>
        <v>0</v>
      </c>
      <c r="AV82" s="110"/>
      <c r="AW82" s="138" t="s">
        <v>202</v>
      </c>
      <c r="AX82" s="993" t="s">
        <v>197</v>
      </c>
      <c r="AY82" s="556">
        <v>0</v>
      </c>
      <c r="AZ82" s="35"/>
      <c r="BA82" s="35"/>
      <c r="BB82" s="35"/>
      <c r="BC82" s="35">
        <f t="shared" si="20"/>
        <v>0</v>
      </c>
      <c r="BD82" s="35">
        <f t="shared" si="55"/>
        <v>88.9</v>
      </c>
      <c r="BE82" s="45">
        <f t="shared" si="49"/>
        <v>0</v>
      </c>
      <c r="BF82" s="971"/>
      <c r="BG82" s="236"/>
      <c r="BH82" s="12"/>
      <c r="BI82" s="12"/>
      <c r="BJ82" s="12"/>
      <c r="BK82" s="12"/>
      <c r="BL82" s="12"/>
      <c r="BM82" s="980"/>
      <c r="BN82" s="367"/>
      <c r="BO82" s="981"/>
      <c r="BP82" s="12"/>
      <c r="BQ82" s="12"/>
      <c r="BR82" s="12"/>
      <c r="BS82" s="973"/>
      <c r="BT82" s="12"/>
      <c r="BU82" s="12"/>
      <c r="BV82" s="12"/>
      <c r="BW82" s="982" t="s">
        <v>393</v>
      </c>
      <c r="BX82" s="983">
        <f t="shared" si="50"/>
        <v>0</v>
      </c>
      <c r="BY82" s="12" t="e">
        <f>VLOOKUP(B82,#REF!,13,0)</f>
        <v>#REF!</v>
      </c>
      <c r="BZ82" s="1056">
        <v>59.9</v>
      </c>
      <c r="CA82" s="1181" t="e">
        <f>VLOOKUP(B82,Pedido!$B$16:$L$292,22,0)</f>
        <v>#N/A</v>
      </c>
    </row>
    <row r="83" spans="1:84" ht="16.5" customHeight="1" thickBot="1">
      <c r="A83" s="524"/>
      <c r="B83" s="140">
        <v>420739067</v>
      </c>
      <c r="C83" s="140" t="s">
        <v>452</v>
      </c>
      <c r="D83" s="427" t="s">
        <v>453</v>
      </c>
      <c r="E83" s="428" t="s">
        <v>457</v>
      </c>
      <c r="F83" s="429" t="s">
        <v>123</v>
      </c>
      <c r="G83" s="430">
        <v>30</v>
      </c>
      <c r="H83" s="1153">
        <v>8</v>
      </c>
      <c r="I83" s="129">
        <v>129.9</v>
      </c>
      <c r="J83" s="130">
        <f t="shared" si="30"/>
        <v>1.4611923509561304</v>
      </c>
      <c r="K83" s="131">
        <f t="shared" si="40"/>
        <v>0.31562740569668979</v>
      </c>
      <c r="L83" s="241">
        <v>88.9</v>
      </c>
      <c r="M83" s="473">
        <f t="shared" si="23"/>
        <v>77.900000000000006</v>
      </c>
      <c r="N83" s="473">
        <f t="shared" si="24"/>
        <v>77.900000000000006</v>
      </c>
      <c r="O83" s="473">
        <f t="shared" si="25"/>
        <v>77.900000000000006</v>
      </c>
      <c r="P83" s="132">
        <f t="shared" si="56"/>
        <v>77.900000000000006</v>
      </c>
      <c r="Q83" s="132">
        <f t="shared" si="57"/>
        <v>71.900000000000006</v>
      </c>
      <c r="R83" s="132">
        <f t="shared" si="58"/>
        <v>70.900000000000006</v>
      </c>
      <c r="S83" s="132">
        <f t="shared" si="59"/>
        <v>67.900000000000006</v>
      </c>
      <c r="T83" s="134">
        <f t="shared" si="0"/>
        <v>88.9</v>
      </c>
      <c r="U83" s="135" t="str">
        <f t="shared" si="1"/>
        <v/>
      </c>
      <c r="V83" s="575"/>
      <c r="W83" s="694">
        <f>Pedido!L66</f>
        <v>0</v>
      </c>
      <c r="X83" s="170"/>
      <c r="Y83" s="122">
        <f t="shared" si="31"/>
        <v>88.9</v>
      </c>
      <c r="Z83" s="224">
        <f t="shared" si="2"/>
        <v>0</v>
      </c>
      <c r="AA83" s="136">
        <f t="shared" si="3"/>
        <v>0</v>
      </c>
      <c r="AB83" s="136">
        <f t="shared" si="53"/>
        <v>0</v>
      </c>
      <c r="AC83" s="136">
        <f t="shared" si="54"/>
        <v>0</v>
      </c>
      <c r="AD83" s="136">
        <f t="shared" si="51"/>
        <v>0</v>
      </c>
      <c r="AE83" s="136">
        <f t="shared" si="41"/>
        <v>0</v>
      </c>
      <c r="AF83" s="136">
        <f t="shared" si="42"/>
        <v>0</v>
      </c>
      <c r="AG83" s="137">
        <f t="shared" si="43"/>
        <v>0</v>
      </c>
      <c r="AH83" s="136">
        <f t="shared" si="44"/>
        <v>0</v>
      </c>
      <c r="AI83" s="136">
        <f t="shared" si="45"/>
        <v>0</v>
      </c>
      <c r="AJ83" s="136">
        <f t="shared" si="10"/>
        <v>0</v>
      </c>
      <c r="AK83" s="136">
        <f t="shared" si="11"/>
        <v>0</v>
      </c>
      <c r="AL83" s="136">
        <f t="shared" si="12"/>
        <v>0</v>
      </c>
      <c r="AM83" s="136">
        <f t="shared" si="46"/>
        <v>0</v>
      </c>
      <c r="AN83" s="136">
        <f t="shared" si="14"/>
        <v>0</v>
      </c>
      <c r="AO83" s="136">
        <f t="shared" si="15"/>
        <v>0</v>
      </c>
      <c r="AP83" s="138">
        <f t="shared" si="47"/>
        <v>0.91001124859392579</v>
      </c>
      <c r="AQ83" s="139">
        <f t="shared" si="48"/>
        <v>10.666666666666666</v>
      </c>
      <c r="AR83" s="537">
        <v>19</v>
      </c>
      <c r="AS83" s="202">
        <f t="shared" si="52"/>
        <v>91.001124859392576</v>
      </c>
      <c r="AT83" s="197">
        <f t="shared" si="18"/>
        <v>0</v>
      </c>
      <c r="AU83" s="199">
        <f t="shared" si="19"/>
        <v>0</v>
      </c>
      <c r="AV83" s="110"/>
      <c r="AW83" s="138" t="s">
        <v>202</v>
      </c>
      <c r="AX83" s="993" t="s">
        <v>197</v>
      </c>
      <c r="AY83" s="556">
        <v>0</v>
      </c>
      <c r="AZ83" s="35"/>
      <c r="BA83" s="35"/>
      <c r="BB83" s="35"/>
      <c r="BC83" s="35">
        <f t="shared" si="20"/>
        <v>0</v>
      </c>
      <c r="BD83" s="35">
        <f t="shared" si="55"/>
        <v>88.9</v>
      </c>
      <c r="BE83" s="45">
        <f t="shared" si="49"/>
        <v>0</v>
      </c>
      <c r="BF83" s="971"/>
      <c r="BG83" s="236"/>
      <c r="BH83" s="12"/>
      <c r="BI83" s="12"/>
      <c r="BJ83" s="12"/>
      <c r="BK83" s="12"/>
      <c r="BL83" s="12"/>
      <c r="BM83" s="980"/>
      <c r="BN83" s="367"/>
      <c r="BO83" s="981"/>
      <c r="BP83" s="12"/>
      <c r="BQ83" s="12"/>
      <c r="BR83" s="12"/>
      <c r="BS83" s="973"/>
      <c r="BT83" s="12"/>
      <c r="BU83" s="12"/>
      <c r="BV83" s="12"/>
      <c r="BW83" s="982" t="s">
        <v>393</v>
      </c>
      <c r="BX83" s="983">
        <f t="shared" si="50"/>
        <v>0</v>
      </c>
      <c r="BY83" s="12" t="e">
        <f>VLOOKUP(B83,#REF!,13,0)</f>
        <v>#REF!</v>
      </c>
      <c r="BZ83" s="1056">
        <v>59.9</v>
      </c>
      <c r="CA83" s="1181" t="e">
        <f>VLOOKUP(B83,Pedido!$B$16:$L$292,22,0)</f>
        <v>#N/A</v>
      </c>
    </row>
    <row r="84" spans="1:84" ht="16.5" customHeight="1" thickBot="1">
      <c r="A84" s="524"/>
      <c r="B84" s="140">
        <v>420739062</v>
      </c>
      <c r="C84" s="140" t="s">
        <v>452</v>
      </c>
      <c r="D84" s="427" t="s">
        <v>453</v>
      </c>
      <c r="E84" s="428" t="s">
        <v>458</v>
      </c>
      <c r="F84" s="429" t="s">
        <v>123</v>
      </c>
      <c r="G84" s="430">
        <v>30</v>
      </c>
      <c r="H84" s="1153">
        <v>8</v>
      </c>
      <c r="I84" s="129">
        <v>129.9</v>
      </c>
      <c r="J84" s="130">
        <f t="shared" si="30"/>
        <v>1.4611923509561304</v>
      </c>
      <c r="K84" s="131">
        <f t="shared" si="40"/>
        <v>0.31562740569668979</v>
      </c>
      <c r="L84" s="241">
        <v>88.9</v>
      </c>
      <c r="M84" s="473">
        <f t="shared" si="23"/>
        <v>77.900000000000006</v>
      </c>
      <c r="N84" s="473">
        <f t="shared" si="24"/>
        <v>77.900000000000006</v>
      </c>
      <c r="O84" s="473">
        <f t="shared" si="25"/>
        <v>77.900000000000006</v>
      </c>
      <c r="P84" s="132">
        <f t="shared" si="56"/>
        <v>77.900000000000006</v>
      </c>
      <c r="Q84" s="132">
        <f t="shared" si="57"/>
        <v>71.900000000000006</v>
      </c>
      <c r="R84" s="132">
        <f t="shared" si="58"/>
        <v>70.900000000000006</v>
      </c>
      <c r="S84" s="132">
        <f t="shared" si="59"/>
        <v>67.900000000000006</v>
      </c>
      <c r="T84" s="134">
        <f t="shared" si="0"/>
        <v>88.9</v>
      </c>
      <c r="U84" s="135" t="str">
        <f t="shared" si="1"/>
        <v/>
      </c>
      <c r="V84" s="575"/>
      <c r="W84" s="694">
        <f>Pedido!L68</f>
        <v>0</v>
      </c>
      <c r="X84" s="170"/>
      <c r="Y84" s="122">
        <f t="shared" si="31"/>
        <v>88.9</v>
      </c>
      <c r="Z84" s="224">
        <f t="shared" si="2"/>
        <v>0</v>
      </c>
      <c r="AA84" s="136">
        <f t="shared" si="3"/>
        <v>0</v>
      </c>
      <c r="AB84" s="136">
        <f t="shared" si="53"/>
        <v>0</v>
      </c>
      <c r="AC84" s="136">
        <f t="shared" si="54"/>
        <v>0</v>
      </c>
      <c r="AD84" s="136">
        <f t="shared" si="51"/>
        <v>0</v>
      </c>
      <c r="AE84" s="136">
        <f t="shared" si="41"/>
        <v>0</v>
      </c>
      <c r="AF84" s="136">
        <f t="shared" si="42"/>
        <v>0</v>
      </c>
      <c r="AG84" s="137">
        <f t="shared" si="43"/>
        <v>0</v>
      </c>
      <c r="AH84" s="136">
        <f t="shared" si="44"/>
        <v>0</v>
      </c>
      <c r="AI84" s="136">
        <f t="shared" si="45"/>
        <v>0</v>
      </c>
      <c r="AJ84" s="136">
        <f t="shared" si="10"/>
        <v>0</v>
      </c>
      <c r="AK84" s="136">
        <f t="shared" si="11"/>
        <v>0</v>
      </c>
      <c r="AL84" s="136">
        <f t="shared" si="12"/>
        <v>0</v>
      </c>
      <c r="AM84" s="136">
        <f t="shared" si="46"/>
        <v>0</v>
      </c>
      <c r="AN84" s="136">
        <f t="shared" si="14"/>
        <v>0</v>
      </c>
      <c r="AO84" s="136">
        <f t="shared" si="15"/>
        <v>0</v>
      </c>
      <c r="AP84" s="138">
        <f t="shared" si="47"/>
        <v>0.91001124859392579</v>
      </c>
      <c r="AQ84" s="139">
        <f t="shared" si="48"/>
        <v>10.666666666666666</v>
      </c>
      <c r="AR84" s="537">
        <v>19</v>
      </c>
      <c r="AS84" s="202">
        <f t="shared" si="52"/>
        <v>91.001124859392576</v>
      </c>
      <c r="AT84" s="197">
        <f t="shared" si="18"/>
        <v>0</v>
      </c>
      <c r="AU84" s="199">
        <f t="shared" si="19"/>
        <v>0</v>
      </c>
      <c r="AV84" s="110"/>
      <c r="AW84" s="138" t="s">
        <v>202</v>
      </c>
      <c r="AX84" s="993" t="s">
        <v>197</v>
      </c>
      <c r="AY84" s="556">
        <v>0</v>
      </c>
      <c r="AZ84" s="35"/>
      <c r="BA84" s="35"/>
      <c r="BB84" s="35"/>
      <c r="BC84" s="35">
        <f t="shared" si="20"/>
        <v>0</v>
      </c>
      <c r="BD84" s="35">
        <f t="shared" si="55"/>
        <v>88.9</v>
      </c>
      <c r="BE84" s="45">
        <f t="shared" si="49"/>
        <v>0</v>
      </c>
      <c r="BF84" s="971"/>
      <c r="BG84" s="236"/>
      <c r="BH84" s="12"/>
      <c r="BI84" s="12"/>
      <c r="BJ84" s="12"/>
      <c r="BK84" s="12"/>
      <c r="BL84" s="12"/>
      <c r="BM84" s="980"/>
      <c r="BN84" s="367"/>
      <c r="BO84" s="981"/>
      <c r="BP84" s="12"/>
      <c r="BQ84" s="12"/>
      <c r="BR84" s="12"/>
      <c r="BS84" s="973"/>
      <c r="BT84" s="12"/>
      <c r="BU84" s="12"/>
      <c r="BV84" s="12"/>
      <c r="BW84" s="982" t="s">
        <v>393</v>
      </c>
      <c r="BX84" s="983">
        <f t="shared" si="50"/>
        <v>0</v>
      </c>
      <c r="BY84" s="12" t="e">
        <f>VLOOKUP(B84,#REF!,13,0)</f>
        <v>#REF!</v>
      </c>
      <c r="BZ84" s="1056">
        <v>59.9</v>
      </c>
      <c r="CA84" s="1181" t="e">
        <f>VLOOKUP(B84,Pedido!$B$16:$L$292,22,0)</f>
        <v>#N/A</v>
      </c>
    </row>
    <row r="85" spans="1:84" ht="16.5" customHeight="1" thickBot="1">
      <c r="A85" s="689"/>
      <c r="B85" s="336">
        <v>420739065</v>
      </c>
      <c r="C85" s="336" t="s">
        <v>452</v>
      </c>
      <c r="D85" s="690" t="s">
        <v>453</v>
      </c>
      <c r="E85" s="691" t="s">
        <v>459</v>
      </c>
      <c r="F85" s="692" t="s">
        <v>123</v>
      </c>
      <c r="G85" s="693">
        <v>30</v>
      </c>
      <c r="H85" s="1157">
        <v>8</v>
      </c>
      <c r="I85" s="337">
        <v>129.9</v>
      </c>
      <c r="J85" s="338">
        <f t="shared" si="30"/>
        <v>1.4611923509561304</v>
      </c>
      <c r="K85" s="339">
        <f t="shared" si="40"/>
        <v>0.31562740569668979</v>
      </c>
      <c r="L85" s="340">
        <v>88.9</v>
      </c>
      <c r="M85" s="482">
        <f t="shared" si="23"/>
        <v>77.900000000000006</v>
      </c>
      <c r="N85" s="482">
        <f t="shared" si="24"/>
        <v>77.900000000000006</v>
      </c>
      <c r="O85" s="482">
        <f t="shared" si="25"/>
        <v>77.900000000000006</v>
      </c>
      <c r="P85" s="341">
        <f t="shared" si="56"/>
        <v>77.900000000000006</v>
      </c>
      <c r="Q85" s="341">
        <f t="shared" si="57"/>
        <v>71.900000000000006</v>
      </c>
      <c r="R85" s="341">
        <f t="shared" si="58"/>
        <v>70.900000000000006</v>
      </c>
      <c r="S85" s="341">
        <f t="shared" si="59"/>
        <v>67.900000000000006</v>
      </c>
      <c r="T85" s="343">
        <f t="shared" si="0"/>
        <v>88.9</v>
      </c>
      <c r="U85" s="344" t="str">
        <f t="shared" si="1"/>
        <v/>
      </c>
      <c r="V85" s="1115"/>
      <c r="W85" s="1101">
        <f>Pedido!L69</f>
        <v>0</v>
      </c>
      <c r="X85" s="635"/>
      <c r="Y85" s="345">
        <f t="shared" si="31"/>
        <v>88.9</v>
      </c>
      <c r="Z85" s="346">
        <f t="shared" si="2"/>
        <v>0</v>
      </c>
      <c r="AA85" s="347">
        <f t="shared" si="3"/>
        <v>0</v>
      </c>
      <c r="AB85" s="347">
        <f t="shared" si="53"/>
        <v>0</v>
      </c>
      <c r="AC85" s="347">
        <f t="shared" si="54"/>
        <v>0</v>
      </c>
      <c r="AD85" s="347">
        <f t="shared" si="51"/>
        <v>0</v>
      </c>
      <c r="AE85" s="347">
        <f t="shared" si="41"/>
        <v>0</v>
      </c>
      <c r="AF85" s="347">
        <f t="shared" si="42"/>
        <v>0</v>
      </c>
      <c r="AG85" s="348">
        <f t="shared" si="43"/>
        <v>0</v>
      </c>
      <c r="AH85" s="347">
        <f t="shared" si="44"/>
        <v>0</v>
      </c>
      <c r="AI85" s="347">
        <f t="shared" si="45"/>
        <v>0</v>
      </c>
      <c r="AJ85" s="347">
        <f t="shared" si="10"/>
        <v>0</v>
      </c>
      <c r="AK85" s="347">
        <f t="shared" si="11"/>
        <v>0</v>
      </c>
      <c r="AL85" s="347">
        <f t="shared" si="12"/>
        <v>0</v>
      </c>
      <c r="AM85" s="347">
        <f t="shared" si="46"/>
        <v>0</v>
      </c>
      <c r="AN85" s="347">
        <f t="shared" si="14"/>
        <v>0</v>
      </c>
      <c r="AO85" s="347">
        <f t="shared" si="15"/>
        <v>0</v>
      </c>
      <c r="AP85" s="349">
        <f t="shared" si="47"/>
        <v>0.91001124859392579</v>
      </c>
      <c r="AQ85" s="350">
        <f t="shared" si="48"/>
        <v>10.666666666666666</v>
      </c>
      <c r="AR85" s="546">
        <v>19</v>
      </c>
      <c r="AS85" s="528">
        <f t="shared" si="52"/>
        <v>91.001124859392576</v>
      </c>
      <c r="AT85" s="529">
        <f t="shared" si="18"/>
        <v>0</v>
      </c>
      <c r="AU85" s="530">
        <f t="shared" si="19"/>
        <v>0</v>
      </c>
      <c r="AV85" s="351"/>
      <c r="AW85" s="349" t="s">
        <v>202</v>
      </c>
      <c r="AX85" s="998" t="s">
        <v>197</v>
      </c>
      <c r="AY85" s="556">
        <v>0</v>
      </c>
      <c r="AZ85" s="35"/>
      <c r="BA85" s="35"/>
      <c r="BB85" s="35"/>
      <c r="BC85" s="35">
        <f t="shared" si="20"/>
        <v>0</v>
      </c>
      <c r="BD85" s="35">
        <f t="shared" si="55"/>
        <v>88.9</v>
      </c>
      <c r="BE85" s="45">
        <f t="shared" si="49"/>
        <v>0</v>
      </c>
      <c r="BF85" s="971"/>
      <c r="BG85" s="236"/>
      <c r="BH85" s="12"/>
      <c r="BI85" s="12"/>
      <c r="BJ85" s="12"/>
      <c r="BK85" s="12"/>
      <c r="BL85" s="12"/>
      <c r="BM85" s="980"/>
      <c r="BN85" s="367"/>
      <c r="BO85" s="981"/>
      <c r="BP85" s="12"/>
      <c r="BQ85" s="12"/>
      <c r="BR85" s="12"/>
      <c r="BS85" s="973"/>
      <c r="BT85" s="12"/>
      <c r="BU85" s="12"/>
      <c r="BV85" s="12"/>
      <c r="BW85" s="982" t="s">
        <v>393</v>
      </c>
      <c r="BX85" s="983">
        <f t="shared" si="50"/>
        <v>0</v>
      </c>
      <c r="BY85" s="12" t="e">
        <f>VLOOKUP(B85,#REF!,13,0)</f>
        <v>#REF!</v>
      </c>
      <c r="BZ85" s="1060">
        <v>59.9</v>
      </c>
      <c r="CA85" s="1181" t="e">
        <f>VLOOKUP(B85,Pedido!$B$16:$L$292,22,0)</f>
        <v>#N/A</v>
      </c>
    </row>
    <row r="86" spans="1:84" ht="16.5" customHeight="1" thickBot="1">
      <c r="A86" s="524"/>
      <c r="B86" s="140" t="s">
        <v>285</v>
      </c>
      <c r="C86" s="140" t="s">
        <v>286</v>
      </c>
      <c r="D86" s="427" t="s">
        <v>287</v>
      </c>
      <c r="E86" s="428" t="s">
        <v>79</v>
      </c>
      <c r="F86" s="429" t="s">
        <v>123</v>
      </c>
      <c r="G86" s="430">
        <v>35</v>
      </c>
      <c r="H86" s="1153">
        <v>13.4</v>
      </c>
      <c r="I86" s="129">
        <v>99</v>
      </c>
      <c r="J86" s="130" t="str">
        <f>IFERROR(IF(T86&lt;&gt;"",I86/T86,IF(AND(Y86="",V86=""),"",IF(V86="",I86/Y86,I86/V86))),"")</f>
        <v/>
      </c>
      <c r="K86" s="131" t="str">
        <f>IF(T86="","",IFERROR(1-(T86/I86),0))</f>
        <v/>
      </c>
      <c r="L86" s="241">
        <v>65.900000000000006</v>
      </c>
      <c r="M86" s="473">
        <f t="shared" si="23"/>
        <v>57.9</v>
      </c>
      <c r="N86" s="473">
        <f t="shared" si="24"/>
        <v>57.9</v>
      </c>
      <c r="O86" s="473">
        <f t="shared" si="25"/>
        <v>57.9</v>
      </c>
      <c r="P86" s="132">
        <v>57.9</v>
      </c>
      <c r="Q86" s="132">
        <v>52.9</v>
      </c>
      <c r="R86" s="132">
        <v>51.9</v>
      </c>
      <c r="S86" s="133">
        <v>49.900000000000006</v>
      </c>
      <c r="T86" s="134" t="str">
        <f>IF(V86&gt;0,V86,IFERROR(IF(AND(W86&lt;&gt;"",X86&lt;&gt;""),AH86/W86,Y86),""))</f>
        <v/>
      </c>
      <c r="U86" s="135" t="str">
        <f>IFERROR((T86*W86)/(W86+X86),"")</f>
        <v/>
      </c>
      <c r="V86" s="575"/>
      <c r="W86" s="694"/>
      <c r="X86" s="170"/>
      <c r="Y86" s="122" t="str">
        <f t="shared" si="31"/>
        <v/>
      </c>
      <c r="Z86" s="224">
        <f>IF(X86&gt;W86,-1,IF(W86=0,0,IF(U86&lt;(H86/0.75),-1,IF(W86&lt;=3,0,0.0001))))</f>
        <v>0</v>
      </c>
      <c r="AA86" s="136">
        <f>IFERROR(L86*W86,0)</f>
        <v>0</v>
      </c>
      <c r="AB86" s="136">
        <f t="shared" si="53"/>
        <v>0</v>
      </c>
      <c r="AC86" s="136">
        <f t="shared" si="54"/>
        <v>0</v>
      </c>
      <c r="AD86" s="136">
        <f>IFERROR(X86*T86,0)</f>
        <v>0</v>
      </c>
      <c r="AE86" s="136">
        <f>IFERROR(W86*H86,0)</f>
        <v>0</v>
      </c>
      <c r="AF86" s="136">
        <f>IFERROR(1-(AE86/AB86),0)</f>
        <v>0</v>
      </c>
      <c r="AG86" s="137">
        <f>IFERROR(SUM(W86:X86)*I86,0)</f>
        <v>0</v>
      </c>
      <c r="AH86" s="136">
        <f>IFERROR(IF(V86&gt;0,V86*W86,(Y86*W86)),0)</f>
        <v>0</v>
      </c>
      <c r="AI86" s="136">
        <f>IFERROR(SUM(W86)*H86,0)</f>
        <v>0</v>
      </c>
      <c r="AJ86" s="136">
        <f>AH86*$AJ$25</f>
        <v>0</v>
      </c>
      <c r="AK86" s="136">
        <f>AH86*AK$25</f>
        <v>0</v>
      </c>
      <c r="AL86" s="136">
        <f>AH86*AL$25</f>
        <v>0</v>
      </c>
      <c r="AM86" s="136">
        <f>SUM(AJ86:AL86)</f>
        <v>0</v>
      </c>
      <c r="AN86" s="136">
        <f>AH86-AM86</f>
        <v>0</v>
      </c>
      <c r="AO86" s="136">
        <f>AN86-AI86</f>
        <v>0</v>
      </c>
      <c r="AP86" s="138">
        <f>IFERROR(IF(V86&lt;&gt;"",1-(H86/V86),IF(Y86&lt;&gt;"",1-(H86/Y86),1-(H86/L86))),0)</f>
        <v>0.79666160849772383</v>
      </c>
      <c r="AQ86" s="139">
        <f>H86/0.75</f>
        <v>17.866666666666667</v>
      </c>
      <c r="AR86" s="537">
        <v>8</v>
      </c>
      <c r="AS86" s="519">
        <f t="shared" si="52"/>
        <v>79.666160849772382</v>
      </c>
      <c r="AT86" s="106">
        <f t="shared" si="18"/>
        <v>0</v>
      </c>
      <c r="AU86" s="109">
        <f t="shared" si="19"/>
        <v>0</v>
      </c>
      <c r="AV86" s="110"/>
      <c r="AW86" s="138" t="s">
        <v>202</v>
      </c>
      <c r="AX86" s="993" t="s">
        <v>197</v>
      </c>
      <c r="AY86" s="556">
        <v>0</v>
      </c>
      <c r="AZ86" s="35"/>
      <c r="BA86" s="35"/>
      <c r="BB86" s="35"/>
      <c r="BC86" s="35">
        <f>IF(BE86&lt;0,BE86,0)</f>
        <v>0</v>
      </c>
      <c r="BD86" s="35" t="str">
        <f t="shared" si="55"/>
        <v/>
      </c>
      <c r="BE86" s="45">
        <f>IF(V86="",0,(V86*W86)-(BD86*W86))</f>
        <v>0</v>
      </c>
      <c r="BF86" s="971"/>
      <c r="BG86" s="236"/>
      <c r="BH86" s="12"/>
      <c r="BI86" s="12"/>
      <c r="BJ86" s="12"/>
      <c r="BK86" s="12"/>
      <c r="BL86" s="12"/>
      <c r="BM86" s="980"/>
      <c r="BN86" s="367"/>
      <c r="BO86" s="981"/>
      <c r="BP86" s="12"/>
      <c r="BQ86" s="12"/>
      <c r="BR86" s="12"/>
      <c r="BS86" s="973"/>
      <c r="BT86" s="12"/>
      <c r="BU86" s="12"/>
      <c r="BV86" s="12"/>
      <c r="BW86" s="982" t="s">
        <v>393</v>
      </c>
      <c r="BX86" s="983">
        <f t="shared" si="50"/>
        <v>0</v>
      </c>
      <c r="BY86" s="12" t="e">
        <f>VLOOKUP(B86,#REF!,13,0)</f>
        <v>#REF!</v>
      </c>
      <c r="BZ86" s="1056">
        <v>37.9</v>
      </c>
      <c r="CA86" s="1181" t="e">
        <f>VLOOKUP(B86,Pedido!$B$16:$L$292,22,0)</f>
        <v>#N/A</v>
      </c>
    </row>
    <row r="87" spans="1:84" ht="16.5" customHeight="1" thickBot="1">
      <c r="A87" s="524"/>
      <c r="B87" s="140" t="s">
        <v>288</v>
      </c>
      <c r="C87" s="140" t="s">
        <v>286</v>
      </c>
      <c r="D87" s="427" t="s">
        <v>287</v>
      </c>
      <c r="E87" s="428" t="s">
        <v>100</v>
      </c>
      <c r="F87" s="429" t="s">
        <v>123</v>
      </c>
      <c r="G87" s="430">
        <v>35</v>
      </c>
      <c r="H87" s="1153">
        <v>13.4</v>
      </c>
      <c r="I87" s="129">
        <v>99</v>
      </c>
      <c r="J87" s="130" t="str">
        <f>IFERROR(IF(T87&lt;&gt;"",I87/T87,IF(AND(Y87="",V87=""),"",IF(V87="",I87/Y87,I87/V87))),"")</f>
        <v/>
      </c>
      <c r="K87" s="131" t="str">
        <f>IF(T87="","",IFERROR(1-(T87/I87),0))</f>
        <v/>
      </c>
      <c r="L87" s="241">
        <v>65.900000000000006</v>
      </c>
      <c r="M87" s="473">
        <f t="shared" si="23"/>
        <v>57.9</v>
      </c>
      <c r="N87" s="473">
        <f t="shared" si="24"/>
        <v>57.9</v>
      </c>
      <c r="O87" s="473">
        <f t="shared" si="25"/>
        <v>57.9</v>
      </c>
      <c r="P87" s="132">
        <v>57.9</v>
      </c>
      <c r="Q87" s="132">
        <v>52.9</v>
      </c>
      <c r="R87" s="132">
        <v>51.9</v>
      </c>
      <c r="S87" s="133">
        <v>49.900000000000006</v>
      </c>
      <c r="T87" s="134" t="str">
        <f>IF(V87&gt;0,V87,IFERROR(IF(AND(W87&lt;&gt;"",X87&lt;&gt;""),AH87/W87,Y87),""))</f>
        <v/>
      </c>
      <c r="U87" s="135" t="str">
        <f>IFERROR((T87*W87)/(W87+X87),"")</f>
        <v/>
      </c>
      <c r="V87" s="575"/>
      <c r="W87" s="694"/>
      <c r="X87" s="170"/>
      <c r="Y87" s="122" t="str">
        <f t="shared" si="31"/>
        <v/>
      </c>
      <c r="Z87" s="224">
        <f t="shared" si="2"/>
        <v>0</v>
      </c>
      <c r="AA87" s="136">
        <f>IFERROR(L87*W87,0)</f>
        <v>0</v>
      </c>
      <c r="AB87" s="136">
        <f t="shared" si="53"/>
        <v>0</v>
      </c>
      <c r="AC87" s="136">
        <f t="shared" si="54"/>
        <v>0</v>
      </c>
      <c r="AD87" s="136">
        <f>IFERROR(X87*T87,0)</f>
        <v>0</v>
      </c>
      <c r="AE87" s="136">
        <f>IFERROR(W87*H87,0)</f>
        <v>0</v>
      </c>
      <c r="AF87" s="136">
        <f>IFERROR(1-(AE87/AB87),0)</f>
        <v>0</v>
      </c>
      <c r="AG87" s="137">
        <f>IFERROR(SUM(W87:X87)*I87,0)</f>
        <v>0</v>
      </c>
      <c r="AH87" s="136">
        <f>IFERROR(IF(V87&gt;0,V87*W87,(Y87*W87)),0)</f>
        <v>0</v>
      </c>
      <c r="AI87" s="136">
        <f>IFERROR(SUM(W87)*H87,0)</f>
        <v>0</v>
      </c>
      <c r="AJ87" s="136">
        <f>AH87*$AJ$25</f>
        <v>0</v>
      </c>
      <c r="AK87" s="136">
        <f>AH87*AK$25</f>
        <v>0</v>
      </c>
      <c r="AL87" s="136">
        <f>AH87*AL$25</f>
        <v>0</v>
      </c>
      <c r="AM87" s="136">
        <f>SUM(AJ87:AL87)</f>
        <v>0</v>
      </c>
      <c r="AN87" s="136">
        <f>AH87-AM87</f>
        <v>0</v>
      </c>
      <c r="AO87" s="136">
        <f>AN87-AI87</f>
        <v>0</v>
      </c>
      <c r="AP87" s="138">
        <f>IFERROR(IF(V87&lt;&gt;"",1-(H87/V87),IF(Y87&lt;&gt;"",1-(H87/Y87),1-(H87/L87))),0)</f>
        <v>0.79666160849772383</v>
      </c>
      <c r="AQ87" s="139">
        <f>H87/0.75</f>
        <v>17.866666666666667</v>
      </c>
      <c r="AR87" s="537">
        <v>8</v>
      </c>
      <c r="AS87" s="202">
        <f t="shared" si="52"/>
        <v>79.666160849772382</v>
      </c>
      <c r="AT87" s="197">
        <f t="shared" si="18"/>
        <v>0</v>
      </c>
      <c r="AU87" s="199">
        <f t="shared" si="19"/>
        <v>0</v>
      </c>
      <c r="AV87" s="110"/>
      <c r="AW87" s="138" t="s">
        <v>202</v>
      </c>
      <c r="AX87" s="993" t="s">
        <v>197</v>
      </c>
      <c r="AY87" s="556">
        <v>0</v>
      </c>
      <c r="AZ87" s="35"/>
      <c r="BA87" s="35"/>
      <c r="BB87" s="35"/>
      <c r="BC87" s="35">
        <f>IF(BE87&lt;0,BE87,0)</f>
        <v>0</v>
      </c>
      <c r="BD87" s="35" t="str">
        <f t="shared" si="55"/>
        <v/>
      </c>
      <c r="BE87" s="45">
        <f>IF(V87="",0,(V87*W87)-(BD87*W87))</f>
        <v>0</v>
      </c>
      <c r="BF87" s="971"/>
      <c r="BG87" s="236"/>
      <c r="BH87" s="12"/>
      <c r="BI87" s="12"/>
      <c r="BJ87" s="12"/>
      <c r="BK87" s="12"/>
      <c r="BL87" s="12"/>
      <c r="BM87" s="980"/>
      <c r="BN87" s="367"/>
      <c r="BO87" s="981"/>
      <c r="BP87" s="12"/>
      <c r="BQ87" s="12"/>
      <c r="BR87" s="12"/>
      <c r="BS87" s="973"/>
      <c r="BT87" s="12"/>
      <c r="BU87" s="12"/>
      <c r="BV87" s="12"/>
      <c r="BW87" s="982" t="s">
        <v>393</v>
      </c>
      <c r="BX87" s="983">
        <f t="shared" si="50"/>
        <v>0</v>
      </c>
      <c r="BY87" s="12" t="e">
        <f>VLOOKUP(B87,#REF!,13,0)</f>
        <v>#REF!</v>
      </c>
      <c r="BZ87" s="1056">
        <v>37.9</v>
      </c>
      <c r="CA87" s="1181" t="e">
        <f>VLOOKUP(B87,Pedido!$B$16:$L$292,22,0)</f>
        <v>#N/A</v>
      </c>
    </row>
    <row r="88" spans="1:84" ht="16.5" customHeight="1" thickBot="1">
      <c r="A88" s="524"/>
      <c r="B88" s="140" t="s">
        <v>289</v>
      </c>
      <c r="C88" s="140" t="s">
        <v>286</v>
      </c>
      <c r="D88" s="427" t="s">
        <v>287</v>
      </c>
      <c r="E88" s="428" t="s">
        <v>102</v>
      </c>
      <c r="F88" s="429" t="s">
        <v>123</v>
      </c>
      <c r="G88" s="430">
        <v>35</v>
      </c>
      <c r="H88" s="1153">
        <v>13.4</v>
      </c>
      <c r="I88" s="129">
        <v>99</v>
      </c>
      <c r="J88" s="130" t="str">
        <f>IFERROR(IF(T88&lt;&gt;"",I88/T88,IF(AND(Y88="",V88=""),"",IF(V88="",I88/Y88,I88/V88))),"")</f>
        <v/>
      </c>
      <c r="K88" s="131" t="str">
        <f>IF(T88="","",IFERROR(1-(T88/I88),0))</f>
        <v/>
      </c>
      <c r="L88" s="241">
        <v>65.900000000000006</v>
      </c>
      <c r="M88" s="473">
        <f t="shared" si="23"/>
        <v>57.9</v>
      </c>
      <c r="N88" s="473">
        <f t="shared" si="24"/>
        <v>57.9</v>
      </c>
      <c r="O88" s="473">
        <f t="shared" si="25"/>
        <v>57.9</v>
      </c>
      <c r="P88" s="132">
        <v>57.9</v>
      </c>
      <c r="Q88" s="132">
        <v>52.9</v>
      </c>
      <c r="R88" s="132">
        <v>51.9</v>
      </c>
      <c r="S88" s="133">
        <v>49.900000000000006</v>
      </c>
      <c r="T88" s="134" t="str">
        <f>IF(V88&gt;0,V88,IFERROR(IF(AND(W88&lt;&gt;"",X88&lt;&gt;""),AH88/W88,Y88),""))</f>
        <v/>
      </c>
      <c r="U88" s="135" t="str">
        <f>IFERROR((T88*W88)/(W88+X88),"")</f>
        <v/>
      </c>
      <c r="V88" s="575"/>
      <c r="W88" s="1110"/>
      <c r="X88" s="1111"/>
      <c r="Y88" s="501" t="str">
        <f t="shared" si="31"/>
        <v/>
      </c>
      <c r="Z88" s="502">
        <f t="shared" si="2"/>
        <v>0</v>
      </c>
      <c r="AA88" s="136">
        <f>IFERROR(L88*W88,0)</f>
        <v>0</v>
      </c>
      <c r="AB88" s="136">
        <f t="shared" si="53"/>
        <v>0</v>
      </c>
      <c r="AC88" s="136">
        <f t="shared" si="54"/>
        <v>0</v>
      </c>
      <c r="AD88" s="136">
        <f>IFERROR(X88*T88,0)</f>
        <v>0</v>
      </c>
      <c r="AE88" s="136">
        <f>IFERROR(W88*H88,0)</f>
        <v>0</v>
      </c>
      <c r="AF88" s="136">
        <f>IFERROR(1-(AE88/AB88),0)</f>
        <v>0</v>
      </c>
      <c r="AG88" s="137">
        <f>IFERROR(SUM(W88:X88)*I88,0)</f>
        <v>0</v>
      </c>
      <c r="AH88" s="136">
        <f>IFERROR(IF(V88&gt;0,V88*W88,(Y88*W88)),0)</f>
        <v>0</v>
      </c>
      <c r="AI88" s="136">
        <f>IFERROR(SUM(W88)*H88,0)</f>
        <v>0</v>
      </c>
      <c r="AJ88" s="136">
        <f>AH88*$AJ$25</f>
        <v>0</v>
      </c>
      <c r="AK88" s="136">
        <f>AH88*AK$25</f>
        <v>0</v>
      </c>
      <c r="AL88" s="136">
        <f>AH88*AL$25</f>
        <v>0</v>
      </c>
      <c r="AM88" s="136">
        <f>SUM(AJ88:AL88)</f>
        <v>0</v>
      </c>
      <c r="AN88" s="136">
        <f>AH88-AM88</f>
        <v>0</v>
      </c>
      <c r="AO88" s="136">
        <f>AN88-AI88</f>
        <v>0</v>
      </c>
      <c r="AP88" s="138">
        <f>IFERROR(IF(V88&lt;&gt;"",1-(H88/V88),IF(Y88&lt;&gt;"",1-(H88/Y88),1-(H88/L88))),0)</f>
        <v>0.79666160849772383</v>
      </c>
      <c r="AQ88" s="139">
        <f>H88/0.75</f>
        <v>17.866666666666667</v>
      </c>
      <c r="AR88" s="537">
        <v>8</v>
      </c>
      <c r="AS88" s="202">
        <f t="shared" si="52"/>
        <v>79.666160849772382</v>
      </c>
      <c r="AT88" s="197">
        <f t="shared" si="18"/>
        <v>0</v>
      </c>
      <c r="AU88" s="199">
        <f t="shared" si="19"/>
        <v>0</v>
      </c>
      <c r="AV88" s="110"/>
      <c r="AW88" s="138" t="s">
        <v>202</v>
      </c>
      <c r="AX88" s="993" t="s">
        <v>197</v>
      </c>
      <c r="AY88" s="556">
        <v>0</v>
      </c>
      <c r="AZ88" s="35"/>
      <c r="BA88" s="35"/>
      <c r="BB88" s="35"/>
      <c r="BC88" s="35">
        <f>IF(BE88&lt;0,BE88,0)</f>
        <v>0</v>
      </c>
      <c r="BD88" s="35" t="str">
        <f t="shared" si="55"/>
        <v/>
      </c>
      <c r="BE88" s="45">
        <f>IF(V88="",0,(V88*W88)-(BD88*W88))</f>
        <v>0</v>
      </c>
      <c r="BF88" s="971"/>
      <c r="BG88" s="236"/>
      <c r="BH88" s="12"/>
      <c r="BI88" s="12"/>
      <c r="BJ88" s="12"/>
      <c r="BK88" s="12"/>
      <c r="BL88" s="12"/>
      <c r="BM88" s="980"/>
      <c r="BN88" s="367"/>
      <c r="BO88" s="981"/>
      <c r="BP88" s="12"/>
      <c r="BQ88" s="12"/>
      <c r="BR88" s="12"/>
      <c r="BS88" s="973"/>
      <c r="BT88" s="12"/>
      <c r="BU88" s="12"/>
      <c r="BV88" s="12"/>
      <c r="BW88" s="982" t="s">
        <v>393</v>
      </c>
      <c r="BX88" s="983">
        <f t="shared" si="50"/>
        <v>0</v>
      </c>
      <c r="BY88" s="12" t="e">
        <f>VLOOKUP(B88,#REF!,13,0)</f>
        <v>#REF!</v>
      </c>
      <c r="BZ88" s="1056">
        <v>37.9</v>
      </c>
      <c r="CA88" s="1181" t="e">
        <f>VLOOKUP(B88,Pedido!$B$16:$L$292,22,0)</f>
        <v>#N/A</v>
      </c>
    </row>
    <row r="89" spans="1:84" ht="16.5" customHeight="1" thickBot="1">
      <c r="A89" s="524"/>
      <c r="B89" s="114" t="s">
        <v>95</v>
      </c>
      <c r="C89" s="114" t="s">
        <v>221</v>
      </c>
      <c r="D89" s="431" t="s">
        <v>96</v>
      </c>
      <c r="E89" s="432" t="s">
        <v>75</v>
      </c>
      <c r="F89" s="433" t="s">
        <v>61</v>
      </c>
      <c r="G89" s="434">
        <v>1000</v>
      </c>
      <c r="H89" s="1152">
        <v>25.57</v>
      </c>
      <c r="I89" s="115">
        <v>149.9</v>
      </c>
      <c r="J89" s="116" t="str">
        <f t="shared" si="30"/>
        <v/>
      </c>
      <c r="K89" s="117" t="str">
        <f t="shared" si="40"/>
        <v/>
      </c>
      <c r="L89" s="239">
        <v>103.9</v>
      </c>
      <c r="M89" s="472">
        <f t="shared" si="23"/>
        <v>91.9</v>
      </c>
      <c r="N89" s="472">
        <f t="shared" si="24"/>
        <v>91.9</v>
      </c>
      <c r="O89" s="472">
        <f t="shared" si="25"/>
        <v>91.9</v>
      </c>
      <c r="P89" s="118">
        <v>91.9</v>
      </c>
      <c r="Q89" s="118">
        <v>84.9</v>
      </c>
      <c r="R89" s="118">
        <v>82.9</v>
      </c>
      <c r="S89" s="119">
        <v>79.900000000000006</v>
      </c>
      <c r="T89" s="120" t="str">
        <f t="shared" si="0"/>
        <v/>
      </c>
      <c r="U89" s="121" t="str">
        <f t="shared" si="1"/>
        <v/>
      </c>
      <c r="V89" s="1108"/>
      <c r="W89" s="694"/>
      <c r="X89" s="170"/>
      <c r="Y89" s="122" t="str">
        <f t="shared" si="31"/>
        <v/>
      </c>
      <c r="Z89" s="224">
        <f t="shared" si="2"/>
        <v>0</v>
      </c>
      <c r="AA89" s="123">
        <f t="shared" si="3"/>
        <v>0</v>
      </c>
      <c r="AB89" s="123">
        <f t="shared" si="53"/>
        <v>0</v>
      </c>
      <c r="AC89" s="123">
        <f t="shared" si="54"/>
        <v>0</v>
      </c>
      <c r="AD89" s="123">
        <f t="shared" si="51"/>
        <v>0</v>
      </c>
      <c r="AE89" s="123">
        <f t="shared" si="41"/>
        <v>0</v>
      </c>
      <c r="AF89" s="123">
        <f t="shared" si="42"/>
        <v>0</v>
      </c>
      <c r="AG89" s="124">
        <f t="shared" si="43"/>
        <v>0</v>
      </c>
      <c r="AH89" s="123">
        <f t="shared" si="44"/>
        <v>0</v>
      </c>
      <c r="AI89" s="123">
        <f t="shared" si="45"/>
        <v>0</v>
      </c>
      <c r="AJ89" s="123">
        <f t="shared" si="10"/>
        <v>0</v>
      </c>
      <c r="AK89" s="123">
        <f t="shared" si="11"/>
        <v>0</v>
      </c>
      <c r="AL89" s="123">
        <f t="shared" si="12"/>
        <v>0</v>
      </c>
      <c r="AM89" s="123">
        <f t="shared" si="46"/>
        <v>0</v>
      </c>
      <c r="AN89" s="123">
        <f t="shared" si="14"/>
        <v>0</v>
      </c>
      <c r="AO89" s="123">
        <f t="shared" si="15"/>
        <v>0</v>
      </c>
      <c r="AP89" s="125">
        <f t="shared" si="47"/>
        <v>0.75389797882579401</v>
      </c>
      <c r="AQ89" s="126">
        <f t="shared" si="48"/>
        <v>34.093333333333334</v>
      </c>
      <c r="AR89" s="535">
        <v>5</v>
      </c>
      <c r="AS89" s="202">
        <f t="shared" si="52"/>
        <v>75.389797882579401</v>
      </c>
      <c r="AT89" s="197">
        <f t="shared" si="18"/>
        <v>0</v>
      </c>
      <c r="AU89" s="199">
        <f t="shared" si="19"/>
        <v>0</v>
      </c>
      <c r="AV89" s="110"/>
      <c r="AW89" s="125" t="e">
        <f>VLOOKUP(AX89,Sup!#REF!,8,0)</f>
        <v>#REF!</v>
      </c>
      <c r="AX89" s="991" t="s">
        <v>197</v>
      </c>
      <c r="AY89" s="556">
        <v>0</v>
      </c>
      <c r="AZ89" s="41"/>
      <c r="BA89" s="41"/>
      <c r="BB89" s="43">
        <f>IF($F$14="NOVO/REATIVAÇÃO",W89*7*1.4,W89*7)</f>
        <v>0</v>
      </c>
      <c r="BC89" s="41">
        <f t="shared" si="20"/>
        <v>0</v>
      </c>
      <c r="BD89" s="41" t="str">
        <f t="shared" si="55"/>
        <v/>
      </c>
      <c r="BE89" s="42">
        <f t="shared" si="49"/>
        <v>0</v>
      </c>
      <c r="BF89" s="971"/>
      <c r="BG89" s="236"/>
      <c r="BH89" s="12"/>
      <c r="BI89" s="12"/>
      <c r="BJ89" s="12"/>
      <c r="BK89" s="12"/>
      <c r="BL89" s="12"/>
      <c r="BM89" s="980"/>
      <c r="BN89" s="367"/>
      <c r="BO89" s="981"/>
      <c r="BP89" s="12"/>
      <c r="BQ89" s="12"/>
      <c r="BR89" s="12"/>
      <c r="BS89" s="973"/>
      <c r="BT89" s="12"/>
      <c r="BU89" s="12"/>
      <c r="BV89" s="12"/>
      <c r="BW89" s="982" t="s">
        <v>393</v>
      </c>
      <c r="BX89" s="983">
        <f t="shared" si="50"/>
        <v>0</v>
      </c>
      <c r="BY89" s="12" t="e">
        <f>VLOOKUP(B89,#REF!,13,0)</f>
        <v>#REF!</v>
      </c>
      <c r="BZ89" s="1055">
        <v>65.900000000000006</v>
      </c>
      <c r="CA89" s="1181" t="e">
        <f>VLOOKUP(B89,Pedido!$B$16:$L$292,22,0)</f>
        <v>#N/A</v>
      </c>
      <c r="CC89" s="1185" t="e">
        <f>SUM(CA89:CA93)+SUM(CA96:CA98)</f>
        <v>#N/A</v>
      </c>
      <c r="CD89" s="1185"/>
      <c r="CE89" s="1186"/>
      <c r="CF89" s="1186"/>
    </row>
    <row r="90" spans="1:84" ht="16.5" customHeight="1" thickBot="1">
      <c r="A90" s="524"/>
      <c r="B90" s="140" t="s">
        <v>97</v>
      </c>
      <c r="C90" s="140" t="s">
        <v>221</v>
      </c>
      <c r="D90" s="427" t="s">
        <v>96</v>
      </c>
      <c r="E90" s="428" t="s">
        <v>79</v>
      </c>
      <c r="F90" s="429" t="s">
        <v>61</v>
      </c>
      <c r="G90" s="430">
        <v>1000</v>
      </c>
      <c r="H90" s="1153">
        <v>25.57</v>
      </c>
      <c r="I90" s="129">
        <v>149.9</v>
      </c>
      <c r="J90" s="130" t="str">
        <f t="shared" si="30"/>
        <v/>
      </c>
      <c r="K90" s="131" t="str">
        <f t="shared" si="40"/>
        <v/>
      </c>
      <c r="L90" s="241">
        <v>103.9</v>
      </c>
      <c r="M90" s="473">
        <f t="shared" si="23"/>
        <v>91.9</v>
      </c>
      <c r="N90" s="473">
        <f t="shared" si="24"/>
        <v>91.9</v>
      </c>
      <c r="O90" s="473">
        <f t="shared" si="25"/>
        <v>91.9</v>
      </c>
      <c r="P90" s="132">
        <v>91.9</v>
      </c>
      <c r="Q90" s="132">
        <v>84.9</v>
      </c>
      <c r="R90" s="132">
        <v>82.9</v>
      </c>
      <c r="S90" s="133">
        <v>79.900000000000006</v>
      </c>
      <c r="T90" s="134" t="str">
        <f t="shared" si="0"/>
        <v/>
      </c>
      <c r="U90" s="135" t="str">
        <f t="shared" si="1"/>
        <v/>
      </c>
      <c r="V90" s="575"/>
      <c r="W90" s="694"/>
      <c r="X90" s="170"/>
      <c r="Y90" s="122" t="str">
        <f t="shared" si="31"/>
        <v/>
      </c>
      <c r="Z90" s="224">
        <f t="shared" si="2"/>
        <v>0</v>
      </c>
      <c r="AA90" s="136">
        <f t="shared" si="3"/>
        <v>0</v>
      </c>
      <c r="AB90" s="136">
        <f t="shared" si="53"/>
        <v>0</v>
      </c>
      <c r="AC90" s="136">
        <f t="shared" si="54"/>
        <v>0</v>
      </c>
      <c r="AD90" s="136">
        <f t="shared" si="51"/>
        <v>0</v>
      </c>
      <c r="AE90" s="136">
        <f t="shared" si="41"/>
        <v>0</v>
      </c>
      <c r="AF90" s="136">
        <f t="shared" si="42"/>
        <v>0</v>
      </c>
      <c r="AG90" s="137">
        <f t="shared" si="43"/>
        <v>0</v>
      </c>
      <c r="AH90" s="136">
        <f t="shared" si="44"/>
        <v>0</v>
      </c>
      <c r="AI90" s="136">
        <f t="shared" si="45"/>
        <v>0</v>
      </c>
      <c r="AJ90" s="136">
        <f t="shared" si="10"/>
        <v>0</v>
      </c>
      <c r="AK90" s="136">
        <f t="shared" si="11"/>
        <v>0</v>
      </c>
      <c r="AL90" s="136">
        <f t="shared" si="12"/>
        <v>0</v>
      </c>
      <c r="AM90" s="136">
        <f t="shared" si="46"/>
        <v>0</v>
      </c>
      <c r="AN90" s="136">
        <f t="shared" si="14"/>
        <v>0</v>
      </c>
      <c r="AO90" s="136">
        <f t="shared" si="15"/>
        <v>0</v>
      </c>
      <c r="AP90" s="138">
        <f t="shared" si="47"/>
        <v>0.75389797882579401</v>
      </c>
      <c r="AQ90" s="139">
        <f t="shared" si="48"/>
        <v>34.093333333333334</v>
      </c>
      <c r="AR90" s="537">
        <v>5</v>
      </c>
      <c r="AS90" s="202">
        <f t="shared" si="52"/>
        <v>75.389797882579401</v>
      </c>
      <c r="AT90" s="197">
        <f t="shared" si="18"/>
        <v>0</v>
      </c>
      <c r="AU90" s="199">
        <f t="shared" si="19"/>
        <v>0</v>
      </c>
      <c r="AV90" s="110"/>
      <c r="AW90" s="138" t="e">
        <f>VLOOKUP(AX90,Sup!#REF!,8,0)</f>
        <v>#REF!</v>
      </c>
      <c r="AX90" s="993" t="s">
        <v>197</v>
      </c>
      <c r="AY90" s="556">
        <v>0</v>
      </c>
      <c r="AZ90" s="35"/>
      <c r="BA90" s="35"/>
      <c r="BB90" s="43">
        <f>IF($F$14="NOVO/REATIVAÇÃO",W90*7*1.4,W90*7)</f>
        <v>0</v>
      </c>
      <c r="BC90" s="35">
        <f t="shared" si="20"/>
        <v>0</v>
      </c>
      <c r="BD90" s="35" t="str">
        <f t="shared" si="55"/>
        <v/>
      </c>
      <c r="BE90" s="45">
        <f t="shared" si="49"/>
        <v>0</v>
      </c>
      <c r="BF90" s="971"/>
      <c r="BG90" s="236"/>
      <c r="BH90" s="12"/>
      <c r="BI90" s="12"/>
      <c r="BJ90" s="12"/>
      <c r="BK90" s="12"/>
      <c r="BL90" s="12"/>
      <c r="BM90" s="980"/>
      <c r="BN90" s="367"/>
      <c r="BO90" s="981"/>
      <c r="BP90" s="12"/>
      <c r="BQ90" s="12"/>
      <c r="BR90" s="12"/>
      <c r="BS90" s="973"/>
      <c r="BT90" s="12"/>
      <c r="BU90" s="12"/>
      <c r="BV90" s="12"/>
      <c r="BW90" s="982" t="s">
        <v>393</v>
      </c>
      <c r="BX90" s="983">
        <f t="shared" si="50"/>
        <v>0</v>
      </c>
      <c r="BY90" s="12" t="e">
        <f>VLOOKUP(B90,#REF!,13,0)</f>
        <v>#REF!</v>
      </c>
      <c r="BZ90" s="1056">
        <v>65.900000000000006</v>
      </c>
      <c r="CA90" s="1181" t="e">
        <f>VLOOKUP(B90,Pedido!$B$16:$L$292,22,0)</f>
        <v>#N/A</v>
      </c>
      <c r="CC90" s="1186" t="e">
        <f>ROUNDDOWN(CC89/12,0)</f>
        <v>#N/A</v>
      </c>
      <c r="CD90" s="1186"/>
      <c r="CE90" s="1186"/>
      <c r="CF90" s="1187">
        <f>IFERROR(CC90*AVERAGE(Pedido!K70:K74,Pedido!K75:K77),0)</f>
        <v>0</v>
      </c>
    </row>
    <row r="91" spans="1:84" ht="16.5" customHeight="1" thickBot="1">
      <c r="A91" s="524"/>
      <c r="B91" s="140" t="s">
        <v>98</v>
      </c>
      <c r="C91" s="140" t="s">
        <v>221</v>
      </c>
      <c r="D91" s="427" t="s">
        <v>96</v>
      </c>
      <c r="E91" s="428" t="s">
        <v>76</v>
      </c>
      <c r="F91" s="429" t="s">
        <v>61</v>
      </c>
      <c r="G91" s="430">
        <v>1000</v>
      </c>
      <c r="H91" s="1153">
        <v>25.57</v>
      </c>
      <c r="I91" s="129">
        <v>149.9</v>
      </c>
      <c r="J91" s="130" t="str">
        <f t="shared" si="30"/>
        <v/>
      </c>
      <c r="K91" s="131" t="str">
        <f t="shared" si="40"/>
        <v/>
      </c>
      <c r="L91" s="241">
        <v>103.9</v>
      </c>
      <c r="M91" s="473">
        <f t="shared" si="23"/>
        <v>91.9</v>
      </c>
      <c r="N91" s="473">
        <f t="shared" si="24"/>
        <v>91.9</v>
      </c>
      <c r="O91" s="473">
        <f t="shared" si="25"/>
        <v>91.9</v>
      </c>
      <c r="P91" s="132">
        <v>91.9</v>
      </c>
      <c r="Q91" s="132">
        <v>84.9</v>
      </c>
      <c r="R91" s="132">
        <v>82.9</v>
      </c>
      <c r="S91" s="133">
        <v>79.900000000000006</v>
      </c>
      <c r="T91" s="134" t="str">
        <f t="shared" si="0"/>
        <v/>
      </c>
      <c r="U91" s="135" t="str">
        <f t="shared" si="1"/>
        <v/>
      </c>
      <c r="V91" s="575"/>
      <c r="W91" s="694"/>
      <c r="X91" s="170"/>
      <c r="Y91" s="122" t="str">
        <f t="shared" si="31"/>
        <v/>
      </c>
      <c r="Z91" s="224">
        <f t="shared" si="2"/>
        <v>0</v>
      </c>
      <c r="AA91" s="136">
        <f t="shared" si="3"/>
        <v>0</v>
      </c>
      <c r="AB91" s="136">
        <f t="shared" si="53"/>
        <v>0</v>
      </c>
      <c r="AC91" s="136">
        <f t="shared" si="54"/>
        <v>0</v>
      </c>
      <c r="AD91" s="136">
        <f t="shared" si="51"/>
        <v>0</v>
      </c>
      <c r="AE91" s="136">
        <f t="shared" si="41"/>
        <v>0</v>
      </c>
      <c r="AF91" s="136">
        <f t="shared" si="42"/>
        <v>0</v>
      </c>
      <c r="AG91" s="137">
        <f t="shared" si="43"/>
        <v>0</v>
      </c>
      <c r="AH91" s="136">
        <f t="shared" si="44"/>
        <v>0</v>
      </c>
      <c r="AI91" s="136">
        <f t="shared" si="45"/>
        <v>0</v>
      </c>
      <c r="AJ91" s="136">
        <f t="shared" si="10"/>
        <v>0</v>
      </c>
      <c r="AK91" s="136">
        <f t="shared" si="11"/>
        <v>0</v>
      </c>
      <c r="AL91" s="136">
        <f t="shared" si="12"/>
        <v>0</v>
      </c>
      <c r="AM91" s="136">
        <f t="shared" si="46"/>
        <v>0</v>
      </c>
      <c r="AN91" s="136">
        <f t="shared" si="14"/>
        <v>0</v>
      </c>
      <c r="AO91" s="136">
        <f t="shared" si="15"/>
        <v>0</v>
      </c>
      <c r="AP91" s="138">
        <f t="shared" si="47"/>
        <v>0.75389797882579401</v>
      </c>
      <c r="AQ91" s="139">
        <f t="shared" si="48"/>
        <v>34.093333333333334</v>
      </c>
      <c r="AR91" s="537">
        <v>5</v>
      </c>
      <c r="AS91" s="202">
        <f t="shared" si="52"/>
        <v>75.389797882579401</v>
      </c>
      <c r="AT91" s="197">
        <f t="shared" si="18"/>
        <v>0</v>
      </c>
      <c r="AU91" s="199">
        <f t="shared" si="19"/>
        <v>0</v>
      </c>
      <c r="AV91" s="110"/>
      <c r="AW91" s="138" t="e">
        <f>VLOOKUP(AX91,Sup!#REF!,8,0)</f>
        <v>#REF!</v>
      </c>
      <c r="AX91" s="993" t="s">
        <v>197</v>
      </c>
      <c r="AY91" s="556">
        <v>0</v>
      </c>
      <c r="AZ91" s="35"/>
      <c r="BA91" s="35"/>
      <c r="BB91" s="43">
        <f>IF($F$14="NOVO/REATIVAÇÃO",W91*7*1.4,W91*7)</f>
        <v>0</v>
      </c>
      <c r="BC91" s="35">
        <f t="shared" si="20"/>
        <v>0</v>
      </c>
      <c r="BD91" s="35" t="str">
        <f t="shared" si="55"/>
        <v/>
      </c>
      <c r="BE91" s="45">
        <f t="shared" si="49"/>
        <v>0</v>
      </c>
      <c r="BF91" s="971"/>
      <c r="BG91" s="236"/>
      <c r="BH91" s="12"/>
      <c r="BI91" s="12"/>
      <c r="BJ91" s="12"/>
      <c r="BK91" s="12"/>
      <c r="BL91" s="12"/>
      <c r="BM91" s="980"/>
      <c r="BN91" s="367"/>
      <c r="BO91" s="981"/>
      <c r="BP91" s="12"/>
      <c r="BQ91" s="12"/>
      <c r="BR91" s="12"/>
      <c r="BS91" s="973"/>
      <c r="BT91" s="12"/>
      <c r="BU91" s="12"/>
      <c r="BV91" s="12"/>
      <c r="BW91" s="982" t="s">
        <v>393</v>
      </c>
      <c r="BX91" s="983">
        <f t="shared" si="50"/>
        <v>0</v>
      </c>
      <c r="BY91" s="12" t="e">
        <f>VLOOKUP(B91,#REF!,13,0)</f>
        <v>#REF!</v>
      </c>
      <c r="BZ91" s="1056">
        <v>65.900000000000006</v>
      </c>
    </row>
    <row r="92" spans="1:84" ht="16.5" customHeight="1" thickBot="1">
      <c r="A92" s="524"/>
      <c r="B92" s="140" t="s">
        <v>99</v>
      </c>
      <c r="C92" s="140" t="s">
        <v>221</v>
      </c>
      <c r="D92" s="427" t="s">
        <v>96</v>
      </c>
      <c r="E92" s="428" t="s">
        <v>100</v>
      </c>
      <c r="F92" s="429" t="s">
        <v>61</v>
      </c>
      <c r="G92" s="430">
        <v>1000</v>
      </c>
      <c r="H92" s="1153">
        <v>25.57</v>
      </c>
      <c r="I92" s="129">
        <v>149.9</v>
      </c>
      <c r="J92" s="130" t="str">
        <f t="shared" si="30"/>
        <v/>
      </c>
      <c r="K92" s="131" t="str">
        <f t="shared" si="40"/>
        <v/>
      </c>
      <c r="L92" s="241">
        <v>103.9</v>
      </c>
      <c r="M92" s="473">
        <f t="shared" si="23"/>
        <v>91.9</v>
      </c>
      <c r="N92" s="473">
        <f t="shared" si="24"/>
        <v>91.9</v>
      </c>
      <c r="O92" s="473">
        <f t="shared" si="25"/>
        <v>91.9</v>
      </c>
      <c r="P92" s="132">
        <v>91.9</v>
      </c>
      <c r="Q92" s="132">
        <v>84.9</v>
      </c>
      <c r="R92" s="132">
        <v>82.9</v>
      </c>
      <c r="S92" s="133">
        <v>79.900000000000006</v>
      </c>
      <c r="T92" s="134" t="str">
        <f t="shared" si="0"/>
        <v/>
      </c>
      <c r="U92" s="135" t="str">
        <f t="shared" si="1"/>
        <v/>
      </c>
      <c r="V92" s="575"/>
      <c r="W92" s="694"/>
      <c r="X92" s="170"/>
      <c r="Y92" s="122" t="str">
        <f t="shared" si="31"/>
        <v/>
      </c>
      <c r="Z92" s="224">
        <f t="shared" si="2"/>
        <v>0</v>
      </c>
      <c r="AA92" s="136">
        <f t="shared" si="3"/>
        <v>0</v>
      </c>
      <c r="AB92" s="136">
        <f t="shared" si="53"/>
        <v>0</v>
      </c>
      <c r="AC92" s="136">
        <f t="shared" si="54"/>
        <v>0</v>
      </c>
      <c r="AD92" s="136">
        <f t="shared" si="51"/>
        <v>0</v>
      </c>
      <c r="AE92" s="136">
        <f t="shared" si="41"/>
        <v>0</v>
      </c>
      <c r="AF92" s="136">
        <f t="shared" si="42"/>
        <v>0</v>
      </c>
      <c r="AG92" s="137">
        <f t="shared" si="43"/>
        <v>0</v>
      </c>
      <c r="AH92" s="136">
        <f t="shared" si="44"/>
        <v>0</v>
      </c>
      <c r="AI92" s="136">
        <f t="shared" si="45"/>
        <v>0</v>
      </c>
      <c r="AJ92" s="136">
        <f t="shared" si="10"/>
        <v>0</v>
      </c>
      <c r="AK92" s="136">
        <f t="shared" si="11"/>
        <v>0</v>
      </c>
      <c r="AL92" s="136">
        <f t="shared" si="12"/>
        <v>0</v>
      </c>
      <c r="AM92" s="136">
        <f t="shared" si="46"/>
        <v>0</v>
      </c>
      <c r="AN92" s="136">
        <f t="shared" si="14"/>
        <v>0</v>
      </c>
      <c r="AO92" s="136">
        <f t="shared" si="15"/>
        <v>0</v>
      </c>
      <c r="AP92" s="138">
        <f t="shared" si="47"/>
        <v>0.75389797882579401</v>
      </c>
      <c r="AQ92" s="139">
        <f t="shared" si="48"/>
        <v>34.093333333333334</v>
      </c>
      <c r="AR92" s="537">
        <v>5</v>
      </c>
      <c r="AS92" s="202">
        <f t="shared" si="52"/>
        <v>75.389797882579401</v>
      </c>
      <c r="AT92" s="197">
        <f t="shared" si="18"/>
        <v>0</v>
      </c>
      <c r="AU92" s="199">
        <f t="shared" si="19"/>
        <v>0</v>
      </c>
      <c r="AV92" s="110"/>
      <c r="AW92" s="138" t="e">
        <f>VLOOKUP(AX92,Sup!#REF!,8,0)</f>
        <v>#REF!</v>
      </c>
      <c r="AX92" s="993" t="s">
        <v>197</v>
      </c>
      <c r="AY92" s="556">
        <v>0</v>
      </c>
      <c r="AZ92" s="35"/>
      <c r="BA92" s="35"/>
      <c r="BB92" s="43">
        <f>IF($F$14="NOVO/REATIVAÇÃO",W92*7*1.4,W92*7)</f>
        <v>0</v>
      </c>
      <c r="BC92" s="35">
        <f t="shared" si="20"/>
        <v>0</v>
      </c>
      <c r="BD92" s="35" t="str">
        <f t="shared" si="55"/>
        <v/>
      </c>
      <c r="BE92" s="45">
        <f t="shared" si="49"/>
        <v>0</v>
      </c>
      <c r="BF92" s="971"/>
      <c r="BG92" s="236"/>
      <c r="BH92" s="12"/>
      <c r="BI92" s="12"/>
      <c r="BJ92" s="12"/>
      <c r="BK92" s="12"/>
      <c r="BL92" s="12"/>
      <c r="BM92" s="980"/>
      <c r="BN92" s="367"/>
      <c r="BO92" s="981"/>
      <c r="BP92" s="12"/>
      <c r="BQ92" s="12"/>
      <c r="BR92" s="12"/>
      <c r="BS92" s="973"/>
      <c r="BT92" s="12"/>
      <c r="BU92" s="12"/>
      <c r="BV92" s="12"/>
      <c r="BW92" s="982" t="s">
        <v>393</v>
      </c>
      <c r="BX92" s="983">
        <f t="shared" si="50"/>
        <v>0</v>
      </c>
      <c r="BY92" s="12" t="e">
        <f>VLOOKUP(B92,#REF!,13,0)</f>
        <v>#REF!</v>
      </c>
      <c r="BZ92" s="1056">
        <v>65.900000000000006</v>
      </c>
      <c r="CA92" s="1181" t="e">
        <f>VLOOKUP(B92,Pedido!$B$16:$L$292,22,0)</f>
        <v>#N/A</v>
      </c>
    </row>
    <row r="93" spans="1:84" ht="16.5" customHeight="1" thickBot="1">
      <c r="A93" s="524"/>
      <c r="B93" s="140" t="s">
        <v>101</v>
      </c>
      <c r="C93" s="140" t="s">
        <v>221</v>
      </c>
      <c r="D93" s="427" t="s">
        <v>96</v>
      </c>
      <c r="E93" s="428" t="s">
        <v>102</v>
      </c>
      <c r="F93" s="429" t="s">
        <v>61</v>
      </c>
      <c r="G93" s="430">
        <v>1000</v>
      </c>
      <c r="H93" s="1153">
        <v>25.57</v>
      </c>
      <c r="I93" s="129">
        <v>149.9</v>
      </c>
      <c r="J93" s="130" t="str">
        <f t="shared" si="30"/>
        <v/>
      </c>
      <c r="K93" s="131" t="str">
        <f t="shared" si="40"/>
        <v/>
      </c>
      <c r="L93" s="241">
        <v>103.9</v>
      </c>
      <c r="M93" s="473">
        <f t="shared" si="23"/>
        <v>91.9</v>
      </c>
      <c r="N93" s="473">
        <f t="shared" si="24"/>
        <v>91.9</v>
      </c>
      <c r="O93" s="473">
        <f t="shared" si="25"/>
        <v>91.9</v>
      </c>
      <c r="P93" s="132">
        <v>91.9</v>
      </c>
      <c r="Q93" s="132">
        <v>84.9</v>
      </c>
      <c r="R93" s="132">
        <v>82.9</v>
      </c>
      <c r="S93" s="133">
        <v>79.900000000000006</v>
      </c>
      <c r="T93" s="134" t="str">
        <f t="shared" si="0"/>
        <v/>
      </c>
      <c r="U93" s="135" t="str">
        <f t="shared" si="1"/>
        <v/>
      </c>
      <c r="V93" s="1107"/>
      <c r="W93" s="696"/>
      <c r="X93" s="171"/>
      <c r="Y93" s="103" t="str">
        <f t="shared" si="31"/>
        <v/>
      </c>
      <c r="Z93" s="225">
        <f t="shared" si="2"/>
        <v>0</v>
      </c>
      <c r="AA93" s="136">
        <f t="shared" si="3"/>
        <v>0</v>
      </c>
      <c r="AB93" s="136">
        <f t="shared" si="53"/>
        <v>0</v>
      </c>
      <c r="AC93" s="136">
        <f t="shared" si="54"/>
        <v>0</v>
      </c>
      <c r="AD93" s="136">
        <f t="shared" si="51"/>
        <v>0</v>
      </c>
      <c r="AE93" s="136">
        <f t="shared" si="41"/>
        <v>0</v>
      </c>
      <c r="AF93" s="136">
        <f t="shared" si="42"/>
        <v>0</v>
      </c>
      <c r="AG93" s="137">
        <f t="shared" si="43"/>
        <v>0</v>
      </c>
      <c r="AH93" s="136">
        <f t="shared" si="44"/>
        <v>0</v>
      </c>
      <c r="AI93" s="136">
        <f t="shared" si="45"/>
        <v>0</v>
      </c>
      <c r="AJ93" s="136">
        <f t="shared" si="10"/>
        <v>0</v>
      </c>
      <c r="AK93" s="136">
        <f t="shared" si="11"/>
        <v>0</v>
      </c>
      <c r="AL93" s="136">
        <f t="shared" si="12"/>
        <v>0</v>
      </c>
      <c r="AM93" s="136">
        <f t="shared" si="46"/>
        <v>0</v>
      </c>
      <c r="AN93" s="136">
        <f t="shared" si="14"/>
        <v>0</v>
      </c>
      <c r="AO93" s="136">
        <f t="shared" si="15"/>
        <v>0</v>
      </c>
      <c r="AP93" s="138">
        <f t="shared" si="47"/>
        <v>0.75389797882579401</v>
      </c>
      <c r="AQ93" s="139">
        <f t="shared" si="48"/>
        <v>34.093333333333334</v>
      </c>
      <c r="AR93" s="537">
        <v>5</v>
      </c>
      <c r="AS93" s="202">
        <f t="shared" si="52"/>
        <v>75.389797882579401</v>
      </c>
      <c r="AT93" s="197">
        <f t="shared" si="18"/>
        <v>0</v>
      </c>
      <c r="AU93" s="199">
        <f t="shared" si="19"/>
        <v>0</v>
      </c>
      <c r="AV93" s="110"/>
      <c r="AW93" s="138" t="e">
        <f>VLOOKUP(AX93,Sup!#REF!,8,0)</f>
        <v>#REF!</v>
      </c>
      <c r="AX93" s="993" t="s">
        <v>197</v>
      </c>
      <c r="AY93" s="556">
        <v>0</v>
      </c>
      <c r="AZ93" s="35"/>
      <c r="BA93" s="35"/>
      <c r="BB93" s="43">
        <f>IF($F$14="NOVO/REATIVAÇÃO",W93*7*1.4,W93*7)</f>
        <v>0</v>
      </c>
      <c r="BC93" s="35">
        <f t="shared" si="20"/>
        <v>0</v>
      </c>
      <c r="BD93" s="35" t="str">
        <f t="shared" si="55"/>
        <v/>
      </c>
      <c r="BE93" s="45">
        <f t="shared" si="49"/>
        <v>0</v>
      </c>
      <c r="BF93" s="971"/>
      <c r="BG93" s="236"/>
      <c r="BH93" s="12"/>
      <c r="BI93" s="12"/>
      <c r="BJ93" s="12"/>
      <c r="BK93" s="12"/>
      <c r="BL93" s="12"/>
      <c r="BM93" s="980"/>
      <c r="BN93" s="367"/>
      <c r="BO93" s="981"/>
      <c r="BP93" s="12"/>
      <c r="BQ93" s="12"/>
      <c r="BR93" s="12"/>
      <c r="BS93" s="973"/>
      <c r="BT93" s="12"/>
      <c r="BU93" s="12"/>
      <c r="BV93" s="12"/>
      <c r="BW93" s="982" t="s">
        <v>393</v>
      </c>
      <c r="BX93" s="983">
        <f t="shared" si="50"/>
        <v>0</v>
      </c>
      <c r="BY93" s="12" t="e">
        <f>VLOOKUP(B93,#REF!,13,0)</f>
        <v>#REF!</v>
      </c>
      <c r="BZ93" s="1056">
        <v>65.900000000000006</v>
      </c>
      <c r="CA93" s="1181" t="e">
        <f>VLOOKUP(B93,Pedido!$B$16:$L$292,22,0)</f>
        <v>#N/A</v>
      </c>
    </row>
    <row r="94" spans="1:84" ht="16.5" customHeight="1" thickBot="1">
      <c r="A94" s="524"/>
      <c r="B94" s="114" t="s">
        <v>290</v>
      </c>
      <c r="C94" s="114" t="s">
        <v>286</v>
      </c>
      <c r="D94" s="431" t="s">
        <v>292</v>
      </c>
      <c r="E94" s="432" t="s">
        <v>75</v>
      </c>
      <c r="F94" s="433" t="s">
        <v>123</v>
      </c>
      <c r="G94" s="434">
        <v>35</v>
      </c>
      <c r="H94" s="1152">
        <v>13.4</v>
      </c>
      <c r="I94" s="115">
        <v>99</v>
      </c>
      <c r="J94" s="116" t="str">
        <f t="shared" si="30"/>
        <v/>
      </c>
      <c r="K94" s="117" t="str">
        <f t="shared" si="40"/>
        <v/>
      </c>
      <c r="L94" s="239">
        <v>65.900000000000006</v>
      </c>
      <c r="M94" s="472">
        <f t="shared" si="23"/>
        <v>57.9</v>
      </c>
      <c r="N94" s="472">
        <f t="shared" si="24"/>
        <v>57.9</v>
      </c>
      <c r="O94" s="472">
        <f t="shared" si="25"/>
        <v>57.9</v>
      </c>
      <c r="P94" s="118">
        <v>57.9</v>
      </c>
      <c r="Q94" s="118">
        <v>52.9</v>
      </c>
      <c r="R94" s="118">
        <v>51.9</v>
      </c>
      <c r="S94" s="119">
        <v>49.900000000000006</v>
      </c>
      <c r="T94" s="120" t="str">
        <f t="shared" si="0"/>
        <v/>
      </c>
      <c r="U94" s="121" t="str">
        <f t="shared" si="1"/>
        <v/>
      </c>
      <c r="V94" s="1108"/>
      <c r="W94" s="694"/>
      <c r="X94" s="170"/>
      <c r="Y94" s="122" t="str">
        <f t="shared" si="31"/>
        <v/>
      </c>
      <c r="Z94" s="224">
        <f t="shared" si="2"/>
        <v>0</v>
      </c>
      <c r="AA94" s="123">
        <f t="shared" si="3"/>
        <v>0</v>
      </c>
      <c r="AB94" s="123">
        <f t="shared" si="53"/>
        <v>0</v>
      </c>
      <c r="AC94" s="123">
        <f t="shared" si="54"/>
        <v>0</v>
      </c>
      <c r="AD94" s="123">
        <f t="shared" si="51"/>
        <v>0</v>
      </c>
      <c r="AE94" s="123">
        <f t="shared" si="41"/>
        <v>0</v>
      </c>
      <c r="AF94" s="123">
        <f t="shared" si="42"/>
        <v>0</v>
      </c>
      <c r="AG94" s="124">
        <f t="shared" si="43"/>
        <v>0</v>
      </c>
      <c r="AH94" s="123">
        <f t="shared" si="44"/>
        <v>0</v>
      </c>
      <c r="AI94" s="123">
        <f t="shared" si="45"/>
        <v>0</v>
      </c>
      <c r="AJ94" s="123">
        <f t="shared" si="10"/>
        <v>0</v>
      </c>
      <c r="AK94" s="123">
        <f t="shared" si="11"/>
        <v>0</v>
      </c>
      <c r="AL94" s="123">
        <f t="shared" si="12"/>
        <v>0</v>
      </c>
      <c r="AM94" s="123">
        <f t="shared" si="46"/>
        <v>0</v>
      </c>
      <c r="AN94" s="123">
        <f t="shared" si="14"/>
        <v>0</v>
      </c>
      <c r="AO94" s="123">
        <f t="shared" si="15"/>
        <v>0</v>
      </c>
      <c r="AP94" s="125">
        <f t="shared" si="47"/>
        <v>0.79666160849772383</v>
      </c>
      <c r="AQ94" s="126">
        <f t="shared" si="48"/>
        <v>17.866666666666667</v>
      </c>
      <c r="AR94" s="535">
        <v>8</v>
      </c>
      <c r="AS94" s="202">
        <f t="shared" si="52"/>
        <v>79.666160849772382</v>
      </c>
      <c r="AT94" s="197">
        <f t="shared" si="18"/>
        <v>0</v>
      </c>
      <c r="AU94" s="199">
        <f t="shared" si="19"/>
        <v>0</v>
      </c>
      <c r="AV94" s="110"/>
      <c r="AW94" s="125" t="s">
        <v>202</v>
      </c>
      <c r="AX94" s="991" t="s">
        <v>197</v>
      </c>
      <c r="AY94" s="556">
        <v>0</v>
      </c>
      <c r="AZ94" s="41"/>
      <c r="BA94" s="41"/>
      <c r="BB94" s="41"/>
      <c r="BC94" s="41">
        <f t="shared" si="20"/>
        <v>0</v>
      </c>
      <c r="BD94" s="41" t="str">
        <f t="shared" si="55"/>
        <v/>
      </c>
      <c r="BE94" s="42">
        <f t="shared" si="49"/>
        <v>0</v>
      </c>
      <c r="BF94" s="971"/>
      <c r="BG94" s="236"/>
      <c r="BH94" s="12"/>
      <c r="BI94" s="12"/>
      <c r="BJ94" s="12"/>
      <c r="BK94" s="12"/>
      <c r="BL94" s="12"/>
      <c r="BM94" s="980"/>
      <c r="BN94" s="367"/>
      <c r="BO94" s="981"/>
      <c r="BP94" s="12"/>
      <c r="BQ94" s="12"/>
      <c r="BR94" s="12"/>
      <c r="BS94" s="973"/>
      <c r="BT94" s="12"/>
      <c r="BU94" s="12"/>
      <c r="BV94" s="12"/>
      <c r="BW94" s="982" t="s">
        <v>393</v>
      </c>
      <c r="BX94" s="983">
        <f t="shared" si="50"/>
        <v>0</v>
      </c>
      <c r="BY94" s="12" t="e">
        <f>VLOOKUP(B94,#REF!,13,0)</f>
        <v>#REF!</v>
      </c>
      <c r="BZ94" s="1055">
        <v>37.9</v>
      </c>
      <c r="CA94" s="1181" t="e">
        <f>VLOOKUP(B94,Pedido!$B$16:$L$292,22,0)</f>
        <v>#N/A</v>
      </c>
    </row>
    <row r="95" spans="1:84" ht="16.5" customHeight="1" thickBot="1">
      <c r="A95" s="524"/>
      <c r="B95" s="140" t="s">
        <v>291</v>
      </c>
      <c r="C95" s="140" t="s">
        <v>286</v>
      </c>
      <c r="D95" s="427" t="s">
        <v>292</v>
      </c>
      <c r="E95" s="428" t="s">
        <v>76</v>
      </c>
      <c r="F95" s="429" t="s">
        <v>123</v>
      </c>
      <c r="G95" s="430">
        <v>35</v>
      </c>
      <c r="H95" s="1152">
        <v>13.4</v>
      </c>
      <c r="I95" s="129">
        <v>99</v>
      </c>
      <c r="J95" s="130" t="str">
        <f t="shared" si="30"/>
        <v/>
      </c>
      <c r="K95" s="131" t="str">
        <f t="shared" si="40"/>
        <v/>
      </c>
      <c r="L95" s="241">
        <v>65.900000000000006</v>
      </c>
      <c r="M95" s="473">
        <f t="shared" si="23"/>
        <v>57.9</v>
      </c>
      <c r="N95" s="473">
        <f t="shared" si="24"/>
        <v>57.9</v>
      </c>
      <c r="O95" s="473">
        <f t="shared" si="25"/>
        <v>57.9</v>
      </c>
      <c r="P95" s="132">
        <v>57.9</v>
      </c>
      <c r="Q95" s="132">
        <v>52.9</v>
      </c>
      <c r="R95" s="132">
        <v>51.9</v>
      </c>
      <c r="S95" s="133">
        <v>49.900000000000006</v>
      </c>
      <c r="T95" s="101" t="str">
        <f t="shared" si="0"/>
        <v/>
      </c>
      <c r="U95" s="102" t="str">
        <f t="shared" si="1"/>
        <v/>
      </c>
      <c r="V95" s="575"/>
      <c r="W95" s="696"/>
      <c r="X95" s="171"/>
      <c r="Y95" s="103" t="str">
        <f t="shared" si="31"/>
        <v/>
      </c>
      <c r="Z95" s="225">
        <f t="shared" si="2"/>
        <v>0</v>
      </c>
      <c r="AA95" s="136">
        <f t="shared" si="3"/>
        <v>0</v>
      </c>
      <c r="AB95" s="136">
        <f t="shared" si="53"/>
        <v>0</v>
      </c>
      <c r="AC95" s="136">
        <f t="shared" si="54"/>
        <v>0</v>
      </c>
      <c r="AD95" s="136">
        <f t="shared" si="51"/>
        <v>0</v>
      </c>
      <c r="AE95" s="136">
        <f t="shared" si="41"/>
        <v>0</v>
      </c>
      <c r="AF95" s="136">
        <f t="shared" si="42"/>
        <v>0</v>
      </c>
      <c r="AG95" s="137">
        <f t="shared" si="43"/>
        <v>0</v>
      </c>
      <c r="AH95" s="136">
        <f t="shared" si="44"/>
        <v>0</v>
      </c>
      <c r="AI95" s="136">
        <f t="shared" si="45"/>
        <v>0</v>
      </c>
      <c r="AJ95" s="136">
        <f t="shared" si="10"/>
        <v>0</v>
      </c>
      <c r="AK95" s="136">
        <f t="shared" si="11"/>
        <v>0</v>
      </c>
      <c r="AL95" s="136">
        <f t="shared" si="12"/>
        <v>0</v>
      </c>
      <c r="AM95" s="136">
        <f t="shared" si="46"/>
        <v>0</v>
      </c>
      <c r="AN95" s="136">
        <f t="shared" si="14"/>
        <v>0</v>
      </c>
      <c r="AO95" s="136">
        <f t="shared" si="15"/>
        <v>0</v>
      </c>
      <c r="AP95" s="138">
        <f t="shared" si="47"/>
        <v>0.79666160849772383</v>
      </c>
      <c r="AQ95" s="139">
        <f t="shared" si="48"/>
        <v>17.866666666666667</v>
      </c>
      <c r="AR95" s="537">
        <v>8</v>
      </c>
      <c r="AS95" s="202">
        <f t="shared" si="52"/>
        <v>79.666160849772382</v>
      </c>
      <c r="AT95" s="197">
        <f t="shared" si="18"/>
        <v>0</v>
      </c>
      <c r="AU95" s="199">
        <f t="shared" si="19"/>
        <v>0</v>
      </c>
      <c r="AV95" s="110"/>
      <c r="AW95" s="138" t="s">
        <v>202</v>
      </c>
      <c r="AX95" s="993" t="s">
        <v>197</v>
      </c>
      <c r="AY95" s="556">
        <v>0</v>
      </c>
      <c r="AZ95" s="35"/>
      <c r="BA95" s="35"/>
      <c r="BB95" s="35"/>
      <c r="BC95" s="35">
        <f t="shared" si="20"/>
        <v>0</v>
      </c>
      <c r="BD95" s="35" t="str">
        <f t="shared" si="55"/>
        <v/>
      </c>
      <c r="BE95" s="45">
        <f t="shared" si="49"/>
        <v>0</v>
      </c>
      <c r="BF95" s="971"/>
      <c r="BG95" s="236"/>
      <c r="BH95" s="12"/>
      <c r="BI95" s="12"/>
      <c r="BJ95" s="12"/>
      <c r="BK95" s="12"/>
      <c r="BL95" s="12"/>
      <c r="BM95" s="980"/>
      <c r="BN95" s="367"/>
      <c r="BO95" s="981"/>
      <c r="BP95" s="12"/>
      <c r="BQ95" s="12"/>
      <c r="BR95" s="12"/>
      <c r="BS95" s="973"/>
      <c r="BT95" s="12"/>
      <c r="BU95" s="12"/>
      <c r="BV95" s="12"/>
      <c r="BW95" s="982" t="s">
        <v>393</v>
      </c>
      <c r="BX95" s="983">
        <f t="shared" si="50"/>
        <v>0</v>
      </c>
      <c r="BY95" s="12" t="e">
        <f>VLOOKUP(B95,#REF!,13,0)</f>
        <v>#REF!</v>
      </c>
      <c r="BZ95" s="1056">
        <v>37.9</v>
      </c>
      <c r="CA95" s="1181" t="e">
        <f>VLOOKUP(B95,Pedido!$B$16:$L$292,22,0)</f>
        <v>#N/A</v>
      </c>
    </row>
    <row r="96" spans="1:84" ht="16.5" customHeight="1" thickBot="1">
      <c r="A96" s="524"/>
      <c r="B96" s="114" t="s">
        <v>103</v>
      </c>
      <c r="C96" s="114" t="s">
        <v>221</v>
      </c>
      <c r="D96" s="431" t="s">
        <v>104</v>
      </c>
      <c r="E96" s="432" t="s">
        <v>75</v>
      </c>
      <c r="F96" s="433" t="s">
        <v>61</v>
      </c>
      <c r="G96" s="434">
        <v>1000</v>
      </c>
      <c r="H96" s="1152">
        <v>26.04</v>
      </c>
      <c r="I96" s="115">
        <v>149.9</v>
      </c>
      <c r="J96" s="116" t="str">
        <f t="shared" si="30"/>
        <v/>
      </c>
      <c r="K96" s="117" t="str">
        <f t="shared" si="40"/>
        <v/>
      </c>
      <c r="L96" s="239">
        <v>103.9</v>
      </c>
      <c r="M96" s="472">
        <f t="shared" si="23"/>
        <v>91.9</v>
      </c>
      <c r="N96" s="472">
        <f t="shared" si="24"/>
        <v>91.9</v>
      </c>
      <c r="O96" s="472">
        <f t="shared" si="25"/>
        <v>91.9</v>
      </c>
      <c r="P96" s="118">
        <v>91.9</v>
      </c>
      <c r="Q96" s="118">
        <v>84.9</v>
      </c>
      <c r="R96" s="118">
        <v>82.9</v>
      </c>
      <c r="S96" s="119">
        <v>79.900000000000006</v>
      </c>
      <c r="T96" s="120" t="str">
        <f t="shared" si="0"/>
        <v/>
      </c>
      <c r="U96" s="121" t="str">
        <f t="shared" si="1"/>
        <v/>
      </c>
      <c r="V96" s="1108"/>
      <c r="W96" s="694"/>
      <c r="X96" s="170"/>
      <c r="Y96" s="122" t="str">
        <f t="shared" si="31"/>
        <v/>
      </c>
      <c r="Z96" s="224">
        <f t="shared" si="2"/>
        <v>0</v>
      </c>
      <c r="AA96" s="123">
        <f t="shared" si="3"/>
        <v>0</v>
      </c>
      <c r="AB96" s="123">
        <f t="shared" si="53"/>
        <v>0</v>
      </c>
      <c r="AC96" s="123">
        <f t="shared" si="54"/>
        <v>0</v>
      </c>
      <c r="AD96" s="123">
        <f t="shared" si="51"/>
        <v>0</v>
      </c>
      <c r="AE96" s="123">
        <f t="shared" si="41"/>
        <v>0</v>
      </c>
      <c r="AF96" s="123">
        <f t="shared" si="42"/>
        <v>0</v>
      </c>
      <c r="AG96" s="124">
        <f t="shared" si="43"/>
        <v>0</v>
      </c>
      <c r="AH96" s="123">
        <f t="shared" si="44"/>
        <v>0</v>
      </c>
      <c r="AI96" s="123">
        <f t="shared" si="45"/>
        <v>0</v>
      </c>
      <c r="AJ96" s="123">
        <f t="shared" si="10"/>
        <v>0</v>
      </c>
      <c r="AK96" s="123">
        <f t="shared" si="11"/>
        <v>0</v>
      </c>
      <c r="AL96" s="123">
        <f t="shared" si="12"/>
        <v>0</v>
      </c>
      <c r="AM96" s="123">
        <f t="shared" si="46"/>
        <v>0</v>
      </c>
      <c r="AN96" s="123">
        <f t="shared" si="14"/>
        <v>0</v>
      </c>
      <c r="AO96" s="123">
        <f t="shared" si="15"/>
        <v>0</v>
      </c>
      <c r="AP96" s="125">
        <f t="shared" si="47"/>
        <v>0.74937439846005782</v>
      </c>
      <c r="AQ96" s="126">
        <f t="shared" si="48"/>
        <v>34.72</v>
      </c>
      <c r="AR96" s="535">
        <v>5</v>
      </c>
      <c r="AS96" s="202">
        <f t="shared" si="52"/>
        <v>74.937439846005788</v>
      </c>
      <c r="AT96" s="197">
        <f t="shared" si="18"/>
        <v>0</v>
      </c>
      <c r="AU96" s="199">
        <f t="shared" si="19"/>
        <v>0</v>
      </c>
      <c r="AV96" s="110"/>
      <c r="AW96" s="125" t="e">
        <f>VLOOKUP(AX96,Sup!#REF!,8,0)</f>
        <v>#REF!</v>
      </c>
      <c r="AX96" s="991" t="s">
        <v>197</v>
      </c>
      <c r="AY96" s="556">
        <v>0</v>
      </c>
      <c r="AZ96" s="41"/>
      <c r="BA96" s="41"/>
      <c r="BB96" s="43">
        <f>IF($F$14="NOVO/REATIVAÇÃO",W96*7*1.4,W96*7)</f>
        <v>0</v>
      </c>
      <c r="BC96" s="41">
        <f t="shared" si="20"/>
        <v>0</v>
      </c>
      <c r="BD96" s="41" t="str">
        <f t="shared" si="55"/>
        <v/>
      </c>
      <c r="BE96" s="42">
        <f t="shared" si="49"/>
        <v>0</v>
      </c>
      <c r="BF96" s="971"/>
      <c r="BG96" s="236"/>
      <c r="BH96" s="12"/>
      <c r="BI96" s="12"/>
      <c r="BJ96" s="12"/>
      <c r="BK96" s="12"/>
      <c r="BL96" s="12"/>
      <c r="BM96" s="980"/>
      <c r="BN96" s="367"/>
      <c r="BO96" s="981"/>
      <c r="BP96" s="12"/>
      <c r="BQ96" s="12"/>
      <c r="BR96" s="12"/>
      <c r="BS96" s="973"/>
      <c r="BT96" s="12"/>
      <c r="BU96" s="12"/>
      <c r="BV96" s="12"/>
      <c r="BW96" s="982" t="s">
        <v>393</v>
      </c>
      <c r="BX96" s="983">
        <f t="shared" si="50"/>
        <v>0</v>
      </c>
      <c r="BY96" s="12" t="e">
        <f>VLOOKUP(B96,#REF!,13,0)</f>
        <v>#REF!</v>
      </c>
      <c r="BZ96" s="1055">
        <v>65.900000000000006</v>
      </c>
      <c r="CA96" s="1181" t="e">
        <f>VLOOKUP(B96,Pedido!$B$16:$L$292,22,0)</f>
        <v>#N/A</v>
      </c>
    </row>
    <row r="97" spans="1:79" ht="16.5" customHeight="1" thickBot="1">
      <c r="A97" s="524"/>
      <c r="B97" s="140" t="s">
        <v>105</v>
      </c>
      <c r="C97" s="140" t="s">
        <v>221</v>
      </c>
      <c r="D97" s="427" t="s">
        <v>104</v>
      </c>
      <c r="E97" s="428" t="s">
        <v>79</v>
      </c>
      <c r="F97" s="429" t="s">
        <v>61</v>
      </c>
      <c r="G97" s="430">
        <v>1000</v>
      </c>
      <c r="H97" s="1153">
        <v>26.04</v>
      </c>
      <c r="I97" s="129">
        <v>149.9</v>
      </c>
      <c r="J97" s="130" t="str">
        <f t="shared" si="30"/>
        <v/>
      </c>
      <c r="K97" s="131" t="str">
        <f t="shared" si="40"/>
        <v/>
      </c>
      <c r="L97" s="241">
        <v>103.9</v>
      </c>
      <c r="M97" s="473">
        <f t="shared" si="23"/>
        <v>91.9</v>
      </c>
      <c r="N97" s="473">
        <f t="shared" si="24"/>
        <v>91.9</v>
      </c>
      <c r="O97" s="473">
        <f t="shared" si="25"/>
        <v>91.9</v>
      </c>
      <c r="P97" s="132">
        <v>91.9</v>
      </c>
      <c r="Q97" s="132">
        <v>84.9</v>
      </c>
      <c r="R97" s="132">
        <v>82.9</v>
      </c>
      <c r="S97" s="133">
        <v>79.900000000000006</v>
      </c>
      <c r="T97" s="134" t="str">
        <f t="shared" si="0"/>
        <v/>
      </c>
      <c r="U97" s="135" t="str">
        <f t="shared" si="1"/>
        <v/>
      </c>
      <c r="V97" s="575"/>
      <c r="W97" s="694"/>
      <c r="X97" s="170"/>
      <c r="Y97" s="122" t="str">
        <f t="shared" si="31"/>
        <v/>
      </c>
      <c r="Z97" s="224">
        <f t="shared" si="2"/>
        <v>0</v>
      </c>
      <c r="AA97" s="136">
        <f t="shared" si="3"/>
        <v>0</v>
      </c>
      <c r="AB97" s="136">
        <f t="shared" si="53"/>
        <v>0</v>
      </c>
      <c r="AC97" s="136">
        <f t="shared" si="54"/>
        <v>0</v>
      </c>
      <c r="AD97" s="136">
        <f t="shared" si="51"/>
        <v>0</v>
      </c>
      <c r="AE97" s="136">
        <f t="shared" si="41"/>
        <v>0</v>
      </c>
      <c r="AF97" s="136">
        <f t="shared" si="42"/>
        <v>0</v>
      </c>
      <c r="AG97" s="137">
        <f t="shared" si="43"/>
        <v>0</v>
      </c>
      <c r="AH97" s="136">
        <f t="shared" si="44"/>
        <v>0</v>
      </c>
      <c r="AI97" s="136">
        <f t="shared" si="45"/>
        <v>0</v>
      </c>
      <c r="AJ97" s="136">
        <f t="shared" si="10"/>
        <v>0</v>
      </c>
      <c r="AK97" s="136">
        <f t="shared" si="11"/>
        <v>0</v>
      </c>
      <c r="AL97" s="136">
        <f t="shared" si="12"/>
        <v>0</v>
      </c>
      <c r="AM97" s="136">
        <f t="shared" si="46"/>
        <v>0</v>
      </c>
      <c r="AN97" s="136">
        <f t="shared" si="14"/>
        <v>0</v>
      </c>
      <c r="AO97" s="136">
        <f t="shared" si="15"/>
        <v>0</v>
      </c>
      <c r="AP97" s="138">
        <f t="shared" si="47"/>
        <v>0.74937439846005782</v>
      </c>
      <c r="AQ97" s="139">
        <f t="shared" si="48"/>
        <v>34.72</v>
      </c>
      <c r="AR97" s="537">
        <v>5</v>
      </c>
      <c r="AS97" s="202">
        <f t="shared" si="52"/>
        <v>74.937439846005788</v>
      </c>
      <c r="AT97" s="197">
        <f t="shared" si="18"/>
        <v>0</v>
      </c>
      <c r="AU97" s="199">
        <f t="shared" si="19"/>
        <v>0</v>
      </c>
      <c r="AV97" s="110"/>
      <c r="AW97" s="138" t="e">
        <f>VLOOKUP(AX97,Sup!#REF!,8,0)</f>
        <v>#REF!</v>
      </c>
      <c r="AX97" s="993" t="s">
        <v>197</v>
      </c>
      <c r="AY97" s="556">
        <v>0</v>
      </c>
      <c r="AZ97" s="35"/>
      <c r="BA97" s="35"/>
      <c r="BB97" s="43">
        <f>IF($F$14="NOVO/REATIVAÇÃO",W97*7*1.4,W97*7)</f>
        <v>0</v>
      </c>
      <c r="BC97" s="35">
        <f t="shared" si="20"/>
        <v>0</v>
      </c>
      <c r="BD97" s="35" t="str">
        <f t="shared" si="55"/>
        <v/>
      </c>
      <c r="BE97" s="45">
        <f t="shared" si="49"/>
        <v>0</v>
      </c>
      <c r="BF97" s="971"/>
      <c r="BG97" s="236"/>
      <c r="BH97" s="12"/>
      <c r="BI97" s="12"/>
      <c r="BJ97" s="12"/>
      <c r="BK97" s="12"/>
      <c r="BL97" s="12"/>
      <c r="BM97" s="980"/>
      <c r="BN97" s="367"/>
      <c r="BO97" s="981"/>
      <c r="BP97" s="12"/>
      <c r="BQ97" s="12"/>
      <c r="BR97" s="12"/>
      <c r="BS97" s="973"/>
      <c r="BT97" s="12"/>
      <c r="BU97" s="12"/>
      <c r="BV97" s="12"/>
      <c r="BW97" s="982" t="s">
        <v>393</v>
      </c>
      <c r="BX97" s="983">
        <f t="shared" si="50"/>
        <v>0</v>
      </c>
      <c r="BY97" s="12" t="e">
        <f>VLOOKUP(B97,#REF!,13,0)</f>
        <v>#REF!</v>
      </c>
      <c r="BZ97" s="1056">
        <v>65.900000000000006</v>
      </c>
      <c r="CA97" s="1181" t="e">
        <f>VLOOKUP(B97,Pedido!$B$16:$L$292,22,0)</f>
        <v>#N/A</v>
      </c>
    </row>
    <row r="98" spans="1:79" ht="16.5" customHeight="1" thickBot="1">
      <c r="A98" s="524"/>
      <c r="B98" s="140" t="s">
        <v>106</v>
      </c>
      <c r="C98" s="140" t="s">
        <v>221</v>
      </c>
      <c r="D98" s="427" t="s">
        <v>104</v>
      </c>
      <c r="E98" s="428" t="s">
        <v>76</v>
      </c>
      <c r="F98" s="429" t="s">
        <v>61</v>
      </c>
      <c r="G98" s="430">
        <v>1000</v>
      </c>
      <c r="H98" s="1153">
        <v>26.04</v>
      </c>
      <c r="I98" s="129">
        <v>149.9</v>
      </c>
      <c r="J98" s="130" t="str">
        <f t="shared" si="30"/>
        <v/>
      </c>
      <c r="K98" s="131" t="str">
        <f t="shared" si="40"/>
        <v/>
      </c>
      <c r="L98" s="241">
        <v>103.9</v>
      </c>
      <c r="M98" s="473">
        <f t="shared" si="23"/>
        <v>91.9</v>
      </c>
      <c r="N98" s="473">
        <f t="shared" si="24"/>
        <v>91.9</v>
      </c>
      <c r="O98" s="473">
        <f t="shared" si="25"/>
        <v>91.9</v>
      </c>
      <c r="P98" s="132">
        <v>91.9</v>
      </c>
      <c r="Q98" s="132">
        <v>84.9</v>
      </c>
      <c r="R98" s="132">
        <v>82.9</v>
      </c>
      <c r="S98" s="133">
        <v>79.900000000000006</v>
      </c>
      <c r="T98" s="101" t="str">
        <f t="shared" si="0"/>
        <v/>
      </c>
      <c r="U98" s="102" t="str">
        <f t="shared" si="1"/>
        <v/>
      </c>
      <c r="V98" s="575"/>
      <c r="W98" s="696"/>
      <c r="X98" s="171"/>
      <c r="Y98" s="103" t="str">
        <f t="shared" si="31"/>
        <v/>
      </c>
      <c r="Z98" s="225">
        <f t="shared" si="2"/>
        <v>0</v>
      </c>
      <c r="AA98" s="136">
        <f t="shared" si="3"/>
        <v>0</v>
      </c>
      <c r="AB98" s="136">
        <f t="shared" si="53"/>
        <v>0</v>
      </c>
      <c r="AC98" s="136">
        <f t="shared" si="54"/>
        <v>0</v>
      </c>
      <c r="AD98" s="136">
        <f t="shared" si="51"/>
        <v>0</v>
      </c>
      <c r="AE98" s="136">
        <f t="shared" si="41"/>
        <v>0</v>
      </c>
      <c r="AF98" s="136">
        <f t="shared" si="42"/>
        <v>0</v>
      </c>
      <c r="AG98" s="137">
        <f t="shared" si="43"/>
        <v>0</v>
      </c>
      <c r="AH98" s="136">
        <f t="shared" si="44"/>
        <v>0</v>
      </c>
      <c r="AI98" s="136">
        <f t="shared" si="45"/>
        <v>0</v>
      </c>
      <c r="AJ98" s="136">
        <f t="shared" si="10"/>
        <v>0</v>
      </c>
      <c r="AK98" s="136">
        <f t="shared" si="11"/>
        <v>0</v>
      </c>
      <c r="AL98" s="136">
        <f t="shared" si="12"/>
        <v>0</v>
      </c>
      <c r="AM98" s="136">
        <f t="shared" si="46"/>
        <v>0</v>
      </c>
      <c r="AN98" s="136">
        <f t="shared" si="14"/>
        <v>0</v>
      </c>
      <c r="AO98" s="136">
        <f t="shared" si="15"/>
        <v>0</v>
      </c>
      <c r="AP98" s="138">
        <f t="shared" si="47"/>
        <v>0.74937439846005782</v>
      </c>
      <c r="AQ98" s="139">
        <f t="shared" si="48"/>
        <v>34.72</v>
      </c>
      <c r="AR98" s="537">
        <v>5</v>
      </c>
      <c r="AS98" s="202">
        <f t="shared" si="52"/>
        <v>74.937439846005788</v>
      </c>
      <c r="AT98" s="197">
        <f t="shared" si="18"/>
        <v>0</v>
      </c>
      <c r="AU98" s="199">
        <f t="shared" si="19"/>
        <v>0</v>
      </c>
      <c r="AV98" s="110"/>
      <c r="AW98" s="138" t="e">
        <f>VLOOKUP(AX98,Sup!#REF!,8,0)</f>
        <v>#REF!</v>
      </c>
      <c r="AX98" s="993" t="s">
        <v>197</v>
      </c>
      <c r="AY98" s="556">
        <v>0</v>
      </c>
      <c r="AZ98" s="35"/>
      <c r="BA98" s="35"/>
      <c r="BB98" s="43">
        <f>IF($F$14="NOVO/REATIVAÇÃO",W98*7*1.4,W98*7)</f>
        <v>0</v>
      </c>
      <c r="BC98" s="35">
        <f t="shared" si="20"/>
        <v>0</v>
      </c>
      <c r="BD98" s="35" t="str">
        <f t="shared" si="55"/>
        <v/>
      </c>
      <c r="BE98" s="45">
        <f t="shared" si="49"/>
        <v>0</v>
      </c>
      <c r="BF98" s="971"/>
      <c r="BG98" s="236"/>
      <c r="BH98" s="12"/>
      <c r="BI98" s="12"/>
      <c r="BJ98" s="12"/>
      <c r="BK98" s="12"/>
      <c r="BL98" s="12"/>
      <c r="BM98" s="980"/>
      <c r="BN98" s="367"/>
      <c r="BO98" s="981"/>
      <c r="BP98" s="12"/>
      <c r="BQ98" s="12"/>
      <c r="BR98" s="12"/>
      <c r="BS98" s="973"/>
      <c r="BT98" s="12"/>
      <c r="BU98" s="12"/>
      <c r="BV98" s="12"/>
      <c r="BW98" s="982" t="s">
        <v>393</v>
      </c>
      <c r="BX98" s="983">
        <f t="shared" si="50"/>
        <v>0</v>
      </c>
      <c r="BY98" s="12" t="e">
        <f>VLOOKUP(B98,#REF!,13,0)</f>
        <v>#REF!</v>
      </c>
      <c r="BZ98" s="1056">
        <v>65.900000000000006</v>
      </c>
      <c r="CA98" s="1181" t="e">
        <f>VLOOKUP(B98,Pedido!$B$16:$L$292,22,0)</f>
        <v>#N/A</v>
      </c>
    </row>
    <row r="99" spans="1:79" ht="24.75" customHeight="1" thickBot="1">
      <c r="A99" s="524"/>
      <c r="B99" s="114" t="s">
        <v>111</v>
      </c>
      <c r="C99" s="114" t="str">
        <f>LEFT(B99,6)</f>
        <v>PPOHDL</v>
      </c>
      <c r="D99" s="431" t="s">
        <v>112</v>
      </c>
      <c r="E99" s="432" t="s">
        <v>79</v>
      </c>
      <c r="F99" s="433" t="s">
        <v>61</v>
      </c>
      <c r="G99" s="434">
        <v>1000</v>
      </c>
      <c r="H99" s="1152">
        <v>16.46</v>
      </c>
      <c r="I99" s="115">
        <v>79.900000000000006</v>
      </c>
      <c r="J99" s="116" t="str">
        <f t="shared" si="30"/>
        <v/>
      </c>
      <c r="K99" s="117" t="str">
        <f t="shared" si="40"/>
        <v/>
      </c>
      <c r="L99" s="239">
        <v>56.9</v>
      </c>
      <c r="M99" s="472">
        <f t="shared" si="23"/>
        <v>49.9</v>
      </c>
      <c r="N99" s="472">
        <f t="shared" si="24"/>
        <v>49.9</v>
      </c>
      <c r="O99" s="472">
        <f t="shared" si="25"/>
        <v>49.9</v>
      </c>
      <c r="P99" s="118">
        <v>49.9</v>
      </c>
      <c r="Q99" s="118">
        <v>45.9</v>
      </c>
      <c r="R99" s="118">
        <v>44.9</v>
      </c>
      <c r="S99" s="119">
        <v>42.9</v>
      </c>
      <c r="T99" s="120" t="str">
        <f t="shared" si="0"/>
        <v/>
      </c>
      <c r="U99" s="121" t="str">
        <f t="shared" si="1"/>
        <v/>
      </c>
      <c r="V99" s="1108"/>
      <c r="W99" s="694"/>
      <c r="X99" s="170"/>
      <c r="Y99" s="122" t="str">
        <f t="shared" si="31"/>
        <v/>
      </c>
      <c r="Z99" s="224">
        <f t="shared" si="2"/>
        <v>0</v>
      </c>
      <c r="AA99" s="123">
        <f t="shared" si="3"/>
        <v>0</v>
      </c>
      <c r="AB99" s="123">
        <f t="shared" si="53"/>
        <v>0</v>
      </c>
      <c r="AC99" s="123">
        <f t="shared" si="54"/>
        <v>0</v>
      </c>
      <c r="AD99" s="123">
        <f t="shared" si="51"/>
        <v>0</v>
      </c>
      <c r="AE99" s="123">
        <f t="shared" si="41"/>
        <v>0</v>
      </c>
      <c r="AF99" s="123">
        <f t="shared" si="42"/>
        <v>0</v>
      </c>
      <c r="AG99" s="124">
        <f t="shared" si="43"/>
        <v>0</v>
      </c>
      <c r="AH99" s="123">
        <f t="shared" si="44"/>
        <v>0</v>
      </c>
      <c r="AI99" s="123">
        <f t="shared" si="45"/>
        <v>0</v>
      </c>
      <c r="AJ99" s="123">
        <f t="shared" si="10"/>
        <v>0</v>
      </c>
      <c r="AK99" s="123">
        <f t="shared" si="11"/>
        <v>0</v>
      </c>
      <c r="AL99" s="123">
        <f t="shared" si="12"/>
        <v>0</v>
      </c>
      <c r="AM99" s="123">
        <f t="shared" si="46"/>
        <v>0</v>
      </c>
      <c r="AN99" s="123">
        <f t="shared" si="14"/>
        <v>0</v>
      </c>
      <c r="AO99" s="123">
        <f t="shared" si="15"/>
        <v>0</v>
      </c>
      <c r="AP99" s="125">
        <f t="shared" si="47"/>
        <v>0.71072056239015813</v>
      </c>
      <c r="AQ99" s="126">
        <f t="shared" si="48"/>
        <v>21.946666666666669</v>
      </c>
      <c r="AR99" s="535">
        <v>5</v>
      </c>
      <c r="AS99" s="202">
        <f t="shared" si="52"/>
        <v>71.072056239015808</v>
      </c>
      <c r="AT99" s="197">
        <f t="shared" si="18"/>
        <v>0</v>
      </c>
      <c r="AU99" s="199">
        <f t="shared" si="19"/>
        <v>0</v>
      </c>
      <c r="AV99" s="110"/>
      <c r="AW99" s="125" t="e">
        <f>VLOOKUP(AX99,Sup!#REF!,8,0)</f>
        <v>#REF!</v>
      </c>
      <c r="AX99" s="991" t="s">
        <v>197</v>
      </c>
      <c r="AY99" s="556">
        <v>0</v>
      </c>
      <c r="AZ99" s="41"/>
      <c r="BA99" s="41"/>
      <c r="BB99" s="35">
        <f>IF($F$14="NOVO/REATIVAÇÃO",W99*5*1.4,W99*5)</f>
        <v>0</v>
      </c>
      <c r="BC99" s="41">
        <f t="shared" si="20"/>
        <v>0</v>
      </c>
      <c r="BD99" s="41" t="str">
        <f t="shared" si="55"/>
        <v/>
      </c>
      <c r="BE99" s="42">
        <f t="shared" si="49"/>
        <v>0</v>
      </c>
      <c r="BF99" s="971"/>
      <c r="BG99" s="236"/>
      <c r="BH99" s="12"/>
      <c r="BI99" s="12"/>
      <c r="BJ99" s="12"/>
      <c r="BK99" s="12"/>
      <c r="BL99" s="12"/>
      <c r="BM99" s="980"/>
      <c r="BN99" s="367"/>
      <c r="BO99" s="981"/>
      <c r="BP99" s="12"/>
      <c r="BQ99" s="12"/>
      <c r="BR99" s="12"/>
      <c r="BS99" s="973"/>
      <c r="BT99" s="12"/>
      <c r="BU99" s="12"/>
      <c r="BV99" s="12"/>
      <c r="BW99" s="982" t="s">
        <v>393</v>
      </c>
      <c r="BX99" s="983">
        <f t="shared" si="50"/>
        <v>0</v>
      </c>
      <c r="BY99" s="12" t="e">
        <f>VLOOKUP(B99,#REF!,13,0)</f>
        <v>#REF!</v>
      </c>
      <c r="BZ99" s="1055">
        <v>30.9</v>
      </c>
      <c r="CA99" s="1181" t="e">
        <f>VLOOKUP(B99,Pedido!$B$16:$L$292,22,0)</f>
        <v>#N/A</v>
      </c>
    </row>
    <row r="100" spans="1:79" ht="24.75" customHeight="1" thickBot="1">
      <c r="A100" s="524"/>
      <c r="B100" s="140" t="s">
        <v>113</v>
      </c>
      <c r="C100" s="140" t="str">
        <f>LEFT(B100,6)</f>
        <v>PPOHDL</v>
      </c>
      <c r="D100" s="427" t="s">
        <v>112</v>
      </c>
      <c r="E100" s="428" t="s">
        <v>76</v>
      </c>
      <c r="F100" s="429" t="s">
        <v>61</v>
      </c>
      <c r="G100" s="430">
        <v>1000</v>
      </c>
      <c r="H100" s="1158">
        <v>16.46</v>
      </c>
      <c r="I100" s="241">
        <v>79.900000000000006</v>
      </c>
      <c r="J100" s="130" t="str">
        <f t="shared" si="30"/>
        <v/>
      </c>
      <c r="K100" s="131" t="str">
        <f t="shared" si="40"/>
        <v/>
      </c>
      <c r="L100" s="241">
        <v>56.9</v>
      </c>
      <c r="M100" s="473">
        <f t="shared" si="23"/>
        <v>49.9</v>
      </c>
      <c r="N100" s="473">
        <f t="shared" si="24"/>
        <v>49.9</v>
      </c>
      <c r="O100" s="473">
        <f t="shared" si="25"/>
        <v>49.9</v>
      </c>
      <c r="P100" s="132">
        <v>49.9</v>
      </c>
      <c r="Q100" s="132">
        <v>45.9</v>
      </c>
      <c r="R100" s="132">
        <v>44.9</v>
      </c>
      <c r="S100" s="133">
        <v>42.9</v>
      </c>
      <c r="T100" s="134" t="str">
        <f t="shared" si="0"/>
        <v/>
      </c>
      <c r="U100" s="135" t="str">
        <f t="shared" si="1"/>
        <v/>
      </c>
      <c r="V100" s="575"/>
      <c r="W100" s="694"/>
      <c r="X100" s="170"/>
      <c r="Y100" s="503" t="str">
        <f t="shared" ref="Y100:Y163" si="60">IF(AND(W100="",X100=""),"",$E$13*IF(V100&lt;&gt;"",V100,IF(SUMIF($C:$C,C100,$W:$W)&gt;=$S$27,S100,IF(OR($AA$373&gt;=$R$26,SUMIF($C:$C,C100,$W:$W)&gt;=$R$27),R100,IF(OR($AA$373&gt;=$Q$26,SUMIF($C:$C,C100,$W:$W)&gt;=$Q$27),Q100,IF(OR($AA$373&gt;=$P$26,SUMIF($C:$C,C100,$W:$W)&gt;=$P$27),P100,IF(OR($AA$373&gt;=$O$26,SUMIF($C:$C,C100,$W:$W)&gt;=$O$27),O100,IF(OR($AA$373&gt;=$N$26,SUMIF($C:$C,C100,$W:$W)&gt;=$N$27),N100,IF($AA$373&gt;=$M$26,M100,L100)))))))))</f>
        <v/>
      </c>
      <c r="Z100" s="224">
        <f t="shared" si="2"/>
        <v>0</v>
      </c>
      <c r="AA100" s="136">
        <f t="shared" si="3"/>
        <v>0</v>
      </c>
      <c r="AB100" s="136">
        <f t="shared" ref="AB100:AB131" si="61">IFERROR(IF(OR($AA$373&gt;=$S$26,SUMIF($C:$C,C100,$W:$W)&gt;=$S$27),S100,IF(OR($AA$373&gt;=$R$26,SUMIF($C:$C,C100,$W:$W)&gt;=$R$27),R100,IF(OR($AA$373&gt;=$Q$26,SUMIF($C:$C,C100,$W:$W)&gt;=$Q$27),Q100,IF(OR($AA$373&gt;=$P$26,SUMIF($C:$C,C100,$W:$W)&gt;=$P$27),P100,IF(OR($AA$373&gt;=$O$26,SUMIF($C:$C,C100,$W:$W)&gt;=$O$27),O100,IF(OR($AA$373&gt;=$N$26,SUMIF($C:$C,C100,$W:$W)&gt;=$N$27),N100,IF($AA$373&gt;=$M$26,M100,L100)))))))*W100,0)</f>
        <v>0</v>
      </c>
      <c r="AC100" s="136">
        <f t="shared" ref="AC100:AC131" si="62">IFERROR(IF(V100="",0,(IF(AND(W100="",X100=""),"",IF(OR($AA$373&gt;=$S$26,SUMIF($C:$C,C100,$W:$W)&gt;=$S$27),S100*$E$13,IF(OR($AA$373&gt;=$R$26,SUMIF($C:$C,C100,$W:$W)&gt;=$R$27),R100*$E$13,IF(OR($AA$373&gt;=$Q$26,SUMIF($C:$C,C100,$W:$W)&gt;=$Q$27),Q100*$E$13,IF(OR($AA$373&gt;=$P$26,SUMIF($C:$C,C100,$W:$W)&gt;=$P$27),P100*$E$13,IF(OR($AA$373&gt;=$O$26,SUMIF($C:$C,C100,$W:$W)&gt;=$O$27),O100*$E$13,IF(OR($AA$373&gt;=$N$26,SUMIF($C:$C,C100,$W:$W)&gt;=$N$27),N100*$E$13,IF($AA$373&gt;=$M$26,M100*$E$13,L100))))))))-V100)*W100),0)</f>
        <v>0</v>
      </c>
      <c r="AD100" s="136">
        <f t="shared" si="51"/>
        <v>0</v>
      </c>
      <c r="AE100" s="136">
        <f t="shared" si="41"/>
        <v>0</v>
      </c>
      <c r="AF100" s="136">
        <f t="shared" si="42"/>
        <v>0</v>
      </c>
      <c r="AG100" s="137">
        <f t="shared" si="43"/>
        <v>0</v>
      </c>
      <c r="AH100" s="136">
        <f t="shared" si="44"/>
        <v>0</v>
      </c>
      <c r="AI100" s="136">
        <f t="shared" si="45"/>
        <v>0</v>
      </c>
      <c r="AJ100" s="136">
        <f t="shared" si="10"/>
        <v>0</v>
      </c>
      <c r="AK100" s="136">
        <f t="shared" si="11"/>
        <v>0</v>
      </c>
      <c r="AL100" s="136">
        <f t="shared" si="12"/>
        <v>0</v>
      </c>
      <c r="AM100" s="136">
        <f t="shared" si="46"/>
        <v>0</v>
      </c>
      <c r="AN100" s="136">
        <f t="shared" si="14"/>
        <v>0</v>
      </c>
      <c r="AO100" s="136">
        <f t="shared" si="15"/>
        <v>0</v>
      </c>
      <c r="AP100" s="138">
        <f t="shared" si="47"/>
        <v>0.71072056239015813</v>
      </c>
      <c r="AQ100" s="139">
        <f t="shared" si="48"/>
        <v>21.946666666666669</v>
      </c>
      <c r="AR100" s="537">
        <v>5</v>
      </c>
      <c r="AS100" s="202">
        <f t="shared" si="52"/>
        <v>71.072056239015808</v>
      </c>
      <c r="AT100" s="197">
        <f t="shared" si="18"/>
        <v>0</v>
      </c>
      <c r="AU100" s="199">
        <f t="shared" si="19"/>
        <v>0</v>
      </c>
      <c r="AV100" s="110"/>
      <c r="AW100" s="138" t="e">
        <f>VLOOKUP(AX100,Sup!#REF!,8,0)</f>
        <v>#REF!</v>
      </c>
      <c r="AX100" s="993" t="s">
        <v>197</v>
      </c>
      <c r="AY100" s="556">
        <v>0</v>
      </c>
      <c r="AZ100" s="35"/>
      <c r="BA100" s="35"/>
      <c r="BB100" s="35">
        <f>IF($F$14="NOVO/REATIVAÇÃO",W100*5*1.4,W100*5)</f>
        <v>0</v>
      </c>
      <c r="BC100" s="35">
        <f t="shared" si="20"/>
        <v>0</v>
      </c>
      <c r="BD100" s="35" t="str">
        <f t="shared" ref="BD100:BD131" si="63">IFERROR(IF(AND(W100="",X100=""),"",IF(OR($AA$373&gt;=$S$26,SUMIF($C:$C,C100,$W:$W)&gt;=$S$27),S100,IF(OR($AA$373&gt;=$R$26,SUMIF($C:$C,C100,$W:$W)&gt;=$R$27),R100,IF(OR($AA$373&gt;=$Q$26,SUMIF($C:$C,C100,$W:$W)&gt;=$Q$27),Q100,IF(OR($AA$373&gt;=$P$26,SUMIF($C:$C,C100,$W:$W)&gt;=$P$27),P100,IF(OR($AA$373&gt;=$O$26,SUMIF($C:$C,C100,$W:$W)&gt;=$O$27),O100,IF(OR($AA$373&gt;=$N$26,SUMIF($C:$C,C100,$W:$W)&gt;=$N$27),N100,IF($AA$373&gt;=$M$26,M100,L100)))))))*$E$13),0)</f>
        <v/>
      </c>
      <c r="BE100" s="45">
        <f t="shared" si="49"/>
        <v>0</v>
      </c>
      <c r="BF100" s="971"/>
      <c r="BG100" s="236"/>
      <c r="BH100" s="12"/>
      <c r="BI100" s="12"/>
      <c r="BJ100" s="12"/>
      <c r="BK100" s="12"/>
      <c r="BL100" s="12"/>
      <c r="BM100" s="980"/>
      <c r="BN100" s="367"/>
      <c r="BO100" s="981"/>
      <c r="BP100" s="12"/>
      <c r="BQ100" s="12"/>
      <c r="BR100" s="12"/>
      <c r="BS100" s="973"/>
      <c r="BT100" s="12"/>
      <c r="BU100" s="12"/>
      <c r="BV100" s="12"/>
      <c r="BW100" s="982" t="s">
        <v>393</v>
      </c>
      <c r="BX100" s="983">
        <f t="shared" si="50"/>
        <v>0</v>
      </c>
      <c r="BY100" s="12" t="e">
        <f>VLOOKUP(B100,#REF!,13,0)</f>
        <v>#REF!</v>
      </c>
      <c r="BZ100" s="1056">
        <v>30.9</v>
      </c>
      <c r="CA100" s="1181" t="e">
        <f>VLOOKUP(B100,Pedido!$B$16:$L$292,22,0)</f>
        <v>#N/A</v>
      </c>
    </row>
    <row r="101" spans="1:79" ht="24.75" customHeight="1" thickBot="1">
      <c r="A101" s="524"/>
      <c r="B101" s="140" t="s">
        <v>265</v>
      </c>
      <c r="C101" s="140" t="s">
        <v>266</v>
      </c>
      <c r="D101" s="427" t="s">
        <v>112</v>
      </c>
      <c r="E101" s="428" t="s">
        <v>67</v>
      </c>
      <c r="F101" s="429" t="s">
        <v>61</v>
      </c>
      <c r="G101" s="430">
        <v>1000</v>
      </c>
      <c r="H101" s="1159">
        <v>16.46</v>
      </c>
      <c r="I101" s="241">
        <v>79.900000000000006</v>
      </c>
      <c r="J101" s="130" t="str">
        <f t="shared" si="30"/>
        <v/>
      </c>
      <c r="K101" s="131" t="str">
        <f t="shared" si="40"/>
        <v/>
      </c>
      <c r="L101" s="241">
        <v>56.9</v>
      </c>
      <c r="M101" s="473">
        <f t="shared" si="23"/>
        <v>49.9</v>
      </c>
      <c r="N101" s="473">
        <f t="shared" si="24"/>
        <v>49.9</v>
      </c>
      <c r="O101" s="473">
        <f t="shared" si="25"/>
        <v>49.9</v>
      </c>
      <c r="P101" s="132">
        <v>49.9</v>
      </c>
      <c r="Q101" s="132">
        <v>45.9</v>
      </c>
      <c r="R101" s="132">
        <v>44.9</v>
      </c>
      <c r="S101" s="133">
        <v>42.9</v>
      </c>
      <c r="T101" s="134" t="str">
        <f t="shared" si="0"/>
        <v/>
      </c>
      <c r="U101" s="135" t="str">
        <f t="shared" si="1"/>
        <v/>
      </c>
      <c r="V101" s="575"/>
      <c r="W101" s="696"/>
      <c r="X101" s="171"/>
      <c r="Y101" s="103" t="str">
        <f t="shared" si="60"/>
        <v/>
      </c>
      <c r="Z101" s="225">
        <f t="shared" si="2"/>
        <v>0</v>
      </c>
      <c r="AA101" s="136">
        <f t="shared" si="3"/>
        <v>0</v>
      </c>
      <c r="AB101" s="136">
        <f t="shared" si="61"/>
        <v>0</v>
      </c>
      <c r="AC101" s="136">
        <f t="shared" si="62"/>
        <v>0</v>
      </c>
      <c r="AD101" s="136">
        <f t="shared" si="51"/>
        <v>0</v>
      </c>
      <c r="AE101" s="136">
        <f t="shared" si="41"/>
        <v>0</v>
      </c>
      <c r="AF101" s="136">
        <f t="shared" si="42"/>
        <v>0</v>
      </c>
      <c r="AG101" s="137">
        <f t="shared" si="43"/>
        <v>0</v>
      </c>
      <c r="AH101" s="136">
        <f t="shared" si="44"/>
        <v>0</v>
      </c>
      <c r="AI101" s="136">
        <f t="shared" si="45"/>
        <v>0</v>
      </c>
      <c r="AJ101" s="136">
        <f t="shared" si="10"/>
        <v>0</v>
      </c>
      <c r="AK101" s="136">
        <f t="shared" si="11"/>
        <v>0</v>
      </c>
      <c r="AL101" s="136">
        <f t="shared" si="12"/>
        <v>0</v>
      </c>
      <c r="AM101" s="136">
        <f t="shared" si="46"/>
        <v>0</v>
      </c>
      <c r="AN101" s="136">
        <f t="shared" si="14"/>
        <v>0</v>
      </c>
      <c r="AO101" s="136">
        <f t="shared" si="15"/>
        <v>0</v>
      </c>
      <c r="AP101" s="138">
        <f t="shared" si="47"/>
        <v>0.71072056239015813</v>
      </c>
      <c r="AQ101" s="139">
        <f t="shared" si="48"/>
        <v>21.946666666666669</v>
      </c>
      <c r="AR101" s="537">
        <v>5</v>
      </c>
      <c r="AS101" s="202">
        <f t="shared" si="52"/>
        <v>71.072056239015808</v>
      </c>
      <c r="AT101" s="197">
        <f t="shared" si="18"/>
        <v>0</v>
      </c>
      <c r="AU101" s="199">
        <f t="shared" si="19"/>
        <v>0</v>
      </c>
      <c r="AV101" s="110"/>
      <c r="AW101" s="138" t="e">
        <f>VLOOKUP(AX101,Sup!#REF!,8,0)</f>
        <v>#REF!</v>
      </c>
      <c r="AX101" s="993" t="s">
        <v>197</v>
      </c>
      <c r="AY101" s="556">
        <v>0</v>
      </c>
      <c r="AZ101" s="35"/>
      <c r="BA101" s="35"/>
      <c r="BB101" s="35">
        <f>IF($F$14="NOVO/REATIVAÇÃO",W101*5*1.4,W101*5)</f>
        <v>0</v>
      </c>
      <c r="BC101" s="35">
        <f t="shared" si="20"/>
        <v>0</v>
      </c>
      <c r="BD101" s="35" t="str">
        <f t="shared" si="63"/>
        <v/>
      </c>
      <c r="BE101" s="45">
        <f t="shared" si="49"/>
        <v>0</v>
      </c>
      <c r="BF101" s="971"/>
      <c r="BG101" s="236"/>
      <c r="BH101" s="12"/>
      <c r="BI101" s="12"/>
      <c r="BJ101" s="12"/>
      <c r="BK101" s="12"/>
      <c r="BL101" s="12"/>
      <c r="BM101" s="980"/>
      <c r="BN101" s="367"/>
      <c r="BO101" s="981"/>
      <c r="BP101" s="12"/>
      <c r="BQ101" s="12"/>
      <c r="BR101" s="12"/>
      <c r="BS101" s="973"/>
      <c r="BT101" s="12"/>
      <c r="BU101" s="12"/>
      <c r="BV101" s="12"/>
      <c r="BW101" s="982" t="s">
        <v>393</v>
      </c>
      <c r="BX101" s="983">
        <f t="shared" si="50"/>
        <v>0</v>
      </c>
      <c r="BY101" s="12" t="e">
        <f>VLOOKUP(B101,#REF!,13,0)</f>
        <v>#REF!</v>
      </c>
      <c r="BZ101" s="1056">
        <v>30.9</v>
      </c>
      <c r="CA101" s="1181" t="e">
        <f>VLOOKUP(B101,Pedido!$B$16:$L$292,22,0)</f>
        <v>#N/A</v>
      </c>
    </row>
    <row r="102" spans="1:79" ht="22.5" customHeight="1" thickBot="1">
      <c r="A102" s="524"/>
      <c r="B102" s="114" t="s">
        <v>119</v>
      </c>
      <c r="C102" s="114" t="str">
        <f>LEFT(B102,6)</f>
        <v>PPORC4</v>
      </c>
      <c r="D102" s="431" t="s">
        <v>120</v>
      </c>
      <c r="E102" s="432" t="s">
        <v>75</v>
      </c>
      <c r="F102" s="433" t="s">
        <v>61</v>
      </c>
      <c r="G102" s="434">
        <v>1000</v>
      </c>
      <c r="H102" s="1152">
        <v>28.67</v>
      </c>
      <c r="I102" s="115">
        <v>159.9</v>
      </c>
      <c r="J102" s="116" t="str">
        <f t="shared" si="30"/>
        <v/>
      </c>
      <c r="K102" s="117" t="str">
        <f t="shared" si="40"/>
        <v/>
      </c>
      <c r="L102" s="239">
        <v>110.9</v>
      </c>
      <c r="M102" s="472">
        <f t="shared" si="23"/>
        <v>97.9</v>
      </c>
      <c r="N102" s="472">
        <f t="shared" si="24"/>
        <v>97.9</v>
      </c>
      <c r="O102" s="472">
        <f t="shared" si="25"/>
        <v>97.9</v>
      </c>
      <c r="P102" s="118">
        <v>97.9</v>
      </c>
      <c r="Q102" s="118">
        <v>89.9</v>
      </c>
      <c r="R102" s="118">
        <v>87.9</v>
      </c>
      <c r="S102" s="119">
        <v>84.9</v>
      </c>
      <c r="T102" s="120" t="str">
        <f t="shared" si="0"/>
        <v/>
      </c>
      <c r="U102" s="121" t="str">
        <f t="shared" si="1"/>
        <v/>
      </c>
      <c r="V102" s="1108"/>
      <c r="W102" s="694"/>
      <c r="X102" s="170"/>
      <c r="Y102" s="122" t="str">
        <f t="shared" si="60"/>
        <v/>
      </c>
      <c r="Z102" s="224">
        <f t="shared" si="2"/>
        <v>0</v>
      </c>
      <c r="AA102" s="123">
        <f t="shared" si="3"/>
        <v>0</v>
      </c>
      <c r="AB102" s="123">
        <f t="shared" si="61"/>
        <v>0</v>
      </c>
      <c r="AC102" s="123">
        <f t="shared" si="62"/>
        <v>0</v>
      </c>
      <c r="AD102" s="123">
        <f t="shared" si="51"/>
        <v>0</v>
      </c>
      <c r="AE102" s="123">
        <f t="shared" si="41"/>
        <v>0</v>
      </c>
      <c r="AF102" s="123">
        <f t="shared" si="42"/>
        <v>0</v>
      </c>
      <c r="AG102" s="124">
        <f t="shared" si="43"/>
        <v>0</v>
      </c>
      <c r="AH102" s="123">
        <f t="shared" si="44"/>
        <v>0</v>
      </c>
      <c r="AI102" s="123">
        <f t="shared" si="45"/>
        <v>0</v>
      </c>
      <c r="AJ102" s="123">
        <f t="shared" si="10"/>
        <v>0</v>
      </c>
      <c r="AK102" s="123">
        <f t="shared" si="11"/>
        <v>0</v>
      </c>
      <c r="AL102" s="123">
        <f t="shared" si="12"/>
        <v>0</v>
      </c>
      <c r="AM102" s="123">
        <f t="shared" si="46"/>
        <v>0</v>
      </c>
      <c r="AN102" s="123">
        <f t="shared" si="14"/>
        <v>0</v>
      </c>
      <c r="AO102" s="123">
        <f t="shared" si="15"/>
        <v>0</v>
      </c>
      <c r="AP102" s="125">
        <f t="shared" si="47"/>
        <v>0.74147880973850322</v>
      </c>
      <c r="AQ102" s="126">
        <f t="shared" si="48"/>
        <v>38.226666666666667</v>
      </c>
      <c r="AR102" s="535">
        <v>5</v>
      </c>
      <c r="AS102" s="202">
        <f t="shared" si="52"/>
        <v>74.14788097385032</v>
      </c>
      <c r="AT102" s="197">
        <f t="shared" si="18"/>
        <v>0</v>
      </c>
      <c r="AU102" s="199">
        <f t="shared" si="19"/>
        <v>0</v>
      </c>
      <c r="AV102" s="110"/>
      <c r="AW102" s="125" t="e">
        <f>VLOOKUP(AX102,Sup!#REF!,8,0)</f>
        <v>#REF!</v>
      </c>
      <c r="AX102" s="991" t="s">
        <v>197</v>
      </c>
      <c r="AY102" s="556">
        <v>0</v>
      </c>
      <c r="AZ102" s="41"/>
      <c r="BA102" s="41"/>
      <c r="BB102" s="43">
        <f>IF($F$14="NOVO/REATIVAÇÃO",W102*7*1.4,W102*7)</f>
        <v>0</v>
      </c>
      <c r="BC102" s="41">
        <f t="shared" si="20"/>
        <v>0</v>
      </c>
      <c r="BD102" s="41" t="str">
        <f t="shared" si="63"/>
        <v/>
      </c>
      <c r="BE102" s="42">
        <f t="shared" si="49"/>
        <v>0</v>
      </c>
      <c r="BF102" s="971"/>
      <c r="BG102" s="236"/>
      <c r="BH102" s="12"/>
      <c r="BI102" s="12"/>
      <c r="BJ102" s="12"/>
      <c r="BK102" s="12"/>
      <c r="BL102" s="12"/>
      <c r="BM102" s="980"/>
      <c r="BN102" s="367"/>
      <c r="BO102" s="981"/>
      <c r="BP102" s="12"/>
      <c r="BQ102" s="12"/>
      <c r="BR102" s="12"/>
      <c r="BS102" s="973"/>
      <c r="BT102" s="12"/>
      <c r="BU102" s="12"/>
      <c r="BV102" s="12"/>
      <c r="BW102" s="982" t="s">
        <v>393</v>
      </c>
      <c r="BX102" s="983">
        <f t="shared" si="50"/>
        <v>0</v>
      </c>
      <c r="BY102" s="12" t="e">
        <f>VLOOKUP(B102,#REF!,13,0)</f>
        <v>#REF!</v>
      </c>
      <c r="BZ102" s="1055">
        <v>69.900000000000006</v>
      </c>
      <c r="CA102" s="1181" t="e">
        <f>VLOOKUP(B102,Pedido!$B$16:$L$292,22,0)</f>
        <v>#N/A</v>
      </c>
    </row>
    <row r="103" spans="1:79" ht="22.5" customHeight="1" thickBot="1">
      <c r="A103" s="524"/>
      <c r="B103" s="574" t="s">
        <v>377</v>
      </c>
      <c r="C103" s="140" t="s">
        <v>379</v>
      </c>
      <c r="D103" s="427" t="s">
        <v>120</v>
      </c>
      <c r="E103" s="428" t="s">
        <v>125</v>
      </c>
      <c r="F103" s="429" t="s">
        <v>61</v>
      </c>
      <c r="G103" s="430">
        <v>1000</v>
      </c>
      <c r="H103" s="1153">
        <v>28.67</v>
      </c>
      <c r="I103" s="129">
        <v>159.9</v>
      </c>
      <c r="J103" s="130" t="str">
        <f t="shared" si="30"/>
        <v/>
      </c>
      <c r="K103" s="131" t="str">
        <f t="shared" si="40"/>
        <v/>
      </c>
      <c r="L103" s="241">
        <v>110.9</v>
      </c>
      <c r="M103" s="473">
        <f t="shared" si="23"/>
        <v>97.9</v>
      </c>
      <c r="N103" s="473">
        <f t="shared" si="24"/>
        <v>97.9</v>
      </c>
      <c r="O103" s="473">
        <f t="shared" si="25"/>
        <v>97.9</v>
      </c>
      <c r="P103" s="132">
        <v>97.9</v>
      </c>
      <c r="Q103" s="132">
        <v>89.9</v>
      </c>
      <c r="R103" s="132">
        <v>87.9</v>
      </c>
      <c r="S103" s="133">
        <v>84.9</v>
      </c>
      <c r="T103" s="134" t="str">
        <f t="shared" si="0"/>
        <v/>
      </c>
      <c r="U103" s="135" t="str">
        <f t="shared" si="1"/>
        <v/>
      </c>
      <c r="V103" s="575"/>
      <c r="W103" s="694"/>
      <c r="X103" s="170"/>
      <c r="Y103" s="122" t="str">
        <f t="shared" si="60"/>
        <v/>
      </c>
      <c r="Z103" s="224">
        <f t="shared" si="2"/>
        <v>0</v>
      </c>
      <c r="AA103" s="136">
        <f t="shared" si="3"/>
        <v>0</v>
      </c>
      <c r="AB103" s="136">
        <f t="shared" si="61"/>
        <v>0</v>
      </c>
      <c r="AC103" s="136">
        <f t="shared" si="62"/>
        <v>0</v>
      </c>
      <c r="AD103" s="136">
        <f t="shared" si="51"/>
        <v>0</v>
      </c>
      <c r="AE103" s="136">
        <f t="shared" si="41"/>
        <v>0</v>
      </c>
      <c r="AF103" s="136">
        <f t="shared" si="42"/>
        <v>0</v>
      </c>
      <c r="AG103" s="137">
        <f t="shared" si="43"/>
        <v>0</v>
      </c>
      <c r="AH103" s="136">
        <f t="shared" si="44"/>
        <v>0</v>
      </c>
      <c r="AI103" s="136">
        <f t="shared" si="45"/>
        <v>0</v>
      </c>
      <c r="AJ103" s="136">
        <f t="shared" si="10"/>
        <v>0</v>
      </c>
      <c r="AK103" s="136">
        <f t="shared" si="11"/>
        <v>0</v>
      </c>
      <c r="AL103" s="136">
        <f t="shared" si="12"/>
        <v>0</v>
      </c>
      <c r="AM103" s="136">
        <f t="shared" si="46"/>
        <v>0</v>
      </c>
      <c r="AN103" s="136">
        <f t="shared" si="14"/>
        <v>0</v>
      </c>
      <c r="AO103" s="136">
        <f t="shared" si="15"/>
        <v>0</v>
      </c>
      <c r="AP103" s="138">
        <f t="shared" si="47"/>
        <v>0.74147880973850322</v>
      </c>
      <c r="AQ103" s="139">
        <f t="shared" si="48"/>
        <v>38.226666666666667</v>
      </c>
      <c r="AR103" s="537">
        <v>5</v>
      </c>
      <c r="AS103" s="202">
        <f t="shared" si="52"/>
        <v>74.14788097385032</v>
      </c>
      <c r="AT103" s="197">
        <f t="shared" si="18"/>
        <v>0</v>
      </c>
      <c r="AU103" s="199">
        <f t="shared" si="19"/>
        <v>0</v>
      </c>
      <c r="AV103" s="110"/>
      <c r="AW103" s="138" t="e">
        <f>VLOOKUP(AX103,Sup!#REF!,8,0)</f>
        <v>#REF!</v>
      </c>
      <c r="AX103" s="993" t="s">
        <v>197</v>
      </c>
      <c r="AY103" s="556">
        <v>0</v>
      </c>
      <c r="AZ103" s="35"/>
      <c r="BA103" s="35"/>
      <c r="BB103" s="43">
        <f>IF($F$14="NOVO/REATIVAÇÃO",W103*7*1.4,W103*7)</f>
        <v>0</v>
      </c>
      <c r="BC103" s="35">
        <f t="shared" si="20"/>
        <v>0</v>
      </c>
      <c r="BD103" s="35" t="str">
        <f t="shared" si="63"/>
        <v/>
      </c>
      <c r="BE103" s="45">
        <f t="shared" si="49"/>
        <v>0</v>
      </c>
      <c r="BF103" s="971"/>
      <c r="BG103" s="236"/>
      <c r="BH103" s="12"/>
      <c r="BI103" s="12"/>
      <c r="BJ103" s="12"/>
      <c r="BK103" s="12"/>
      <c r="BL103" s="12"/>
      <c r="BM103" s="980"/>
      <c r="BN103" s="367"/>
      <c r="BO103" s="981"/>
      <c r="BP103" s="12"/>
      <c r="BQ103" s="12"/>
      <c r="BR103" s="12"/>
      <c r="BS103" s="973"/>
      <c r="BT103" s="12"/>
      <c r="BU103" s="12"/>
      <c r="BV103" s="12"/>
      <c r="BW103" s="982" t="s">
        <v>393</v>
      </c>
      <c r="BX103" s="983">
        <f t="shared" si="50"/>
        <v>0</v>
      </c>
      <c r="BY103" s="12" t="e">
        <f>VLOOKUP(B103,#REF!,13,0)</f>
        <v>#REF!</v>
      </c>
      <c r="BZ103" s="1056">
        <v>69.900000000000006</v>
      </c>
      <c r="CA103" s="1181" t="e">
        <f>VLOOKUP(B103,Pedido!$B$16:$L$292,22,0)</f>
        <v>#N/A</v>
      </c>
    </row>
    <row r="104" spans="1:79" ht="22.5" customHeight="1" thickBot="1">
      <c r="A104" s="524"/>
      <c r="B104" s="140" t="s">
        <v>121</v>
      </c>
      <c r="C104" s="140" t="s">
        <v>379</v>
      </c>
      <c r="D104" s="427" t="s">
        <v>120</v>
      </c>
      <c r="E104" s="428" t="s">
        <v>118</v>
      </c>
      <c r="F104" s="429" t="s">
        <v>61</v>
      </c>
      <c r="G104" s="430">
        <v>1000</v>
      </c>
      <c r="H104" s="1153">
        <v>28.67</v>
      </c>
      <c r="I104" s="129">
        <v>159.9</v>
      </c>
      <c r="J104" s="130" t="str">
        <f t="shared" si="30"/>
        <v/>
      </c>
      <c r="K104" s="131" t="str">
        <f t="shared" si="40"/>
        <v/>
      </c>
      <c r="L104" s="241">
        <v>110.9</v>
      </c>
      <c r="M104" s="473">
        <f t="shared" si="23"/>
        <v>97.9</v>
      </c>
      <c r="N104" s="473">
        <f t="shared" si="24"/>
        <v>97.9</v>
      </c>
      <c r="O104" s="473">
        <f t="shared" si="25"/>
        <v>97.9</v>
      </c>
      <c r="P104" s="132">
        <v>97.9</v>
      </c>
      <c r="Q104" s="132">
        <v>89.9</v>
      </c>
      <c r="R104" s="132">
        <v>87.9</v>
      </c>
      <c r="S104" s="133">
        <v>84.9</v>
      </c>
      <c r="T104" s="134" t="str">
        <f t="shared" si="0"/>
        <v/>
      </c>
      <c r="U104" s="135" t="str">
        <f t="shared" si="1"/>
        <v/>
      </c>
      <c r="V104" s="575"/>
      <c r="W104" s="694"/>
      <c r="X104" s="170"/>
      <c r="Y104" s="122" t="str">
        <f t="shared" si="60"/>
        <v/>
      </c>
      <c r="Z104" s="224">
        <f t="shared" si="2"/>
        <v>0</v>
      </c>
      <c r="AA104" s="136">
        <f t="shared" si="3"/>
        <v>0</v>
      </c>
      <c r="AB104" s="136">
        <f t="shared" si="61"/>
        <v>0</v>
      </c>
      <c r="AC104" s="136">
        <f t="shared" si="62"/>
        <v>0</v>
      </c>
      <c r="AD104" s="136">
        <f t="shared" si="51"/>
        <v>0</v>
      </c>
      <c r="AE104" s="136">
        <f t="shared" si="41"/>
        <v>0</v>
      </c>
      <c r="AF104" s="136">
        <f t="shared" si="42"/>
        <v>0</v>
      </c>
      <c r="AG104" s="137">
        <f t="shared" si="43"/>
        <v>0</v>
      </c>
      <c r="AH104" s="136">
        <f t="shared" si="44"/>
        <v>0</v>
      </c>
      <c r="AI104" s="136">
        <f t="shared" si="45"/>
        <v>0</v>
      </c>
      <c r="AJ104" s="136">
        <f t="shared" si="10"/>
        <v>0</v>
      </c>
      <c r="AK104" s="136">
        <f t="shared" si="11"/>
        <v>0</v>
      </c>
      <c r="AL104" s="136">
        <f t="shared" si="12"/>
        <v>0</v>
      </c>
      <c r="AM104" s="136">
        <f t="shared" si="46"/>
        <v>0</v>
      </c>
      <c r="AN104" s="136">
        <f t="shared" si="14"/>
        <v>0</v>
      </c>
      <c r="AO104" s="136">
        <f t="shared" si="15"/>
        <v>0</v>
      </c>
      <c r="AP104" s="138">
        <f t="shared" si="47"/>
        <v>0.74147880973850322</v>
      </c>
      <c r="AQ104" s="139">
        <f t="shared" si="48"/>
        <v>38.226666666666667</v>
      </c>
      <c r="AR104" s="537">
        <v>5</v>
      </c>
      <c r="AS104" s="202">
        <f t="shared" si="52"/>
        <v>74.14788097385032</v>
      </c>
      <c r="AT104" s="197">
        <f t="shared" si="18"/>
        <v>0</v>
      </c>
      <c r="AU104" s="199">
        <f t="shared" si="19"/>
        <v>0</v>
      </c>
      <c r="AV104" s="110"/>
      <c r="AW104" s="138" t="e">
        <f>VLOOKUP(AX104,Sup!#REF!,8,0)</f>
        <v>#REF!</v>
      </c>
      <c r="AX104" s="993" t="s">
        <v>197</v>
      </c>
      <c r="AY104" s="556">
        <v>0</v>
      </c>
      <c r="AZ104" s="35"/>
      <c r="BA104" s="35"/>
      <c r="BB104" s="43">
        <f>IF($F$14="NOVO/REATIVAÇÃO",W104*7*1.4,W104*7)</f>
        <v>0</v>
      </c>
      <c r="BC104" s="35">
        <f t="shared" si="20"/>
        <v>0</v>
      </c>
      <c r="BD104" s="35" t="str">
        <f t="shared" si="63"/>
        <v/>
      </c>
      <c r="BE104" s="45">
        <f t="shared" si="49"/>
        <v>0</v>
      </c>
      <c r="BF104" s="971"/>
      <c r="BG104" s="236"/>
      <c r="BH104" s="12"/>
      <c r="BI104" s="12"/>
      <c r="BJ104" s="12"/>
      <c r="BK104" s="12"/>
      <c r="BL104" s="12"/>
      <c r="BM104" s="980"/>
      <c r="BN104" s="367"/>
      <c r="BO104" s="981"/>
      <c r="BP104" s="12"/>
      <c r="BQ104" s="12"/>
      <c r="BR104" s="12"/>
      <c r="BS104" s="973"/>
      <c r="BT104" s="12"/>
      <c r="BU104" s="12"/>
      <c r="BV104" s="12"/>
      <c r="BW104" s="982" t="s">
        <v>393</v>
      </c>
      <c r="BX104" s="983">
        <f t="shared" si="50"/>
        <v>0</v>
      </c>
      <c r="BY104" s="12" t="e">
        <f>VLOOKUP(B104,#REF!,13,0)</f>
        <v>#REF!</v>
      </c>
      <c r="BZ104" s="1056">
        <v>69.900000000000006</v>
      </c>
      <c r="CA104" s="1181" t="e">
        <f>VLOOKUP(B104,Pedido!$B$16:$L$292,22,0)</f>
        <v>#N/A</v>
      </c>
    </row>
    <row r="105" spans="1:79" ht="22.5" customHeight="1" thickBot="1">
      <c r="A105" s="524"/>
      <c r="B105" s="172" t="s">
        <v>378</v>
      </c>
      <c r="C105" s="172" t="s">
        <v>379</v>
      </c>
      <c r="D105" s="435" t="s">
        <v>120</v>
      </c>
      <c r="E105" s="436" t="s">
        <v>275</v>
      </c>
      <c r="F105" s="437" t="s">
        <v>61</v>
      </c>
      <c r="G105" s="438">
        <v>1000</v>
      </c>
      <c r="H105" s="1152">
        <v>28.67</v>
      </c>
      <c r="I105" s="173">
        <v>159.9</v>
      </c>
      <c r="J105" s="174" t="str">
        <f t="shared" si="30"/>
        <v/>
      </c>
      <c r="K105" s="175" t="str">
        <f t="shared" si="40"/>
        <v/>
      </c>
      <c r="L105" s="240">
        <v>110.9</v>
      </c>
      <c r="M105" s="476">
        <f t="shared" si="23"/>
        <v>97.9</v>
      </c>
      <c r="N105" s="476">
        <f t="shared" si="24"/>
        <v>97.9</v>
      </c>
      <c r="O105" s="476">
        <f t="shared" si="25"/>
        <v>97.9</v>
      </c>
      <c r="P105" s="176">
        <v>97.9</v>
      </c>
      <c r="Q105" s="176">
        <v>89.9</v>
      </c>
      <c r="R105" s="176">
        <v>87.9</v>
      </c>
      <c r="S105" s="177">
        <v>84.9</v>
      </c>
      <c r="T105" s="178" t="str">
        <f t="shared" si="0"/>
        <v/>
      </c>
      <c r="U105" s="179" t="str">
        <f t="shared" si="1"/>
        <v/>
      </c>
      <c r="V105" s="1117"/>
      <c r="W105" s="1118"/>
      <c r="X105" s="1119"/>
      <c r="Y105" s="180" t="str">
        <f t="shared" si="60"/>
        <v/>
      </c>
      <c r="Z105" s="226">
        <f t="shared" si="2"/>
        <v>0</v>
      </c>
      <c r="AA105" s="181">
        <f t="shared" si="3"/>
        <v>0</v>
      </c>
      <c r="AB105" s="181">
        <f t="shared" si="61"/>
        <v>0</v>
      </c>
      <c r="AC105" s="181">
        <f t="shared" si="62"/>
        <v>0</v>
      </c>
      <c r="AD105" s="181">
        <f t="shared" si="51"/>
        <v>0</v>
      </c>
      <c r="AE105" s="181">
        <f t="shared" si="41"/>
        <v>0</v>
      </c>
      <c r="AF105" s="181">
        <f t="shared" si="42"/>
        <v>0</v>
      </c>
      <c r="AG105" s="182">
        <f t="shared" si="43"/>
        <v>0</v>
      </c>
      <c r="AH105" s="181">
        <f t="shared" si="44"/>
        <v>0</v>
      </c>
      <c r="AI105" s="181">
        <f t="shared" si="45"/>
        <v>0</v>
      </c>
      <c r="AJ105" s="181">
        <f t="shared" si="10"/>
        <v>0</v>
      </c>
      <c r="AK105" s="181">
        <f t="shared" si="11"/>
        <v>0</v>
      </c>
      <c r="AL105" s="181">
        <f t="shared" si="12"/>
        <v>0</v>
      </c>
      <c r="AM105" s="181">
        <f t="shared" si="46"/>
        <v>0</v>
      </c>
      <c r="AN105" s="181">
        <f t="shared" si="14"/>
        <v>0</v>
      </c>
      <c r="AO105" s="181">
        <f t="shared" si="15"/>
        <v>0</v>
      </c>
      <c r="AP105" s="183">
        <f t="shared" si="47"/>
        <v>0.74147880973850322</v>
      </c>
      <c r="AQ105" s="184">
        <f t="shared" si="48"/>
        <v>38.226666666666667</v>
      </c>
      <c r="AR105" s="540">
        <v>5</v>
      </c>
      <c r="AS105" s="202">
        <f t="shared" si="52"/>
        <v>74.14788097385032</v>
      </c>
      <c r="AT105" s="197">
        <f t="shared" si="18"/>
        <v>0</v>
      </c>
      <c r="AU105" s="199">
        <f t="shared" si="19"/>
        <v>0</v>
      </c>
      <c r="AV105" s="185"/>
      <c r="AW105" s="183" t="e">
        <f>VLOOKUP(AX105,Sup!#REF!,8,0)</f>
        <v>#REF!</v>
      </c>
      <c r="AX105" s="990" t="s">
        <v>197</v>
      </c>
      <c r="AY105" s="556">
        <v>0</v>
      </c>
      <c r="AZ105" s="32"/>
      <c r="BA105" s="32"/>
      <c r="BB105" s="43">
        <f>IF($F$14="NOVO/REATIVAÇÃO",W105*7*1.4,W105*7)</f>
        <v>0</v>
      </c>
      <c r="BC105" s="32">
        <f t="shared" si="20"/>
        <v>0</v>
      </c>
      <c r="BD105" s="32" t="str">
        <f t="shared" si="63"/>
        <v/>
      </c>
      <c r="BE105" s="40">
        <f t="shared" si="49"/>
        <v>0</v>
      </c>
      <c r="BF105" s="971"/>
      <c r="BG105" s="236"/>
      <c r="BH105" s="12"/>
      <c r="BI105" s="12"/>
      <c r="BJ105" s="12"/>
      <c r="BK105" s="12"/>
      <c r="BL105" s="12"/>
      <c r="BM105" s="980"/>
      <c r="BN105" s="367"/>
      <c r="BO105" s="981"/>
      <c r="BP105" s="12"/>
      <c r="BQ105" s="12"/>
      <c r="BR105" s="12"/>
      <c r="BS105" s="973"/>
      <c r="BT105" s="12"/>
      <c r="BU105" s="12"/>
      <c r="BV105" s="12"/>
      <c r="BW105" s="982" t="s">
        <v>393</v>
      </c>
      <c r="BX105" s="983">
        <f t="shared" si="50"/>
        <v>0</v>
      </c>
      <c r="BY105" s="12" t="e">
        <f>VLOOKUP(B105,#REF!,13,0)</f>
        <v>#REF!</v>
      </c>
      <c r="BZ105" s="1061">
        <v>69.900000000000006</v>
      </c>
      <c r="CA105" s="1181" t="e">
        <f>VLOOKUP(B105,Pedido!$B$16:$L$292,22,0)</f>
        <v>#N/A</v>
      </c>
    </row>
    <row r="106" spans="1:79" ht="27.75" customHeight="1" thickBot="1">
      <c r="A106" s="1892"/>
      <c r="B106" s="140" t="s">
        <v>385</v>
      </c>
      <c r="C106" s="140" t="s">
        <v>233</v>
      </c>
      <c r="D106" s="369" t="s">
        <v>237</v>
      </c>
      <c r="E106" s="370" t="s">
        <v>67</v>
      </c>
      <c r="F106" s="371" t="s">
        <v>61</v>
      </c>
      <c r="G106" s="373">
        <v>300</v>
      </c>
      <c r="H106" s="1153">
        <v>26.44</v>
      </c>
      <c r="I106" s="129">
        <v>159.9</v>
      </c>
      <c r="J106" s="130" t="str">
        <f t="shared" si="30"/>
        <v/>
      </c>
      <c r="K106" s="131" t="str">
        <f t="shared" si="40"/>
        <v/>
      </c>
      <c r="L106" s="241">
        <v>111.9</v>
      </c>
      <c r="M106" s="473">
        <f t="shared" si="23"/>
        <v>98.9</v>
      </c>
      <c r="N106" s="473">
        <f t="shared" si="24"/>
        <v>98.9</v>
      </c>
      <c r="O106" s="473">
        <f t="shared" si="25"/>
        <v>98.9</v>
      </c>
      <c r="P106" s="132">
        <v>98.9</v>
      </c>
      <c r="Q106" s="132">
        <v>90.9</v>
      </c>
      <c r="R106" s="132">
        <v>88.9</v>
      </c>
      <c r="S106" s="133">
        <v>85.9</v>
      </c>
      <c r="T106" s="134" t="str">
        <f t="shared" si="0"/>
        <v/>
      </c>
      <c r="U106" s="135" t="str">
        <f t="shared" si="1"/>
        <v/>
      </c>
      <c r="V106" s="575"/>
      <c r="W106" s="694"/>
      <c r="X106" s="170"/>
      <c r="Y106" s="122" t="str">
        <f t="shared" si="60"/>
        <v/>
      </c>
      <c r="Z106" s="224">
        <f t="shared" si="2"/>
        <v>0</v>
      </c>
      <c r="AA106" s="136">
        <f t="shared" si="3"/>
        <v>0</v>
      </c>
      <c r="AB106" s="136">
        <f t="shared" si="61"/>
        <v>0</v>
      </c>
      <c r="AC106" s="136">
        <f t="shared" si="62"/>
        <v>0</v>
      </c>
      <c r="AD106" s="136">
        <f t="shared" si="51"/>
        <v>0</v>
      </c>
      <c r="AE106" s="136">
        <f t="shared" si="41"/>
        <v>0</v>
      </c>
      <c r="AF106" s="136">
        <f t="shared" si="42"/>
        <v>0</v>
      </c>
      <c r="AG106" s="137">
        <f t="shared" si="43"/>
        <v>0</v>
      </c>
      <c r="AH106" s="136">
        <f t="shared" si="44"/>
        <v>0</v>
      </c>
      <c r="AI106" s="136">
        <f t="shared" si="45"/>
        <v>0</v>
      </c>
      <c r="AJ106" s="136">
        <f t="shared" si="10"/>
        <v>0</v>
      </c>
      <c r="AK106" s="136">
        <f t="shared" si="11"/>
        <v>0</v>
      </c>
      <c r="AL106" s="136">
        <f t="shared" si="12"/>
        <v>0</v>
      </c>
      <c r="AM106" s="136">
        <f t="shared" si="46"/>
        <v>0</v>
      </c>
      <c r="AN106" s="136">
        <f t="shared" si="14"/>
        <v>0</v>
      </c>
      <c r="AO106" s="136">
        <f t="shared" si="15"/>
        <v>0</v>
      </c>
      <c r="AP106" s="138">
        <f t="shared" si="47"/>
        <v>0.76371760500446828</v>
      </c>
      <c r="AQ106" s="139">
        <f t="shared" si="48"/>
        <v>35.253333333333337</v>
      </c>
      <c r="AR106" s="537">
        <v>14</v>
      </c>
      <c r="AS106" s="202">
        <f t="shared" si="52"/>
        <v>76.371760500446825</v>
      </c>
      <c r="AT106" s="197">
        <f t="shared" si="18"/>
        <v>0</v>
      </c>
      <c r="AU106" s="199">
        <f t="shared" si="19"/>
        <v>0</v>
      </c>
      <c r="AV106" s="110"/>
      <c r="AW106" s="138" t="s">
        <v>204</v>
      </c>
      <c r="AX106" s="999" t="s">
        <v>198</v>
      </c>
      <c r="AY106" s="556">
        <v>0</v>
      </c>
      <c r="AZ106" s="35"/>
      <c r="BA106" s="35"/>
      <c r="BB106" s="35">
        <f>IF($F$14="NOVO/REATIVAÇÃO",10*W106*1.4,10*W106)</f>
        <v>0</v>
      </c>
      <c r="BC106" s="35">
        <f t="shared" si="20"/>
        <v>0</v>
      </c>
      <c r="BD106" s="35" t="str">
        <f t="shared" si="63"/>
        <v/>
      </c>
      <c r="BE106" s="45">
        <f t="shared" si="49"/>
        <v>0</v>
      </c>
      <c r="BF106" s="971"/>
      <c r="BG106" s="236"/>
      <c r="BH106" s="12"/>
      <c r="BI106" s="12"/>
      <c r="BJ106" s="12"/>
      <c r="BK106" s="12"/>
      <c r="BL106" s="12"/>
      <c r="BM106" s="980"/>
      <c r="BN106" s="367"/>
      <c r="BO106" s="981"/>
      <c r="BP106" s="12"/>
      <c r="BQ106" s="12"/>
      <c r="BR106" s="12"/>
      <c r="BS106" s="973"/>
      <c r="BT106" s="12"/>
      <c r="BU106" s="12"/>
      <c r="BV106" s="12"/>
      <c r="BW106" s="982" t="s">
        <v>392</v>
      </c>
      <c r="BX106" s="983">
        <f t="shared" si="50"/>
        <v>0</v>
      </c>
      <c r="BY106" s="12" t="e">
        <f>VLOOKUP(B106,#REF!,13,0)</f>
        <v>#REF!</v>
      </c>
      <c r="BZ106" s="1056">
        <v>69.900000000000006</v>
      </c>
      <c r="CA106" s="1181" t="e">
        <f>VLOOKUP(B106,Pedido!$B$16:$L$292,22,0)</f>
        <v>#N/A</v>
      </c>
    </row>
    <row r="107" spans="1:79" ht="27.75" customHeight="1" thickBot="1">
      <c r="A107" s="1872"/>
      <c r="B107" s="140" t="s">
        <v>386</v>
      </c>
      <c r="C107" s="140" t="s">
        <v>233</v>
      </c>
      <c r="D107" s="369" t="s">
        <v>237</v>
      </c>
      <c r="E107" s="370" t="s">
        <v>235</v>
      </c>
      <c r="F107" s="371" t="s">
        <v>61</v>
      </c>
      <c r="G107" s="373">
        <v>300</v>
      </c>
      <c r="H107" s="1153">
        <v>26.44</v>
      </c>
      <c r="I107" s="129">
        <v>159.9</v>
      </c>
      <c r="J107" s="130" t="str">
        <f t="shared" si="30"/>
        <v/>
      </c>
      <c r="K107" s="131" t="str">
        <f t="shared" si="40"/>
        <v/>
      </c>
      <c r="L107" s="241">
        <v>111.9</v>
      </c>
      <c r="M107" s="473">
        <f t="shared" si="23"/>
        <v>98.9</v>
      </c>
      <c r="N107" s="473">
        <f t="shared" si="24"/>
        <v>98.9</v>
      </c>
      <c r="O107" s="473">
        <f t="shared" si="25"/>
        <v>98.9</v>
      </c>
      <c r="P107" s="132">
        <v>98.9</v>
      </c>
      <c r="Q107" s="132">
        <v>90.9</v>
      </c>
      <c r="R107" s="132">
        <v>88.9</v>
      </c>
      <c r="S107" s="133">
        <v>85.9</v>
      </c>
      <c r="T107" s="134" t="str">
        <f t="shared" ref="T107:T156" si="64">IF(V107&gt;0,V107,IFERROR(IF(AND(W107&lt;&gt;"",X107&lt;&gt;""),AH107/W107,Y107),""))</f>
        <v/>
      </c>
      <c r="U107" s="135" t="str">
        <f t="shared" ref="U107:U156" si="65">IFERROR((T107*W107)/(W107+X107),"")</f>
        <v/>
      </c>
      <c r="V107" s="575"/>
      <c r="W107" s="694"/>
      <c r="X107" s="170"/>
      <c r="Y107" s="122" t="str">
        <f t="shared" si="60"/>
        <v/>
      </c>
      <c r="Z107" s="224">
        <f t="shared" ref="Z107:Z197" si="66">IF(X107&gt;W107,-1,IF(W107=0,0,IF(U107&lt;(H107/0.75),-1,IF(W107&lt;=3,0,0.0001))))</f>
        <v>0</v>
      </c>
      <c r="AA107" s="136">
        <f t="shared" ref="AA107:AA137" si="67">IFERROR(L107*W107,0)</f>
        <v>0</v>
      </c>
      <c r="AB107" s="136">
        <f t="shared" si="61"/>
        <v>0</v>
      </c>
      <c r="AC107" s="136">
        <f t="shared" si="62"/>
        <v>0</v>
      </c>
      <c r="AD107" s="136">
        <f t="shared" si="51"/>
        <v>0</v>
      </c>
      <c r="AE107" s="136">
        <f t="shared" si="41"/>
        <v>0</v>
      </c>
      <c r="AF107" s="136">
        <f t="shared" si="42"/>
        <v>0</v>
      </c>
      <c r="AG107" s="137">
        <f t="shared" si="43"/>
        <v>0</v>
      </c>
      <c r="AH107" s="136">
        <f t="shared" si="44"/>
        <v>0</v>
      </c>
      <c r="AI107" s="136">
        <f t="shared" si="45"/>
        <v>0</v>
      </c>
      <c r="AJ107" s="136">
        <f t="shared" ref="AJ107:AJ137" si="68">AH107*$AJ$25</f>
        <v>0</v>
      </c>
      <c r="AK107" s="136">
        <f t="shared" ref="AK107:AK137" si="69">AH107*AK$25</f>
        <v>0</v>
      </c>
      <c r="AL107" s="136">
        <f t="shared" ref="AL107:AL137" si="70">AH107*AL$25</f>
        <v>0</v>
      </c>
      <c r="AM107" s="136">
        <f t="shared" si="46"/>
        <v>0</v>
      </c>
      <c r="AN107" s="136">
        <f t="shared" ref="AN107:AN137" si="71">AH107-AM107</f>
        <v>0</v>
      </c>
      <c r="AO107" s="136">
        <f t="shared" ref="AO107:AO137" si="72">AN107-AI107</f>
        <v>0</v>
      </c>
      <c r="AP107" s="138">
        <f t="shared" si="47"/>
        <v>0.76371760500446828</v>
      </c>
      <c r="AQ107" s="139">
        <f t="shared" si="48"/>
        <v>35.253333333333337</v>
      </c>
      <c r="AR107" s="537">
        <v>14</v>
      </c>
      <c r="AS107" s="202">
        <f t="shared" si="52"/>
        <v>76.371760500446825</v>
      </c>
      <c r="AT107" s="197">
        <f t="shared" ref="AT107:AT192" si="73">IFERROR(1-(AI107/AH107),0)</f>
        <v>0</v>
      </c>
      <c r="AU107" s="199">
        <f t="shared" ref="AU107:AU192" si="74">IFERROR(AO107/AH107,0)</f>
        <v>0</v>
      </c>
      <c r="AV107" s="110"/>
      <c r="AW107" s="138" t="s">
        <v>204</v>
      </c>
      <c r="AX107" s="999" t="s">
        <v>198</v>
      </c>
      <c r="AY107" s="556">
        <v>0</v>
      </c>
      <c r="AZ107" s="35"/>
      <c r="BA107" s="35"/>
      <c r="BB107" s="35">
        <f>IF($F$14="NOVO/REATIVAÇÃO",10*W107*1.4,10*W107)</f>
        <v>0</v>
      </c>
      <c r="BC107" s="35">
        <f t="shared" ref="BC107:BC182" si="75">IF(BE107&lt;0,BE107,0)</f>
        <v>0</v>
      </c>
      <c r="BD107" s="35" t="str">
        <f t="shared" si="63"/>
        <v/>
      </c>
      <c r="BE107" s="45">
        <f t="shared" si="49"/>
        <v>0</v>
      </c>
      <c r="BF107" s="971"/>
      <c r="BG107" s="236"/>
      <c r="BH107" s="12"/>
      <c r="BI107" s="12"/>
      <c r="BJ107" s="12"/>
      <c r="BK107" s="12"/>
      <c r="BL107" s="12"/>
      <c r="BM107" s="980"/>
      <c r="BN107" s="367"/>
      <c r="BO107" s="981"/>
      <c r="BP107" s="12"/>
      <c r="BQ107" s="12"/>
      <c r="BR107" s="12"/>
      <c r="BS107" s="973"/>
      <c r="BT107" s="12"/>
      <c r="BU107" s="12"/>
      <c r="BV107" s="12"/>
      <c r="BW107" s="982" t="s">
        <v>392</v>
      </c>
      <c r="BX107" s="983">
        <f t="shared" si="50"/>
        <v>0</v>
      </c>
      <c r="BY107" s="12" t="e">
        <f>VLOOKUP(B107,#REF!,13,0)</f>
        <v>#REF!</v>
      </c>
      <c r="BZ107" s="1056">
        <v>69.900000000000006</v>
      </c>
      <c r="CA107" s="1181" t="e">
        <f>VLOOKUP(B107,Pedido!$B$16:$L$292,22,0)</f>
        <v>#N/A</v>
      </c>
    </row>
    <row r="108" spans="1:79" ht="27.75" customHeight="1" thickBot="1">
      <c r="A108" s="1872"/>
      <c r="B108" s="140" t="s">
        <v>387</v>
      </c>
      <c r="C108" s="140" t="s">
        <v>233</v>
      </c>
      <c r="D108" s="369" t="s">
        <v>237</v>
      </c>
      <c r="E108" s="370" t="s">
        <v>102</v>
      </c>
      <c r="F108" s="371" t="s">
        <v>61</v>
      </c>
      <c r="G108" s="373">
        <v>300</v>
      </c>
      <c r="H108" s="1153">
        <v>26.44</v>
      </c>
      <c r="I108" s="129">
        <v>159.9</v>
      </c>
      <c r="J108" s="130" t="str">
        <f t="shared" si="30"/>
        <v/>
      </c>
      <c r="K108" s="131" t="str">
        <f t="shared" si="40"/>
        <v/>
      </c>
      <c r="L108" s="241">
        <v>111.9</v>
      </c>
      <c r="M108" s="473">
        <f t="shared" ref="M108:M180" si="76">P108</f>
        <v>98.9</v>
      </c>
      <c r="N108" s="473">
        <f t="shared" ref="N108:N180" si="77">P108</f>
        <v>98.9</v>
      </c>
      <c r="O108" s="473">
        <f t="shared" ref="O108:O180" si="78">P108</f>
        <v>98.9</v>
      </c>
      <c r="P108" s="132">
        <v>98.9</v>
      </c>
      <c r="Q108" s="132">
        <v>90.9</v>
      </c>
      <c r="R108" s="132">
        <v>88.9</v>
      </c>
      <c r="S108" s="133">
        <v>85.9</v>
      </c>
      <c r="T108" s="134" t="str">
        <f t="shared" si="64"/>
        <v/>
      </c>
      <c r="U108" s="135" t="str">
        <f t="shared" si="65"/>
        <v/>
      </c>
      <c r="V108" s="575"/>
      <c r="W108" s="694"/>
      <c r="X108" s="170"/>
      <c r="Y108" s="103" t="str">
        <f t="shared" si="60"/>
        <v/>
      </c>
      <c r="Z108" s="224">
        <f t="shared" si="66"/>
        <v>0</v>
      </c>
      <c r="AA108" s="136">
        <f t="shared" si="67"/>
        <v>0</v>
      </c>
      <c r="AB108" s="136">
        <f t="shared" si="61"/>
        <v>0</v>
      </c>
      <c r="AC108" s="136">
        <f t="shared" si="62"/>
        <v>0</v>
      </c>
      <c r="AD108" s="136">
        <f t="shared" si="51"/>
        <v>0</v>
      </c>
      <c r="AE108" s="136">
        <f t="shared" si="41"/>
        <v>0</v>
      </c>
      <c r="AF108" s="136">
        <f t="shared" si="42"/>
        <v>0</v>
      </c>
      <c r="AG108" s="137">
        <f t="shared" si="43"/>
        <v>0</v>
      </c>
      <c r="AH108" s="136">
        <f t="shared" si="44"/>
        <v>0</v>
      </c>
      <c r="AI108" s="136">
        <f t="shared" si="45"/>
        <v>0</v>
      </c>
      <c r="AJ108" s="136">
        <f t="shared" si="68"/>
        <v>0</v>
      </c>
      <c r="AK108" s="136">
        <f t="shared" si="69"/>
        <v>0</v>
      </c>
      <c r="AL108" s="136">
        <f t="shared" si="70"/>
        <v>0</v>
      </c>
      <c r="AM108" s="136">
        <f t="shared" si="46"/>
        <v>0</v>
      </c>
      <c r="AN108" s="136">
        <f t="shared" si="71"/>
        <v>0</v>
      </c>
      <c r="AO108" s="136">
        <f t="shared" si="72"/>
        <v>0</v>
      </c>
      <c r="AP108" s="138">
        <f t="shared" si="47"/>
        <v>0.76371760500446828</v>
      </c>
      <c r="AQ108" s="139">
        <f t="shared" si="48"/>
        <v>35.253333333333337</v>
      </c>
      <c r="AR108" s="537">
        <v>14</v>
      </c>
      <c r="AS108" s="202">
        <f t="shared" si="52"/>
        <v>76.371760500446825</v>
      </c>
      <c r="AT108" s="197">
        <f t="shared" si="73"/>
        <v>0</v>
      </c>
      <c r="AU108" s="199">
        <f t="shared" si="74"/>
        <v>0</v>
      </c>
      <c r="AV108" s="110"/>
      <c r="AW108" s="138" t="s">
        <v>204</v>
      </c>
      <c r="AX108" s="999" t="s">
        <v>198</v>
      </c>
      <c r="AY108" s="556">
        <v>0</v>
      </c>
      <c r="AZ108" s="35"/>
      <c r="BA108" s="35"/>
      <c r="BB108" s="35">
        <f>IF($F$14="NOVO/REATIVAÇÃO",10*W108*1.4,10*W108)</f>
        <v>0</v>
      </c>
      <c r="BC108" s="35">
        <f t="shared" si="75"/>
        <v>0</v>
      </c>
      <c r="BD108" s="35" t="str">
        <f t="shared" si="63"/>
        <v/>
      </c>
      <c r="BE108" s="45">
        <f t="shared" si="49"/>
        <v>0</v>
      </c>
      <c r="BF108" s="971"/>
      <c r="BG108" s="236"/>
      <c r="BH108" s="12"/>
      <c r="BI108" s="12"/>
      <c r="BJ108" s="12"/>
      <c r="BK108" s="12"/>
      <c r="BL108" s="12"/>
      <c r="BM108" s="980"/>
      <c r="BN108" s="367"/>
      <c r="BO108" s="981"/>
      <c r="BP108" s="12"/>
      <c r="BQ108" s="12"/>
      <c r="BR108" s="12"/>
      <c r="BS108" s="973"/>
      <c r="BT108" s="12"/>
      <c r="BU108" s="12"/>
      <c r="BV108" s="12"/>
      <c r="BW108" s="982" t="s">
        <v>392</v>
      </c>
      <c r="BX108" s="983">
        <f t="shared" si="50"/>
        <v>0</v>
      </c>
      <c r="BY108" s="12" t="e">
        <f>VLOOKUP(B108,#REF!,13,0)</f>
        <v>#REF!</v>
      </c>
      <c r="BZ108" s="1056">
        <v>69.900000000000006</v>
      </c>
      <c r="CA108" s="1181" t="e">
        <f>VLOOKUP(B108,Pedido!$B$16:$L$292,22,0)</f>
        <v>#N/A</v>
      </c>
    </row>
    <row r="109" spans="1:79" ht="27.75" customHeight="1" thickBot="1">
      <c r="A109" s="1872"/>
      <c r="B109" s="600" t="s">
        <v>388</v>
      </c>
      <c r="C109" s="602" t="s">
        <v>233</v>
      </c>
      <c r="D109" s="588" t="s">
        <v>237</v>
      </c>
      <c r="E109" s="589" t="s">
        <v>389</v>
      </c>
      <c r="F109" s="590" t="s">
        <v>61</v>
      </c>
      <c r="G109" s="591">
        <v>300</v>
      </c>
      <c r="H109" s="1160">
        <v>26.44</v>
      </c>
      <c r="I109" s="592">
        <v>159.9</v>
      </c>
      <c r="J109" s="593" t="str">
        <f t="shared" si="30"/>
        <v/>
      </c>
      <c r="K109" s="594" t="str">
        <f t="shared" si="40"/>
        <v/>
      </c>
      <c r="L109" s="595">
        <v>111.9</v>
      </c>
      <c r="M109" s="480">
        <f t="shared" si="76"/>
        <v>98.9</v>
      </c>
      <c r="N109" s="480">
        <f t="shared" si="77"/>
        <v>98.9</v>
      </c>
      <c r="O109" s="480">
        <f t="shared" si="78"/>
        <v>98.9</v>
      </c>
      <c r="P109" s="278">
        <v>98.9</v>
      </c>
      <c r="Q109" s="278">
        <v>90.9</v>
      </c>
      <c r="R109" s="278">
        <v>88.9</v>
      </c>
      <c r="S109" s="321">
        <v>85.9</v>
      </c>
      <c r="T109" s="274" t="str">
        <f t="shared" si="64"/>
        <v/>
      </c>
      <c r="U109" s="152" t="str">
        <f t="shared" si="65"/>
        <v/>
      </c>
      <c r="V109" s="695"/>
      <c r="W109" s="696"/>
      <c r="X109" s="171"/>
      <c r="Y109" s="103" t="str">
        <f t="shared" si="60"/>
        <v/>
      </c>
      <c r="Z109" s="225">
        <f t="shared" si="66"/>
        <v>0</v>
      </c>
      <c r="AA109" s="275">
        <f t="shared" si="67"/>
        <v>0</v>
      </c>
      <c r="AB109" s="275">
        <f t="shared" si="61"/>
        <v>0</v>
      </c>
      <c r="AC109" s="275">
        <f t="shared" si="62"/>
        <v>0</v>
      </c>
      <c r="AD109" s="275">
        <f t="shared" si="51"/>
        <v>0</v>
      </c>
      <c r="AE109" s="275">
        <f t="shared" si="41"/>
        <v>0</v>
      </c>
      <c r="AF109" s="275">
        <f t="shared" si="42"/>
        <v>0</v>
      </c>
      <c r="AG109" s="290">
        <f t="shared" si="43"/>
        <v>0</v>
      </c>
      <c r="AH109" s="275">
        <f t="shared" si="44"/>
        <v>0</v>
      </c>
      <c r="AI109" s="275">
        <f t="shared" si="45"/>
        <v>0</v>
      </c>
      <c r="AJ109" s="275">
        <f t="shared" si="68"/>
        <v>0</v>
      </c>
      <c r="AK109" s="275">
        <f t="shared" si="69"/>
        <v>0</v>
      </c>
      <c r="AL109" s="275">
        <f t="shared" si="70"/>
        <v>0</v>
      </c>
      <c r="AM109" s="275">
        <f t="shared" si="46"/>
        <v>0</v>
      </c>
      <c r="AN109" s="275">
        <f t="shared" si="71"/>
        <v>0</v>
      </c>
      <c r="AO109" s="275">
        <f t="shared" si="72"/>
        <v>0</v>
      </c>
      <c r="AP109" s="276">
        <f t="shared" si="47"/>
        <v>0.76371760500446828</v>
      </c>
      <c r="AQ109" s="291">
        <f t="shared" si="48"/>
        <v>35.253333333333337</v>
      </c>
      <c r="AR109" s="542">
        <v>14</v>
      </c>
      <c r="AS109" s="596">
        <f t="shared" si="52"/>
        <v>76.371760500446825</v>
      </c>
      <c r="AT109" s="318">
        <f t="shared" si="73"/>
        <v>0</v>
      </c>
      <c r="AU109" s="597">
        <f t="shared" si="74"/>
        <v>0</v>
      </c>
      <c r="AV109" s="277"/>
      <c r="AW109" s="276" t="s">
        <v>204</v>
      </c>
      <c r="AX109" s="1000" t="s">
        <v>198</v>
      </c>
      <c r="AY109" s="556">
        <v>0</v>
      </c>
      <c r="AZ109" s="35"/>
      <c r="BA109" s="35"/>
      <c r="BB109" s="35">
        <f>IF($F$14="NOVO/REATIVAÇÃO",10*W109*1.4,10*W109)</f>
        <v>0</v>
      </c>
      <c r="BC109" s="35">
        <f t="shared" si="75"/>
        <v>0</v>
      </c>
      <c r="BD109" s="35" t="str">
        <f t="shared" si="63"/>
        <v/>
      </c>
      <c r="BE109" s="45">
        <f t="shared" si="49"/>
        <v>0</v>
      </c>
      <c r="BF109" s="971"/>
      <c r="BG109" s="236"/>
      <c r="BH109" s="12"/>
      <c r="BI109" s="12"/>
      <c r="BJ109" s="12"/>
      <c r="BK109" s="12"/>
      <c r="BL109" s="12"/>
      <c r="BM109" s="980"/>
      <c r="BN109" s="367"/>
      <c r="BO109" s="981"/>
      <c r="BP109" s="12"/>
      <c r="BQ109" s="12"/>
      <c r="BR109" s="12"/>
      <c r="BS109" s="973"/>
      <c r="BT109" s="12"/>
      <c r="BU109" s="12"/>
      <c r="BV109" s="12"/>
      <c r="BW109" s="982" t="s">
        <v>392</v>
      </c>
      <c r="BX109" s="983">
        <f t="shared" si="50"/>
        <v>0</v>
      </c>
      <c r="BY109" s="12" t="e">
        <f>VLOOKUP(B109,#REF!,13,0)</f>
        <v>#REF!</v>
      </c>
      <c r="BZ109" s="1062">
        <v>69.900000000000006</v>
      </c>
      <c r="CA109" s="1181" t="e">
        <f>VLOOKUP(B109,Pedido!$B$16:$L$292,22,0)</f>
        <v>#N/A</v>
      </c>
    </row>
    <row r="110" spans="1:79" ht="27.75" customHeight="1" thickBot="1">
      <c r="A110" s="1872"/>
      <c r="B110" s="598" t="s">
        <v>444</v>
      </c>
      <c r="C110" s="114" t="s">
        <v>234</v>
      </c>
      <c r="D110" s="369" t="s">
        <v>234</v>
      </c>
      <c r="E110" s="370" t="s">
        <v>236</v>
      </c>
      <c r="F110" s="371" t="s">
        <v>61</v>
      </c>
      <c r="G110" s="373">
        <v>600</v>
      </c>
      <c r="H110" s="1153">
        <v>84.84</v>
      </c>
      <c r="I110" s="129">
        <v>314.89999999999998</v>
      </c>
      <c r="J110" s="130" t="str">
        <f t="shared" si="30"/>
        <v/>
      </c>
      <c r="K110" s="131" t="str">
        <f t="shared" si="40"/>
        <v/>
      </c>
      <c r="L110" s="241">
        <v>232.9</v>
      </c>
      <c r="M110" s="473">
        <f t="shared" si="76"/>
        <v>205.9</v>
      </c>
      <c r="N110" s="473">
        <f t="shared" si="77"/>
        <v>205.9</v>
      </c>
      <c r="O110" s="473">
        <f t="shared" si="78"/>
        <v>205.9</v>
      </c>
      <c r="P110" s="132">
        <v>205.9</v>
      </c>
      <c r="Q110" s="132">
        <v>189.9</v>
      </c>
      <c r="R110" s="132">
        <v>186.9</v>
      </c>
      <c r="S110" s="133">
        <v>179.9</v>
      </c>
      <c r="T110" s="134" t="str">
        <f t="shared" si="64"/>
        <v/>
      </c>
      <c r="U110" s="135" t="str">
        <f t="shared" si="65"/>
        <v/>
      </c>
      <c r="V110" s="575"/>
      <c r="W110" s="694"/>
      <c r="X110" s="170"/>
      <c r="Y110" s="122" t="str">
        <f t="shared" si="60"/>
        <v/>
      </c>
      <c r="Z110" s="224">
        <f t="shared" si="66"/>
        <v>0</v>
      </c>
      <c r="AA110" s="123">
        <f t="shared" si="67"/>
        <v>0</v>
      </c>
      <c r="AB110" s="123">
        <f t="shared" si="61"/>
        <v>0</v>
      </c>
      <c r="AC110" s="123">
        <f t="shared" si="62"/>
        <v>0</v>
      </c>
      <c r="AD110" s="123">
        <f t="shared" si="51"/>
        <v>0</v>
      </c>
      <c r="AE110" s="123">
        <f t="shared" si="41"/>
        <v>0</v>
      </c>
      <c r="AF110" s="123">
        <f t="shared" si="42"/>
        <v>0</v>
      </c>
      <c r="AG110" s="124">
        <f t="shared" si="43"/>
        <v>0</v>
      </c>
      <c r="AH110" s="123">
        <f t="shared" si="44"/>
        <v>0</v>
      </c>
      <c r="AI110" s="123">
        <f t="shared" si="45"/>
        <v>0</v>
      </c>
      <c r="AJ110" s="123">
        <f t="shared" si="68"/>
        <v>0</v>
      </c>
      <c r="AK110" s="123">
        <f t="shared" si="69"/>
        <v>0</v>
      </c>
      <c r="AL110" s="123">
        <f t="shared" si="70"/>
        <v>0</v>
      </c>
      <c r="AM110" s="123">
        <f t="shared" si="46"/>
        <v>0</v>
      </c>
      <c r="AN110" s="123">
        <f t="shared" si="71"/>
        <v>0</v>
      </c>
      <c r="AO110" s="123">
        <f t="shared" si="72"/>
        <v>0</v>
      </c>
      <c r="AP110" s="125">
        <f t="shared" si="47"/>
        <v>0.63572348647488197</v>
      </c>
      <c r="AQ110" s="126">
        <f t="shared" si="48"/>
        <v>113.12</v>
      </c>
      <c r="AR110" s="535">
        <v>4</v>
      </c>
      <c r="AS110" s="202">
        <f t="shared" si="52"/>
        <v>63.572348647488198</v>
      </c>
      <c r="AT110" s="197">
        <f t="shared" si="73"/>
        <v>0</v>
      </c>
      <c r="AU110" s="199">
        <f t="shared" si="74"/>
        <v>0</v>
      </c>
      <c r="AV110" s="110"/>
      <c r="AW110" s="125" t="s">
        <v>202</v>
      </c>
      <c r="AX110" s="1001" t="s">
        <v>198</v>
      </c>
      <c r="AY110" s="556">
        <v>0</v>
      </c>
      <c r="AZ110" s="41"/>
      <c r="BA110" s="41"/>
      <c r="BB110" s="35"/>
      <c r="BC110" s="41">
        <f t="shared" si="75"/>
        <v>0</v>
      </c>
      <c r="BD110" s="41" t="str">
        <f t="shared" si="63"/>
        <v/>
      </c>
      <c r="BE110" s="42">
        <f t="shared" si="49"/>
        <v>0</v>
      </c>
      <c r="BF110" s="971"/>
      <c r="BG110" s="236"/>
      <c r="BH110" s="12"/>
      <c r="BI110" s="12"/>
      <c r="BJ110" s="12"/>
      <c r="BK110" s="12"/>
      <c r="BL110" s="12"/>
      <c r="BM110" s="980"/>
      <c r="BN110" s="367"/>
      <c r="BO110" s="981"/>
      <c r="BP110" s="12"/>
      <c r="BQ110" s="12"/>
      <c r="BR110" s="12"/>
      <c r="BS110" s="973"/>
      <c r="BT110" s="12"/>
      <c r="BU110" s="12"/>
      <c r="BV110" s="12"/>
      <c r="BW110" s="982" t="s">
        <v>392</v>
      </c>
      <c r="BX110" s="983">
        <f t="shared" si="50"/>
        <v>0</v>
      </c>
      <c r="BY110" s="12" t="e">
        <f>VLOOKUP(B110,#REF!,13,0)</f>
        <v>#REF!</v>
      </c>
      <c r="BZ110" s="1056">
        <v>159.9</v>
      </c>
      <c r="CA110" s="1181" t="e">
        <f>VLOOKUP(B110,Pedido!$B$16:$L$292,22,0)</f>
        <v>#N/A</v>
      </c>
    </row>
    <row r="111" spans="1:79" ht="27.75" customHeight="1" thickBot="1">
      <c r="A111" s="1872"/>
      <c r="B111" s="599" t="s">
        <v>445</v>
      </c>
      <c r="C111" s="140" t="s">
        <v>234</v>
      </c>
      <c r="D111" s="369" t="s">
        <v>234</v>
      </c>
      <c r="E111" s="370" t="s">
        <v>413</v>
      </c>
      <c r="F111" s="371" t="s">
        <v>61</v>
      </c>
      <c r="G111" s="373">
        <v>600</v>
      </c>
      <c r="H111" s="1152">
        <v>84.84</v>
      </c>
      <c r="I111" s="129">
        <v>314.89999999999998</v>
      </c>
      <c r="J111" s="130" t="str">
        <f t="shared" ref="J111:J186" si="79">IFERROR(IF(T111&lt;&gt;"",I111/T111,IF(AND(Y111="",V111=""),"",IF(V111="",I111/Y111,I111/V111))),"")</f>
        <v/>
      </c>
      <c r="K111" s="131" t="str">
        <f t="shared" si="40"/>
        <v/>
      </c>
      <c r="L111" s="241">
        <v>232.9</v>
      </c>
      <c r="M111" s="473">
        <f t="shared" si="76"/>
        <v>205.9</v>
      </c>
      <c r="N111" s="473">
        <f t="shared" si="77"/>
        <v>205.9</v>
      </c>
      <c r="O111" s="473">
        <f t="shared" si="78"/>
        <v>205.9</v>
      </c>
      <c r="P111" s="132">
        <v>205.9</v>
      </c>
      <c r="Q111" s="132">
        <v>189.9</v>
      </c>
      <c r="R111" s="132">
        <v>186.9</v>
      </c>
      <c r="S111" s="133">
        <v>179.9</v>
      </c>
      <c r="T111" s="134" t="str">
        <f t="shared" si="64"/>
        <v/>
      </c>
      <c r="U111" s="135" t="str">
        <f t="shared" si="65"/>
        <v/>
      </c>
      <c r="V111" s="575"/>
      <c r="W111" s="694"/>
      <c r="X111" s="170"/>
      <c r="Y111" s="122" t="str">
        <f t="shared" si="60"/>
        <v/>
      </c>
      <c r="Z111" s="224">
        <f t="shared" si="66"/>
        <v>0</v>
      </c>
      <c r="AA111" s="136">
        <f t="shared" si="67"/>
        <v>0</v>
      </c>
      <c r="AB111" s="136">
        <f t="shared" si="61"/>
        <v>0</v>
      </c>
      <c r="AC111" s="136">
        <f t="shared" si="62"/>
        <v>0</v>
      </c>
      <c r="AD111" s="136">
        <f t="shared" si="51"/>
        <v>0</v>
      </c>
      <c r="AE111" s="136">
        <f t="shared" si="41"/>
        <v>0</v>
      </c>
      <c r="AF111" s="136">
        <f t="shared" si="42"/>
        <v>0</v>
      </c>
      <c r="AG111" s="137">
        <f t="shared" si="43"/>
        <v>0</v>
      </c>
      <c r="AH111" s="136">
        <f t="shared" si="44"/>
        <v>0</v>
      </c>
      <c r="AI111" s="136">
        <f t="shared" si="45"/>
        <v>0</v>
      </c>
      <c r="AJ111" s="136">
        <f t="shared" si="68"/>
        <v>0</v>
      </c>
      <c r="AK111" s="136">
        <f t="shared" si="69"/>
        <v>0</v>
      </c>
      <c r="AL111" s="136">
        <f t="shared" si="70"/>
        <v>0</v>
      </c>
      <c r="AM111" s="136">
        <f t="shared" si="46"/>
        <v>0</v>
      </c>
      <c r="AN111" s="136">
        <f t="shared" si="71"/>
        <v>0</v>
      </c>
      <c r="AO111" s="136">
        <f t="shared" si="72"/>
        <v>0</v>
      </c>
      <c r="AP111" s="138">
        <f t="shared" si="47"/>
        <v>0.63572348647488197</v>
      </c>
      <c r="AQ111" s="139">
        <f t="shared" si="48"/>
        <v>113.12</v>
      </c>
      <c r="AR111" s="537">
        <v>4</v>
      </c>
      <c r="AS111" s="202">
        <f t="shared" si="52"/>
        <v>63.572348647488198</v>
      </c>
      <c r="AT111" s="197">
        <f t="shared" si="73"/>
        <v>0</v>
      </c>
      <c r="AU111" s="199">
        <f t="shared" si="74"/>
        <v>0</v>
      </c>
      <c r="AV111" s="110"/>
      <c r="AW111" s="138" t="s">
        <v>202</v>
      </c>
      <c r="AX111" s="999" t="s">
        <v>198</v>
      </c>
      <c r="AY111" s="556">
        <v>0</v>
      </c>
      <c r="AZ111" s="41"/>
      <c r="BA111" s="41"/>
      <c r="BB111" s="35"/>
      <c r="BC111" s="35">
        <f t="shared" si="75"/>
        <v>0</v>
      </c>
      <c r="BD111" s="35" t="str">
        <f t="shared" si="63"/>
        <v/>
      </c>
      <c r="BE111" s="45">
        <f t="shared" si="49"/>
        <v>0</v>
      </c>
      <c r="BF111" s="971"/>
      <c r="BG111" s="236"/>
      <c r="BH111" s="12"/>
      <c r="BI111" s="12"/>
      <c r="BJ111" s="12"/>
      <c r="BK111" s="12"/>
      <c r="BL111" s="12"/>
      <c r="BM111" s="980"/>
      <c r="BN111" s="367"/>
      <c r="BO111" s="981"/>
      <c r="BP111" s="12"/>
      <c r="BQ111" s="12"/>
      <c r="BR111" s="12"/>
      <c r="BS111" s="973"/>
      <c r="BT111" s="12"/>
      <c r="BU111" s="12"/>
      <c r="BV111" s="12"/>
      <c r="BW111" s="982" t="s">
        <v>392</v>
      </c>
      <c r="BX111" s="983">
        <f t="shared" si="50"/>
        <v>0</v>
      </c>
      <c r="BY111" s="12" t="e">
        <f>VLOOKUP(B111,#REF!,13,0)</f>
        <v>#REF!</v>
      </c>
      <c r="BZ111" s="1056">
        <v>159.9</v>
      </c>
      <c r="CA111" s="1181" t="e">
        <f>VLOOKUP(B111,Pedido!$B$16:$L$292,22,0)</f>
        <v>#N/A</v>
      </c>
    </row>
    <row r="112" spans="1:79" ht="27.75" customHeight="1">
      <c r="A112" s="1872"/>
      <c r="B112" s="600" t="s">
        <v>446</v>
      </c>
      <c r="C112" s="601" t="s">
        <v>234</v>
      </c>
      <c r="D112" s="588" t="s">
        <v>234</v>
      </c>
      <c r="E112" s="589" t="s">
        <v>447</v>
      </c>
      <c r="F112" s="590" t="s">
        <v>61</v>
      </c>
      <c r="G112" s="591">
        <v>600</v>
      </c>
      <c r="H112" s="1161">
        <v>84.84</v>
      </c>
      <c r="I112" s="592">
        <v>314.89999999999998</v>
      </c>
      <c r="J112" s="593" t="str">
        <f t="shared" si="79"/>
        <v/>
      </c>
      <c r="K112" s="594" t="str">
        <f t="shared" si="40"/>
        <v/>
      </c>
      <c r="L112" s="595">
        <v>232.9</v>
      </c>
      <c r="M112" s="480">
        <f t="shared" si="76"/>
        <v>205.9</v>
      </c>
      <c r="N112" s="480">
        <f t="shared" si="77"/>
        <v>205.9</v>
      </c>
      <c r="O112" s="480">
        <f t="shared" si="78"/>
        <v>205.9</v>
      </c>
      <c r="P112" s="278">
        <v>205.9</v>
      </c>
      <c r="Q112" s="278">
        <v>189.9</v>
      </c>
      <c r="R112" s="278">
        <v>186.9</v>
      </c>
      <c r="S112" s="321">
        <v>179.9</v>
      </c>
      <c r="T112" s="274" t="str">
        <f t="shared" si="64"/>
        <v/>
      </c>
      <c r="U112" s="152" t="str">
        <f t="shared" si="65"/>
        <v/>
      </c>
      <c r="V112" s="695"/>
      <c r="W112" s="696"/>
      <c r="X112" s="171"/>
      <c r="Y112" s="103" t="str">
        <f t="shared" si="60"/>
        <v/>
      </c>
      <c r="Z112" s="225">
        <f t="shared" si="66"/>
        <v>0</v>
      </c>
      <c r="AA112" s="275">
        <f t="shared" si="67"/>
        <v>0</v>
      </c>
      <c r="AB112" s="275">
        <f t="shared" si="61"/>
        <v>0</v>
      </c>
      <c r="AC112" s="275">
        <f t="shared" si="62"/>
        <v>0</v>
      </c>
      <c r="AD112" s="275">
        <f t="shared" si="51"/>
        <v>0</v>
      </c>
      <c r="AE112" s="275">
        <f t="shared" si="41"/>
        <v>0</v>
      </c>
      <c r="AF112" s="275">
        <f t="shared" si="42"/>
        <v>0</v>
      </c>
      <c r="AG112" s="290">
        <f t="shared" si="43"/>
        <v>0</v>
      </c>
      <c r="AH112" s="275">
        <f t="shared" si="44"/>
        <v>0</v>
      </c>
      <c r="AI112" s="275">
        <f t="shared" si="45"/>
        <v>0</v>
      </c>
      <c r="AJ112" s="275">
        <f t="shared" si="68"/>
        <v>0</v>
      </c>
      <c r="AK112" s="275">
        <f t="shared" si="69"/>
        <v>0</v>
      </c>
      <c r="AL112" s="275">
        <f t="shared" si="70"/>
        <v>0</v>
      </c>
      <c r="AM112" s="275">
        <f t="shared" si="46"/>
        <v>0</v>
      </c>
      <c r="AN112" s="275">
        <f t="shared" si="71"/>
        <v>0</v>
      </c>
      <c r="AO112" s="275">
        <f t="shared" si="72"/>
        <v>0</v>
      </c>
      <c r="AP112" s="276">
        <f t="shared" si="47"/>
        <v>0.63572348647488197</v>
      </c>
      <c r="AQ112" s="291">
        <f t="shared" si="48"/>
        <v>113.12</v>
      </c>
      <c r="AR112" s="542">
        <v>4</v>
      </c>
      <c r="AS112" s="596">
        <f t="shared" si="52"/>
        <v>63.572348647488198</v>
      </c>
      <c r="AT112" s="318">
        <f t="shared" si="73"/>
        <v>0</v>
      </c>
      <c r="AU112" s="597">
        <f t="shared" si="74"/>
        <v>0</v>
      </c>
      <c r="AV112" s="277"/>
      <c r="AW112" s="276" t="s">
        <v>202</v>
      </c>
      <c r="AX112" s="1000" t="s">
        <v>198</v>
      </c>
      <c r="AY112" s="556">
        <v>0</v>
      </c>
      <c r="AZ112" s="35"/>
      <c r="BA112" s="35"/>
      <c r="BB112" s="35"/>
      <c r="BC112" s="35">
        <f t="shared" si="75"/>
        <v>0</v>
      </c>
      <c r="BD112" s="35" t="str">
        <f t="shared" si="63"/>
        <v/>
      </c>
      <c r="BE112" s="45">
        <f t="shared" si="49"/>
        <v>0</v>
      </c>
      <c r="BF112" s="971"/>
      <c r="BG112" s="236"/>
      <c r="BH112" s="12"/>
      <c r="BI112" s="12"/>
      <c r="BJ112" s="12"/>
      <c r="BK112" s="12"/>
      <c r="BL112" s="12"/>
      <c r="BM112" s="980"/>
      <c r="BN112" s="367"/>
      <c r="BO112" s="981"/>
      <c r="BP112" s="12"/>
      <c r="BQ112" s="12"/>
      <c r="BR112" s="12"/>
      <c r="BS112" s="973"/>
      <c r="BT112" s="12"/>
      <c r="BU112" s="973"/>
      <c r="BV112" s="973"/>
      <c r="BW112" s="982" t="s">
        <v>392</v>
      </c>
      <c r="BX112" s="983">
        <f t="shared" si="50"/>
        <v>0</v>
      </c>
      <c r="BY112" s="12" t="e">
        <f>VLOOKUP(B112,#REF!,13,0)</f>
        <v>#REF!</v>
      </c>
      <c r="BZ112" s="1062">
        <v>159.9</v>
      </c>
      <c r="CA112" s="1181" t="e">
        <f>VLOOKUP(B112,Pedido!$B$16:$L$292,22,0)</f>
        <v>#N/A</v>
      </c>
    </row>
    <row r="113" spans="1:79" ht="27.75" customHeight="1" thickBot="1">
      <c r="A113" s="1872"/>
      <c r="B113" s="140" t="s">
        <v>403</v>
      </c>
      <c r="C113" s="140" t="s">
        <v>415</v>
      </c>
      <c r="D113" s="369" t="s">
        <v>401</v>
      </c>
      <c r="E113" s="370" t="s">
        <v>406</v>
      </c>
      <c r="F113" s="371" t="s">
        <v>61</v>
      </c>
      <c r="G113" s="373">
        <v>700</v>
      </c>
      <c r="H113" s="1153">
        <v>36.479999999999997</v>
      </c>
      <c r="I113" s="129">
        <v>159.9</v>
      </c>
      <c r="J113" s="130" t="str">
        <f t="shared" si="79"/>
        <v/>
      </c>
      <c r="K113" s="131" t="str">
        <f t="shared" si="40"/>
        <v/>
      </c>
      <c r="L113" s="241">
        <v>116.9</v>
      </c>
      <c r="M113" s="473">
        <f t="shared" si="76"/>
        <v>102.9</v>
      </c>
      <c r="N113" s="473">
        <f t="shared" si="77"/>
        <v>102.9</v>
      </c>
      <c r="O113" s="473">
        <f t="shared" si="78"/>
        <v>102.9</v>
      </c>
      <c r="P113" s="603">
        <v>102.9</v>
      </c>
      <c r="Q113" s="603">
        <v>94.9</v>
      </c>
      <c r="R113" s="603">
        <v>92.9</v>
      </c>
      <c r="S113" s="604">
        <v>89.9</v>
      </c>
      <c r="T113" s="134" t="str">
        <f t="shared" si="64"/>
        <v/>
      </c>
      <c r="U113" s="135" t="str">
        <f t="shared" si="65"/>
        <v/>
      </c>
      <c r="V113" s="575"/>
      <c r="W113" s="694"/>
      <c r="X113" s="170"/>
      <c r="Y113" s="122" t="str">
        <f t="shared" si="60"/>
        <v/>
      </c>
      <c r="Z113" s="224">
        <f t="shared" si="66"/>
        <v>0</v>
      </c>
      <c r="AA113" s="136">
        <f t="shared" si="67"/>
        <v>0</v>
      </c>
      <c r="AB113" s="136">
        <f t="shared" si="61"/>
        <v>0</v>
      </c>
      <c r="AC113" s="136">
        <f t="shared" si="62"/>
        <v>0</v>
      </c>
      <c r="AD113" s="136">
        <f t="shared" si="51"/>
        <v>0</v>
      </c>
      <c r="AE113" s="136">
        <f t="shared" si="41"/>
        <v>0</v>
      </c>
      <c r="AF113" s="136">
        <f t="shared" si="42"/>
        <v>0</v>
      </c>
      <c r="AG113" s="137">
        <f t="shared" si="43"/>
        <v>0</v>
      </c>
      <c r="AH113" s="136">
        <f t="shared" si="44"/>
        <v>0</v>
      </c>
      <c r="AI113" s="136">
        <f t="shared" si="45"/>
        <v>0</v>
      </c>
      <c r="AJ113" s="136">
        <f t="shared" si="68"/>
        <v>0</v>
      </c>
      <c r="AK113" s="136">
        <f t="shared" si="69"/>
        <v>0</v>
      </c>
      <c r="AL113" s="136">
        <f t="shared" si="70"/>
        <v>0</v>
      </c>
      <c r="AM113" s="136">
        <f t="shared" si="46"/>
        <v>0</v>
      </c>
      <c r="AN113" s="136">
        <f t="shared" si="71"/>
        <v>0</v>
      </c>
      <c r="AO113" s="136">
        <f t="shared" si="72"/>
        <v>0</v>
      </c>
      <c r="AP113" s="138">
        <f t="shared" si="47"/>
        <v>0.68793840889649283</v>
      </c>
      <c r="AQ113" s="139">
        <f t="shared" si="48"/>
        <v>48.639999999999993</v>
      </c>
      <c r="AR113" s="537">
        <v>4</v>
      </c>
      <c r="AS113" s="519">
        <f t="shared" si="52"/>
        <v>68.793840889649289</v>
      </c>
      <c r="AT113" s="106">
        <f t="shared" si="73"/>
        <v>0</v>
      </c>
      <c r="AU113" s="109">
        <f t="shared" si="74"/>
        <v>0</v>
      </c>
      <c r="AV113" s="110"/>
      <c r="AW113" s="138" t="s">
        <v>204</v>
      </c>
      <c r="AX113" s="999" t="s">
        <v>198</v>
      </c>
      <c r="AY113" s="556">
        <v>0</v>
      </c>
      <c r="AZ113" s="35"/>
      <c r="BA113" s="35"/>
      <c r="BB113" s="35">
        <f t="shared" ref="BB113:BB118" si="80">IF($F$14="NOVO/REATIVAÇÃO",5*W113*1.4,5*W113)</f>
        <v>0</v>
      </c>
      <c r="BC113" s="35">
        <f t="shared" si="75"/>
        <v>0</v>
      </c>
      <c r="BD113" s="35" t="str">
        <f t="shared" si="63"/>
        <v/>
      </c>
      <c r="BE113" s="45">
        <f t="shared" si="49"/>
        <v>0</v>
      </c>
      <c r="BF113" s="971"/>
      <c r="BG113" s="236"/>
      <c r="BH113" s="12"/>
      <c r="BI113" s="12"/>
      <c r="BJ113" s="12"/>
      <c r="BK113" s="12"/>
      <c r="BL113" s="12"/>
      <c r="BM113" s="980"/>
      <c r="BN113" s="367"/>
      <c r="BO113" s="981"/>
      <c r="BP113" s="12"/>
      <c r="BQ113" s="12"/>
      <c r="BR113" s="12"/>
      <c r="BS113" s="973"/>
      <c r="BT113" s="12"/>
      <c r="BU113" s="12"/>
      <c r="BV113" s="12"/>
      <c r="BW113" s="982" t="s">
        <v>392</v>
      </c>
      <c r="BX113" s="983">
        <f t="shared" si="50"/>
        <v>0</v>
      </c>
      <c r="BY113" s="12" t="e">
        <f>VLOOKUP(B113,#REF!,13,0)</f>
        <v>#REF!</v>
      </c>
      <c r="BZ113" s="1056">
        <v>75.900000000000006</v>
      </c>
      <c r="CA113" s="1181" t="e">
        <f>VLOOKUP(B113,Pedido!$B$16:$L$292,22,0)</f>
        <v>#N/A</v>
      </c>
    </row>
    <row r="114" spans="1:79" ht="27.75" customHeight="1" thickBot="1">
      <c r="A114" s="1872"/>
      <c r="B114" s="140" t="s">
        <v>404</v>
      </c>
      <c r="C114" s="140" t="s">
        <v>415</v>
      </c>
      <c r="D114" s="369" t="s">
        <v>401</v>
      </c>
      <c r="E114" s="370" t="s">
        <v>407</v>
      </c>
      <c r="F114" s="371" t="s">
        <v>61</v>
      </c>
      <c r="G114" s="373">
        <v>700</v>
      </c>
      <c r="H114" s="1153">
        <v>36.479999999999997</v>
      </c>
      <c r="I114" s="129">
        <v>159.9</v>
      </c>
      <c r="J114" s="130" t="str">
        <f t="shared" si="79"/>
        <v/>
      </c>
      <c r="K114" s="131" t="str">
        <f t="shared" si="40"/>
        <v/>
      </c>
      <c r="L114" s="241">
        <v>116.9</v>
      </c>
      <c r="M114" s="473">
        <f t="shared" si="76"/>
        <v>102.9</v>
      </c>
      <c r="N114" s="473">
        <f t="shared" si="77"/>
        <v>102.9</v>
      </c>
      <c r="O114" s="473">
        <f t="shared" si="78"/>
        <v>102.9</v>
      </c>
      <c r="P114" s="603">
        <v>102.9</v>
      </c>
      <c r="Q114" s="603">
        <v>94.9</v>
      </c>
      <c r="R114" s="603">
        <v>92.9</v>
      </c>
      <c r="S114" s="604">
        <v>89.9</v>
      </c>
      <c r="T114" s="134" t="str">
        <f t="shared" si="64"/>
        <v/>
      </c>
      <c r="U114" s="135" t="str">
        <f t="shared" si="65"/>
        <v/>
      </c>
      <c r="V114" s="575"/>
      <c r="W114" s="694"/>
      <c r="X114" s="170"/>
      <c r="Y114" s="103" t="str">
        <f t="shared" si="60"/>
        <v/>
      </c>
      <c r="Z114" s="224">
        <f t="shared" si="66"/>
        <v>0</v>
      </c>
      <c r="AA114" s="136">
        <f t="shared" si="67"/>
        <v>0</v>
      </c>
      <c r="AB114" s="136">
        <f t="shared" si="61"/>
        <v>0</v>
      </c>
      <c r="AC114" s="136">
        <f t="shared" si="62"/>
        <v>0</v>
      </c>
      <c r="AD114" s="136">
        <f t="shared" si="51"/>
        <v>0</v>
      </c>
      <c r="AE114" s="136">
        <f t="shared" si="41"/>
        <v>0</v>
      </c>
      <c r="AF114" s="136">
        <f t="shared" si="42"/>
        <v>0</v>
      </c>
      <c r="AG114" s="137">
        <f t="shared" si="43"/>
        <v>0</v>
      </c>
      <c r="AH114" s="136">
        <f t="shared" si="44"/>
        <v>0</v>
      </c>
      <c r="AI114" s="136">
        <f t="shared" si="45"/>
        <v>0</v>
      </c>
      <c r="AJ114" s="136">
        <f t="shared" si="68"/>
        <v>0</v>
      </c>
      <c r="AK114" s="136">
        <f t="shared" si="69"/>
        <v>0</v>
      </c>
      <c r="AL114" s="136">
        <f t="shared" si="70"/>
        <v>0</v>
      </c>
      <c r="AM114" s="136">
        <f t="shared" si="46"/>
        <v>0</v>
      </c>
      <c r="AN114" s="136">
        <f t="shared" si="71"/>
        <v>0</v>
      </c>
      <c r="AO114" s="136">
        <f t="shared" si="72"/>
        <v>0</v>
      </c>
      <c r="AP114" s="138">
        <f t="shared" si="47"/>
        <v>0.68793840889649283</v>
      </c>
      <c r="AQ114" s="139">
        <f t="shared" si="48"/>
        <v>48.639999999999993</v>
      </c>
      <c r="AR114" s="537">
        <v>4</v>
      </c>
      <c r="AS114" s="202">
        <f t="shared" si="52"/>
        <v>68.793840889649289</v>
      </c>
      <c r="AT114" s="197">
        <f t="shared" si="73"/>
        <v>0</v>
      </c>
      <c r="AU114" s="199">
        <f t="shared" si="74"/>
        <v>0</v>
      </c>
      <c r="AV114" s="110"/>
      <c r="AW114" s="138" t="s">
        <v>204</v>
      </c>
      <c r="AX114" s="999" t="s">
        <v>198</v>
      </c>
      <c r="AY114" s="556">
        <v>0</v>
      </c>
      <c r="AZ114" s="35"/>
      <c r="BA114" s="35"/>
      <c r="BB114" s="35">
        <f t="shared" si="80"/>
        <v>0</v>
      </c>
      <c r="BC114" s="35">
        <f t="shared" si="75"/>
        <v>0</v>
      </c>
      <c r="BD114" s="35" t="str">
        <f t="shared" si="63"/>
        <v/>
      </c>
      <c r="BE114" s="45">
        <f t="shared" si="49"/>
        <v>0</v>
      </c>
      <c r="BF114" s="971"/>
      <c r="BG114" s="236"/>
      <c r="BH114" s="12"/>
      <c r="BI114" s="12"/>
      <c r="BJ114" s="12"/>
      <c r="BK114" s="12"/>
      <c r="BL114" s="12"/>
      <c r="BM114" s="980"/>
      <c r="BN114" s="367"/>
      <c r="BO114" s="12"/>
      <c r="BP114" s="12"/>
      <c r="BQ114" s="12"/>
      <c r="BR114" s="12"/>
      <c r="BS114" s="973"/>
      <c r="BT114" s="12"/>
      <c r="BU114" s="12"/>
      <c r="BV114" s="12"/>
      <c r="BW114" s="982" t="s">
        <v>392</v>
      </c>
      <c r="BX114" s="983">
        <f t="shared" si="50"/>
        <v>0</v>
      </c>
      <c r="BY114" s="12" t="e">
        <f>VLOOKUP(B114,#REF!,13,0)</f>
        <v>#REF!</v>
      </c>
      <c r="BZ114" s="1056">
        <v>75.900000000000006</v>
      </c>
      <c r="CA114" s="1181" t="e">
        <f>VLOOKUP(B114,Pedido!$B$16:$L$292,22,0)</f>
        <v>#N/A</v>
      </c>
    </row>
    <row r="115" spans="1:79" ht="27.75" customHeight="1">
      <c r="A115" s="1872"/>
      <c r="B115" s="140" t="s">
        <v>405</v>
      </c>
      <c r="C115" s="140" t="s">
        <v>415</v>
      </c>
      <c r="D115" s="588" t="s">
        <v>401</v>
      </c>
      <c r="E115" s="589" t="s">
        <v>408</v>
      </c>
      <c r="F115" s="590" t="s">
        <v>61</v>
      </c>
      <c r="G115" s="591">
        <v>700</v>
      </c>
      <c r="H115" s="1160">
        <v>36.479999999999997</v>
      </c>
      <c r="I115" s="592">
        <v>159.9</v>
      </c>
      <c r="J115" s="593" t="str">
        <f t="shared" si="79"/>
        <v/>
      </c>
      <c r="K115" s="594" t="str">
        <f t="shared" si="40"/>
        <v/>
      </c>
      <c r="L115" s="595">
        <v>116.9</v>
      </c>
      <c r="M115" s="480">
        <f t="shared" si="76"/>
        <v>102.9</v>
      </c>
      <c r="N115" s="480">
        <f t="shared" si="77"/>
        <v>102.9</v>
      </c>
      <c r="O115" s="480">
        <f t="shared" si="78"/>
        <v>102.9</v>
      </c>
      <c r="P115" s="605">
        <v>102.9</v>
      </c>
      <c r="Q115" s="605">
        <v>94.9</v>
      </c>
      <c r="R115" s="605">
        <v>92.9</v>
      </c>
      <c r="S115" s="606">
        <v>89.9</v>
      </c>
      <c r="T115" s="274" t="str">
        <f t="shared" si="64"/>
        <v/>
      </c>
      <c r="U115" s="152" t="str">
        <f t="shared" si="65"/>
        <v/>
      </c>
      <c r="V115" s="695"/>
      <c r="W115" s="696"/>
      <c r="X115" s="171"/>
      <c r="Y115" s="103" t="str">
        <f t="shared" si="60"/>
        <v/>
      </c>
      <c r="Z115" s="225">
        <f t="shared" si="66"/>
        <v>0</v>
      </c>
      <c r="AA115" s="275">
        <f t="shared" si="67"/>
        <v>0</v>
      </c>
      <c r="AB115" s="275">
        <f t="shared" si="61"/>
        <v>0</v>
      </c>
      <c r="AC115" s="275">
        <f t="shared" si="62"/>
        <v>0</v>
      </c>
      <c r="AD115" s="275">
        <f t="shared" si="51"/>
        <v>0</v>
      </c>
      <c r="AE115" s="275">
        <f t="shared" si="41"/>
        <v>0</v>
      </c>
      <c r="AF115" s="275">
        <f t="shared" si="42"/>
        <v>0</v>
      </c>
      <c r="AG115" s="290">
        <f t="shared" si="43"/>
        <v>0</v>
      </c>
      <c r="AH115" s="275">
        <f t="shared" si="44"/>
        <v>0</v>
      </c>
      <c r="AI115" s="275">
        <f t="shared" si="45"/>
        <v>0</v>
      </c>
      <c r="AJ115" s="275">
        <f t="shared" si="68"/>
        <v>0</v>
      </c>
      <c r="AK115" s="275">
        <f t="shared" si="69"/>
        <v>0</v>
      </c>
      <c r="AL115" s="275">
        <f t="shared" si="70"/>
        <v>0</v>
      </c>
      <c r="AM115" s="275">
        <f t="shared" si="46"/>
        <v>0</v>
      </c>
      <c r="AN115" s="275">
        <f t="shared" si="71"/>
        <v>0</v>
      </c>
      <c r="AO115" s="275">
        <f t="shared" si="72"/>
        <v>0</v>
      </c>
      <c r="AP115" s="276">
        <f t="shared" si="47"/>
        <v>0.68793840889649283</v>
      </c>
      <c r="AQ115" s="291">
        <f t="shared" si="48"/>
        <v>48.639999999999993</v>
      </c>
      <c r="AR115" s="542">
        <v>4</v>
      </c>
      <c r="AS115" s="596">
        <f t="shared" si="52"/>
        <v>68.793840889649289</v>
      </c>
      <c r="AT115" s="318">
        <f t="shared" si="73"/>
        <v>0</v>
      </c>
      <c r="AU115" s="597">
        <f t="shared" si="74"/>
        <v>0</v>
      </c>
      <c r="AV115" s="277"/>
      <c r="AW115" s="276" t="s">
        <v>204</v>
      </c>
      <c r="AX115" s="1000" t="s">
        <v>198</v>
      </c>
      <c r="AY115" s="556">
        <v>0</v>
      </c>
      <c r="AZ115" s="35"/>
      <c r="BA115" s="35"/>
      <c r="BB115" s="35">
        <f t="shared" si="80"/>
        <v>0</v>
      </c>
      <c r="BC115" s="35">
        <f t="shared" si="75"/>
        <v>0</v>
      </c>
      <c r="BD115" s="35" t="str">
        <f t="shared" si="63"/>
        <v/>
      </c>
      <c r="BE115" s="45">
        <f t="shared" si="49"/>
        <v>0</v>
      </c>
      <c r="BF115" s="971"/>
      <c r="BG115" s="236"/>
      <c r="BH115" s="12"/>
      <c r="BI115" s="12"/>
      <c r="BJ115" s="12"/>
      <c r="BK115" s="12"/>
      <c r="BL115" s="12"/>
      <c r="BM115" s="980"/>
      <c r="BN115" s="367"/>
      <c r="BO115" s="981"/>
      <c r="BP115" s="12"/>
      <c r="BQ115" s="12"/>
      <c r="BR115" s="12"/>
      <c r="BS115" s="973"/>
      <c r="BT115" s="12"/>
      <c r="BU115" s="12"/>
      <c r="BV115" s="12"/>
      <c r="BW115" s="982" t="s">
        <v>392</v>
      </c>
      <c r="BX115" s="983">
        <f t="shared" si="50"/>
        <v>0</v>
      </c>
      <c r="BY115" s="12" t="e">
        <f>VLOOKUP(B115,#REF!,13,0)</f>
        <v>#REF!</v>
      </c>
      <c r="BZ115" s="1062">
        <v>75.900000000000006</v>
      </c>
      <c r="CA115" s="1181" t="e">
        <f>VLOOKUP(B115,Pedido!$B$16:$L$292,22,0)</f>
        <v>#N/A</v>
      </c>
    </row>
    <row r="116" spans="1:79" ht="27.75" customHeight="1" thickBot="1">
      <c r="A116" s="1872"/>
      <c r="B116" s="140" t="s">
        <v>409</v>
      </c>
      <c r="C116" s="140" t="s">
        <v>416</v>
      </c>
      <c r="D116" s="369" t="s">
        <v>402</v>
      </c>
      <c r="E116" s="370" t="s">
        <v>412</v>
      </c>
      <c r="F116" s="371" t="s">
        <v>61</v>
      </c>
      <c r="G116" s="373" t="s">
        <v>414</v>
      </c>
      <c r="H116" s="1153">
        <v>47.01</v>
      </c>
      <c r="I116" s="129">
        <v>179.9</v>
      </c>
      <c r="J116" s="130" t="str">
        <f t="shared" si="79"/>
        <v/>
      </c>
      <c r="K116" s="131" t="str">
        <f t="shared" si="40"/>
        <v/>
      </c>
      <c r="L116" s="241">
        <v>129.9</v>
      </c>
      <c r="M116" s="473">
        <f t="shared" si="76"/>
        <v>114.9</v>
      </c>
      <c r="N116" s="473">
        <f t="shared" si="77"/>
        <v>114.9</v>
      </c>
      <c r="O116" s="473">
        <f t="shared" si="78"/>
        <v>114.9</v>
      </c>
      <c r="P116" s="603">
        <v>114.9</v>
      </c>
      <c r="Q116" s="603">
        <v>105.9</v>
      </c>
      <c r="R116" s="603">
        <v>103.9</v>
      </c>
      <c r="S116" s="604">
        <v>99.9</v>
      </c>
      <c r="T116" s="134" t="str">
        <f t="shared" si="64"/>
        <v/>
      </c>
      <c r="U116" s="135" t="str">
        <f t="shared" si="65"/>
        <v/>
      </c>
      <c r="V116" s="575"/>
      <c r="W116" s="694"/>
      <c r="X116" s="170"/>
      <c r="Y116" s="122" t="str">
        <f t="shared" si="60"/>
        <v/>
      </c>
      <c r="Z116" s="224">
        <f t="shared" si="66"/>
        <v>0</v>
      </c>
      <c r="AA116" s="136">
        <f t="shared" si="67"/>
        <v>0</v>
      </c>
      <c r="AB116" s="136">
        <f t="shared" si="61"/>
        <v>0</v>
      </c>
      <c r="AC116" s="136">
        <f t="shared" si="62"/>
        <v>0</v>
      </c>
      <c r="AD116" s="136">
        <f t="shared" si="51"/>
        <v>0</v>
      </c>
      <c r="AE116" s="136">
        <f t="shared" si="41"/>
        <v>0</v>
      </c>
      <c r="AF116" s="136">
        <f t="shared" si="42"/>
        <v>0</v>
      </c>
      <c r="AG116" s="137">
        <f t="shared" si="43"/>
        <v>0</v>
      </c>
      <c r="AH116" s="136">
        <f t="shared" si="44"/>
        <v>0</v>
      </c>
      <c r="AI116" s="136">
        <f t="shared" si="45"/>
        <v>0</v>
      </c>
      <c r="AJ116" s="136">
        <f t="shared" si="68"/>
        <v>0</v>
      </c>
      <c r="AK116" s="136">
        <f t="shared" si="69"/>
        <v>0</v>
      </c>
      <c r="AL116" s="136">
        <f t="shared" si="70"/>
        <v>0</v>
      </c>
      <c r="AM116" s="136">
        <f t="shared" si="46"/>
        <v>0</v>
      </c>
      <c r="AN116" s="136">
        <f t="shared" si="71"/>
        <v>0</v>
      </c>
      <c r="AO116" s="136">
        <f t="shared" si="72"/>
        <v>0</v>
      </c>
      <c r="AP116" s="138">
        <f t="shared" si="47"/>
        <v>0.63810623556581991</v>
      </c>
      <c r="AQ116" s="139">
        <f t="shared" si="48"/>
        <v>62.68</v>
      </c>
      <c r="AR116" s="537">
        <v>6</v>
      </c>
      <c r="AS116" s="519">
        <f t="shared" si="52"/>
        <v>63.810623556581994</v>
      </c>
      <c r="AT116" s="106">
        <f t="shared" si="73"/>
        <v>0</v>
      </c>
      <c r="AU116" s="109">
        <f t="shared" si="74"/>
        <v>0</v>
      </c>
      <c r="AV116" s="110"/>
      <c r="AW116" s="138" t="s">
        <v>202</v>
      </c>
      <c r="AX116" s="999" t="s">
        <v>198</v>
      </c>
      <c r="AY116" s="556">
        <v>0</v>
      </c>
      <c r="AZ116" s="35"/>
      <c r="BA116" s="35"/>
      <c r="BB116" s="35">
        <f t="shared" si="80"/>
        <v>0</v>
      </c>
      <c r="BC116" s="35">
        <f t="shared" si="75"/>
        <v>0</v>
      </c>
      <c r="BD116" s="35" t="str">
        <f t="shared" si="63"/>
        <v/>
      </c>
      <c r="BE116" s="45">
        <f t="shared" si="49"/>
        <v>0</v>
      </c>
      <c r="BF116" s="971"/>
      <c r="BG116" s="236"/>
      <c r="BH116" s="12"/>
      <c r="BI116" s="12"/>
      <c r="BJ116" s="12"/>
      <c r="BK116" s="12"/>
      <c r="BL116" s="12"/>
      <c r="BM116" s="980"/>
      <c r="BN116" s="367"/>
      <c r="BO116" s="12"/>
      <c r="BP116" s="12"/>
      <c r="BQ116" s="12"/>
      <c r="BR116" s="12"/>
      <c r="BS116" s="973"/>
      <c r="BT116" s="12"/>
      <c r="BU116" s="12"/>
      <c r="BV116" s="12"/>
      <c r="BW116" s="982" t="s">
        <v>392</v>
      </c>
      <c r="BX116" s="983">
        <f t="shared" si="50"/>
        <v>0</v>
      </c>
      <c r="BY116" s="12" t="e">
        <f>VLOOKUP(B116,#REF!,13,0)</f>
        <v>#REF!</v>
      </c>
      <c r="BZ116" s="1056">
        <v>84.9</v>
      </c>
      <c r="CA116" s="1181" t="e">
        <f>VLOOKUP(B116,Pedido!$B$16:$L$292,22,0)</f>
        <v>#N/A</v>
      </c>
    </row>
    <row r="117" spans="1:79" ht="27.75" customHeight="1" thickBot="1">
      <c r="A117" s="1872"/>
      <c r="B117" s="140" t="s">
        <v>410</v>
      </c>
      <c r="C117" s="140" t="s">
        <v>416</v>
      </c>
      <c r="D117" s="369" t="s">
        <v>402</v>
      </c>
      <c r="E117" s="370" t="s">
        <v>67</v>
      </c>
      <c r="F117" s="371" t="s">
        <v>61</v>
      </c>
      <c r="G117" s="373" t="s">
        <v>414</v>
      </c>
      <c r="H117" s="1152">
        <v>47.01</v>
      </c>
      <c r="I117" s="129">
        <v>179.9</v>
      </c>
      <c r="J117" s="130" t="str">
        <f t="shared" si="79"/>
        <v/>
      </c>
      <c r="K117" s="131" t="str">
        <f t="shared" si="40"/>
        <v/>
      </c>
      <c r="L117" s="241">
        <v>129.9</v>
      </c>
      <c r="M117" s="473">
        <f t="shared" si="76"/>
        <v>114.9</v>
      </c>
      <c r="N117" s="473">
        <f t="shared" si="77"/>
        <v>114.9</v>
      </c>
      <c r="O117" s="473">
        <f t="shared" si="78"/>
        <v>114.9</v>
      </c>
      <c r="P117" s="603">
        <v>114.9</v>
      </c>
      <c r="Q117" s="603">
        <v>105.9</v>
      </c>
      <c r="R117" s="603">
        <v>103.9</v>
      </c>
      <c r="S117" s="604">
        <v>99.9</v>
      </c>
      <c r="T117" s="134" t="str">
        <f t="shared" si="64"/>
        <v/>
      </c>
      <c r="U117" s="135" t="str">
        <f t="shared" si="65"/>
        <v/>
      </c>
      <c r="V117" s="575"/>
      <c r="W117" s="694"/>
      <c r="X117" s="170"/>
      <c r="Y117" s="122" t="str">
        <f t="shared" si="60"/>
        <v/>
      </c>
      <c r="Z117" s="224">
        <f t="shared" si="66"/>
        <v>0</v>
      </c>
      <c r="AA117" s="136">
        <f t="shared" si="67"/>
        <v>0</v>
      </c>
      <c r="AB117" s="136">
        <f t="shared" si="61"/>
        <v>0</v>
      </c>
      <c r="AC117" s="136">
        <f t="shared" si="62"/>
        <v>0</v>
      </c>
      <c r="AD117" s="136">
        <f t="shared" si="51"/>
        <v>0</v>
      </c>
      <c r="AE117" s="136">
        <f t="shared" si="41"/>
        <v>0</v>
      </c>
      <c r="AF117" s="136">
        <f t="shared" si="42"/>
        <v>0</v>
      </c>
      <c r="AG117" s="137">
        <f t="shared" si="43"/>
        <v>0</v>
      </c>
      <c r="AH117" s="136">
        <f t="shared" si="44"/>
        <v>0</v>
      </c>
      <c r="AI117" s="136">
        <f t="shared" si="45"/>
        <v>0</v>
      </c>
      <c r="AJ117" s="136">
        <f t="shared" si="68"/>
        <v>0</v>
      </c>
      <c r="AK117" s="136">
        <f t="shared" si="69"/>
        <v>0</v>
      </c>
      <c r="AL117" s="136">
        <f t="shared" si="70"/>
        <v>0</v>
      </c>
      <c r="AM117" s="136">
        <f t="shared" si="46"/>
        <v>0</v>
      </c>
      <c r="AN117" s="136">
        <f t="shared" si="71"/>
        <v>0</v>
      </c>
      <c r="AO117" s="136">
        <f t="shared" si="72"/>
        <v>0</v>
      </c>
      <c r="AP117" s="138">
        <f t="shared" si="47"/>
        <v>0.63810623556581991</v>
      </c>
      <c r="AQ117" s="139">
        <f t="shared" si="48"/>
        <v>62.68</v>
      </c>
      <c r="AR117" s="537">
        <v>6</v>
      </c>
      <c r="AS117" s="202">
        <f t="shared" si="52"/>
        <v>63.810623556581994</v>
      </c>
      <c r="AT117" s="197">
        <f t="shared" si="73"/>
        <v>0</v>
      </c>
      <c r="AU117" s="199">
        <f t="shared" si="74"/>
        <v>0</v>
      </c>
      <c r="AV117" s="110"/>
      <c r="AW117" s="138" t="s">
        <v>202</v>
      </c>
      <c r="AX117" s="999" t="s">
        <v>198</v>
      </c>
      <c r="AY117" s="556">
        <v>0</v>
      </c>
      <c r="AZ117" s="35"/>
      <c r="BA117" s="35"/>
      <c r="BB117" s="35">
        <f t="shared" si="80"/>
        <v>0</v>
      </c>
      <c r="BC117" s="35">
        <f t="shared" si="75"/>
        <v>0</v>
      </c>
      <c r="BD117" s="35" t="str">
        <f t="shared" si="63"/>
        <v/>
      </c>
      <c r="BE117" s="45">
        <f t="shared" si="49"/>
        <v>0</v>
      </c>
      <c r="BF117" s="971"/>
      <c r="BG117" s="236"/>
      <c r="BH117" s="12"/>
      <c r="BI117" s="12"/>
      <c r="BJ117" s="12"/>
      <c r="BK117" s="12"/>
      <c r="BL117" s="12"/>
      <c r="BM117" s="980"/>
      <c r="BN117" s="367"/>
      <c r="BO117" s="981"/>
      <c r="BP117" s="12"/>
      <c r="BQ117" s="12"/>
      <c r="BR117" s="12"/>
      <c r="BS117" s="973"/>
      <c r="BT117" s="12"/>
      <c r="BU117" s="12"/>
      <c r="BV117" s="12"/>
      <c r="BW117" s="982" t="s">
        <v>392</v>
      </c>
      <c r="BX117" s="983">
        <f t="shared" si="50"/>
        <v>0</v>
      </c>
      <c r="BY117" s="12" t="e">
        <f>VLOOKUP(B117,#REF!,13,0)</f>
        <v>#REF!</v>
      </c>
      <c r="BZ117" s="1056">
        <v>84.9</v>
      </c>
      <c r="CA117" s="1181" t="e">
        <f>VLOOKUP(B117,Pedido!$B$16:$L$292,22,0)</f>
        <v>#N/A</v>
      </c>
    </row>
    <row r="118" spans="1:79" ht="27.75" customHeight="1" thickBot="1">
      <c r="A118" s="1893"/>
      <c r="B118" s="140" t="s">
        <v>411</v>
      </c>
      <c r="C118" s="140" t="s">
        <v>416</v>
      </c>
      <c r="D118" s="369" t="s">
        <v>402</v>
      </c>
      <c r="E118" s="370" t="s">
        <v>413</v>
      </c>
      <c r="F118" s="371" t="s">
        <v>61</v>
      </c>
      <c r="G118" s="373">
        <v>400</v>
      </c>
      <c r="H118" s="1152">
        <v>47.01</v>
      </c>
      <c r="I118" s="129">
        <v>179.9</v>
      </c>
      <c r="J118" s="130" t="str">
        <f t="shared" si="79"/>
        <v/>
      </c>
      <c r="K118" s="131" t="str">
        <f t="shared" si="40"/>
        <v/>
      </c>
      <c r="L118" s="241">
        <v>129.9</v>
      </c>
      <c r="M118" s="473">
        <f t="shared" si="76"/>
        <v>114.9</v>
      </c>
      <c r="N118" s="473">
        <f t="shared" si="77"/>
        <v>114.9</v>
      </c>
      <c r="O118" s="473">
        <f t="shared" si="78"/>
        <v>114.9</v>
      </c>
      <c r="P118" s="603">
        <v>114.9</v>
      </c>
      <c r="Q118" s="603">
        <v>105.9</v>
      </c>
      <c r="R118" s="603">
        <v>103.9</v>
      </c>
      <c r="S118" s="604">
        <v>99.9</v>
      </c>
      <c r="T118" s="134" t="str">
        <f t="shared" si="64"/>
        <v/>
      </c>
      <c r="U118" s="135" t="str">
        <f t="shared" si="65"/>
        <v/>
      </c>
      <c r="V118" s="575"/>
      <c r="W118" s="694"/>
      <c r="X118" s="170"/>
      <c r="Y118" s="122" t="str">
        <f t="shared" si="60"/>
        <v/>
      </c>
      <c r="Z118" s="224">
        <f t="shared" si="66"/>
        <v>0</v>
      </c>
      <c r="AA118" s="136">
        <f t="shared" si="67"/>
        <v>0</v>
      </c>
      <c r="AB118" s="136">
        <f t="shared" si="61"/>
        <v>0</v>
      </c>
      <c r="AC118" s="136">
        <f t="shared" si="62"/>
        <v>0</v>
      </c>
      <c r="AD118" s="136">
        <f t="shared" si="51"/>
        <v>0</v>
      </c>
      <c r="AE118" s="136">
        <f t="shared" si="41"/>
        <v>0</v>
      </c>
      <c r="AF118" s="136">
        <f t="shared" si="42"/>
        <v>0</v>
      </c>
      <c r="AG118" s="137">
        <f t="shared" si="43"/>
        <v>0</v>
      </c>
      <c r="AH118" s="136">
        <f t="shared" si="44"/>
        <v>0</v>
      </c>
      <c r="AI118" s="136">
        <f t="shared" si="45"/>
        <v>0</v>
      </c>
      <c r="AJ118" s="136">
        <f t="shared" si="68"/>
        <v>0</v>
      </c>
      <c r="AK118" s="136">
        <f t="shared" si="69"/>
        <v>0</v>
      </c>
      <c r="AL118" s="136">
        <f t="shared" si="70"/>
        <v>0</v>
      </c>
      <c r="AM118" s="136">
        <f t="shared" si="46"/>
        <v>0</v>
      </c>
      <c r="AN118" s="136">
        <f t="shared" si="71"/>
        <v>0</v>
      </c>
      <c r="AO118" s="136">
        <f t="shared" si="72"/>
        <v>0</v>
      </c>
      <c r="AP118" s="138">
        <f t="shared" si="47"/>
        <v>0.63810623556581991</v>
      </c>
      <c r="AQ118" s="139">
        <f t="shared" si="48"/>
        <v>62.68</v>
      </c>
      <c r="AR118" s="537">
        <v>6</v>
      </c>
      <c r="AS118" s="202">
        <f t="shared" si="52"/>
        <v>63.810623556581994</v>
      </c>
      <c r="AT118" s="197">
        <f t="shared" si="73"/>
        <v>0</v>
      </c>
      <c r="AU118" s="199">
        <f t="shared" si="74"/>
        <v>0</v>
      </c>
      <c r="AV118" s="110"/>
      <c r="AW118" s="138" t="s">
        <v>202</v>
      </c>
      <c r="AX118" s="999" t="s">
        <v>198</v>
      </c>
      <c r="AY118" s="556">
        <v>0</v>
      </c>
      <c r="AZ118" s="35"/>
      <c r="BA118" s="35"/>
      <c r="BB118" s="35">
        <f t="shared" si="80"/>
        <v>0</v>
      </c>
      <c r="BC118" s="35">
        <f t="shared" si="75"/>
        <v>0</v>
      </c>
      <c r="BD118" s="35" t="str">
        <f t="shared" si="63"/>
        <v/>
      </c>
      <c r="BE118" s="45">
        <f t="shared" si="49"/>
        <v>0</v>
      </c>
      <c r="BF118" s="971"/>
      <c r="BG118" s="236"/>
      <c r="BH118" s="12"/>
      <c r="BI118" s="12"/>
      <c r="BJ118" s="12"/>
      <c r="BK118" s="12"/>
      <c r="BL118" s="12"/>
      <c r="BM118" s="980"/>
      <c r="BN118" s="367"/>
      <c r="BO118" s="981"/>
      <c r="BP118" s="12"/>
      <c r="BQ118" s="12"/>
      <c r="BR118" s="12"/>
      <c r="BS118" s="973"/>
      <c r="BT118" s="12"/>
      <c r="BU118" s="12"/>
      <c r="BV118" s="12"/>
      <c r="BW118" s="982" t="s">
        <v>392</v>
      </c>
      <c r="BX118" s="983">
        <f t="shared" si="50"/>
        <v>0</v>
      </c>
      <c r="BY118" s="12" t="e">
        <f>VLOOKUP(B118,#REF!,13,0)</f>
        <v>#REF!</v>
      </c>
      <c r="BZ118" s="1056">
        <v>84.9</v>
      </c>
      <c r="CA118" s="1181" t="e">
        <f>VLOOKUP(B118,Pedido!$B$16:$L$292,22,0)</f>
        <v>#N/A</v>
      </c>
    </row>
    <row r="119" spans="1:79" ht="67.5" customHeight="1" thickBot="1">
      <c r="A119" s="1872"/>
      <c r="B119" s="186" t="s">
        <v>87</v>
      </c>
      <c r="C119" s="186" t="str">
        <f>LEFT(B119,6)</f>
        <v>PCPBNC</v>
      </c>
      <c r="D119" s="391" t="s">
        <v>88</v>
      </c>
      <c r="E119" s="392" t="s">
        <v>80</v>
      </c>
      <c r="F119" s="393" t="s">
        <v>61</v>
      </c>
      <c r="G119" s="394">
        <v>60</v>
      </c>
      <c r="H119" s="1150">
        <v>10.68093812949143</v>
      </c>
      <c r="I119" s="187">
        <v>84.9</v>
      </c>
      <c r="J119" s="188" t="str">
        <f t="shared" si="79"/>
        <v/>
      </c>
      <c r="K119" s="189" t="str">
        <f t="shared" si="40"/>
        <v/>
      </c>
      <c r="L119" s="237">
        <v>58.9</v>
      </c>
      <c r="M119" s="470">
        <f t="shared" si="76"/>
        <v>51.9</v>
      </c>
      <c r="N119" s="470">
        <f t="shared" si="77"/>
        <v>51.9</v>
      </c>
      <c r="O119" s="470">
        <f t="shared" si="78"/>
        <v>51.9</v>
      </c>
      <c r="P119" s="190">
        <v>51.9</v>
      </c>
      <c r="Q119" s="190">
        <v>47.9</v>
      </c>
      <c r="R119" s="190">
        <v>46.9</v>
      </c>
      <c r="S119" s="191">
        <v>44.9</v>
      </c>
      <c r="T119" s="192" t="str">
        <f t="shared" si="64"/>
        <v/>
      </c>
      <c r="U119" s="193" t="str">
        <f t="shared" si="65"/>
        <v/>
      </c>
      <c r="V119" s="1104"/>
      <c r="W119" s="1105"/>
      <c r="X119" s="1106"/>
      <c r="Y119" s="194" t="str">
        <f t="shared" si="60"/>
        <v/>
      </c>
      <c r="Z119" s="216">
        <f t="shared" si="66"/>
        <v>0</v>
      </c>
      <c r="AA119" s="195">
        <f t="shared" si="67"/>
        <v>0</v>
      </c>
      <c r="AB119" s="195">
        <f t="shared" si="61"/>
        <v>0</v>
      </c>
      <c r="AC119" s="195">
        <f t="shared" si="62"/>
        <v>0</v>
      </c>
      <c r="AD119" s="195">
        <f t="shared" si="51"/>
        <v>0</v>
      </c>
      <c r="AE119" s="195">
        <f t="shared" si="41"/>
        <v>0</v>
      </c>
      <c r="AF119" s="195">
        <f t="shared" si="42"/>
        <v>0</v>
      </c>
      <c r="AG119" s="196">
        <f t="shared" si="43"/>
        <v>0</v>
      </c>
      <c r="AH119" s="195">
        <f t="shared" si="44"/>
        <v>0</v>
      </c>
      <c r="AI119" s="195">
        <f t="shared" si="45"/>
        <v>0</v>
      </c>
      <c r="AJ119" s="195">
        <f t="shared" si="68"/>
        <v>0</v>
      </c>
      <c r="AK119" s="195">
        <f t="shared" si="69"/>
        <v>0</v>
      </c>
      <c r="AL119" s="195">
        <f t="shared" si="70"/>
        <v>0</v>
      </c>
      <c r="AM119" s="195">
        <f t="shared" si="46"/>
        <v>0</v>
      </c>
      <c r="AN119" s="195">
        <f t="shared" si="71"/>
        <v>0</v>
      </c>
      <c r="AO119" s="195">
        <f t="shared" si="72"/>
        <v>0</v>
      </c>
      <c r="AP119" s="197">
        <f t="shared" si="47"/>
        <v>0.81865979406635936</v>
      </c>
      <c r="AQ119" s="198">
        <f t="shared" si="48"/>
        <v>14.241250839321907</v>
      </c>
      <c r="AR119" s="536">
        <v>24</v>
      </c>
      <c r="AS119" s="202">
        <f t="shared" si="52"/>
        <v>81.86597940663593</v>
      </c>
      <c r="AT119" s="197">
        <f t="shared" si="73"/>
        <v>0</v>
      </c>
      <c r="AU119" s="199">
        <f t="shared" si="74"/>
        <v>0</v>
      </c>
      <c r="AV119" s="200"/>
      <c r="AW119" s="197" t="e">
        <f>VLOOKUP(AX119,Sup!#REF!,8,0)</f>
        <v>#REF!</v>
      </c>
      <c r="AX119" s="1002" t="s">
        <v>198</v>
      </c>
      <c r="AY119" s="556">
        <v>0</v>
      </c>
      <c r="AZ119" s="43"/>
      <c r="BA119" s="43"/>
      <c r="BB119" s="43">
        <f>IF($F$14="NOVO/REATIVAÇÃO",W119*7*1.4,W119*7)</f>
        <v>0</v>
      </c>
      <c r="BC119" s="43">
        <f t="shared" si="75"/>
        <v>0</v>
      </c>
      <c r="BD119" s="43" t="str">
        <f t="shared" si="63"/>
        <v/>
      </c>
      <c r="BE119" s="44">
        <f t="shared" si="49"/>
        <v>0</v>
      </c>
      <c r="BF119" s="971"/>
      <c r="BG119" s="236"/>
      <c r="BH119" s="12"/>
      <c r="BI119" s="12"/>
      <c r="BJ119" s="12"/>
      <c r="BK119" s="12"/>
      <c r="BL119" s="12"/>
      <c r="BM119" s="980"/>
      <c r="BN119" s="367"/>
      <c r="BO119" s="981"/>
      <c r="BP119" s="12"/>
      <c r="BQ119" s="12"/>
      <c r="BR119" s="12"/>
      <c r="BS119" s="973"/>
      <c r="BT119" s="12"/>
      <c r="BU119" s="12"/>
      <c r="BV119" s="12"/>
      <c r="BW119" s="982" t="s">
        <v>392</v>
      </c>
      <c r="BX119" s="983">
        <f t="shared" si="50"/>
        <v>0</v>
      </c>
      <c r="BY119" s="12" t="e">
        <f>VLOOKUP(B119,#REF!,13,0)</f>
        <v>#REF!</v>
      </c>
      <c r="BZ119" s="1053">
        <v>31.9</v>
      </c>
      <c r="CA119" s="1181" t="e">
        <f>VLOOKUP(B119,Pedido!$B$16:$L$292,22,0)</f>
        <v>#N/A</v>
      </c>
    </row>
    <row r="120" spans="1:79" ht="67.5" customHeight="1" thickBot="1">
      <c r="A120" s="1872"/>
      <c r="B120" s="141" t="s">
        <v>89</v>
      </c>
      <c r="C120" s="141" t="str">
        <f>LEFT(B120,6)</f>
        <v>PCPBNN</v>
      </c>
      <c r="D120" s="383" t="s">
        <v>90</v>
      </c>
      <c r="E120" s="384" t="s">
        <v>80</v>
      </c>
      <c r="F120" s="385" t="s">
        <v>61</v>
      </c>
      <c r="G120" s="395">
        <v>60</v>
      </c>
      <c r="H120" s="1155">
        <v>7.7464444880795424</v>
      </c>
      <c r="I120" s="142">
        <v>74.900000000000006</v>
      </c>
      <c r="J120" s="143" t="str">
        <f t="shared" si="79"/>
        <v/>
      </c>
      <c r="K120" s="144" t="str">
        <f t="shared" si="40"/>
        <v/>
      </c>
      <c r="L120" s="242">
        <v>51.9</v>
      </c>
      <c r="M120" s="474">
        <f t="shared" si="76"/>
        <v>45.9</v>
      </c>
      <c r="N120" s="474">
        <f t="shared" si="77"/>
        <v>45.9</v>
      </c>
      <c r="O120" s="474">
        <f t="shared" si="78"/>
        <v>45.9</v>
      </c>
      <c r="P120" s="145">
        <v>45.9</v>
      </c>
      <c r="Q120" s="145">
        <v>41.9</v>
      </c>
      <c r="R120" s="145">
        <v>40.9</v>
      </c>
      <c r="S120" s="146">
        <v>38.9</v>
      </c>
      <c r="T120" s="120" t="str">
        <f t="shared" si="64"/>
        <v/>
      </c>
      <c r="U120" s="121" t="str">
        <f t="shared" si="65"/>
        <v/>
      </c>
      <c r="V120" s="490"/>
      <c r="W120" s="1100"/>
      <c r="X120" s="264"/>
      <c r="Y120" s="113" t="str">
        <f t="shared" si="60"/>
        <v/>
      </c>
      <c r="Z120" s="223">
        <f t="shared" si="66"/>
        <v>0</v>
      </c>
      <c r="AA120" s="147">
        <f t="shared" si="67"/>
        <v>0</v>
      </c>
      <c r="AB120" s="147">
        <f t="shared" si="61"/>
        <v>0</v>
      </c>
      <c r="AC120" s="147">
        <f t="shared" si="62"/>
        <v>0</v>
      </c>
      <c r="AD120" s="147">
        <f t="shared" si="51"/>
        <v>0</v>
      </c>
      <c r="AE120" s="147">
        <f t="shared" si="41"/>
        <v>0</v>
      </c>
      <c r="AF120" s="147">
        <f t="shared" si="42"/>
        <v>0</v>
      </c>
      <c r="AG120" s="148">
        <f t="shared" si="43"/>
        <v>0</v>
      </c>
      <c r="AH120" s="147">
        <f t="shared" si="44"/>
        <v>0</v>
      </c>
      <c r="AI120" s="147">
        <f t="shared" si="45"/>
        <v>0</v>
      </c>
      <c r="AJ120" s="147">
        <f t="shared" si="68"/>
        <v>0</v>
      </c>
      <c r="AK120" s="147">
        <f t="shared" si="69"/>
        <v>0</v>
      </c>
      <c r="AL120" s="147">
        <f t="shared" si="70"/>
        <v>0</v>
      </c>
      <c r="AM120" s="147">
        <f t="shared" si="46"/>
        <v>0</v>
      </c>
      <c r="AN120" s="147">
        <f t="shared" si="71"/>
        <v>0</v>
      </c>
      <c r="AO120" s="147">
        <f t="shared" si="72"/>
        <v>0</v>
      </c>
      <c r="AP120" s="149">
        <f t="shared" si="47"/>
        <v>0.85074288076918025</v>
      </c>
      <c r="AQ120" s="150">
        <f t="shared" si="48"/>
        <v>10.328592650772723</v>
      </c>
      <c r="AR120" s="538">
        <v>24</v>
      </c>
      <c r="AS120" s="202">
        <f t="shared" si="52"/>
        <v>85.074288076918023</v>
      </c>
      <c r="AT120" s="197">
        <f t="shared" si="73"/>
        <v>0</v>
      </c>
      <c r="AU120" s="199">
        <f t="shared" si="74"/>
        <v>0</v>
      </c>
      <c r="AV120" s="110"/>
      <c r="AW120" s="149" t="e">
        <f>VLOOKUP(AX120,Sup!#REF!,8,0)</f>
        <v>#REF!</v>
      </c>
      <c r="AX120" s="1002" t="s">
        <v>198</v>
      </c>
      <c r="AY120" s="556">
        <v>0</v>
      </c>
      <c r="AZ120" s="43"/>
      <c r="BA120" s="43"/>
      <c r="BB120" s="43">
        <f>IF($F$14="NOVO/REATIVAÇÃO",W120*7*1.4,W120*7)</f>
        <v>0</v>
      </c>
      <c r="BC120" s="43">
        <f t="shared" si="75"/>
        <v>0</v>
      </c>
      <c r="BD120" s="43" t="str">
        <f t="shared" si="63"/>
        <v/>
      </c>
      <c r="BE120" s="44">
        <f t="shared" si="49"/>
        <v>0</v>
      </c>
      <c r="BF120" s="971"/>
      <c r="BG120" s="236"/>
      <c r="BH120" s="12"/>
      <c r="BI120" s="12"/>
      <c r="BJ120" s="12"/>
      <c r="BK120" s="12"/>
      <c r="BL120" s="12"/>
      <c r="BM120" s="980"/>
      <c r="BN120" s="367"/>
      <c r="BO120" s="981"/>
      <c r="BP120" s="12"/>
      <c r="BQ120" s="12"/>
      <c r="BR120" s="12"/>
      <c r="BS120" s="973"/>
      <c r="BT120" s="12"/>
      <c r="BU120" s="12"/>
      <c r="BV120" s="12"/>
      <c r="BW120" s="982" t="s">
        <v>392</v>
      </c>
      <c r="BX120" s="983">
        <f t="shared" si="50"/>
        <v>0</v>
      </c>
      <c r="BY120" s="12" t="e">
        <f>VLOOKUP(B120,#REF!,13,0)</f>
        <v>#REF!</v>
      </c>
      <c r="BZ120" s="1058">
        <v>26.9</v>
      </c>
      <c r="CA120" s="1181" t="e">
        <f>VLOOKUP(B120,Pedido!$B$16:$L$292,22,0)</f>
        <v>#N/A</v>
      </c>
    </row>
    <row r="121" spans="1:79" ht="67.5" customHeight="1" thickBot="1">
      <c r="A121" s="1893"/>
      <c r="B121" s="201" t="s">
        <v>91</v>
      </c>
      <c r="C121" s="201" t="str">
        <f>LEFT(B121,6)</f>
        <v>PCPBNS</v>
      </c>
      <c r="D121" s="387" t="s">
        <v>92</v>
      </c>
      <c r="E121" s="388" t="s">
        <v>80</v>
      </c>
      <c r="F121" s="389" t="s">
        <v>61</v>
      </c>
      <c r="G121" s="390">
        <v>60</v>
      </c>
      <c r="H121" s="1162">
        <v>3.02</v>
      </c>
      <c r="I121" s="203">
        <v>89.9</v>
      </c>
      <c r="J121" s="204" t="str">
        <f t="shared" si="79"/>
        <v/>
      </c>
      <c r="K121" s="205" t="str">
        <f t="shared" si="40"/>
        <v/>
      </c>
      <c r="L121" s="243">
        <v>65.900000000000006</v>
      </c>
      <c r="M121" s="475">
        <f t="shared" si="76"/>
        <v>57.9</v>
      </c>
      <c r="N121" s="475">
        <f t="shared" si="77"/>
        <v>57.9</v>
      </c>
      <c r="O121" s="475">
        <f t="shared" si="78"/>
        <v>57.9</v>
      </c>
      <c r="P121" s="206">
        <v>57.9</v>
      </c>
      <c r="Q121" s="206">
        <v>52.9</v>
      </c>
      <c r="R121" s="206">
        <v>51.9</v>
      </c>
      <c r="S121" s="207">
        <v>49.9</v>
      </c>
      <c r="T121" s="208" t="str">
        <f t="shared" si="64"/>
        <v/>
      </c>
      <c r="U121" s="209" t="str">
        <f t="shared" si="65"/>
        <v/>
      </c>
      <c r="V121" s="1120"/>
      <c r="W121" s="1121"/>
      <c r="X121" s="1122"/>
      <c r="Y121" s="210" t="str">
        <f t="shared" si="60"/>
        <v/>
      </c>
      <c r="Z121" s="229">
        <f t="shared" si="66"/>
        <v>0</v>
      </c>
      <c r="AA121" s="211">
        <f t="shared" si="67"/>
        <v>0</v>
      </c>
      <c r="AB121" s="211">
        <f t="shared" si="61"/>
        <v>0</v>
      </c>
      <c r="AC121" s="211">
        <f t="shared" si="62"/>
        <v>0</v>
      </c>
      <c r="AD121" s="211">
        <f t="shared" si="51"/>
        <v>0</v>
      </c>
      <c r="AE121" s="211">
        <f t="shared" si="41"/>
        <v>0</v>
      </c>
      <c r="AF121" s="211">
        <f t="shared" si="42"/>
        <v>0</v>
      </c>
      <c r="AG121" s="212">
        <f t="shared" si="43"/>
        <v>0</v>
      </c>
      <c r="AH121" s="211">
        <f t="shared" si="44"/>
        <v>0</v>
      </c>
      <c r="AI121" s="211">
        <f t="shared" si="45"/>
        <v>0</v>
      </c>
      <c r="AJ121" s="211">
        <f t="shared" si="68"/>
        <v>0</v>
      </c>
      <c r="AK121" s="211">
        <f t="shared" si="69"/>
        <v>0</v>
      </c>
      <c r="AL121" s="211">
        <f t="shared" si="70"/>
        <v>0</v>
      </c>
      <c r="AM121" s="211">
        <f t="shared" si="46"/>
        <v>0</v>
      </c>
      <c r="AN121" s="211">
        <f t="shared" si="71"/>
        <v>0</v>
      </c>
      <c r="AO121" s="211">
        <f t="shared" si="72"/>
        <v>0</v>
      </c>
      <c r="AP121" s="213">
        <f t="shared" si="47"/>
        <v>0.95417298937784523</v>
      </c>
      <c r="AQ121" s="214">
        <f t="shared" si="48"/>
        <v>4.0266666666666664</v>
      </c>
      <c r="AR121" s="539">
        <v>24</v>
      </c>
      <c r="AS121" s="202">
        <f t="shared" si="52"/>
        <v>95.417298937784523</v>
      </c>
      <c r="AT121" s="197">
        <f t="shared" si="73"/>
        <v>0</v>
      </c>
      <c r="AU121" s="199">
        <f t="shared" si="74"/>
        <v>0</v>
      </c>
      <c r="AV121" s="185"/>
      <c r="AW121" s="213" t="e">
        <f>VLOOKUP(AX121,Sup!#REF!,8,0)</f>
        <v>#REF!</v>
      </c>
      <c r="AX121" s="1002" t="s">
        <v>198</v>
      </c>
      <c r="AY121" s="556">
        <v>0</v>
      </c>
      <c r="AZ121" s="43"/>
      <c r="BA121" s="43"/>
      <c r="BB121" s="43">
        <f>IF($F$14="NOVO/REATIVAÇÃO",W121*7*1.4,W121*7)</f>
        <v>0</v>
      </c>
      <c r="BC121" s="43">
        <f t="shared" si="75"/>
        <v>0</v>
      </c>
      <c r="BD121" s="43" t="str">
        <f t="shared" si="63"/>
        <v/>
      </c>
      <c r="BE121" s="44">
        <f t="shared" si="49"/>
        <v>0</v>
      </c>
      <c r="BF121" s="971"/>
      <c r="BG121" s="236"/>
      <c r="BH121" s="12"/>
      <c r="BI121" s="12"/>
      <c r="BJ121" s="12"/>
      <c r="BK121" s="12"/>
      <c r="BL121" s="12"/>
      <c r="BM121" s="980"/>
      <c r="BN121" s="367"/>
      <c r="BO121" s="981"/>
      <c r="BP121" s="12"/>
      <c r="BQ121" s="12"/>
      <c r="BR121" s="12"/>
      <c r="BS121" s="973"/>
      <c r="BT121" s="12"/>
      <c r="BU121" s="12"/>
      <c r="BV121" s="12"/>
      <c r="BW121" s="982" t="s">
        <v>392</v>
      </c>
      <c r="BX121" s="983">
        <f t="shared" si="50"/>
        <v>0</v>
      </c>
      <c r="BY121" s="12" t="e">
        <f>VLOOKUP(B121,#REF!,13,0)</f>
        <v>#REF!</v>
      </c>
      <c r="BZ121" s="1063">
        <v>36.9</v>
      </c>
      <c r="CA121" s="1181" t="e">
        <f>VLOOKUP(B121,Pedido!$B$16:$L$292,22,0)</f>
        <v>#N/A</v>
      </c>
    </row>
    <row r="122" spans="1:79" ht="69.75" customHeight="1" thickBot="1">
      <c r="A122" s="936"/>
      <c r="B122" s="140" t="s">
        <v>116</v>
      </c>
      <c r="C122" s="140" t="str">
        <f>LEFT(B122,6)</f>
        <v>PPOPAL</v>
      </c>
      <c r="D122" s="374" t="s">
        <v>117</v>
      </c>
      <c r="E122" s="375" t="s">
        <v>80</v>
      </c>
      <c r="F122" s="376" t="s">
        <v>61</v>
      </c>
      <c r="G122" s="377">
        <v>400</v>
      </c>
      <c r="H122" s="1151">
        <v>13.57</v>
      </c>
      <c r="I122" s="96">
        <v>79.900000000000006</v>
      </c>
      <c r="J122" s="97" t="str">
        <f t="shared" si="79"/>
        <v/>
      </c>
      <c r="K122" s="98" t="str">
        <f t="shared" si="40"/>
        <v/>
      </c>
      <c r="L122" s="238">
        <v>56.9</v>
      </c>
      <c r="M122" s="471">
        <f t="shared" si="76"/>
        <v>49.9</v>
      </c>
      <c r="N122" s="471">
        <f t="shared" si="77"/>
        <v>49.9</v>
      </c>
      <c r="O122" s="471">
        <f t="shared" si="78"/>
        <v>49.9</v>
      </c>
      <c r="P122" s="99">
        <v>49.9</v>
      </c>
      <c r="Q122" s="99">
        <v>45.9</v>
      </c>
      <c r="R122" s="99">
        <v>44.9</v>
      </c>
      <c r="S122" s="100">
        <v>42.9</v>
      </c>
      <c r="T122" s="314" t="str">
        <f t="shared" si="64"/>
        <v/>
      </c>
      <c r="U122" s="315" t="str">
        <f t="shared" si="65"/>
        <v/>
      </c>
      <c r="V122" s="1123"/>
      <c r="W122" s="1105"/>
      <c r="X122" s="1106"/>
      <c r="Y122" s="292" t="str">
        <f t="shared" si="60"/>
        <v/>
      </c>
      <c r="Z122" s="216">
        <f t="shared" si="66"/>
        <v>0</v>
      </c>
      <c r="AA122" s="293">
        <f t="shared" si="67"/>
        <v>0</v>
      </c>
      <c r="AB122" s="293">
        <f t="shared" si="61"/>
        <v>0</v>
      </c>
      <c r="AC122" s="293">
        <f t="shared" si="62"/>
        <v>0</v>
      </c>
      <c r="AD122" s="293">
        <f t="shared" si="51"/>
        <v>0</v>
      </c>
      <c r="AE122" s="293">
        <f t="shared" si="41"/>
        <v>0</v>
      </c>
      <c r="AF122" s="293">
        <f t="shared" si="42"/>
        <v>0</v>
      </c>
      <c r="AG122" s="294">
        <f t="shared" si="43"/>
        <v>0</v>
      </c>
      <c r="AH122" s="293">
        <f t="shared" si="44"/>
        <v>0</v>
      </c>
      <c r="AI122" s="293">
        <f t="shared" si="45"/>
        <v>0</v>
      </c>
      <c r="AJ122" s="293">
        <f t="shared" si="68"/>
        <v>0</v>
      </c>
      <c r="AK122" s="293">
        <f t="shared" si="69"/>
        <v>0</v>
      </c>
      <c r="AL122" s="293">
        <f t="shared" si="70"/>
        <v>0</v>
      </c>
      <c r="AM122" s="293">
        <f t="shared" si="46"/>
        <v>0</v>
      </c>
      <c r="AN122" s="293">
        <f t="shared" si="71"/>
        <v>0</v>
      </c>
      <c r="AO122" s="293">
        <f t="shared" si="72"/>
        <v>0</v>
      </c>
      <c r="AP122" s="295">
        <f t="shared" si="47"/>
        <v>0.76151142355008783</v>
      </c>
      <c r="AQ122" s="296">
        <f t="shared" si="48"/>
        <v>18.093333333333334</v>
      </c>
      <c r="AR122" s="541">
        <v>18</v>
      </c>
      <c r="AS122" s="202">
        <f t="shared" si="52"/>
        <v>76.151142355008787</v>
      </c>
      <c r="AT122" s="197">
        <f t="shared" si="73"/>
        <v>0</v>
      </c>
      <c r="AU122" s="199">
        <f t="shared" si="74"/>
        <v>0</v>
      </c>
      <c r="AV122" s="297"/>
      <c r="AW122" s="318" t="e">
        <f>VLOOKUP(AX122,Sup!#REF!,8,0)</f>
        <v>#REF!</v>
      </c>
      <c r="AX122" s="992" t="s">
        <v>197</v>
      </c>
      <c r="AY122" s="556">
        <v>0</v>
      </c>
      <c r="AZ122" s="43"/>
      <c r="BA122" s="43"/>
      <c r="BB122" s="43"/>
      <c r="BC122" s="43">
        <f t="shared" si="75"/>
        <v>0</v>
      </c>
      <c r="BD122" s="43" t="str">
        <f t="shared" si="63"/>
        <v/>
      </c>
      <c r="BE122" s="44">
        <f t="shared" si="49"/>
        <v>0</v>
      </c>
      <c r="BF122" s="971"/>
      <c r="BG122" s="236"/>
      <c r="BH122" s="12"/>
      <c r="BI122" s="12"/>
      <c r="BJ122" s="12"/>
      <c r="BK122" s="12"/>
      <c r="BL122" s="12"/>
      <c r="BM122" s="980"/>
      <c r="BN122" s="367"/>
      <c r="BO122" s="981"/>
      <c r="BP122" s="12"/>
      <c r="BQ122" s="12"/>
      <c r="BR122" s="12"/>
      <c r="BS122" s="973"/>
      <c r="BT122" s="12"/>
      <c r="BU122" s="12"/>
      <c r="BV122" s="12"/>
      <c r="BW122" s="982" t="s">
        <v>392</v>
      </c>
      <c r="BX122" s="983">
        <f t="shared" si="50"/>
        <v>0</v>
      </c>
      <c r="BY122" s="12" t="e">
        <f>VLOOKUP(B122,#REF!,13,0)</f>
        <v>#REF!</v>
      </c>
      <c r="BZ122" s="1054">
        <v>29.9</v>
      </c>
      <c r="CA122" s="1181" t="e">
        <f>VLOOKUP(B122,Pedido!$B$16:$L$292,22,0)</f>
        <v>#N/A</v>
      </c>
    </row>
    <row r="123" spans="1:79" ht="46.5" customHeight="1" thickBot="1">
      <c r="A123" s="524"/>
      <c r="B123" s="95" t="s">
        <v>77</v>
      </c>
      <c r="C123" s="95" t="str">
        <f>LEFT(B123,6)</f>
        <v>PPOVTC</v>
      </c>
      <c r="D123" s="400" t="s">
        <v>78</v>
      </c>
      <c r="E123" s="401" t="s">
        <v>79</v>
      </c>
      <c r="F123" s="402" t="s">
        <v>61</v>
      </c>
      <c r="G123" s="403">
        <v>200</v>
      </c>
      <c r="H123" s="1151">
        <v>12.342595499165785</v>
      </c>
      <c r="I123" s="96">
        <v>89.9</v>
      </c>
      <c r="J123" s="97" t="str">
        <f t="shared" si="79"/>
        <v/>
      </c>
      <c r="K123" s="98" t="str">
        <f t="shared" si="40"/>
        <v/>
      </c>
      <c r="L123" s="238">
        <v>59.9</v>
      </c>
      <c r="M123" s="471">
        <f t="shared" si="76"/>
        <v>52.9</v>
      </c>
      <c r="N123" s="471">
        <f t="shared" si="77"/>
        <v>52.9</v>
      </c>
      <c r="O123" s="471">
        <f t="shared" si="78"/>
        <v>52.9</v>
      </c>
      <c r="P123" s="99">
        <v>52.9</v>
      </c>
      <c r="Q123" s="99">
        <v>48.9</v>
      </c>
      <c r="R123" s="99">
        <v>47.9</v>
      </c>
      <c r="S123" s="100">
        <v>45.9</v>
      </c>
      <c r="T123" s="101" t="str">
        <f t="shared" si="64"/>
        <v/>
      </c>
      <c r="U123" s="152" t="str">
        <f t="shared" si="65"/>
        <v/>
      </c>
      <c r="V123" s="1107"/>
      <c r="W123" s="696"/>
      <c r="X123" s="171"/>
      <c r="Y123" s="103" t="str">
        <f t="shared" si="60"/>
        <v/>
      </c>
      <c r="Z123" s="225">
        <f t="shared" si="66"/>
        <v>0</v>
      </c>
      <c r="AA123" s="104">
        <f t="shared" si="67"/>
        <v>0</v>
      </c>
      <c r="AB123" s="104">
        <f t="shared" si="61"/>
        <v>0</v>
      </c>
      <c r="AC123" s="104">
        <f t="shared" si="62"/>
        <v>0</v>
      </c>
      <c r="AD123" s="104">
        <f t="shared" si="51"/>
        <v>0</v>
      </c>
      <c r="AE123" s="104">
        <f t="shared" si="41"/>
        <v>0</v>
      </c>
      <c r="AF123" s="104">
        <f t="shared" si="42"/>
        <v>0</v>
      </c>
      <c r="AG123" s="105">
        <f t="shared" si="43"/>
        <v>0</v>
      </c>
      <c r="AH123" s="104">
        <f t="shared" si="44"/>
        <v>0</v>
      </c>
      <c r="AI123" s="104">
        <f t="shared" si="45"/>
        <v>0</v>
      </c>
      <c r="AJ123" s="104">
        <f t="shared" si="68"/>
        <v>0</v>
      </c>
      <c r="AK123" s="104">
        <f t="shared" si="69"/>
        <v>0</v>
      </c>
      <c r="AL123" s="104">
        <f t="shared" si="70"/>
        <v>0</v>
      </c>
      <c r="AM123" s="104">
        <f t="shared" si="46"/>
        <v>0</v>
      </c>
      <c r="AN123" s="104">
        <f t="shared" si="71"/>
        <v>0</v>
      </c>
      <c r="AO123" s="104">
        <f t="shared" si="72"/>
        <v>0</v>
      </c>
      <c r="AP123" s="106">
        <f t="shared" si="47"/>
        <v>0.79394665276851772</v>
      </c>
      <c r="AQ123" s="107">
        <f t="shared" si="48"/>
        <v>16.456793998887715</v>
      </c>
      <c r="AR123" s="534">
        <v>30</v>
      </c>
      <c r="AS123" s="202">
        <f t="shared" si="52"/>
        <v>79.394665276851768</v>
      </c>
      <c r="AT123" s="197">
        <f t="shared" si="73"/>
        <v>0</v>
      </c>
      <c r="AU123" s="199">
        <f t="shared" si="74"/>
        <v>0</v>
      </c>
      <c r="AV123" s="110"/>
      <c r="AW123" s="106" t="e">
        <f>VLOOKUP(AX123,Sup!#REF!,8,0)</f>
        <v>#REF!</v>
      </c>
      <c r="AX123" s="1003" t="s">
        <v>198</v>
      </c>
      <c r="AY123" s="556">
        <v>0</v>
      </c>
      <c r="AZ123" s="32"/>
      <c r="BA123" s="32"/>
      <c r="BB123" s="43"/>
      <c r="BC123" s="32">
        <f t="shared" si="75"/>
        <v>0</v>
      </c>
      <c r="BD123" s="32" t="str">
        <f t="shared" si="63"/>
        <v/>
      </c>
      <c r="BE123" s="40">
        <f t="shared" si="49"/>
        <v>0</v>
      </c>
      <c r="BF123" s="971"/>
      <c r="BG123" s="236"/>
      <c r="BH123" s="12"/>
      <c r="BI123" s="12"/>
      <c r="BJ123" s="12"/>
      <c r="BK123" s="12"/>
      <c r="BL123" s="12"/>
      <c r="BM123" s="980"/>
      <c r="BN123" s="367"/>
      <c r="BO123" s="981"/>
      <c r="BP123" s="12"/>
      <c r="BQ123" s="12"/>
      <c r="BR123" s="12"/>
      <c r="BS123" s="973"/>
      <c r="BT123" s="12"/>
      <c r="BU123" s="12"/>
      <c r="BV123" s="12"/>
      <c r="BW123" s="982" t="s">
        <v>394</v>
      </c>
      <c r="BX123" s="983">
        <f t="shared" si="50"/>
        <v>0</v>
      </c>
      <c r="BY123" s="12" t="e">
        <f>VLOOKUP(B123,#REF!,13,0)</f>
        <v>#REF!</v>
      </c>
      <c r="BZ123" s="1054">
        <v>32.9</v>
      </c>
      <c r="CA123" s="1181" t="e">
        <f>VLOOKUP(B123,Pedido!$B$16:$L$292,22,0)</f>
        <v>#N/A</v>
      </c>
    </row>
    <row r="124" spans="1:79" ht="46.5" customHeight="1" thickBot="1">
      <c r="A124" s="524"/>
      <c r="B124" s="95" t="s">
        <v>450</v>
      </c>
      <c r="C124" s="140" t="s">
        <v>448</v>
      </c>
      <c r="D124" s="557" t="s">
        <v>449</v>
      </c>
      <c r="E124" s="558" t="s">
        <v>80</v>
      </c>
      <c r="F124" s="559" t="s">
        <v>61</v>
      </c>
      <c r="G124" s="560">
        <v>30</v>
      </c>
      <c r="H124" s="1161"/>
      <c r="I124" s="561">
        <v>69.900000000000006</v>
      </c>
      <c r="J124" s="562" t="str">
        <f t="shared" si="79"/>
        <v/>
      </c>
      <c r="K124" s="563" t="str">
        <f t="shared" si="40"/>
        <v/>
      </c>
      <c r="L124" s="564">
        <v>51.9</v>
      </c>
      <c r="M124" s="565">
        <f t="shared" si="76"/>
        <v>45.9</v>
      </c>
      <c r="N124" s="565">
        <f t="shared" si="77"/>
        <v>45.9</v>
      </c>
      <c r="O124" s="565">
        <f t="shared" si="78"/>
        <v>45.9</v>
      </c>
      <c r="P124" s="566">
        <v>45.9</v>
      </c>
      <c r="Q124" s="566">
        <v>41.9</v>
      </c>
      <c r="R124" s="566">
        <v>40.9</v>
      </c>
      <c r="S124" s="567">
        <v>38.9</v>
      </c>
      <c r="T124" s="164" t="str">
        <f t="shared" si="64"/>
        <v/>
      </c>
      <c r="U124" s="152" t="str">
        <f t="shared" si="65"/>
        <v/>
      </c>
      <c r="V124" s="695"/>
      <c r="W124" s="696"/>
      <c r="X124" s="171"/>
      <c r="Y124" s="103" t="str">
        <f t="shared" si="60"/>
        <v/>
      </c>
      <c r="Z124" s="231">
        <f t="shared" si="66"/>
        <v>0</v>
      </c>
      <c r="AA124" s="153">
        <f t="shared" si="67"/>
        <v>0</v>
      </c>
      <c r="AB124" s="153">
        <f t="shared" si="61"/>
        <v>0</v>
      </c>
      <c r="AC124" s="153">
        <f t="shared" si="62"/>
        <v>0</v>
      </c>
      <c r="AD124" s="153">
        <f t="shared" si="51"/>
        <v>0</v>
      </c>
      <c r="AE124" s="153">
        <f t="shared" si="41"/>
        <v>0</v>
      </c>
      <c r="AF124" s="153">
        <f t="shared" si="42"/>
        <v>0</v>
      </c>
      <c r="AG124" s="154">
        <f t="shared" si="43"/>
        <v>0</v>
      </c>
      <c r="AH124" s="153">
        <f t="shared" si="44"/>
        <v>0</v>
      </c>
      <c r="AI124" s="153">
        <f t="shared" si="45"/>
        <v>0</v>
      </c>
      <c r="AJ124" s="153">
        <f t="shared" si="68"/>
        <v>0</v>
      </c>
      <c r="AK124" s="153">
        <f t="shared" si="69"/>
        <v>0</v>
      </c>
      <c r="AL124" s="153">
        <f t="shared" si="70"/>
        <v>0</v>
      </c>
      <c r="AM124" s="153">
        <f t="shared" si="46"/>
        <v>0</v>
      </c>
      <c r="AN124" s="153">
        <f t="shared" si="71"/>
        <v>0</v>
      </c>
      <c r="AO124" s="153">
        <f t="shared" si="72"/>
        <v>0</v>
      </c>
      <c r="AP124" s="155">
        <f t="shared" si="47"/>
        <v>1</v>
      </c>
      <c r="AQ124" s="156">
        <f t="shared" si="48"/>
        <v>0</v>
      </c>
      <c r="AR124" s="542">
        <v>24</v>
      </c>
      <c r="AS124" s="202">
        <f t="shared" si="52"/>
        <v>100</v>
      </c>
      <c r="AT124" s="197">
        <f t="shared" si="73"/>
        <v>0</v>
      </c>
      <c r="AU124" s="199">
        <f t="shared" si="74"/>
        <v>0</v>
      </c>
      <c r="AV124" s="157"/>
      <c r="AW124" s="968" t="e">
        <f>VLOOKUP(AX124,Sup!#REF!,8,0)</f>
        <v>#REF!</v>
      </c>
      <c r="AX124" s="1003" t="s">
        <v>198</v>
      </c>
      <c r="AY124" s="556">
        <v>0</v>
      </c>
      <c r="AZ124" s="32"/>
      <c r="BA124" s="32"/>
      <c r="BB124" s="43"/>
      <c r="BC124" s="32">
        <f t="shared" si="75"/>
        <v>0</v>
      </c>
      <c r="BD124" s="32" t="str">
        <f t="shared" si="63"/>
        <v/>
      </c>
      <c r="BE124" s="40">
        <f t="shared" si="49"/>
        <v>0</v>
      </c>
      <c r="BF124" s="971"/>
      <c r="BG124" s="236"/>
      <c r="BH124" s="12"/>
      <c r="BI124" s="12"/>
      <c r="BJ124" s="12"/>
      <c r="BK124" s="12"/>
      <c r="BL124" s="12"/>
      <c r="BM124" s="980"/>
      <c r="BN124" s="367"/>
      <c r="BO124" s="981"/>
      <c r="BP124" s="12"/>
      <c r="BQ124" s="12"/>
      <c r="BR124" s="12"/>
      <c r="BS124" s="973"/>
      <c r="BT124" s="12"/>
      <c r="BU124" s="12"/>
      <c r="BV124" s="12"/>
      <c r="BW124" s="982" t="s">
        <v>394</v>
      </c>
      <c r="BX124" s="983">
        <f t="shared" si="50"/>
        <v>0</v>
      </c>
      <c r="BY124" s="12" t="e">
        <f>VLOOKUP(B124,#REF!,13,0)</f>
        <v>#REF!</v>
      </c>
      <c r="BZ124" s="1064">
        <v>26.9</v>
      </c>
      <c r="CA124" s="1181" t="e">
        <f>VLOOKUP(B124,Pedido!$B$16:$L$292,22,0)</f>
        <v>#N/A</v>
      </c>
    </row>
    <row r="125" spans="1:79" ht="37.5" customHeight="1" thickBot="1">
      <c r="A125" s="524"/>
      <c r="B125" s="158" t="s">
        <v>600</v>
      </c>
      <c r="C125" s="158"/>
      <c r="D125" s="404" t="s">
        <v>605</v>
      </c>
      <c r="E125" s="405" t="s">
        <v>76</v>
      </c>
      <c r="F125" s="406"/>
      <c r="G125" s="407" t="s">
        <v>603</v>
      </c>
      <c r="H125" s="1163"/>
      <c r="I125" s="159">
        <v>99.9</v>
      </c>
      <c r="J125" s="160" t="str">
        <f t="shared" si="79"/>
        <v/>
      </c>
      <c r="K125" s="161" t="str">
        <f t="shared" si="40"/>
        <v/>
      </c>
      <c r="L125" s="244">
        <v>70.900000000000006</v>
      </c>
      <c r="M125" s="477">
        <v>62.9</v>
      </c>
      <c r="N125" s="477">
        <v>62.9</v>
      </c>
      <c r="O125" s="477">
        <v>62.9</v>
      </c>
      <c r="P125" s="162">
        <v>62.9</v>
      </c>
      <c r="Q125" s="162">
        <v>57.9</v>
      </c>
      <c r="R125" s="162">
        <v>56.9</v>
      </c>
      <c r="S125" s="163">
        <v>54.9</v>
      </c>
      <c r="T125" s="246" t="str">
        <f t="shared" si="64"/>
        <v/>
      </c>
      <c r="U125" s="152" t="str">
        <f t="shared" si="65"/>
        <v/>
      </c>
      <c r="V125" s="735"/>
      <c r="W125" s="1103"/>
      <c r="X125" s="733"/>
      <c r="Y125" s="165" t="str">
        <f t="shared" si="60"/>
        <v/>
      </c>
      <c r="Z125" s="231">
        <f t="shared" si="66"/>
        <v>0</v>
      </c>
      <c r="AA125" s="166">
        <f t="shared" si="67"/>
        <v>0</v>
      </c>
      <c r="AB125" s="166">
        <f t="shared" si="61"/>
        <v>0</v>
      </c>
      <c r="AC125" s="166">
        <f t="shared" si="62"/>
        <v>0</v>
      </c>
      <c r="AD125" s="166">
        <f t="shared" si="51"/>
        <v>0</v>
      </c>
      <c r="AE125" s="166">
        <f t="shared" si="41"/>
        <v>0</v>
      </c>
      <c r="AF125" s="166">
        <f t="shared" si="42"/>
        <v>0</v>
      </c>
      <c r="AG125" s="166">
        <f t="shared" si="43"/>
        <v>0</v>
      </c>
      <c r="AH125" s="166">
        <f t="shared" si="44"/>
        <v>0</v>
      </c>
      <c r="AI125" s="166">
        <f t="shared" si="45"/>
        <v>0</v>
      </c>
      <c r="AJ125" s="166">
        <f t="shared" si="68"/>
        <v>0</v>
      </c>
      <c r="AK125" s="166">
        <f t="shared" si="69"/>
        <v>0</v>
      </c>
      <c r="AL125" s="166">
        <f t="shared" si="70"/>
        <v>0</v>
      </c>
      <c r="AM125" s="166">
        <f t="shared" si="46"/>
        <v>0</v>
      </c>
      <c r="AN125" s="166">
        <f t="shared" si="71"/>
        <v>0</v>
      </c>
      <c r="AO125" s="166">
        <f t="shared" si="72"/>
        <v>0</v>
      </c>
      <c r="AP125" s="167">
        <f t="shared" si="47"/>
        <v>1</v>
      </c>
      <c r="AQ125" s="168">
        <f t="shared" si="48"/>
        <v>0</v>
      </c>
      <c r="AR125" s="543">
        <v>24</v>
      </c>
      <c r="AS125" s="202">
        <f t="shared" si="52"/>
        <v>100</v>
      </c>
      <c r="AT125" s="197">
        <f t="shared" si="73"/>
        <v>0</v>
      </c>
      <c r="AU125" s="199">
        <f t="shared" si="74"/>
        <v>0</v>
      </c>
      <c r="AV125" s="169"/>
      <c r="AW125" s="167" t="e">
        <f>VLOOKUP(AX125,Sup!#REF!,8,0)</f>
        <v>#REF!</v>
      </c>
      <c r="AX125" s="992" t="s">
        <v>197</v>
      </c>
      <c r="AY125" s="556">
        <v>0</v>
      </c>
      <c r="AZ125" s="43"/>
      <c r="BA125" s="43"/>
      <c r="BB125" s="35">
        <f t="shared" ref="BB125:BB133" si="81">IF($F$14="NOVO/REATIVAÇÃO",W125*7*1.4,W125*7)</f>
        <v>0</v>
      </c>
      <c r="BC125" s="43">
        <f t="shared" si="75"/>
        <v>0</v>
      </c>
      <c r="BD125" s="43" t="str">
        <f t="shared" si="63"/>
        <v/>
      </c>
      <c r="BE125" s="44">
        <f t="shared" si="49"/>
        <v>0</v>
      </c>
      <c r="BF125" s="971"/>
      <c r="BG125" s="236"/>
      <c r="BH125" s="12"/>
      <c r="BI125" s="12"/>
      <c r="BJ125" s="12"/>
      <c r="BK125" s="12"/>
      <c r="BL125" s="12"/>
      <c r="BM125" s="980"/>
      <c r="BN125" s="367"/>
      <c r="BO125" s="981"/>
      <c r="BP125" s="12"/>
      <c r="BQ125" s="12"/>
      <c r="BR125" s="12"/>
      <c r="BS125" s="973"/>
      <c r="BT125" s="12"/>
      <c r="BU125" s="12"/>
      <c r="BV125" s="12"/>
      <c r="BW125" s="982" t="s">
        <v>394</v>
      </c>
      <c r="BX125" s="983">
        <f t="shared" si="50"/>
        <v>0</v>
      </c>
      <c r="BY125" s="12" t="e">
        <f>VLOOKUP(B125,#REF!,13,0)</f>
        <v>#REF!</v>
      </c>
      <c r="BZ125" s="1065">
        <v>61.9</v>
      </c>
      <c r="CA125" s="1181" t="e">
        <f>VLOOKUP(B125,Pedido!$B$16:$L$292,22,0)</f>
        <v>#N/A</v>
      </c>
    </row>
    <row r="126" spans="1:79" ht="37.5" customHeight="1" thickBot="1">
      <c r="A126" s="524"/>
      <c r="B126" s="158" t="s">
        <v>601</v>
      </c>
      <c r="C126" s="158"/>
      <c r="D126" s="404" t="s">
        <v>606</v>
      </c>
      <c r="E126" s="405" t="s">
        <v>158</v>
      </c>
      <c r="F126" s="406"/>
      <c r="G126" s="407" t="s">
        <v>354</v>
      </c>
      <c r="H126" s="1163"/>
      <c r="I126" s="159">
        <v>44.9</v>
      </c>
      <c r="J126" s="160" t="str">
        <f t="shared" si="79"/>
        <v/>
      </c>
      <c r="K126" s="161" t="str">
        <f t="shared" si="40"/>
        <v/>
      </c>
      <c r="L126" s="244">
        <v>32.9</v>
      </c>
      <c r="M126" s="477">
        <v>28.9</v>
      </c>
      <c r="N126" s="477">
        <v>28.9</v>
      </c>
      <c r="O126" s="477">
        <v>28.9</v>
      </c>
      <c r="P126" s="162">
        <v>28.9</v>
      </c>
      <c r="Q126" s="162">
        <v>26.9</v>
      </c>
      <c r="R126" s="162">
        <v>25.9</v>
      </c>
      <c r="S126" s="163">
        <v>24.9</v>
      </c>
      <c r="T126" s="246" t="str">
        <f t="shared" si="64"/>
        <v/>
      </c>
      <c r="U126" s="152" t="str">
        <f t="shared" si="65"/>
        <v/>
      </c>
      <c r="V126" s="735"/>
      <c r="W126" s="1103"/>
      <c r="X126" s="733"/>
      <c r="Y126" s="165" t="str">
        <f t="shared" si="60"/>
        <v/>
      </c>
      <c r="Z126" s="231">
        <f t="shared" si="66"/>
        <v>0</v>
      </c>
      <c r="AA126" s="166">
        <f t="shared" si="67"/>
        <v>0</v>
      </c>
      <c r="AB126" s="166">
        <f t="shared" si="61"/>
        <v>0</v>
      </c>
      <c r="AC126" s="166">
        <f t="shared" si="62"/>
        <v>0</v>
      </c>
      <c r="AD126" s="166">
        <f t="shared" si="51"/>
        <v>0</v>
      </c>
      <c r="AE126" s="166">
        <f t="shared" si="41"/>
        <v>0</v>
      </c>
      <c r="AF126" s="166">
        <f t="shared" si="42"/>
        <v>0</v>
      </c>
      <c r="AG126" s="166">
        <f t="shared" si="43"/>
        <v>0</v>
      </c>
      <c r="AH126" s="166">
        <f t="shared" si="44"/>
        <v>0</v>
      </c>
      <c r="AI126" s="166">
        <f t="shared" si="45"/>
        <v>0</v>
      </c>
      <c r="AJ126" s="166">
        <f t="shared" si="68"/>
        <v>0</v>
      </c>
      <c r="AK126" s="166">
        <f t="shared" si="69"/>
        <v>0</v>
      </c>
      <c r="AL126" s="166">
        <f t="shared" si="70"/>
        <v>0</v>
      </c>
      <c r="AM126" s="166">
        <f t="shared" si="46"/>
        <v>0</v>
      </c>
      <c r="AN126" s="166">
        <f t="shared" si="71"/>
        <v>0</v>
      </c>
      <c r="AO126" s="166">
        <f t="shared" si="72"/>
        <v>0</v>
      </c>
      <c r="AP126" s="167">
        <f t="shared" si="47"/>
        <v>1</v>
      </c>
      <c r="AQ126" s="168">
        <f t="shared" si="48"/>
        <v>0</v>
      </c>
      <c r="AR126" s="543">
        <v>24</v>
      </c>
      <c r="AS126" s="202">
        <f t="shared" si="52"/>
        <v>100</v>
      </c>
      <c r="AT126" s="197">
        <f t="shared" si="73"/>
        <v>0</v>
      </c>
      <c r="AU126" s="199">
        <f t="shared" si="74"/>
        <v>0</v>
      </c>
      <c r="AV126" s="169"/>
      <c r="AW126" s="167" t="e">
        <f>VLOOKUP(AX126,Sup!#REF!,8,0)</f>
        <v>#REF!</v>
      </c>
      <c r="AX126" s="992" t="s">
        <v>197</v>
      </c>
      <c r="AY126" s="556">
        <v>0</v>
      </c>
      <c r="AZ126" s="43"/>
      <c r="BA126" s="43"/>
      <c r="BB126" s="35">
        <f t="shared" si="81"/>
        <v>0</v>
      </c>
      <c r="BC126" s="43">
        <f t="shared" si="75"/>
        <v>0</v>
      </c>
      <c r="BD126" s="43" t="str">
        <f t="shared" si="63"/>
        <v/>
      </c>
      <c r="BE126" s="44">
        <f t="shared" si="49"/>
        <v>0</v>
      </c>
      <c r="BF126" s="971"/>
      <c r="BG126" s="236"/>
      <c r="BH126" s="12"/>
      <c r="BI126" s="12"/>
      <c r="BJ126" s="12"/>
      <c r="BK126" s="12"/>
      <c r="BL126" s="12"/>
      <c r="BM126" s="980"/>
      <c r="BN126" s="367"/>
      <c r="BO126" s="981"/>
      <c r="BP126" s="12"/>
      <c r="BQ126" s="12"/>
      <c r="BR126" s="12"/>
      <c r="BS126" s="973"/>
      <c r="BT126" s="12"/>
      <c r="BU126" s="12"/>
      <c r="BV126" s="12"/>
      <c r="BW126" s="982" t="s">
        <v>394</v>
      </c>
      <c r="BX126" s="983">
        <f t="shared" si="50"/>
        <v>0</v>
      </c>
      <c r="BY126" s="12" t="e">
        <f>VLOOKUP(B126,#REF!,13,0)</f>
        <v>#REF!</v>
      </c>
      <c r="BZ126" s="1065">
        <v>61.9</v>
      </c>
      <c r="CA126" s="1181" t="e">
        <f>VLOOKUP(B126,Pedido!$B$16:$L$292,22,0)</f>
        <v>#N/A</v>
      </c>
    </row>
    <row r="127" spans="1:79" ht="37.5" customHeight="1" thickBot="1">
      <c r="A127" s="524"/>
      <c r="B127" s="158" t="s">
        <v>602</v>
      </c>
      <c r="C127" s="158"/>
      <c r="D127" s="404" t="s">
        <v>606</v>
      </c>
      <c r="E127" s="405" t="s">
        <v>158</v>
      </c>
      <c r="F127" s="406"/>
      <c r="G127" s="407" t="s">
        <v>604</v>
      </c>
      <c r="H127" s="1163"/>
      <c r="I127" s="159">
        <v>69.900000000000006</v>
      </c>
      <c r="J127" s="160" t="str">
        <f t="shared" si="79"/>
        <v/>
      </c>
      <c r="K127" s="161" t="str">
        <f t="shared" si="40"/>
        <v/>
      </c>
      <c r="L127" s="244">
        <v>49.9</v>
      </c>
      <c r="M127" s="477">
        <v>43.9</v>
      </c>
      <c r="N127" s="477">
        <v>43.9</v>
      </c>
      <c r="O127" s="477">
        <v>43.9</v>
      </c>
      <c r="P127" s="162">
        <v>43.9</v>
      </c>
      <c r="Q127" s="162">
        <v>40.9</v>
      </c>
      <c r="R127" s="162">
        <v>39.9</v>
      </c>
      <c r="S127" s="163">
        <v>38.9</v>
      </c>
      <c r="T127" s="246" t="str">
        <f t="shared" si="64"/>
        <v/>
      </c>
      <c r="U127" s="152" t="str">
        <f t="shared" si="65"/>
        <v/>
      </c>
      <c r="V127" s="735"/>
      <c r="W127" s="1103"/>
      <c r="X127" s="733"/>
      <c r="Y127" s="165" t="str">
        <f t="shared" si="60"/>
        <v/>
      </c>
      <c r="Z127" s="231">
        <f t="shared" si="66"/>
        <v>0</v>
      </c>
      <c r="AA127" s="166">
        <f t="shared" si="67"/>
        <v>0</v>
      </c>
      <c r="AB127" s="166">
        <f t="shared" si="61"/>
        <v>0</v>
      </c>
      <c r="AC127" s="166">
        <f t="shared" si="62"/>
        <v>0</v>
      </c>
      <c r="AD127" s="166">
        <f t="shared" si="51"/>
        <v>0</v>
      </c>
      <c r="AE127" s="166">
        <f t="shared" si="41"/>
        <v>0</v>
      </c>
      <c r="AF127" s="166">
        <f t="shared" si="42"/>
        <v>0</v>
      </c>
      <c r="AG127" s="166">
        <f t="shared" si="43"/>
        <v>0</v>
      </c>
      <c r="AH127" s="166">
        <f t="shared" si="44"/>
        <v>0</v>
      </c>
      <c r="AI127" s="166">
        <f t="shared" si="45"/>
        <v>0</v>
      </c>
      <c r="AJ127" s="166">
        <f t="shared" si="68"/>
        <v>0</v>
      </c>
      <c r="AK127" s="166">
        <f t="shared" si="69"/>
        <v>0</v>
      </c>
      <c r="AL127" s="166">
        <f t="shared" si="70"/>
        <v>0</v>
      </c>
      <c r="AM127" s="166">
        <f t="shared" si="46"/>
        <v>0</v>
      </c>
      <c r="AN127" s="166">
        <f t="shared" si="71"/>
        <v>0</v>
      </c>
      <c r="AO127" s="166">
        <f t="shared" si="72"/>
        <v>0</v>
      </c>
      <c r="AP127" s="167">
        <f t="shared" si="47"/>
        <v>1</v>
      </c>
      <c r="AQ127" s="168">
        <f t="shared" si="48"/>
        <v>0</v>
      </c>
      <c r="AR127" s="543">
        <v>24</v>
      </c>
      <c r="AS127" s="202">
        <f t="shared" si="52"/>
        <v>100</v>
      </c>
      <c r="AT127" s="197">
        <f t="shared" si="73"/>
        <v>0</v>
      </c>
      <c r="AU127" s="199">
        <f t="shared" si="74"/>
        <v>0</v>
      </c>
      <c r="AV127" s="169"/>
      <c r="AW127" s="167" t="e">
        <f>VLOOKUP(AX127,Sup!#REF!,8,0)</f>
        <v>#REF!</v>
      </c>
      <c r="AX127" s="992" t="s">
        <v>197</v>
      </c>
      <c r="AY127" s="556">
        <v>0</v>
      </c>
      <c r="AZ127" s="43"/>
      <c r="BA127" s="43"/>
      <c r="BB127" s="35">
        <f t="shared" si="81"/>
        <v>0</v>
      </c>
      <c r="BC127" s="43">
        <f t="shared" si="75"/>
        <v>0</v>
      </c>
      <c r="BD127" s="43" t="str">
        <f t="shared" si="63"/>
        <v/>
      </c>
      <c r="BE127" s="44">
        <f t="shared" si="49"/>
        <v>0</v>
      </c>
      <c r="BF127" s="971"/>
      <c r="BG127" s="236"/>
      <c r="BH127" s="12"/>
      <c r="BI127" s="12"/>
      <c r="BJ127" s="12"/>
      <c r="BK127" s="12"/>
      <c r="BL127" s="12"/>
      <c r="BM127" s="980"/>
      <c r="BN127" s="367"/>
      <c r="BO127" s="981"/>
      <c r="BP127" s="12"/>
      <c r="BQ127" s="12"/>
      <c r="BR127" s="12"/>
      <c r="BS127" s="973"/>
      <c r="BT127" s="12"/>
      <c r="BU127" s="12"/>
      <c r="BV127" s="12"/>
      <c r="BW127" s="982" t="s">
        <v>394</v>
      </c>
      <c r="BX127" s="983">
        <f t="shared" si="50"/>
        <v>0</v>
      </c>
      <c r="BY127" s="12" t="e">
        <f>VLOOKUP(B127,#REF!,13,0)</f>
        <v>#REF!</v>
      </c>
      <c r="BZ127" s="1065">
        <v>61.9</v>
      </c>
      <c r="CA127" s="1181" t="e">
        <f>VLOOKUP(B127,Pedido!$B$16:$L$292,22,0)</f>
        <v>#N/A</v>
      </c>
    </row>
    <row r="128" spans="1:79" ht="39.75" customHeight="1" thickBot="1">
      <c r="A128" s="524"/>
      <c r="B128" s="158" t="s">
        <v>585</v>
      </c>
      <c r="C128" s="158" t="s">
        <v>586</v>
      </c>
      <c r="D128" s="404" t="s">
        <v>587</v>
      </c>
      <c r="E128" s="405" t="s">
        <v>80</v>
      </c>
      <c r="F128" s="406" t="s">
        <v>61</v>
      </c>
      <c r="G128" s="407">
        <v>30</v>
      </c>
      <c r="H128" s="1163"/>
      <c r="I128" s="159">
        <v>119.9</v>
      </c>
      <c r="J128" s="160" t="str">
        <f>IFERROR(IF(T128&lt;&gt;"",I128/T128,IF(AND(Y128="",V128=""),"",IF(V128="",I128/Y128,I128/V128))),"")</f>
        <v/>
      </c>
      <c r="K128" s="161" t="str">
        <f>IF(T128="","",IFERROR(1-(T128/I128),0))</f>
        <v/>
      </c>
      <c r="L128" s="244">
        <v>84.9</v>
      </c>
      <c r="M128" s="477">
        <v>74.900000000000006</v>
      </c>
      <c r="N128" s="477">
        <v>74.900000000000006</v>
      </c>
      <c r="O128" s="477">
        <v>74.900000000000006</v>
      </c>
      <c r="P128" s="162">
        <v>74.900000000000006</v>
      </c>
      <c r="Q128" s="162">
        <v>68.900000000000006</v>
      </c>
      <c r="R128" s="162">
        <v>67.900000000000006</v>
      </c>
      <c r="S128" s="163">
        <v>65.900000000000006</v>
      </c>
      <c r="T128" s="246" t="str">
        <f>IF(V128&gt;0,V128,IFERROR(IF(AND(W128&lt;&gt;"",X128&lt;&gt;""),AH128/W128,Y128),""))</f>
        <v/>
      </c>
      <c r="U128" s="152" t="str">
        <f>IFERROR((T128*W128)/(W128+X128),"")</f>
        <v/>
      </c>
      <c r="V128" s="735"/>
      <c r="W128" s="1103"/>
      <c r="X128" s="733"/>
      <c r="Y128" s="165" t="str">
        <f t="shared" si="60"/>
        <v/>
      </c>
      <c r="Z128" s="231">
        <f>IF(X128&gt;W128,-1,IF(W128=0,0,IF(U128&lt;(H128/0.75),-1,IF(W128&lt;=3,0,0.0001))))</f>
        <v>0</v>
      </c>
      <c r="AA128" s="166">
        <f>IFERROR(L128*W128,0)</f>
        <v>0</v>
      </c>
      <c r="AB128" s="166">
        <f t="shared" si="61"/>
        <v>0</v>
      </c>
      <c r="AC128" s="166">
        <f t="shared" si="62"/>
        <v>0</v>
      </c>
      <c r="AD128" s="166">
        <f>IFERROR(X128*T128,0)</f>
        <v>0</v>
      </c>
      <c r="AE128" s="166">
        <f>IFERROR(W128*H128,0)</f>
        <v>0</v>
      </c>
      <c r="AF128" s="166">
        <f>IFERROR(1-(AE128/AB128),0)</f>
        <v>0</v>
      </c>
      <c r="AG128" s="166">
        <f>IFERROR(SUM(W128:X128)*I128,0)</f>
        <v>0</v>
      </c>
      <c r="AH128" s="166">
        <f>IFERROR(IF(V128&gt;0,V128*W128,(Y128*W128)),0)</f>
        <v>0</v>
      </c>
      <c r="AI128" s="166">
        <f>IFERROR(SUM(W128)*H128,0)</f>
        <v>0</v>
      </c>
      <c r="AJ128" s="166">
        <f>AH128*$AJ$25</f>
        <v>0</v>
      </c>
      <c r="AK128" s="166">
        <f>AH128*AK$25</f>
        <v>0</v>
      </c>
      <c r="AL128" s="166">
        <f>AH128*AL$25</f>
        <v>0</v>
      </c>
      <c r="AM128" s="166">
        <f>SUM(AJ128:AL128)</f>
        <v>0</v>
      </c>
      <c r="AN128" s="166">
        <f>AH128-AM128</f>
        <v>0</v>
      </c>
      <c r="AO128" s="166">
        <f>AN128-AI128</f>
        <v>0</v>
      </c>
      <c r="AP128" s="167">
        <f>IFERROR(IF(V128&lt;&gt;"",1-(H128/V128),IF(Y128&lt;&gt;"",1-(H128/Y128),1-(H128/L128))),0)</f>
        <v>1</v>
      </c>
      <c r="AQ128" s="168">
        <f>H128/0.75</f>
        <v>0</v>
      </c>
      <c r="AR128" s="543">
        <v>24</v>
      </c>
      <c r="AS128" s="202">
        <f t="shared" si="52"/>
        <v>100</v>
      </c>
      <c r="AT128" s="197">
        <f>IFERROR(1-(AI128/AH128),0)</f>
        <v>0</v>
      </c>
      <c r="AU128" s="199">
        <f>IFERROR(AO128/AH128,0)</f>
        <v>0</v>
      </c>
      <c r="AV128" s="169"/>
      <c r="AW128" s="167" t="e">
        <f>VLOOKUP(AX128,Sup!#REF!,8,0)</f>
        <v>#REF!</v>
      </c>
      <c r="AX128" s="992" t="s">
        <v>197</v>
      </c>
      <c r="AY128" s="556">
        <v>0</v>
      </c>
      <c r="AZ128" s="43"/>
      <c r="BA128" s="43"/>
      <c r="BB128" s="35">
        <f t="shared" si="81"/>
        <v>0</v>
      </c>
      <c r="BC128" s="43">
        <f>IF(BE128&lt;0,BE128,0)</f>
        <v>0</v>
      </c>
      <c r="BD128" s="43" t="str">
        <f t="shared" si="63"/>
        <v/>
      </c>
      <c r="BE128" s="44">
        <f>IF(V128="",0,(V128*W128)-(BD128*W128))</f>
        <v>0</v>
      </c>
      <c r="BF128" s="971"/>
      <c r="BG128" s="236"/>
      <c r="BH128" s="12"/>
      <c r="BI128" s="12"/>
      <c r="BJ128" s="12"/>
      <c r="BK128" s="12"/>
      <c r="BL128" s="12"/>
      <c r="BM128" s="980"/>
      <c r="BN128" s="367"/>
      <c r="BO128" s="981"/>
      <c r="BP128" s="12"/>
      <c r="BQ128" s="12"/>
      <c r="BR128" s="12"/>
      <c r="BS128" s="973"/>
      <c r="BT128" s="12"/>
      <c r="BU128" s="12"/>
      <c r="BV128" s="12"/>
      <c r="BW128" s="982" t="s">
        <v>394</v>
      </c>
      <c r="BX128" s="983">
        <f>IFERROR(W128*U128,0)</f>
        <v>0</v>
      </c>
      <c r="BY128" s="12" t="e">
        <f>VLOOKUP(B128,#REF!,13,0)</f>
        <v>#REF!</v>
      </c>
      <c r="BZ128" s="1065">
        <v>61.9</v>
      </c>
      <c r="CA128" s="1181" t="e">
        <f>VLOOKUP(B128,Pedido!$B$16:$L$292,22,0)</f>
        <v>#N/A</v>
      </c>
    </row>
    <row r="129" spans="1:79" ht="39.75" customHeight="1" thickBot="1">
      <c r="A129" s="524"/>
      <c r="B129" s="158" t="s">
        <v>588</v>
      </c>
      <c r="C129" s="158" t="s">
        <v>589</v>
      </c>
      <c r="D129" s="404" t="s">
        <v>587</v>
      </c>
      <c r="E129" s="405" t="s">
        <v>80</v>
      </c>
      <c r="F129" s="406" t="s">
        <v>61</v>
      </c>
      <c r="G129" s="407">
        <v>60</v>
      </c>
      <c r="H129" s="1163"/>
      <c r="I129" s="159">
        <v>179.9</v>
      </c>
      <c r="J129" s="160" t="str">
        <f>IFERROR(IF(T129&lt;&gt;"",I129/T129,IF(AND(Y129="",V129=""),"",IF(V129="",I129/Y129,I129/V129))),"")</f>
        <v/>
      </c>
      <c r="K129" s="161" t="str">
        <f>IF(T129="","",IFERROR(1-(T129/I129),0))</f>
        <v/>
      </c>
      <c r="L129" s="244">
        <v>126.9</v>
      </c>
      <c r="M129" s="477">
        <v>112.9</v>
      </c>
      <c r="N129" s="477">
        <v>112.9</v>
      </c>
      <c r="O129" s="477">
        <v>112.9</v>
      </c>
      <c r="P129" s="162">
        <v>112.9</v>
      </c>
      <c r="Q129" s="162">
        <v>104.9</v>
      </c>
      <c r="R129" s="162">
        <v>102.9</v>
      </c>
      <c r="S129" s="163">
        <v>99.9</v>
      </c>
      <c r="T129" s="246" t="str">
        <f>IF(V129&gt;0,V129,IFERROR(IF(AND(W129&lt;&gt;"",X129&lt;&gt;""),AH129/W129,Y129),""))</f>
        <v/>
      </c>
      <c r="U129" s="152" t="str">
        <f>IFERROR((T129*W129)/(W129+X129),"")</f>
        <v/>
      </c>
      <c r="V129" s="735"/>
      <c r="W129" s="1103"/>
      <c r="X129" s="733"/>
      <c r="Y129" s="165" t="str">
        <f t="shared" si="60"/>
        <v/>
      </c>
      <c r="Z129" s="231">
        <f>IF(X129&gt;W129,-1,IF(W129=0,0,IF(U129&lt;(H129/0.75),-1,IF(W129&lt;=3,0,0.0001))))</f>
        <v>0</v>
      </c>
      <c r="AA129" s="166">
        <f>IFERROR(L129*W129,0)</f>
        <v>0</v>
      </c>
      <c r="AB129" s="166">
        <f t="shared" si="61"/>
        <v>0</v>
      </c>
      <c r="AC129" s="166">
        <f t="shared" si="62"/>
        <v>0</v>
      </c>
      <c r="AD129" s="166">
        <f>IFERROR(X129*T129,0)</f>
        <v>0</v>
      </c>
      <c r="AE129" s="166">
        <f>IFERROR(W129*H129,0)</f>
        <v>0</v>
      </c>
      <c r="AF129" s="166">
        <f>IFERROR(1-(AE129/AB129),0)</f>
        <v>0</v>
      </c>
      <c r="AG129" s="166">
        <f>IFERROR(SUM(W129:X129)*I129,0)</f>
        <v>0</v>
      </c>
      <c r="AH129" s="166">
        <f>IFERROR(IF(V129&gt;0,V129*W129,(Y129*W129)),0)</f>
        <v>0</v>
      </c>
      <c r="AI129" s="166">
        <f>IFERROR(SUM(W129)*H129,0)</f>
        <v>0</v>
      </c>
      <c r="AJ129" s="166">
        <f>AH129*$AJ$25</f>
        <v>0</v>
      </c>
      <c r="AK129" s="166">
        <f>AH129*AK$25</f>
        <v>0</v>
      </c>
      <c r="AL129" s="166">
        <f>AH129*AL$25</f>
        <v>0</v>
      </c>
      <c r="AM129" s="166">
        <f>SUM(AJ129:AL129)</f>
        <v>0</v>
      </c>
      <c r="AN129" s="166">
        <f>AH129-AM129</f>
        <v>0</v>
      </c>
      <c r="AO129" s="166">
        <f>AN129-AI129</f>
        <v>0</v>
      </c>
      <c r="AP129" s="167">
        <f>IFERROR(IF(V129&lt;&gt;"",1-(H129/V129),IF(Y129&lt;&gt;"",1-(H129/Y129),1-(H129/L129))),0)</f>
        <v>1</v>
      </c>
      <c r="AQ129" s="168">
        <f>H129/0.75</f>
        <v>0</v>
      </c>
      <c r="AR129" s="543">
        <v>24</v>
      </c>
      <c r="AS129" s="202">
        <f t="shared" ref="AS129:AS192" si="82">(AP129-MIN($AP$65:$AP$368))/(MAX($AP$65:$AP$368)-MIN($AP$65:$AP$368))*100</f>
        <v>100</v>
      </c>
      <c r="AT129" s="197">
        <f>IFERROR(1-(AI129/AH129),0)</f>
        <v>0</v>
      </c>
      <c r="AU129" s="199">
        <f>IFERROR(AO129/AH129,0)</f>
        <v>0</v>
      </c>
      <c r="AV129" s="169"/>
      <c r="AW129" s="167" t="e">
        <f>VLOOKUP(AX129,Sup!#REF!,8,0)</f>
        <v>#REF!</v>
      </c>
      <c r="AX129" s="992" t="s">
        <v>197</v>
      </c>
      <c r="AY129" s="556">
        <v>0</v>
      </c>
      <c r="AZ129" s="43"/>
      <c r="BA129" s="43"/>
      <c r="BB129" s="35">
        <f t="shared" si="81"/>
        <v>0</v>
      </c>
      <c r="BC129" s="43">
        <f>IF(BE129&lt;0,BE129,0)</f>
        <v>0</v>
      </c>
      <c r="BD129" s="43" t="str">
        <f t="shared" si="63"/>
        <v/>
      </c>
      <c r="BE129" s="44">
        <f>IF(V129="",0,(V129*W129)-(BD129*W129))</f>
        <v>0</v>
      </c>
      <c r="BF129" s="971"/>
      <c r="BG129" s="236"/>
      <c r="BH129" s="12"/>
      <c r="BI129" s="12"/>
      <c r="BJ129" s="12"/>
      <c r="BK129" s="12"/>
      <c r="BL129" s="12"/>
      <c r="BM129" s="980"/>
      <c r="BN129" s="367"/>
      <c r="BO129" s="981"/>
      <c r="BP129" s="12"/>
      <c r="BQ129" s="12"/>
      <c r="BR129" s="12"/>
      <c r="BS129" s="973"/>
      <c r="BT129" s="12"/>
      <c r="BU129" s="12"/>
      <c r="BV129" s="12"/>
      <c r="BW129" s="982" t="s">
        <v>394</v>
      </c>
      <c r="BX129" s="983">
        <f>IFERROR(W129*U129,0)</f>
        <v>0</v>
      </c>
      <c r="BY129" s="12" t="e">
        <f>VLOOKUP(B129,#REF!,13,0)</f>
        <v>#REF!</v>
      </c>
      <c r="BZ129" s="1065">
        <v>61.9</v>
      </c>
      <c r="CA129" s="1181" t="e">
        <f>VLOOKUP(B129,Pedido!$B$16:$L$292,22,0)</f>
        <v>#N/A</v>
      </c>
    </row>
    <row r="130" spans="1:79" ht="39.75" customHeight="1" thickBot="1">
      <c r="A130" s="524"/>
      <c r="B130" s="158" t="s">
        <v>609</v>
      </c>
      <c r="C130" s="158"/>
      <c r="D130" s="404" t="s">
        <v>612</v>
      </c>
      <c r="E130" s="405" t="s">
        <v>80</v>
      </c>
      <c r="F130" s="406" t="s">
        <v>61</v>
      </c>
      <c r="G130" s="407">
        <v>30</v>
      </c>
      <c r="H130" s="1163"/>
      <c r="I130" s="159">
        <v>39.9</v>
      </c>
      <c r="J130" s="160" t="str">
        <f>IFERROR(IF(T130&lt;&gt;"",I130/T130,IF(AND(Y130="",V130=""),"",IF(V130="",I130/Y130,I130/V130))),"")</f>
        <v/>
      </c>
      <c r="K130" s="161" t="str">
        <f>IF(T130="","",IFERROR(1-(T130/I130),0))</f>
        <v/>
      </c>
      <c r="L130" s="244">
        <v>29.9</v>
      </c>
      <c r="M130" s="477">
        <v>26.9</v>
      </c>
      <c r="N130" s="477">
        <v>26.9</v>
      </c>
      <c r="O130" s="477">
        <v>26.9</v>
      </c>
      <c r="P130" s="162">
        <v>26.9</v>
      </c>
      <c r="Q130" s="162">
        <v>24.9</v>
      </c>
      <c r="R130" s="162">
        <v>23.9</v>
      </c>
      <c r="S130" s="163">
        <v>22.9</v>
      </c>
      <c r="T130" s="246" t="str">
        <f>IF(V130&gt;0,V130,IFERROR(IF(AND(W130&lt;&gt;"",X130&lt;&gt;""),AH130/W130,Y130),""))</f>
        <v/>
      </c>
      <c r="U130" s="152" t="str">
        <f>IFERROR((T130*W130)/(W130+X130),"")</f>
        <v/>
      </c>
      <c r="V130" s="735"/>
      <c r="W130" s="1103"/>
      <c r="X130" s="733"/>
      <c r="Y130" s="165" t="str">
        <f t="shared" si="60"/>
        <v/>
      </c>
      <c r="Z130" s="231">
        <f>IF(X130&gt;W130,-1,IF(W130=0,0,IF(U130&lt;(H130/0.75),-1,IF(W130&lt;=3,0,0.0001))))</f>
        <v>0</v>
      </c>
      <c r="AA130" s="166">
        <f>IFERROR(L130*W130,0)</f>
        <v>0</v>
      </c>
      <c r="AB130" s="166">
        <f t="shared" si="61"/>
        <v>0</v>
      </c>
      <c r="AC130" s="166">
        <f t="shared" si="62"/>
        <v>0</v>
      </c>
      <c r="AD130" s="166">
        <f>IFERROR(X130*T130,0)</f>
        <v>0</v>
      </c>
      <c r="AE130" s="166">
        <f>IFERROR(W130*H130,0)</f>
        <v>0</v>
      </c>
      <c r="AF130" s="166">
        <f>IFERROR(1-(AE130/AB130),0)</f>
        <v>0</v>
      </c>
      <c r="AG130" s="166">
        <f>IFERROR(SUM(W130:X130)*I130,0)</f>
        <v>0</v>
      </c>
      <c r="AH130" s="166">
        <f>IFERROR(IF(V130&gt;0,V130*W130,(Y130*W130)),0)</f>
        <v>0</v>
      </c>
      <c r="AI130" s="166">
        <f>IFERROR(SUM(W130)*H130,0)</f>
        <v>0</v>
      </c>
      <c r="AJ130" s="166">
        <f>AH130*$AJ$25</f>
        <v>0</v>
      </c>
      <c r="AK130" s="166">
        <f>AH130*AK$25</f>
        <v>0</v>
      </c>
      <c r="AL130" s="166">
        <f>AH130*AL$25</f>
        <v>0</v>
      </c>
      <c r="AM130" s="166">
        <f>SUM(AJ130:AL130)</f>
        <v>0</v>
      </c>
      <c r="AN130" s="166">
        <f>AH130-AM130</f>
        <v>0</v>
      </c>
      <c r="AO130" s="166">
        <f>AN130-AI130</f>
        <v>0</v>
      </c>
      <c r="AP130" s="167">
        <f>IFERROR(IF(V130&lt;&gt;"",1-(H130/V130),IF(Y130&lt;&gt;"",1-(H130/Y130),1-(H130/L130))),0)</f>
        <v>1</v>
      </c>
      <c r="AQ130" s="168">
        <f>H130/0.75</f>
        <v>0</v>
      </c>
      <c r="AR130" s="543">
        <v>24</v>
      </c>
      <c r="AS130" s="202">
        <f t="shared" si="82"/>
        <v>100</v>
      </c>
      <c r="AT130" s="197">
        <f>IFERROR(1-(AI130/AH130),0)</f>
        <v>0</v>
      </c>
      <c r="AU130" s="199">
        <f>IFERROR(AO130/AH130,0)</f>
        <v>0</v>
      </c>
      <c r="AV130" s="169"/>
      <c r="AW130" s="167" t="e">
        <f>VLOOKUP(AX130,Sup!#REF!,8,0)</f>
        <v>#REF!</v>
      </c>
      <c r="AX130" s="992" t="s">
        <v>197</v>
      </c>
      <c r="AY130" s="556">
        <v>0</v>
      </c>
      <c r="AZ130" s="43"/>
      <c r="BA130" s="43"/>
      <c r="BB130" s="35">
        <f t="shared" si="81"/>
        <v>0</v>
      </c>
      <c r="BC130" s="43">
        <f>IF(BE130&lt;0,BE130,0)</f>
        <v>0</v>
      </c>
      <c r="BD130" s="43" t="str">
        <f t="shared" si="63"/>
        <v/>
      </c>
      <c r="BE130" s="44">
        <f>IF(V130="",0,(V130*W130)-(BD130*W130))</f>
        <v>0</v>
      </c>
      <c r="BF130" s="971"/>
      <c r="BG130" s="236"/>
      <c r="BH130" s="12"/>
      <c r="BI130" s="12"/>
      <c r="BJ130" s="12"/>
      <c r="BK130" s="12"/>
      <c r="BL130" s="12"/>
      <c r="BM130" s="980"/>
      <c r="BN130" s="367"/>
      <c r="BO130" s="981"/>
      <c r="BP130" s="12"/>
      <c r="BQ130" s="12"/>
      <c r="BR130" s="12"/>
      <c r="BS130" s="973"/>
      <c r="BT130" s="12"/>
      <c r="BU130" s="12"/>
      <c r="BV130" s="12"/>
      <c r="BW130" s="982" t="s">
        <v>394</v>
      </c>
      <c r="BX130" s="983">
        <f>IFERROR(W130*U130,0)</f>
        <v>0</v>
      </c>
      <c r="BY130" s="12" t="e">
        <f>VLOOKUP(B130,#REF!,13,0)</f>
        <v>#REF!</v>
      </c>
      <c r="BZ130" s="1065">
        <v>61.9</v>
      </c>
      <c r="CA130" s="1181" t="e">
        <f>VLOOKUP(B130,Pedido!$B$16:$L$292,22,0)</f>
        <v>#N/A</v>
      </c>
    </row>
    <row r="131" spans="1:79" ht="39.75" customHeight="1" thickBot="1">
      <c r="A131" s="524"/>
      <c r="B131" s="158" t="s">
        <v>610</v>
      </c>
      <c r="C131" s="158"/>
      <c r="D131" s="404" t="s">
        <v>613</v>
      </c>
      <c r="E131" s="405" t="s">
        <v>80</v>
      </c>
      <c r="F131" s="406" t="s">
        <v>61</v>
      </c>
      <c r="G131" s="407">
        <v>30</v>
      </c>
      <c r="H131" s="1163"/>
      <c r="I131" s="159">
        <v>99.9</v>
      </c>
      <c r="J131" s="160" t="str">
        <f>IFERROR(IF(T131&lt;&gt;"",I131/T131,IF(AND(Y131="",V131=""),"",IF(V131="",I131/Y131,I131/V131))),"")</f>
        <v/>
      </c>
      <c r="K131" s="161" t="str">
        <f>IF(T131="","",IFERROR(1-(T131/I131),0))</f>
        <v/>
      </c>
      <c r="L131" s="244">
        <v>70.900000000000006</v>
      </c>
      <c r="M131" s="477">
        <v>62.9</v>
      </c>
      <c r="N131" s="477">
        <v>62.9</v>
      </c>
      <c r="O131" s="477">
        <v>62.9</v>
      </c>
      <c r="P131" s="162">
        <v>62.9</v>
      </c>
      <c r="Q131" s="162">
        <v>57.9</v>
      </c>
      <c r="R131" s="162">
        <v>56.9</v>
      </c>
      <c r="S131" s="163">
        <v>54.9</v>
      </c>
      <c r="T131" s="246" t="str">
        <f>IF(V131&gt;0,V131,IFERROR(IF(AND(W131&lt;&gt;"",X131&lt;&gt;""),AH131/W131,Y131),""))</f>
        <v/>
      </c>
      <c r="U131" s="152" t="str">
        <f>IFERROR((T131*W131)/(W131+X131),"")</f>
        <v/>
      </c>
      <c r="V131" s="735"/>
      <c r="W131" s="1103"/>
      <c r="X131" s="733"/>
      <c r="Y131" s="165" t="str">
        <f t="shared" si="60"/>
        <v/>
      </c>
      <c r="Z131" s="231">
        <f>IF(X131&gt;W131,-1,IF(W131=0,0,IF(U131&lt;(H131/0.75),-1,IF(W131&lt;=3,0,0.0001))))</f>
        <v>0</v>
      </c>
      <c r="AA131" s="166">
        <f>IFERROR(L131*W131,0)</f>
        <v>0</v>
      </c>
      <c r="AB131" s="166">
        <f t="shared" si="61"/>
        <v>0</v>
      </c>
      <c r="AC131" s="166">
        <f t="shared" si="62"/>
        <v>0</v>
      </c>
      <c r="AD131" s="166">
        <f>IFERROR(X131*T131,0)</f>
        <v>0</v>
      </c>
      <c r="AE131" s="166">
        <f>IFERROR(W131*H131,0)</f>
        <v>0</v>
      </c>
      <c r="AF131" s="166">
        <f>IFERROR(1-(AE131/AB131),0)</f>
        <v>0</v>
      </c>
      <c r="AG131" s="166">
        <f>IFERROR(SUM(W131:X131)*I131,0)</f>
        <v>0</v>
      </c>
      <c r="AH131" s="166">
        <f>IFERROR(IF(V131&gt;0,V131*W131,(Y131*W131)),0)</f>
        <v>0</v>
      </c>
      <c r="AI131" s="166">
        <f>IFERROR(SUM(W131)*H131,0)</f>
        <v>0</v>
      </c>
      <c r="AJ131" s="166">
        <f>AH131*$AJ$25</f>
        <v>0</v>
      </c>
      <c r="AK131" s="166">
        <f>AH131*AK$25</f>
        <v>0</v>
      </c>
      <c r="AL131" s="166">
        <f>AH131*AL$25</f>
        <v>0</v>
      </c>
      <c r="AM131" s="166">
        <f>SUM(AJ131:AL131)</f>
        <v>0</v>
      </c>
      <c r="AN131" s="166">
        <f>AH131-AM131</f>
        <v>0</v>
      </c>
      <c r="AO131" s="166">
        <f>AN131-AI131</f>
        <v>0</v>
      </c>
      <c r="AP131" s="167">
        <f>IFERROR(IF(V131&lt;&gt;"",1-(H131/V131),IF(Y131&lt;&gt;"",1-(H131/Y131),1-(H131/L131))),0)</f>
        <v>1</v>
      </c>
      <c r="AQ131" s="168">
        <f>H131/0.75</f>
        <v>0</v>
      </c>
      <c r="AR131" s="543">
        <v>24</v>
      </c>
      <c r="AS131" s="202">
        <f t="shared" si="82"/>
        <v>100</v>
      </c>
      <c r="AT131" s="197">
        <f>IFERROR(1-(AI131/AH131),0)</f>
        <v>0</v>
      </c>
      <c r="AU131" s="199">
        <f>IFERROR(AO131/AH131,0)</f>
        <v>0</v>
      </c>
      <c r="AV131" s="169"/>
      <c r="AW131" s="167" t="e">
        <f>VLOOKUP(AX131,Sup!#REF!,8,0)</f>
        <v>#REF!</v>
      </c>
      <c r="AX131" s="992" t="s">
        <v>197</v>
      </c>
      <c r="AY131" s="556">
        <v>0</v>
      </c>
      <c r="AZ131" s="43"/>
      <c r="BA131" s="43"/>
      <c r="BB131" s="35">
        <f t="shared" si="81"/>
        <v>0</v>
      </c>
      <c r="BC131" s="43">
        <f>IF(BE131&lt;0,BE131,0)</f>
        <v>0</v>
      </c>
      <c r="BD131" s="43" t="str">
        <f t="shared" si="63"/>
        <v/>
      </c>
      <c r="BE131" s="44">
        <f>IF(V131="",0,(V131*W131)-(BD131*W131))</f>
        <v>0</v>
      </c>
      <c r="BF131" s="971"/>
      <c r="BG131" s="236"/>
      <c r="BH131" s="12"/>
      <c r="BI131" s="12"/>
      <c r="BJ131" s="12"/>
      <c r="BK131" s="12"/>
      <c r="BL131" s="12"/>
      <c r="BM131" s="980"/>
      <c r="BN131" s="367"/>
      <c r="BO131" s="981"/>
      <c r="BP131" s="12"/>
      <c r="BQ131" s="12"/>
      <c r="BR131" s="12"/>
      <c r="BS131" s="973"/>
      <c r="BT131" s="12"/>
      <c r="BU131" s="12"/>
      <c r="BV131" s="12"/>
      <c r="BW131" s="982" t="s">
        <v>394</v>
      </c>
      <c r="BX131" s="983">
        <f>IFERROR(W131*U131,0)</f>
        <v>0</v>
      </c>
      <c r="BY131" s="12" t="e">
        <f>VLOOKUP(B131,#REF!,13,0)</f>
        <v>#REF!</v>
      </c>
      <c r="BZ131" s="1065">
        <v>61.9</v>
      </c>
      <c r="CA131" s="1181" t="e">
        <f>VLOOKUP(B131,Pedido!$B$16:$L$292,22,0)</f>
        <v>#N/A</v>
      </c>
    </row>
    <row r="132" spans="1:79" ht="39.75" customHeight="1" thickBot="1">
      <c r="A132" s="524"/>
      <c r="B132" s="158" t="s">
        <v>611</v>
      </c>
      <c r="C132" s="158"/>
      <c r="D132" s="404" t="s">
        <v>613</v>
      </c>
      <c r="E132" s="405" t="s">
        <v>80</v>
      </c>
      <c r="F132" s="406" t="s">
        <v>61</v>
      </c>
      <c r="G132" s="407">
        <v>60</v>
      </c>
      <c r="H132" s="1163"/>
      <c r="I132" s="159">
        <v>139.9</v>
      </c>
      <c r="J132" s="160" t="str">
        <f>IFERROR(IF(T132&lt;&gt;"",I132/T132,IF(AND(Y132="",V132=""),"",IF(V132="",I132/Y132,I132/V132))),"")</f>
        <v/>
      </c>
      <c r="K132" s="161" t="str">
        <f>IF(T132="","",IFERROR(1-(T132/I132),0))</f>
        <v/>
      </c>
      <c r="L132" s="244">
        <v>97.9</v>
      </c>
      <c r="M132" s="477">
        <v>86.9</v>
      </c>
      <c r="N132" s="477">
        <v>86.9</v>
      </c>
      <c r="O132" s="477">
        <v>86.9</v>
      </c>
      <c r="P132" s="162">
        <v>86.9</v>
      </c>
      <c r="Q132" s="162">
        <v>80.900000000000006</v>
      </c>
      <c r="R132" s="162">
        <v>79.900000000000006</v>
      </c>
      <c r="S132" s="163">
        <v>76.900000000000006</v>
      </c>
      <c r="T132" s="246" t="str">
        <f>IF(V132&gt;0,V132,IFERROR(IF(AND(W132&lt;&gt;"",X132&lt;&gt;""),AH132/W132,Y132),""))</f>
        <v/>
      </c>
      <c r="U132" s="152" t="str">
        <f>IFERROR((T132*W132)/(W132+X132),"")</f>
        <v/>
      </c>
      <c r="V132" s="735"/>
      <c r="W132" s="1103"/>
      <c r="X132" s="733"/>
      <c r="Y132" s="165" t="str">
        <f t="shared" si="60"/>
        <v/>
      </c>
      <c r="Z132" s="231">
        <f>IF(X132&gt;W132,-1,IF(W132=0,0,IF(U132&lt;(H132/0.75),-1,IF(W132&lt;=3,0,0.0001))))</f>
        <v>0</v>
      </c>
      <c r="AA132" s="166">
        <f>IFERROR(L132*W132,0)</f>
        <v>0</v>
      </c>
      <c r="AB132" s="166">
        <f t="shared" ref="AB132:AB163" si="83">IFERROR(IF(OR($AA$373&gt;=$S$26,SUMIF($C:$C,C132,$W:$W)&gt;=$S$27),S132,IF(OR($AA$373&gt;=$R$26,SUMIF($C:$C,C132,$W:$W)&gt;=$R$27),R132,IF(OR($AA$373&gt;=$Q$26,SUMIF($C:$C,C132,$W:$W)&gt;=$Q$27),Q132,IF(OR($AA$373&gt;=$P$26,SUMIF($C:$C,C132,$W:$W)&gt;=$P$27),P132,IF(OR($AA$373&gt;=$O$26,SUMIF($C:$C,C132,$W:$W)&gt;=$O$27),O132,IF(OR($AA$373&gt;=$N$26,SUMIF($C:$C,C132,$W:$W)&gt;=$N$27),N132,IF($AA$373&gt;=$M$26,M132,L132)))))))*W132,0)</f>
        <v>0</v>
      </c>
      <c r="AC132" s="166">
        <f t="shared" ref="AC132:AC163" si="84">IFERROR(IF(V132="",0,(IF(AND(W132="",X132=""),"",IF(OR($AA$373&gt;=$S$26,SUMIF($C:$C,C132,$W:$W)&gt;=$S$27),S132*$E$13,IF(OR($AA$373&gt;=$R$26,SUMIF($C:$C,C132,$W:$W)&gt;=$R$27),R132*$E$13,IF(OR($AA$373&gt;=$Q$26,SUMIF($C:$C,C132,$W:$W)&gt;=$Q$27),Q132*$E$13,IF(OR($AA$373&gt;=$P$26,SUMIF($C:$C,C132,$W:$W)&gt;=$P$27),P132*$E$13,IF(OR($AA$373&gt;=$O$26,SUMIF($C:$C,C132,$W:$W)&gt;=$O$27),O132*$E$13,IF(OR($AA$373&gt;=$N$26,SUMIF($C:$C,C132,$W:$W)&gt;=$N$27),N132*$E$13,IF($AA$373&gt;=$M$26,M132*$E$13,L132))))))))-V132)*W132),0)</f>
        <v>0</v>
      </c>
      <c r="AD132" s="166">
        <f>IFERROR(X132*T132,0)</f>
        <v>0</v>
      </c>
      <c r="AE132" s="166">
        <f>IFERROR(W132*H132,0)</f>
        <v>0</v>
      </c>
      <c r="AF132" s="166">
        <f>IFERROR(1-(AE132/AB132),0)</f>
        <v>0</v>
      </c>
      <c r="AG132" s="166">
        <f>IFERROR(SUM(W132:X132)*I132,0)</f>
        <v>0</v>
      </c>
      <c r="AH132" s="166">
        <f>IFERROR(IF(V132&gt;0,V132*W132,(Y132*W132)),0)</f>
        <v>0</v>
      </c>
      <c r="AI132" s="166">
        <f>IFERROR(SUM(W132)*H132,0)</f>
        <v>0</v>
      </c>
      <c r="AJ132" s="166">
        <f>AH132*$AJ$25</f>
        <v>0</v>
      </c>
      <c r="AK132" s="166">
        <f>AH132*AK$25</f>
        <v>0</v>
      </c>
      <c r="AL132" s="166">
        <f>AH132*AL$25</f>
        <v>0</v>
      </c>
      <c r="AM132" s="166">
        <f>SUM(AJ132:AL132)</f>
        <v>0</v>
      </c>
      <c r="AN132" s="166">
        <f>AH132-AM132</f>
        <v>0</v>
      </c>
      <c r="AO132" s="166">
        <f>AN132-AI132</f>
        <v>0</v>
      </c>
      <c r="AP132" s="167">
        <f>IFERROR(IF(V132&lt;&gt;"",1-(H132/V132),IF(Y132&lt;&gt;"",1-(H132/Y132),1-(H132/L132))),0)</f>
        <v>1</v>
      </c>
      <c r="AQ132" s="168">
        <f>H132/0.75</f>
        <v>0</v>
      </c>
      <c r="AR132" s="543">
        <v>24</v>
      </c>
      <c r="AS132" s="202">
        <f t="shared" si="82"/>
        <v>100</v>
      </c>
      <c r="AT132" s="197">
        <f>IFERROR(1-(AI132/AH132),0)</f>
        <v>0</v>
      </c>
      <c r="AU132" s="199">
        <f>IFERROR(AO132/AH132,0)</f>
        <v>0</v>
      </c>
      <c r="AV132" s="169"/>
      <c r="AW132" s="167" t="e">
        <f>VLOOKUP(AX132,Sup!#REF!,8,0)</f>
        <v>#REF!</v>
      </c>
      <c r="AX132" s="992" t="s">
        <v>197</v>
      </c>
      <c r="AY132" s="556">
        <v>0</v>
      </c>
      <c r="AZ132" s="43"/>
      <c r="BA132" s="43"/>
      <c r="BB132" s="35">
        <f t="shared" si="81"/>
        <v>0</v>
      </c>
      <c r="BC132" s="43">
        <f>IF(BE132&lt;0,BE132,0)</f>
        <v>0</v>
      </c>
      <c r="BD132" s="43" t="str">
        <f t="shared" ref="BD132:BD163" si="85">IFERROR(IF(AND(W132="",X132=""),"",IF(OR($AA$373&gt;=$S$26,SUMIF($C:$C,C132,$W:$W)&gt;=$S$27),S132,IF(OR($AA$373&gt;=$R$26,SUMIF($C:$C,C132,$W:$W)&gt;=$R$27),R132,IF(OR($AA$373&gt;=$Q$26,SUMIF($C:$C,C132,$W:$W)&gt;=$Q$27),Q132,IF(OR($AA$373&gt;=$P$26,SUMIF($C:$C,C132,$W:$W)&gt;=$P$27),P132,IF(OR($AA$373&gt;=$O$26,SUMIF($C:$C,C132,$W:$W)&gt;=$O$27),O132,IF(OR($AA$373&gt;=$N$26,SUMIF($C:$C,C132,$W:$W)&gt;=$N$27),N132,IF($AA$373&gt;=$M$26,M132,L132)))))))*$E$13),0)</f>
        <v/>
      </c>
      <c r="BE132" s="44">
        <f>IF(V132="",0,(V132*W132)-(BD132*W132))</f>
        <v>0</v>
      </c>
      <c r="BF132" s="971"/>
      <c r="BG132" s="236"/>
      <c r="BH132" s="12"/>
      <c r="BI132" s="12"/>
      <c r="BJ132" s="12"/>
      <c r="BK132" s="12"/>
      <c r="BL132" s="12"/>
      <c r="BM132" s="980"/>
      <c r="BN132" s="367"/>
      <c r="BO132" s="981"/>
      <c r="BP132" s="12"/>
      <c r="BQ132" s="12"/>
      <c r="BR132" s="12"/>
      <c r="BS132" s="973"/>
      <c r="BT132" s="12"/>
      <c r="BU132" s="12"/>
      <c r="BV132" s="12"/>
      <c r="BW132" s="982" t="s">
        <v>394</v>
      </c>
      <c r="BX132" s="983">
        <f>IFERROR(W132*U132,0)</f>
        <v>0</v>
      </c>
      <c r="BY132" s="12" t="e">
        <f>VLOOKUP(B132,#REF!,13,0)</f>
        <v>#REF!</v>
      </c>
      <c r="BZ132" s="1065">
        <v>61.9</v>
      </c>
      <c r="CA132" s="1181" t="e">
        <f>VLOOKUP(B132,Pedido!$B$16:$L$292,22,0)</f>
        <v>#N/A</v>
      </c>
    </row>
    <row r="133" spans="1:79" ht="30.75" customHeight="1" thickBot="1">
      <c r="A133" s="524"/>
      <c r="B133" s="158" t="s">
        <v>107</v>
      </c>
      <c r="C133" s="158" t="str">
        <f>LEFT(B133,6)</f>
        <v>PCPFIS</v>
      </c>
      <c r="D133" s="404" t="s">
        <v>108</v>
      </c>
      <c r="E133" s="405" t="s">
        <v>80</v>
      </c>
      <c r="F133" s="406" t="s">
        <v>61</v>
      </c>
      <c r="G133" s="407">
        <v>120</v>
      </c>
      <c r="H133" s="1163">
        <v>29.688125281980529</v>
      </c>
      <c r="I133" s="159">
        <v>119.9</v>
      </c>
      <c r="J133" s="160" t="str">
        <f t="shared" si="79"/>
        <v/>
      </c>
      <c r="K133" s="161" t="str">
        <f t="shared" si="40"/>
        <v/>
      </c>
      <c r="L133" s="244">
        <v>84.9</v>
      </c>
      <c r="M133" s="477">
        <v>74.900000000000006</v>
      </c>
      <c r="N133" s="477">
        <v>74.900000000000006</v>
      </c>
      <c r="O133" s="477">
        <v>74.900000000000006</v>
      </c>
      <c r="P133" s="162">
        <v>74.900000000000006</v>
      </c>
      <c r="Q133" s="162">
        <v>68.900000000000006</v>
      </c>
      <c r="R133" s="162">
        <v>67.900000000000006</v>
      </c>
      <c r="S133" s="163">
        <v>64.900000000000006</v>
      </c>
      <c r="T133" s="246" t="str">
        <f t="shared" si="64"/>
        <v/>
      </c>
      <c r="U133" s="152" t="str">
        <f t="shared" si="65"/>
        <v/>
      </c>
      <c r="V133" s="735"/>
      <c r="W133" s="1103"/>
      <c r="X133" s="733"/>
      <c r="Y133" s="165" t="str">
        <f t="shared" si="60"/>
        <v/>
      </c>
      <c r="Z133" s="231">
        <f t="shared" si="66"/>
        <v>0</v>
      </c>
      <c r="AA133" s="166">
        <f t="shared" si="67"/>
        <v>0</v>
      </c>
      <c r="AB133" s="166">
        <f t="shared" si="83"/>
        <v>0</v>
      </c>
      <c r="AC133" s="166">
        <f t="shared" si="84"/>
        <v>0</v>
      </c>
      <c r="AD133" s="166">
        <f t="shared" si="51"/>
        <v>0</v>
      </c>
      <c r="AE133" s="166">
        <f t="shared" si="41"/>
        <v>0</v>
      </c>
      <c r="AF133" s="166">
        <f t="shared" si="42"/>
        <v>0</v>
      </c>
      <c r="AG133" s="166">
        <f t="shared" si="43"/>
        <v>0</v>
      </c>
      <c r="AH133" s="166">
        <f t="shared" si="44"/>
        <v>0</v>
      </c>
      <c r="AI133" s="166">
        <f t="shared" si="45"/>
        <v>0</v>
      </c>
      <c r="AJ133" s="166">
        <f t="shared" si="68"/>
        <v>0</v>
      </c>
      <c r="AK133" s="166">
        <f t="shared" si="69"/>
        <v>0</v>
      </c>
      <c r="AL133" s="166">
        <f t="shared" si="70"/>
        <v>0</v>
      </c>
      <c r="AM133" s="166">
        <f t="shared" si="46"/>
        <v>0</v>
      </c>
      <c r="AN133" s="166">
        <f t="shared" si="71"/>
        <v>0</v>
      </c>
      <c r="AO133" s="166">
        <f t="shared" si="72"/>
        <v>0</v>
      </c>
      <c r="AP133" s="167">
        <f t="shared" si="47"/>
        <v>0.65031654555971108</v>
      </c>
      <c r="AQ133" s="168">
        <f t="shared" si="48"/>
        <v>39.584167042640708</v>
      </c>
      <c r="AR133" s="543">
        <v>24</v>
      </c>
      <c r="AS133" s="202">
        <f t="shared" si="82"/>
        <v>65.031654555971102</v>
      </c>
      <c r="AT133" s="197">
        <f t="shared" si="73"/>
        <v>0</v>
      </c>
      <c r="AU133" s="199">
        <f t="shared" si="74"/>
        <v>0</v>
      </c>
      <c r="AV133" s="169"/>
      <c r="AW133" s="167" t="e">
        <f>VLOOKUP(AX133,Sup!#REF!,8,0)</f>
        <v>#REF!</v>
      </c>
      <c r="AX133" s="992" t="s">
        <v>197</v>
      </c>
      <c r="AY133" s="556">
        <v>0</v>
      </c>
      <c r="AZ133" s="43"/>
      <c r="BA133" s="43"/>
      <c r="BB133" s="35">
        <f t="shared" si="81"/>
        <v>0</v>
      </c>
      <c r="BC133" s="43">
        <f t="shared" si="75"/>
        <v>0</v>
      </c>
      <c r="BD133" s="43" t="str">
        <f t="shared" si="85"/>
        <v/>
      </c>
      <c r="BE133" s="44">
        <f t="shared" si="49"/>
        <v>0</v>
      </c>
      <c r="BF133" s="971"/>
      <c r="BG133" s="236"/>
      <c r="BH133" s="12"/>
      <c r="BI133" s="12"/>
      <c r="BJ133" s="12"/>
      <c r="BK133" s="12"/>
      <c r="BL133" s="12"/>
      <c r="BM133" s="980"/>
      <c r="BN133" s="367"/>
      <c r="BO133" s="981"/>
      <c r="BP133" s="12"/>
      <c r="BQ133" s="12"/>
      <c r="BR133" s="12"/>
      <c r="BS133" s="973"/>
      <c r="BT133" s="12"/>
      <c r="BU133" s="12"/>
      <c r="BV133" s="12"/>
      <c r="BW133" s="982" t="s">
        <v>394</v>
      </c>
      <c r="BX133" s="983">
        <f t="shared" si="50"/>
        <v>0</v>
      </c>
      <c r="BY133" s="12" t="e">
        <f>VLOOKUP(B133,#REF!,13,0)</f>
        <v>#REF!</v>
      </c>
      <c r="BZ133" s="1065">
        <v>61.9</v>
      </c>
      <c r="CA133" s="1181" t="e">
        <f>VLOOKUP(B133,Pedido!$B$16:$L$292,22,0)</f>
        <v>#N/A</v>
      </c>
    </row>
    <row r="134" spans="1:79" ht="72.75" customHeight="1" thickBot="1">
      <c r="A134" s="524"/>
      <c r="B134" s="141" t="s">
        <v>215</v>
      </c>
      <c r="C134" s="141" t="str">
        <f>LEFT(B134,6)</f>
        <v>300001</v>
      </c>
      <c r="D134" s="408" t="s">
        <v>219</v>
      </c>
      <c r="E134" s="409" t="s">
        <v>80</v>
      </c>
      <c r="F134" s="410" t="s">
        <v>61</v>
      </c>
      <c r="G134" s="411">
        <v>60</v>
      </c>
      <c r="H134" s="1155">
        <v>41.140855865833821</v>
      </c>
      <c r="I134" s="142">
        <v>149.9</v>
      </c>
      <c r="J134" s="143" t="str">
        <f t="shared" si="79"/>
        <v/>
      </c>
      <c r="K134" s="144" t="str">
        <f t="shared" si="40"/>
        <v/>
      </c>
      <c r="L134" s="242">
        <v>107.9</v>
      </c>
      <c r="M134" s="474">
        <f t="shared" si="76"/>
        <v>94.9</v>
      </c>
      <c r="N134" s="474">
        <f t="shared" si="77"/>
        <v>94.9</v>
      </c>
      <c r="O134" s="474">
        <f t="shared" si="78"/>
        <v>94.9</v>
      </c>
      <c r="P134" s="145">
        <v>94.9</v>
      </c>
      <c r="Q134" s="145">
        <v>87.9</v>
      </c>
      <c r="R134" s="145">
        <v>85.9</v>
      </c>
      <c r="S134" s="146">
        <v>82.9</v>
      </c>
      <c r="T134" s="246" t="str">
        <f t="shared" si="64"/>
        <v/>
      </c>
      <c r="U134" s="298" t="str">
        <f t="shared" si="65"/>
        <v/>
      </c>
      <c r="V134" s="490"/>
      <c r="W134" s="1100"/>
      <c r="X134" s="264"/>
      <c r="Y134" s="113" t="str">
        <f t="shared" si="60"/>
        <v/>
      </c>
      <c r="Z134" s="223">
        <f t="shared" si="66"/>
        <v>0</v>
      </c>
      <c r="AA134" s="147">
        <f t="shared" si="67"/>
        <v>0</v>
      </c>
      <c r="AB134" s="147">
        <f t="shared" si="83"/>
        <v>0</v>
      </c>
      <c r="AC134" s="147">
        <f t="shared" si="84"/>
        <v>0</v>
      </c>
      <c r="AD134" s="147">
        <f t="shared" si="51"/>
        <v>0</v>
      </c>
      <c r="AE134" s="147">
        <f t="shared" si="41"/>
        <v>0</v>
      </c>
      <c r="AF134" s="147">
        <f t="shared" si="42"/>
        <v>0</v>
      </c>
      <c r="AG134" s="148">
        <f t="shared" si="43"/>
        <v>0</v>
      </c>
      <c r="AH134" s="147">
        <f t="shared" si="44"/>
        <v>0</v>
      </c>
      <c r="AI134" s="147">
        <f t="shared" si="45"/>
        <v>0</v>
      </c>
      <c r="AJ134" s="147">
        <f t="shared" si="68"/>
        <v>0</v>
      </c>
      <c r="AK134" s="147">
        <f t="shared" si="69"/>
        <v>0</v>
      </c>
      <c r="AL134" s="147">
        <f t="shared" si="70"/>
        <v>0</v>
      </c>
      <c r="AM134" s="147">
        <f t="shared" si="46"/>
        <v>0</v>
      </c>
      <c r="AN134" s="147">
        <f t="shared" si="71"/>
        <v>0</v>
      </c>
      <c r="AO134" s="147">
        <f t="shared" si="72"/>
        <v>0</v>
      </c>
      <c r="AP134" s="149">
        <f t="shared" si="47"/>
        <v>0.61871310597002949</v>
      </c>
      <c r="AQ134" s="150">
        <f t="shared" si="48"/>
        <v>54.854474487778425</v>
      </c>
      <c r="AR134" s="538">
        <v>24</v>
      </c>
      <c r="AS134" s="202">
        <f t="shared" si="82"/>
        <v>61.871310597002946</v>
      </c>
      <c r="AT134" s="197">
        <f t="shared" si="73"/>
        <v>0</v>
      </c>
      <c r="AU134" s="199">
        <f t="shared" si="74"/>
        <v>0</v>
      </c>
      <c r="AV134" s="110"/>
      <c r="AW134" s="149" t="e">
        <f>VLOOKUP(AX134,Sup!#REF!,8,0)</f>
        <v>#REF!</v>
      </c>
      <c r="AX134" s="1002" t="s">
        <v>198</v>
      </c>
      <c r="AY134" s="556">
        <v>0</v>
      </c>
      <c r="AZ134" s="43"/>
      <c r="BA134" s="43"/>
      <c r="BB134" s="35"/>
      <c r="BC134" s="43">
        <f t="shared" si="75"/>
        <v>0</v>
      </c>
      <c r="BD134" s="43" t="str">
        <f t="shared" si="85"/>
        <v/>
      </c>
      <c r="BE134" s="44">
        <f t="shared" si="49"/>
        <v>0</v>
      </c>
      <c r="BF134" s="971"/>
      <c r="BG134" s="236"/>
      <c r="BH134" s="12"/>
      <c r="BI134" s="12"/>
      <c r="BJ134" s="12"/>
      <c r="BK134" s="12"/>
      <c r="BL134" s="12"/>
      <c r="BM134" s="980"/>
      <c r="BN134" s="367"/>
      <c r="BO134" s="981"/>
      <c r="BP134" s="12"/>
      <c r="BQ134" s="12"/>
      <c r="BR134" s="12"/>
      <c r="BS134" s="973"/>
      <c r="BT134" s="12"/>
      <c r="BU134" s="12"/>
      <c r="BV134" s="12"/>
      <c r="BW134" s="982" t="s">
        <v>394</v>
      </c>
      <c r="BX134" s="983">
        <f t="shared" si="50"/>
        <v>0</v>
      </c>
      <c r="BY134" s="12" t="e">
        <f>VLOOKUP(B134,#REF!,13,0)</f>
        <v>#REF!</v>
      </c>
      <c r="BZ134" s="1058">
        <v>68.900000000000006</v>
      </c>
      <c r="CA134" s="1181" t="e">
        <f>VLOOKUP(B134,Pedido!$B$16:$L$292,22,0)</f>
        <v>#N/A</v>
      </c>
    </row>
    <row r="135" spans="1:79" ht="49.5" customHeight="1" thickBot="1">
      <c r="A135" s="524"/>
      <c r="B135" s="95" t="s">
        <v>228</v>
      </c>
      <c r="C135" s="95" t="s">
        <v>229</v>
      </c>
      <c r="D135" s="400" t="s">
        <v>115</v>
      </c>
      <c r="E135" s="401" t="s">
        <v>80</v>
      </c>
      <c r="F135" s="402" t="s">
        <v>61</v>
      </c>
      <c r="G135" s="415">
        <v>30</v>
      </c>
      <c r="H135" s="1151">
        <v>4.4837431446474465</v>
      </c>
      <c r="I135" s="96">
        <v>43.9</v>
      </c>
      <c r="J135" s="97" t="str">
        <f t="shared" si="79"/>
        <v/>
      </c>
      <c r="K135" s="98" t="str">
        <f t="shared" si="40"/>
        <v/>
      </c>
      <c r="L135" s="238">
        <v>29.9</v>
      </c>
      <c r="M135" s="471">
        <f t="shared" si="76"/>
        <v>25.9</v>
      </c>
      <c r="N135" s="471">
        <f t="shared" si="77"/>
        <v>25.9</v>
      </c>
      <c r="O135" s="471">
        <f t="shared" si="78"/>
        <v>25.9</v>
      </c>
      <c r="P135" s="99">
        <v>25.9</v>
      </c>
      <c r="Q135" s="99">
        <v>23.9</v>
      </c>
      <c r="R135" s="99">
        <v>22.9</v>
      </c>
      <c r="S135" s="100">
        <v>21.9</v>
      </c>
      <c r="T135" s="134" t="str">
        <f t="shared" si="64"/>
        <v/>
      </c>
      <c r="U135" s="152" t="str">
        <f t="shared" si="65"/>
        <v/>
      </c>
      <c r="V135" s="1107"/>
      <c r="W135" s="696"/>
      <c r="X135" s="171"/>
      <c r="Y135" s="151" t="str">
        <f t="shared" si="60"/>
        <v/>
      </c>
      <c r="Z135" s="224">
        <f t="shared" si="66"/>
        <v>0</v>
      </c>
      <c r="AA135" s="136">
        <f t="shared" si="67"/>
        <v>0</v>
      </c>
      <c r="AB135" s="123">
        <f t="shared" si="83"/>
        <v>0</v>
      </c>
      <c r="AC135" s="123">
        <f t="shared" si="84"/>
        <v>0</v>
      </c>
      <c r="AD135" s="123">
        <f t="shared" si="51"/>
        <v>0</v>
      </c>
      <c r="AE135" s="123">
        <f t="shared" si="41"/>
        <v>0</v>
      </c>
      <c r="AF135" s="123">
        <f t="shared" si="42"/>
        <v>0</v>
      </c>
      <c r="AG135" s="124">
        <f t="shared" si="43"/>
        <v>0</v>
      </c>
      <c r="AH135" s="123">
        <f t="shared" si="44"/>
        <v>0</v>
      </c>
      <c r="AI135" s="123">
        <f t="shared" si="45"/>
        <v>0</v>
      </c>
      <c r="AJ135" s="123">
        <f t="shared" si="68"/>
        <v>0</v>
      </c>
      <c r="AK135" s="123">
        <f t="shared" si="69"/>
        <v>0</v>
      </c>
      <c r="AL135" s="123">
        <f t="shared" si="70"/>
        <v>0</v>
      </c>
      <c r="AM135" s="123">
        <f t="shared" si="46"/>
        <v>0</v>
      </c>
      <c r="AN135" s="123">
        <f t="shared" si="71"/>
        <v>0</v>
      </c>
      <c r="AO135" s="123">
        <f t="shared" si="72"/>
        <v>0</v>
      </c>
      <c r="AP135" s="125">
        <f t="shared" si="47"/>
        <v>0.85004203529607203</v>
      </c>
      <c r="AQ135" s="126">
        <f t="shared" si="48"/>
        <v>5.978324192863262</v>
      </c>
      <c r="AR135" s="534">
        <v>60</v>
      </c>
      <c r="AS135" s="202">
        <f t="shared" si="82"/>
        <v>85.004203529607196</v>
      </c>
      <c r="AT135" s="197">
        <f t="shared" si="73"/>
        <v>0</v>
      </c>
      <c r="AU135" s="199">
        <f t="shared" si="74"/>
        <v>0</v>
      </c>
      <c r="AV135" s="110"/>
      <c r="AW135" s="138" t="e">
        <f>VLOOKUP(AX135,Sup!#REF!,8,0)</f>
        <v>#REF!</v>
      </c>
      <c r="AX135" s="993" t="s">
        <v>197</v>
      </c>
      <c r="AY135" s="556">
        <v>0</v>
      </c>
      <c r="AZ135" s="35"/>
      <c r="BA135" s="35"/>
      <c r="BB135" s="35"/>
      <c r="BC135" s="35">
        <f t="shared" si="75"/>
        <v>0</v>
      </c>
      <c r="BD135" s="35" t="str">
        <f t="shared" si="85"/>
        <v/>
      </c>
      <c r="BE135" s="45">
        <f t="shared" si="49"/>
        <v>0</v>
      </c>
      <c r="BF135" s="971"/>
      <c r="BG135" s="236"/>
      <c r="BH135" s="12"/>
      <c r="BI135" s="12"/>
      <c r="BJ135" s="12"/>
      <c r="BK135" s="12"/>
      <c r="BL135" s="12"/>
      <c r="BM135" s="980"/>
      <c r="BN135" s="367"/>
      <c r="BO135" s="981"/>
      <c r="BP135" s="12"/>
      <c r="BQ135" s="12"/>
      <c r="BR135" s="12"/>
      <c r="BS135" s="973"/>
      <c r="BT135" s="12"/>
      <c r="BU135" s="12"/>
      <c r="BV135" s="12"/>
      <c r="BW135" s="982" t="s">
        <v>394</v>
      </c>
      <c r="BX135" s="983">
        <f t="shared" si="50"/>
        <v>0</v>
      </c>
      <c r="BY135" s="12" t="e">
        <f>VLOOKUP(B135,#REF!,13,0)</f>
        <v>#REF!</v>
      </c>
      <c r="BZ135" s="1054">
        <v>16.899999999999999</v>
      </c>
      <c r="CA135" s="1181" t="e">
        <f>VLOOKUP(B135,Pedido!$B$16:$L$292,22,0)</f>
        <v>#N/A</v>
      </c>
    </row>
    <row r="136" spans="1:79" ht="49.5" customHeight="1" thickBot="1">
      <c r="A136" s="524"/>
      <c r="B136" s="95" t="s">
        <v>114</v>
      </c>
      <c r="C136" s="95" t="str">
        <f>LEFT(B136,6)</f>
        <v>PCPMVT</v>
      </c>
      <c r="D136" s="400" t="s">
        <v>115</v>
      </c>
      <c r="E136" s="401" t="s">
        <v>80</v>
      </c>
      <c r="F136" s="402" t="s">
        <v>61</v>
      </c>
      <c r="G136" s="415">
        <v>90</v>
      </c>
      <c r="H136" s="1151">
        <v>9.5135326476067039</v>
      </c>
      <c r="I136" s="96">
        <v>89.9</v>
      </c>
      <c r="J136" s="97" t="str">
        <f t="shared" si="79"/>
        <v/>
      </c>
      <c r="K136" s="98" t="str">
        <f t="shared" si="40"/>
        <v/>
      </c>
      <c r="L136" s="238">
        <v>58.9</v>
      </c>
      <c r="M136" s="471">
        <v>51.9</v>
      </c>
      <c r="N136" s="471">
        <v>51.9</v>
      </c>
      <c r="O136" s="471">
        <v>51.9</v>
      </c>
      <c r="P136" s="99">
        <v>51.9</v>
      </c>
      <c r="Q136" s="99">
        <v>47.9</v>
      </c>
      <c r="R136" s="99">
        <v>46.9</v>
      </c>
      <c r="S136" s="100">
        <v>44.9</v>
      </c>
      <c r="T136" s="580" t="str">
        <f t="shared" si="64"/>
        <v/>
      </c>
      <c r="U136" s="152" t="str">
        <f t="shared" si="65"/>
        <v/>
      </c>
      <c r="V136" s="1107"/>
      <c r="W136" s="696"/>
      <c r="X136" s="171"/>
      <c r="Y136" s="151" t="str">
        <f t="shared" si="60"/>
        <v/>
      </c>
      <c r="Z136" s="460">
        <f t="shared" si="66"/>
        <v>0</v>
      </c>
      <c r="AA136" s="136">
        <f t="shared" si="67"/>
        <v>0</v>
      </c>
      <c r="AB136" s="123">
        <f t="shared" si="83"/>
        <v>0</v>
      </c>
      <c r="AC136" s="123">
        <f t="shared" si="84"/>
        <v>0</v>
      </c>
      <c r="AD136" s="123">
        <f t="shared" si="51"/>
        <v>0</v>
      </c>
      <c r="AE136" s="123">
        <f t="shared" si="41"/>
        <v>0</v>
      </c>
      <c r="AF136" s="123">
        <f t="shared" si="42"/>
        <v>0</v>
      </c>
      <c r="AG136" s="124">
        <f t="shared" si="43"/>
        <v>0</v>
      </c>
      <c r="AH136" s="123">
        <f t="shared" si="44"/>
        <v>0</v>
      </c>
      <c r="AI136" s="123">
        <f t="shared" si="45"/>
        <v>0</v>
      </c>
      <c r="AJ136" s="123">
        <f t="shared" si="68"/>
        <v>0</v>
      </c>
      <c r="AK136" s="123">
        <f t="shared" si="69"/>
        <v>0</v>
      </c>
      <c r="AL136" s="123">
        <f t="shared" si="70"/>
        <v>0</v>
      </c>
      <c r="AM136" s="123">
        <f t="shared" si="46"/>
        <v>0</v>
      </c>
      <c r="AN136" s="123">
        <f t="shared" si="71"/>
        <v>0</v>
      </c>
      <c r="AO136" s="123">
        <f t="shared" si="72"/>
        <v>0</v>
      </c>
      <c r="AP136" s="125">
        <f t="shared" si="47"/>
        <v>0.83847992109326475</v>
      </c>
      <c r="AQ136" s="126">
        <f t="shared" si="48"/>
        <v>12.684710196808938</v>
      </c>
      <c r="AR136" s="534">
        <v>60</v>
      </c>
      <c r="AS136" s="202">
        <f t="shared" si="82"/>
        <v>83.847992109326469</v>
      </c>
      <c r="AT136" s="197">
        <f t="shared" si="73"/>
        <v>0</v>
      </c>
      <c r="AU136" s="199">
        <f t="shared" si="74"/>
        <v>0</v>
      </c>
      <c r="AV136" s="110"/>
      <c r="AW136" s="138" t="e">
        <f>VLOOKUP(AX136,Sup!#REF!,8,0)</f>
        <v>#REF!</v>
      </c>
      <c r="AX136" s="993" t="s">
        <v>197</v>
      </c>
      <c r="AY136" s="556">
        <v>0</v>
      </c>
      <c r="AZ136" s="35"/>
      <c r="BA136" s="35"/>
      <c r="BB136" s="35">
        <f>IF($F$14="NOVO/REATIVAÇÃO",W136*7*1.4,W136*7)</f>
        <v>0</v>
      </c>
      <c r="BC136" s="35">
        <f t="shared" si="75"/>
        <v>0</v>
      </c>
      <c r="BD136" s="35" t="str">
        <f t="shared" si="85"/>
        <v/>
      </c>
      <c r="BE136" s="45">
        <f t="shared" si="49"/>
        <v>0</v>
      </c>
      <c r="BF136" s="971"/>
      <c r="BG136" s="236"/>
      <c r="BH136" s="12"/>
      <c r="BI136" s="12"/>
      <c r="BJ136" s="12"/>
      <c r="BK136" s="12"/>
      <c r="BL136" s="12"/>
      <c r="BM136" s="980"/>
      <c r="BN136" s="367"/>
      <c r="BO136" s="981"/>
      <c r="BP136" s="12"/>
      <c r="BQ136" s="12"/>
      <c r="BR136" s="12"/>
      <c r="BS136" s="973"/>
      <c r="BT136" s="12"/>
      <c r="BU136" s="12"/>
      <c r="BV136" s="12"/>
      <c r="BW136" s="982" t="s">
        <v>394</v>
      </c>
      <c r="BX136" s="983">
        <f t="shared" si="50"/>
        <v>0</v>
      </c>
      <c r="BY136" s="12" t="e">
        <f>VLOOKUP(B136,#REF!,13,0)</f>
        <v>#REF!</v>
      </c>
      <c r="BZ136" s="1054">
        <v>42.9</v>
      </c>
      <c r="CA136" s="1181" t="e">
        <f>VLOOKUP(B136,Pedido!$B$16:$L$292,22,0)</f>
        <v>#N/A</v>
      </c>
    </row>
    <row r="137" spans="1:79" ht="49.5" customHeight="1" thickBot="1">
      <c r="A137" s="524"/>
      <c r="B137" s="95" t="s">
        <v>390</v>
      </c>
      <c r="C137" s="95" t="s">
        <v>391</v>
      </c>
      <c r="D137" s="400" t="s">
        <v>94</v>
      </c>
      <c r="E137" s="401" t="s">
        <v>80</v>
      </c>
      <c r="F137" s="402" t="s">
        <v>61</v>
      </c>
      <c r="G137" s="415">
        <v>30</v>
      </c>
      <c r="H137" s="1151">
        <v>4.2636265223287904</v>
      </c>
      <c r="I137" s="96">
        <v>34.9</v>
      </c>
      <c r="J137" s="97" t="str">
        <f t="shared" si="79"/>
        <v/>
      </c>
      <c r="K137" s="98" t="str">
        <f t="shared" si="40"/>
        <v/>
      </c>
      <c r="L137" s="238">
        <v>25.9</v>
      </c>
      <c r="M137" s="471">
        <v>22.9</v>
      </c>
      <c r="N137" s="471">
        <v>22.9</v>
      </c>
      <c r="O137" s="471">
        <v>22.9</v>
      </c>
      <c r="P137" s="99">
        <v>22.9</v>
      </c>
      <c r="Q137" s="99">
        <v>20.9</v>
      </c>
      <c r="R137" s="99">
        <v>19.899999999999999</v>
      </c>
      <c r="S137" s="100">
        <v>18.899999999999999</v>
      </c>
      <c r="T137" s="134" t="str">
        <f t="shared" si="64"/>
        <v/>
      </c>
      <c r="U137" s="152" t="str">
        <f t="shared" si="65"/>
        <v/>
      </c>
      <c r="V137" s="1107"/>
      <c r="W137" s="696"/>
      <c r="X137" s="171"/>
      <c r="Y137" s="151" t="str">
        <f t="shared" si="60"/>
        <v/>
      </c>
      <c r="Z137" s="224">
        <f t="shared" si="66"/>
        <v>0</v>
      </c>
      <c r="AA137" s="136">
        <f t="shared" si="67"/>
        <v>0</v>
      </c>
      <c r="AB137" s="123">
        <f t="shared" si="83"/>
        <v>0</v>
      </c>
      <c r="AC137" s="123">
        <f t="shared" si="84"/>
        <v>0</v>
      </c>
      <c r="AD137" s="123">
        <f t="shared" si="51"/>
        <v>0</v>
      </c>
      <c r="AE137" s="123">
        <f t="shared" si="41"/>
        <v>0</v>
      </c>
      <c r="AF137" s="123">
        <f t="shared" si="42"/>
        <v>0</v>
      </c>
      <c r="AG137" s="124">
        <f t="shared" si="43"/>
        <v>0</v>
      </c>
      <c r="AH137" s="123">
        <f t="shared" si="44"/>
        <v>0</v>
      </c>
      <c r="AI137" s="123">
        <f t="shared" si="45"/>
        <v>0</v>
      </c>
      <c r="AJ137" s="123">
        <f t="shared" si="68"/>
        <v>0</v>
      </c>
      <c r="AK137" s="123">
        <f t="shared" si="69"/>
        <v>0</v>
      </c>
      <c r="AL137" s="123">
        <f t="shared" si="70"/>
        <v>0</v>
      </c>
      <c r="AM137" s="123">
        <f t="shared" si="46"/>
        <v>0</v>
      </c>
      <c r="AN137" s="123">
        <f t="shared" si="71"/>
        <v>0</v>
      </c>
      <c r="AO137" s="123">
        <f t="shared" si="72"/>
        <v>0</v>
      </c>
      <c r="AP137" s="125">
        <f t="shared" si="47"/>
        <v>0.8353812153541007</v>
      </c>
      <c r="AQ137" s="126">
        <f t="shared" si="48"/>
        <v>5.6848353631050541</v>
      </c>
      <c r="AR137" s="534">
        <v>60</v>
      </c>
      <c r="AS137" s="202">
        <f t="shared" si="82"/>
        <v>83.53812153541007</v>
      </c>
      <c r="AT137" s="197">
        <f t="shared" si="73"/>
        <v>0</v>
      </c>
      <c r="AU137" s="199">
        <f t="shared" si="74"/>
        <v>0</v>
      </c>
      <c r="AV137" s="110"/>
      <c r="AW137" s="138" t="e">
        <f>VLOOKUP(AX137,Sup!#REF!,8,0)</f>
        <v>#REF!</v>
      </c>
      <c r="AX137" s="993" t="s">
        <v>197</v>
      </c>
      <c r="AY137" s="556">
        <v>0</v>
      </c>
      <c r="AZ137" s="35"/>
      <c r="BA137" s="35"/>
      <c r="BB137" s="35"/>
      <c r="BC137" s="35">
        <f t="shared" si="75"/>
        <v>0</v>
      </c>
      <c r="BD137" s="35" t="str">
        <f t="shared" si="85"/>
        <v/>
      </c>
      <c r="BE137" s="45">
        <f t="shared" si="49"/>
        <v>0</v>
      </c>
      <c r="BF137" s="971"/>
      <c r="BG137" s="236"/>
      <c r="BH137" s="12"/>
      <c r="BI137" s="12"/>
      <c r="BJ137" s="12"/>
      <c r="BK137" s="12"/>
      <c r="BL137" s="12"/>
      <c r="BM137" s="980"/>
      <c r="BN137" s="367"/>
      <c r="BO137" s="981"/>
      <c r="BP137" s="12"/>
      <c r="BQ137" s="12"/>
      <c r="BR137" s="12"/>
      <c r="BS137" s="973"/>
      <c r="BT137" s="12"/>
      <c r="BU137" s="12"/>
      <c r="BV137" s="12"/>
      <c r="BW137" s="982" t="s">
        <v>394</v>
      </c>
      <c r="BX137" s="983">
        <f t="shared" si="50"/>
        <v>0</v>
      </c>
      <c r="BY137" s="12" t="e">
        <f>VLOOKUP(B137,#REF!,13,0)</f>
        <v>#REF!</v>
      </c>
      <c r="BZ137" s="1054">
        <v>16.899999999999999</v>
      </c>
      <c r="CA137" s="1181" t="e">
        <f>VLOOKUP(B137,Pedido!$B$16:$L$292,22,0)</f>
        <v>#N/A</v>
      </c>
    </row>
    <row r="138" spans="1:79" ht="49.5" customHeight="1" thickBot="1">
      <c r="A138" s="952"/>
      <c r="B138" s="201" t="s">
        <v>93</v>
      </c>
      <c r="C138" s="201" t="str">
        <f>LEFT(B138,6)</f>
        <v>PCPCAF</v>
      </c>
      <c r="D138" s="416" t="s">
        <v>94</v>
      </c>
      <c r="E138" s="417" t="s">
        <v>80</v>
      </c>
      <c r="F138" s="418" t="s">
        <v>61</v>
      </c>
      <c r="G138" s="419">
        <v>90</v>
      </c>
      <c r="H138" s="1162">
        <v>9.5639370939496953</v>
      </c>
      <c r="I138" s="203">
        <v>69.900000000000006</v>
      </c>
      <c r="J138" s="204" t="str">
        <f t="shared" si="79"/>
        <v/>
      </c>
      <c r="K138" s="205" t="str">
        <f t="shared" si="40"/>
        <v/>
      </c>
      <c r="L138" s="243">
        <v>46.9</v>
      </c>
      <c r="M138" s="475">
        <v>40.9</v>
      </c>
      <c r="N138" s="475">
        <v>40.9</v>
      </c>
      <c r="O138" s="475">
        <v>40.9</v>
      </c>
      <c r="P138" s="206">
        <v>40.9</v>
      </c>
      <c r="Q138" s="206">
        <v>37.9</v>
      </c>
      <c r="R138" s="206">
        <v>36.9</v>
      </c>
      <c r="S138" s="207">
        <v>34.9</v>
      </c>
      <c r="T138" s="208" t="str">
        <f t="shared" si="64"/>
        <v/>
      </c>
      <c r="U138" s="209" t="str">
        <f t="shared" si="65"/>
        <v/>
      </c>
      <c r="V138" s="1120"/>
      <c r="W138" s="1121"/>
      <c r="X138" s="1119"/>
      <c r="Y138" s="180" t="str">
        <f t="shared" si="60"/>
        <v/>
      </c>
      <c r="Z138" s="229">
        <f t="shared" si="66"/>
        <v>0</v>
      </c>
      <c r="AA138" s="211">
        <f>IFERROR(L138*W138,0)</f>
        <v>0</v>
      </c>
      <c r="AB138" s="211">
        <f t="shared" si="83"/>
        <v>0</v>
      </c>
      <c r="AC138" s="211">
        <f t="shared" si="84"/>
        <v>0</v>
      </c>
      <c r="AD138" s="211">
        <f t="shared" si="51"/>
        <v>0</v>
      </c>
      <c r="AE138" s="211">
        <f>IFERROR(W138*H138,0)</f>
        <v>0</v>
      </c>
      <c r="AF138" s="211">
        <f>IFERROR(1-(AE138/AB138),0)</f>
        <v>0</v>
      </c>
      <c r="AG138" s="212">
        <f>IFERROR(SUM(W138:X138)*I138,0)</f>
        <v>0</v>
      </c>
      <c r="AH138" s="211">
        <f>IFERROR(IF(V138&gt;0,V138*W138,(Y138*W138)),0)</f>
        <v>0</v>
      </c>
      <c r="AI138" s="211">
        <f>IFERROR(SUM(W138)*H138,0)</f>
        <v>0</v>
      </c>
      <c r="AJ138" s="211">
        <f>AH138*$AJ$25</f>
        <v>0</v>
      </c>
      <c r="AK138" s="211">
        <f>AH138*AK$25</f>
        <v>0</v>
      </c>
      <c r="AL138" s="211">
        <f>AH138*AL$25</f>
        <v>0</v>
      </c>
      <c r="AM138" s="211">
        <f>SUM(AJ138:AL138)</f>
        <v>0</v>
      </c>
      <c r="AN138" s="211">
        <f>AH138-AM138</f>
        <v>0</v>
      </c>
      <c r="AO138" s="211">
        <f>AN138-AI138</f>
        <v>0</v>
      </c>
      <c r="AP138" s="213">
        <f>IFERROR(IF(V138&lt;&gt;"",1-(H138/V138),IF(Y138&lt;&gt;"",1-(H138/Y138),1-(H138/L138))),0)</f>
        <v>0.79607810034222393</v>
      </c>
      <c r="AQ138" s="214">
        <f>H138/0.75</f>
        <v>12.751916125266261</v>
      </c>
      <c r="AR138" s="539">
        <v>60</v>
      </c>
      <c r="AS138" s="202">
        <f t="shared" si="82"/>
        <v>79.607810034222396</v>
      </c>
      <c r="AT138" s="197">
        <f t="shared" si="73"/>
        <v>0</v>
      </c>
      <c r="AU138" s="199">
        <f t="shared" si="74"/>
        <v>0</v>
      </c>
      <c r="AV138" s="185"/>
      <c r="AW138" s="213" t="s">
        <v>203</v>
      </c>
      <c r="AX138" s="992" t="s">
        <v>197</v>
      </c>
      <c r="AY138" s="556">
        <v>0</v>
      </c>
      <c r="AZ138" s="43"/>
      <c r="BA138" s="43"/>
      <c r="BB138" s="35">
        <f>IF($F$14="NOVO/REATIVAÇÃO",5*W138*1.4,5*W138)</f>
        <v>0</v>
      </c>
      <c r="BC138" s="43">
        <f t="shared" si="75"/>
        <v>0</v>
      </c>
      <c r="BD138" s="43" t="str">
        <f t="shared" si="85"/>
        <v/>
      </c>
      <c r="BE138" s="44">
        <f t="shared" si="49"/>
        <v>0</v>
      </c>
      <c r="BF138" s="971"/>
      <c r="BG138" s="236"/>
      <c r="BH138" s="12"/>
      <c r="BI138" s="12"/>
      <c r="BJ138" s="12"/>
      <c r="BK138" s="12"/>
      <c r="BL138" s="12"/>
      <c r="BM138" s="980"/>
      <c r="BN138" s="367"/>
      <c r="BO138" s="981"/>
      <c r="BP138" s="12"/>
      <c r="BQ138" s="12"/>
      <c r="BR138" s="12"/>
      <c r="BS138" s="973"/>
      <c r="BT138" s="12"/>
      <c r="BU138" s="12"/>
      <c r="BV138" s="12"/>
      <c r="BW138" s="982" t="s">
        <v>394</v>
      </c>
      <c r="BX138" s="983">
        <f t="shared" si="50"/>
        <v>0</v>
      </c>
      <c r="BY138" s="12" t="e">
        <f>VLOOKUP(B138,#REF!,13,0)</f>
        <v>#REF!</v>
      </c>
      <c r="BZ138" s="1063">
        <v>27.9</v>
      </c>
      <c r="CA138" s="1181" t="e">
        <f>VLOOKUP(B138,Pedido!$B$16:$L$292,22,0)</f>
        <v>#N/A</v>
      </c>
    </row>
    <row r="139" spans="1:79" ht="24.75" customHeight="1" thickBot="1">
      <c r="A139" s="936"/>
      <c r="B139" s="299" t="s">
        <v>462</v>
      </c>
      <c r="C139" s="300" t="s">
        <v>319</v>
      </c>
      <c r="D139" s="439" t="s">
        <v>320</v>
      </c>
      <c r="E139" s="440" t="s">
        <v>460</v>
      </c>
      <c r="F139" s="441" t="s">
        <v>123</v>
      </c>
      <c r="G139" s="442" t="s">
        <v>322</v>
      </c>
      <c r="H139" s="1162">
        <v>18.100000000000001</v>
      </c>
      <c r="I139" s="322">
        <v>59.900000000000006</v>
      </c>
      <c r="J139" s="323" t="str">
        <f t="shared" si="79"/>
        <v/>
      </c>
      <c r="K139" s="324" t="str">
        <f t="shared" si="40"/>
        <v/>
      </c>
      <c r="L139" s="325">
        <v>45</v>
      </c>
      <c r="M139" s="478">
        <f t="shared" si="76"/>
        <v>39</v>
      </c>
      <c r="N139" s="478">
        <f t="shared" si="77"/>
        <v>39</v>
      </c>
      <c r="O139" s="478">
        <f t="shared" si="78"/>
        <v>39</v>
      </c>
      <c r="P139" s="312">
        <v>39</v>
      </c>
      <c r="Q139" s="312">
        <v>36</v>
      </c>
      <c r="R139" s="312">
        <v>35</v>
      </c>
      <c r="S139" s="313">
        <v>32.9</v>
      </c>
      <c r="T139" s="314" t="str">
        <f t="shared" si="64"/>
        <v/>
      </c>
      <c r="U139" s="315" t="str">
        <f t="shared" si="65"/>
        <v/>
      </c>
      <c r="V139" s="1123"/>
      <c r="W139" s="1105"/>
      <c r="X139" s="1106"/>
      <c r="Y139" s="194" t="str">
        <f t="shared" si="60"/>
        <v/>
      </c>
      <c r="Z139" s="216">
        <f t="shared" si="66"/>
        <v>0</v>
      </c>
      <c r="AA139" s="316">
        <f t="shared" ref="AA139:AA156" si="86">IFERROR(L139*W139,0)</f>
        <v>0</v>
      </c>
      <c r="AB139" s="316">
        <f t="shared" si="83"/>
        <v>0</v>
      </c>
      <c r="AC139" s="316">
        <f t="shared" si="84"/>
        <v>0</v>
      </c>
      <c r="AD139" s="316">
        <f t="shared" si="51"/>
        <v>0</v>
      </c>
      <c r="AE139" s="316">
        <f t="shared" ref="AE139:AE156" si="87">IFERROR(W139*H139,0)</f>
        <v>0</v>
      </c>
      <c r="AF139" s="316">
        <f t="shared" ref="AF139:AF196" si="88">IFERROR(1-(AE139/AB139),0)</f>
        <v>0</v>
      </c>
      <c r="AG139" s="317">
        <f t="shared" ref="AG139:AG165" si="89">IFERROR(SUM(W139:X139)*I139,0)</f>
        <v>0</v>
      </c>
      <c r="AH139" s="316">
        <f t="shared" ref="AH139:AH156" si="90">IFERROR(IF(V139&gt;0,V139*W139,(Y139*W139)),0)</f>
        <v>0</v>
      </c>
      <c r="AI139" s="316">
        <f t="shared" ref="AI139:AI156" si="91">IFERROR(SUM(W139)*H139,0)</f>
        <v>0</v>
      </c>
      <c r="AJ139" s="316">
        <f t="shared" ref="AJ139:AJ206" si="92">AH139*$AJ$25</f>
        <v>0</v>
      </c>
      <c r="AK139" s="316">
        <f t="shared" ref="AK139:AK206" si="93">AH139*AK$25</f>
        <v>0</v>
      </c>
      <c r="AL139" s="316">
        <f t="shared" ref="AL139:AL206" si="94">AH139*AL$25</f>
        <v>0</v>
      </c>
      <c r="AM139" s="316">
        <f t="shared" ref="AM139:AM156" si="95">SUM(AJ139:AL139)</f>
        <v>0</v>
      </c>
      <c r="AN139" s="316">
        <f t="shared" ref="AN139:AN206" si="96">AH139-AM139</f>
        <v>0</v>
      </c>
      <c r="AO139" s="316">
        <f t="shared" ref="AO139:AO206" si="97">AN139-AI139</f>
        <v>0</v>
      </c>
      <c r="AP139" s="318">
        <f t="shared" ref="AP139:AP196" si="98">IFERROR(IF(V139&lt;&gt;"",1-(H139/V139),IF(Y139&lt;&gt;"",1-(H139/Y139),1-(H139/L139))),0)</f>
        <v>0.59777777777777774</v>
      </c>
      <c r="AQ139" s="319">
        <f t="shared" ref="AQ139:AQ196" si="99">H139/0.75</f>
        <v>24.133333333333336</v>
      </c>
      <c r="AR139" s="541">
        <v>10</v>
      </c>
      <c r="AS139" s="202">
        <f t="shared" si="82"/>
        <v>59.777777777777771</v>
      </c>
      <c r="AT139" s="197">
        <f t="shared" si="73"/>
        <v>0</v>
      </c>
      <c r="AU139" s="199">
        <f t="shared" si="74"/>
        <v>0</v>
      </c>
      <c r="AV139" s="320"/>
      <c r="AW139" s="318" t="s">
        <v>202</v>
      </c>
      <c r="AX139" s="1002" t="s">
        <v>198</v>
      </c>
      <c r="AY139" s="556">
        <v>0</v>
      </c>
      <c r="AZ139" s="43"/>
      <c r="BA139" s="43"/>
      <c r="BB139" s="35"/>
      <c r="BC139" s="43">
        <f t="shared" si="75"/>
        <v>0</v>
      </c>
      <c r="BD139" s="43" t="str">
        <f t="shared" si="85"/>
        <v/>
      </c>
      <c r="BE139" s="44">
        <f t="shared" si="49"/>
        <v>0</v>
      </c>
      <c r="BF139" s="971"/>
      <c r="BG139" s="236"/>
      <c r="BH139" s="12"/>
      <c r="BI139" s="12"/>
      <c r="BJ139" s="12"/>
      <c r="BK139" s="12"/>
      <c r="BL139" s="12"/>
      <c r="BM139" s="980"/>
      <c r="BN139" s="367"/>
      <c r="BO139" s="981"/>
      <c r="BP139" s="12"/>
      <c r="BQ139" s="12"/>
      <c r="BR139" s="12"/>
      <c r="BS139" s="973"/>
      <c r="BT139" s="12"/>
      <c r="BU139" s="12"/>
      <c r="BV139" s="12"/>
      <c r="BW139" s="982" t="s">
        <v>395</v>
      </c>
      <c r="BX139" s="983">
        <f t="shared" si="50"/>
        <v>0</v>
      </c>
      <c r="BY139" s="12" t="e">
        <f>VLOOKUP(B139,#REF!,13,0)</f>
        <v>#REF!</v>
      </c>
      <c r="BZ139" s="1059">
        <v>30.9</v>
      </c>
      <c r="CA139" s="1181" t="e">
        <f>VLOOKUP(B139,Pedido!$B$16:$L$292,22,0)</f>
        <v>#N/A</v>
      </c>
    </row>
    <row r="140" spans="1:79" ht="24.75" customHeight="1" thickBot="1">
      <c r="A140" s="936"/>
      <c r="B140" s="301" t="s">
        <v>318</v>
      </c>
      <c r="C140" s="114" t="s">
        <v>319</v>
      </c>
      <c r="D140" s="443" t="s">
        <v>320</v>
      </c>
      <c r="E140" s="444" t="s">
        <v>321</v>
      </c>
      <c r="F140" s="445" t="s">
        <v>123</v>
      </c>
      <c r="G140" s="446" t="s">
        <v>322</v>
      </c>
      <c r="H140" s="1162">
        <v>18.100000000000001</v>
      </c>
      <c r="I140" s="115">
        <v>59.900000000000006</v>
      </c>
      <c r="J140" s="116" t="str">
        <f t="shared" si="79"/>
        <v/>
      </c>
      <c r="K140" s="117" t="str">
        <f t="shared" si="40"/>
        <v/>
      </c>
      <c r="L140" s="239">
        <v>45</v>
      </c>
      <c r="M140" s="479">
        <f t="shared" si="76"/>
        <v>39</v>
      </c>
      <c r="N140" s="479">
        <f t="shared" si="77"/>
        <v>39</v>
      </c>
      <c r="O140" s="479">
        <f t="shared" si="78"/>
        <v>39</v>
      </c>
      <c r="P140" s="305">
        <v>39</v>
      </c>
      <c r="Q140" s="305">
        <v>36</v>
      </c>
      <c r="R140" s="305">
        <v>35</v>
      </c>
      <c r="S140" s="306">
        <v>32.9</v>
      </c>
      <c r="T140" s="246" t="str">
        <f t="shared" si="64"/>
        <v/>
      </c>
      <c r="U140" s="298" t="str">
        <f t="shared" si="65"/>
        <v/>
      </c>
      <c r="V140" s="734"/>
      <c r="W140" s="1100"/>
      <c r="X140" s="264"/>
      <c r="Y140" s="113" t="str">
        <f t="shared" si="60"/>
        <v/>
      </c>
      <c r="Z140" s="223">
        <f t="shared" si="66"/>
        <v>0</v>
      </c>
      <c r="AA140" s="307">
        <f t="shared" si="86"/>
        <v>0</v>
      </c>
      <c r="AB140" s="307">
        <f t="shared" si="83"/>
        <v>0</v>
      </c>
      <c r="AC140" s="307">
        <f t="shared" si="84"/>
        <v>0</v>
      </c>
      <c r="AD140" s="307">
        <f t="shared" si="51"/>
        <v>0</v>
      </c>
      <c r="AE140" s="307">
        <f t="shared" si="87"/>
        <v>0</v>
      </c>
      <c r="AF140" s="307">
        <f t="shared" si="88"/>
        <v>0</v>
      </c>
      <c r="AG140" s="308">
        <f t="shared" si="89"/>
        <v>0</v>
      </c>
      <c r="AH140" s="307">
        <f t="shared" si="90"/>
        <v>0</v>
      </c>
      <c r="AI140" s="307">
        <f t="shared" si="91"/>
        <v>0</v>
      </c>
      <c r="AJ140" s="307">
        <f t="shared" si="92"/>
        <v>0</v>
      </c>
      <c r="AK140" s="307">
        <f t="shared" si="93"/>
        <v>0</v>
      </c>
      <c r="AL140" s="307">
        <f t="shared" si="94"/>
        <v>0</v>
      </c>
      <c r="AM140" s="307">
        <f t="shared" si="95"/>
        <v>0</v>
      </c>
      <c r="AN140" s="307">
        <f t="shared" si="96"/>
        <v>0</v>
      </c>
      <c r="AO140" s="307">
        <f t="shared" si="97"/>
        <v>0</v>
      </c>
      <c r="AP140" s="309">
        <f t="shared" si="98"/>
        <v>0.59777777777777774</v>
      </c>
      <c r="AQ140" s="310">
        <f t="shared" si="99"/>
        <v>24.133333333333336</v>
      </c>
      <c r="AR140" s="544">
        <v>10</v>
      </c>
      <c r="AS140" s="202">
        <f t="shared" si="82"/>
        <v>59.777777777777771</v>
      </c>
      <c r="AT140" s="197">
        <f t="shared" si="73"/>
        <v>0</v>
      </c>
      <c r="AU140" s="199">
        <f t="shared" si="74"/>
        <v>0</v>
      </c>
      <c r="AV140" s="311"/>
      <c r="AW140" s="309" t="s">
        <v>202</v>
      </c>
      <c r="AX140" s="1002" t="s">
        <v>198</v>
      </c>
      <c r="AY140" s="556">
        <v>0</v>
      </c>
      <c r="AZ140" s="43"/>
      <c r="BA140" s="43"/>
      <c r="BB140" s="35"/>
      <c r="BC140" s="43">
        <f t="shared" si="75"/>
        <v>0</v>
      </c>
      <c r="BD140" s="43" t="str">
        <f t="shared" si="85"/>
        <v/>
      </c>
      <c r="BE140" s="44">
        <f t="shared" si="49"/>
        <v>0</v>
      </c>
      <c r="BF140" s="971"/>
      <c r="BG140" s="236"/>
      <c r="BH140" s="12"/>
      <c r="BI140" s="12"/>
      <c r="BJ140" s="12"/>
      <c r="BK140" s="12"/>
      <c r="BL140" s="12"/>
      <c r="BM140" s="980"/>
      <c r="BN140" s="367"/>
      <c r="BO140" s="981"/>
      <c r="BP140" s="12"/>
      <c r="BQ140" s="12"/>
      <c r="BR140" s="12"/>
      <c r="BS140" s="973"/>
      <c r="BT140" s="12"/>
      <c r="BU140" s="12"/>
      <c r="BV140" s="12"/>
      <c r="BW140" s="982" t="s">
        <v>395</v>
      </c>
      <c r="BX140" s="983">
        <f t="shared" si="50"/>
        <v>0</v>
      </c>
      <c r="BY140" s="12" t="e">
        <f>VLOOKUP(B140,#REF!,13,0)</f>
        <v>#REF!</v>
      </c>
      <c r="BZ140" s="1055">
        <v>30.9</v>
      </c>
      <c r="CA140" s="1181" t="e">
        <f>VLOOKUP(B140,Pedido!$B$16:$L$292,22,0)</f>
        <v>#N/A</v>
      </c>
    </row>
    <row r="141" spans="1:79" ht="24.75" customHeight="1" thickBot="1">
      <c r="A141" s="936"/>
      <c r="B141" s="301" t="s">
        <v>323</v>
      </c>
      <c r="C141" s="114" t="s">
        <v>319</v>
      </c>
      <c r="D141" s="443" t="s">
        <v>320</v>
      </c>
      <c r="E141" s="444" t="s">
        <v>324</v>
      </c>
      <c r="F141" s="445" t="s">
        <v>123</v>
      </c>
      <c r="G141" s="446" t="s">
        <v>322</v>
      </c>
      <c r="H141" s="1162">
        <v>18.100000000000001</v>
      </c>
      <c r="I141" s="115">
        <v>59.900000000000006</v>
      </c>
      <c r="J141" s="116" t="str">
        <f t="shared" si="79"/>
        <v/>
      </c>
      <c r="K141" s="117" t="str">
        <f t="shared" si="40"/>
        <v/>
      </c>
      <c r="L141" s="239">
        <v>45</v>
      </c>
      <c r="M141" s="479">
        <f t="shared" si="76"/>
        <v>39</v>
      </c>
      <c r="N141" s="479">
        <f t="shared" si="77"/>
        <v>39</v>
      </c>
      <c r="O141" s="479">
        <f t="shared" si="78"/>
        <v>39</v>
      </c>
      <c r="P141" s="305">
        <v>39</v>
      </c>
      <c r="Q141" s="305">
        <v>36</v>
      </c>
      <c r="R141" s="305">
        <v>35</v>
      </c>
      <c r="S141" s="306">
        <v>32.9</v>
      </c>
      <c r="T141" s="246" t="str">
        <f t="shared" si="64"/>
        <v/>
      </c>
      <c r="U141" s="298" t="str">
        <f t="shared" si="65"/>
        <v/>
      </c>
      <c r="V141" s="734"/>
      <c r="W141" s="1100"/>
      <c r="X141" s="264"/>
      <c r="Y141" s="113" t="str">
        <f t="shared" si="60"/>
        <v/>
      </c>
      <c r="Z141" s="223">
        <f t="shared" si="66"/>
        <v>0</v>
      </c>
      <c r="AA141" s="307">
        <f t="shared" si="86"/>
        <v>0</v>
      </c>
      <c r="AB141" s="307">
        <f t="shared" si="83"/>
        <v>0</v>
      </c>
      <c r="AC141" s="307">
        <f t="shared" si="84"/>
        <v>0</v>
      </c>
      <c r="AD141" s="307">
        <f t="shared" si="51"/>
        <v>0</v>
      </c>
      <c r="AE141" s="307">
        <f t="shared" si="87"/>
        <v>0</v>
      </c>
      <c r="AF141" s="307">
        <f t="shared" si="88"/>
        <v>0</v>
      </c>
      <c r="AG141" s="308">
        <f t="shared" si="89"/>
        <v>0</v>
      </c>
      <c r="AH141" s="307">
        <f t="shared" si="90"/>
        <v>0</v>
      </c>
      <c r="AI141" s="307">
        <f t="shared" si="91"/>
        <v>0</v>
      </c>
      <c r="AJ141" s="307">
        <f t="shared" si="92"/>
        <v>0</v>
      </c>
      <c r="AK141" s="307">
        <f t="shared" si="93"/>
        <v>0</v>
      </c>
      <c r="AL141" s="307">
        <f t="shared" si="94"/>
        <v>0</v>
      </c>
      <c r="AM141" s="307">
        <f t="shared" si="95"/>
        <v>0</v>
      </c>
      <c r="AN141" s="307">
        <f t="shared" si="96"/>
        <v>0</v>
      </c>
      <c r="AO141" s="307">
        <f t="shared" si="97"/>
        <v>0</v>
      </c>
      <c r="AP141" s="309">
        <f t="shared" si="98"/>
        <v>0.59777777777777774</v>
      </c>
      <c r="AQ141" s="310">
        <f t="shared" si="99"/>
        <v>24.133333333333336</v>
      </c>
      <c r="AR141" s="544">
        <v>10</v>
      </c>
      <c r="AS141" s="202">
        <f t="shared" si="82"/>
        <v>59.777777777777771</v>
      </c>
      <c r="AT141" s="197">
        <f t="shared" si="73"/>
        <v>0</v>
      </c>
      <c r="AU141" s="199">
        <f t="shared" si="74"/>
        <v>0</v>
      </c>
      <c r="AV141" s="311"/>
      <c r="AW141" s="309" t="s">
        <v>202</v>
      </c>
      <c r="AX141" s="1002" t="s">
        <v>198</v>
      </c>
      <c r="AY141" s="556">
        <v>0</v>
      </c>
      <c r="AZ141" s="43"/>
      <c r="BA141" s="43"/>
      <c r="BB141" s="35"/>
      <c r="BC141" s="43">
        <f t="shared" si="75"/>
        <v>0</v>
      </c>
      <c r="BD141" s="43" t="str">
        <f t="shared" si="85"/>
        <v/>
      </c>
      <c r="BE141" s="44">
        <f t="shared" si="49"/>
        <v>0</v>
      </c>
      <c r="BF141" s="971"/>
      <c r="BG141" s="236"/>
      <c r="BH141" s="12"/>
      <c r="BI141" s="12"/>
      <c r="BJ141" s="12"/>
      <c r="BK141" s="12"/>
      <c r="BL141" s="12"/>
      <c r="BM141" s="980"/>
      <c r="BN141" s="367"/>
      <c r="BO141" s="981"/>
      <c r="BP141" s="12"/>
      <c r="BQ141" s="12"/>
      <c r="BR141" s="12"/>
      <c r="BS141" s="973"/>
      <c r="BT141" s="12"/>
      <c r="BU141" s="12"/>
      <c r="BV141" s="12"/>
      <c r="BW141" s="982" t="s">
        <v>395</v>
      </c>
      <c r="BX141" s="983">
        <f t="shared" si="50"/>
        <v>0</v>
      </c>
      <c r="BY141" s="12" t="e">
        <f>VLOOKUP(B141,#REF!,13,0)</f>
        <v>#REF!</v>
      </c>
      <c r="BZ141" s="1055">
        <v>30.9</v>
      </c>
      <c r="CA141" s="1181" t="e">
        <f>VLOOKUP(B141,Pedido!$B$16:$L$292,22,0)</f>
        <v>#N/A</v>
      </c>
    </row>
    <row r="142" spans="1:79" ht="24.75" customHeight="1" thickBot="1">
      <c r="A142" s="936"/>
      <c r="B142" s="301" t="s">
        <v>325</v>
      </c>
      <c r="C142" s="114" t="s">
        <v>319</v>
      </c>
      <c r="D142" s="443" t="s">
        <v>320</v>
      </c>
      <c r="E142" s="444" t="s">
        <v>326</v>
      </c>
      <c r="F142" s="445" t="s">
        <v>123</v>
      </c>
      <c r="G142" s="446" t="s">
        <v>327</v>
      </c>
      <c r="H142" s="1162">
        <v>18.100000000000001</v>
      </c>
      <c r="I142" s="115">
        <v>59.900000000000006</v>
      </c>
      <c r="J142" s="116" t="str">
        <f t="shared" si="79"/>
        <v/>
      </c>
      <c r="K142" s="117" t="str">
        <f t="shared" si="40"/>
        <v/>
      </c>
      <c r="L142" s="239">
        <v>45</v>
      </c>
      <c r="M142" s="479">
        <f t="shared" si="76"/>
        <v>39</v>
      </c>
      <c r="N142" s="479">
        <f t="shared" si="77"/>
        <v>39</v>
      </c>
      <c r="O142" s="479">
        <f t="shared" si="78"/>
        <v>39</v>
      </c>
      <c r="P142" s="305">
        <v>39</v>
      </c>
      <c r="Q142" s="305">
        <v>36</v>
      </c>
      <c r="R142" s="305">
        <v>35</v>
      </c>
      <c r="S142" s="306">
        <v>32.9</v>
      </c>
      <c r="T142" s="246" t="str">
        <f t="shared" si="64"/>
        <v/>
      </c>
      <c r="U142" s="298" t="str">
        <f t="shared" si="65"/>
        <v/>
      </c>
      <c r="V142" s="734"/>
      <c r="W142" s="1100"/>
      <c r="X142" s="264"/>
      <c r="Y142" s="113" t="str">
        <f t="shared" si="60"/>
        <v/>
      </c>
      <c r="Z142" s="223">
        <f t="shared" si="66"/>
        <v>0</v>
      </c>
      <c r="AA142" s="307">
        <f t="shared" si="86"/>
        <v>0</v>
      </c>
      <c r="AB142" s="307">
        <f t="shared" si="83"/>
        <v>0</v>
      </c>
      <c r="AC142" s="307">
        <f t="shared" si="84"/>
        <v>0</v>
      </c>
      <c r="AD142" s="307">
        <f t="shared" si="51"/>
        <v>0</v>
      </c>
      <c r="AE142" s="307">
        <f t="shared" si="87"/>
        <v>0</v>
      </c>
      <c r="AF142" s="307">
        <f t="shared" si="88"/>
        <v>0</v>
      </c>
      <c r="AG142" s="308">
        <f t="shared" si="89"/>
        <v>0</v>
      </c>
      <c r="AH142" s="307">
        <f t="shared" si="90"/>
        <v>0</v>
      </c>
      <c r="AI142" s="307">
        <f t="shared" si="91"/>
        <v>0</v>
      </c>
      <c r="AJ142" s="307">
        <f t="shared" si="92"/>
        <v>0</v>
      </c>
      <c r="AK142" s="307">
        <f t="shared" si="93"/>
        <v>0</v>
      </c>
      <c r="AL142" s="307">
        <f t="shared" si="94"/>
        <v>0</v>
      </c>
      <c r="AM142" s="307">
        <f t="shared" si="95"/>
        <v>0</v>
      </c>
      <c r="AN142" s="307">
        <f t="shared" si="96"/>
        <v>0</v>
      </c>
      <c r="AO142" s="307">
        <f t="shared" si="97"/>
        <v>0</v>
      </c>
      <c r="AP142" s="309">
        <f t="shared" si="98"/>
        <v>0.59777777777777774</v>
      </c>
      <c r="AQ142" s="310">
        <f t="shared" si="99"/>
        <v>24.133333333333336</v>
      </c>
      <c r="AR142" s="544">
        <v>10</v>
      </c>
      <c r="AS142" s="202">
        <f t="shared" si="82"/>
        <v>59.777777777777771</v>
      </c>
      <c r="AT142" s="197">
        <f t="shared" si="73"/>
        <v>0</v>
      </c>
      <c r="AU142" s="199">
        <f t="shared" si="74"/>
        <v>0</v>
      </c>
      <c r="AV142" s="311"/>
      <c r="AW142" s="309" t="s">
        <v>202</v>
      </c>
      <c r="AX142" s="1002" t="s">
        <v>198</v>
      </c>
      <c r="AY142" s="556">
        <v>0</v>
      </c>
      <c r="AZ142" s="43"/>
      <c r="BA142" s="43"/>
      <c r="BB142" s="35"/>
      <c r="BC142" s="43">
        <f t="shared" si="75"/>
        <v>0</v>
      </c>
      <c r="BD142" s="43" t="str">
        <f t="shared" si="85"/>
        <v/>
      </c>
      <c r="BE142" s="44">
        <f t="shared" si="49"/>
        <v>0</v>
      </c>
      <c r="BF142" s="971"/>
      <c r="BG142" s="236"/>
      <c r="BH142" s="12"/>
      <c r="BI142" s="12"/>
      <c r="BJ142" s="12"/>
      <c r="BK142" s="12"/>
      <c r="BL142" s="12"/>
      <c r="BM142" s="980"/>
      <c r="BN142" s="367"/>
      <c r="BO142" s="981"/>
      <c r="BP142" s="12"/>
      <c r="BQ142" s="12"/>
      <c r="BR142" s="12"/>
      <c r="BS142" s="973"/>
      <c r="BT142" s="12"/>
      <c r="BU142" s="12"/>
      <c r="BV142" s="12"/>
      <c r="BW142" s="982" t="s">
        <v>395</v>
      </c>
      <c r="BX142" s="983">
        <f t="shared" si="50"/>
        <v>0</v>
      </c>
      <c r="BY142" s="12" t="e">
        <f>VLOOKUP(B142,#REF!,13,0)</f>
        <v>#REF!</v>
      </c>
      <c r="BZ142" s="1055">
        <v>30.9</v>
      </c>
      <c r="CA142" s="1181" t="e">
        <f>VLOOKUP(B142,Pedido!$B$16:$L$292,22,0)</f>
        <v>#N/A</v>
      </c>
    </row>
    <row r="143" spans="1:79" ht="24.75" customHeight="1" thickBot="1">
      <c r="A143" s="936"/>
      <c r="B143" s="302" t="s">
        <v>328</v>
      </c>
      <c r="C143" s="303" t="s">
        <v>319</v>
      </c>
      <c r="D143" s="447" t="s">
        <v>320</v>
      </c>
      <c r="E143" s="448" t="s">
        <v>329</v>
      </c>
      <c r="F143" s="449" t="s">
        <v>123</v>
      </c>
      <c r="G143" s="450" t="s">
        <v>322</v>
      </c>
      <c r="H143" s="1162">
        <v>18.100000000000001</v>
      </c>
      <c r="I143" s="396">
        <v>59.900000000000006</v>
      </c>
      <c r="J143" s="397" t="str">
        <f t="shared" si="79"/>
        <v/>
      </c>
      <c r="K143" s="398" t="str">
        <f t="shared" si="40"/>
        <v/>
      </c>
      <c r="L143" s="399">
        <v>45</v>
      </c>
      <c r="M143" s="476">
        <f t="shared" si="76"/>
        <v>39</v>
      </c>
      <c r="N143" s="476">
        <f t="shared" si="77"/>
        <v>39</v>
      </c>
      <c r="O143" s="476">
        <f t="shared" si="78"/>
        <v>39</v>
      </c>
      <c r="P143" s="176">
        <v>39</v>
      </c>
      <c r="Q143" s="176">
        <v>36</v>
      </c>
      <c r="R143" s="176">
        <v>35</v>
      </c>
      <c r="S143" s="177">
        <v>32.9</v>
      </c>
      <c r="T143" s="178" t="str">
        <f t="shared" si="64"/>
        <v/>
      </c>
      <c r="U143" s="179" t="str">
        <f t="shared" si="65"/>
        <v/>
      </c>
      <c r="V143" s="1117"/>
      <c r="W143" s="1118"/>
      <c r="X143" s="1119"/>
      <c r="Y143" s="180" t="str">
        <f t="shared" si="60"/>
        <v/>
      </c>
      <c r="Z143" s="226">
        <f t="shared" si="66"/>
        <v>0</v>
      </c>
      <c r="AA143" s="181">
        <f t="shared" si="86"/>
        <v>0</v>
      </c>
      <c r="AB143" s="181">
        <f t="shared" si="83"/>
        <v>0</v>
      </c>
      <c r="AC143" s="181">
        <f t="shared" si="84"/>
        <v>0</v>
      </c>
      <c r="AD143" s="181">
        <f t="shared" si="51"/>
        <v>0</v>
      </c>
      <c r="AE143" s="181">
        <f t="shared" si="87"/>
        <v>0</v>
      </c>
      <c r="AF143" s="181">
        <f t="shared" si="88"/>
        <v>0</v>
      </c>
      <c r="AG143" s="182">
        <f t="shared" si="89"/>
        <v>0</v>
      </c>
      <c r="AH143" s="181">
        <f t="shared" si="90"/>
        <v>0</v>
      </c>
      <c r="AI143" s="181">
        <f t="shared" si="91"/>
        <v>0</v>
      </c>
      <c r="AJ143" s="181">
        <f t="shared" si="92"/>
        <v>0</v>
      </c>
      <c r="AK143" s="181">
        <f t="shared" si="93"/>
        <v>0</v>
      </c>
      <c r="AL143" s="181">
        <f t="shared" si="94"/>
        <v>0</v>
      </c>
      <c r="AM143" s="181">
        <f t="shared" si="95"/>
        <v>0</v>
      </c>
      <c r="AN143" s="181">
        <f t="shared" si="96"/>
        <v>0</v>
      </c>
      <c r="AO143" s="181">
        <f t="shared" si="97"/>
        <v>0</v>
      </c>
      <c r="AP143" s="183">
        <f t="shared" si="98"/>
        <v>0.59777777777777774</v>
      </c>
      <c r="AQ143" s="184">
        <f t="shared" si="99"/>
        <v>24.133333333333336</v>
      </c>
      <c r="AR143" s="540">
        <v>10</v>
      </c>
      <c r="AS143" s="202">
        <f t="shared" si="82"/>
        <v>59.777777777777771</v>
      </c>
      <c r="AT143" s="197">
        <f t="shared" si="73"/>
        <v>0</v>
      </c>
      <c r="AU143" s="199">
        <f t="shared" si="74"/>
        <v>0</v>
      </c>
      <c r="AV143" s="185"/>
      <c r="AW143" s="183" t="s">
        <v>202</v>
      </c>
      <c r="AX143" s="1002" t="s">
        <v>198</v>
      </c>
      <c r="AY143" s="556">
        <v>0</v>
      </c>
      <c r="AZ143" s="43"/>
      <c r="BA143" s="43"/>
      <c r="BB143" s="35"/>
      <c r="BC143" s="43">
        <f t="shared" si="75"/>
        <v>0</v>
      </c>
      <c r="BD143" s="43" t="str">
        <f t="shared" si="85"/>
        <v/>
      </c>
      <c r="BE143" s="44">
        <f t="shared" si="49"/>
        <v>0</v>
      </c>
      <c r="BF143" s="971"/>
      <c r="BG143" s="236"/>
      <c r="BH143" s="12"/>
      <c r="BI143" s="12"/>
      <c r="BJ143" s="12"/>
      <c r="BK143" s="12"/>
      <c r="BL143" s="12"/>
      <c r="BM143" s="980"/>
      <c r="BN143" s="367"/>
      <c r="BO143" s="981"/>
      <c r="BP143" s="12"/>
      <c r="BQ143" s="12"/>
      <c r="BR143" s="12"/>
      <c r="BS143" s="973"/>
      <c r="BT143" s="12"/>
      <c r="BU143" s="12"/>
      <c r="BV143" s="12"/>
      <c r="BW143" s="982" t="s">
        <v>395</v>
      </c>
      <c r="BX143" s="983">
        <f t="shared" si="50"/>
        <v>0</v>
      </c>
      <c r="BY143" s="12" t="e">
        <f>VLOOKUP(B143,#REF!,13,0)</f>
        <v>#REF!</v>
      </c>
      <c r="BZ143" s="1066">
        <v>30.9</v>
      </c>
      <c r="CA143" s="1181" t="e">
        <f>VLOOKUP(B143,Pedido!$B$16:$L$292,22,0)</f>
        <v>#N/A</v>
      </c>
    </row>
    <row r="144" spans="1:79" ht="24.75" customHeight="1" thickBot="1">
      <c r="A144" s="936"/>
      <c r="B144" s="301" t="s">
        <v>461</v>
      </c>
      <c r="C144" s="114" t="s">
        <v>331</v>
      </c>
      <c r="D144" s="443" t="s">
        <v>332</v>
      </c>
      <c r="E144" s="444" t="s">
        <v>460</v>
      </c>
      <c r="F144" s="445" t="s">
        <v>61</v>
      </c>
      <c r="G144" s="446" t="s">
        <v>333</v>
      </c>
      <c r="H144" s="1162">
        <v>30.12</v>
      </c>
      <c r="I144" s="115">
        <v>119.9</v>
      </c>
      <c r="J144" s="116" t="str">
        <f t="shared" si="79"/>
        <v/>
      </c>
      <c r="K144" s="117" t="str">
        <f t="shared" si="40"/>
        <v/>
      </c>
      <c r="L144" s="239">
        <v>84.9</v>
      </c>
      <c r="M144" s="479">
        <f t="shared" si="76"/>
        <v>74.900000000000006</v>
      </c>
      <c r="N144" s="479">
        <f t="shared" si="77"/>
        <v>74.900000000000006</v>
      </c>
      <c r="O144" s="479">
        <f t="shared" si="78"/>
        <v>74.900000000000006</v>
      </c>
      <c r="P144" s="305">
        <v>74.900000000000006</v>
      </c>
      <c r="Q144" s="305">
        <v>68.900000000000006</v>
      </c>
      <c r="R144" s="305">
        <v>67.900000000000006</v>
      </c>
      <c r="S144" s="306">
        <v>64.900000000000006</v>
      </c>
      <c r="T144" s="246" t="str">
        <f t="shared" si="64"/>
        <v/>
      </c>
      <c r="U144" s="298" t="str">
        <f t="shared" si="65"/>
        <v/>
      </c>
      <c r="V144" s="734"/>
      <c r="W144" s="1100"/>
      <c r="X144" s="264"/>
      <c r="Y144" s="113" t="str">
        <f t="shared" si="60"/>
        <v/>
      </c>
      <c r="Z144" s="223">
        <f>IF(X144&gt;W144,-1,IF(W144=0,0,IF(U144&lt;(H145/0.75),-1,IF(W144&lt;=3,0,0.0001))))</f>
        <v>0</v>
      </c>
      <c r="AA144" s="307">
        <f t="shared" si="86"/>
        <v>0</v>
      </c>
      <c r="AB144" s="307">
        <f t="shared" si="83"/>
        <v>0</v>
      </c>
      <c r="AC144" s="307">
        <f t="shared" si="84"/>
        <v>0</v>
      </c>
      <c r="AD144" s="307">
        <f t="shared" si="51"/>
        <v>0</v>
      </c>
      <c r="AE144" s="307">
        <f>IFERROR(W144*H145,0)</f>
        <v>0</v>
      </c>
      <c r="AF144" s="307">
        <f t="shared" si="88"/>
        <v>0</v>
      </c>
      <c r="AG144" s="308">
        <f t="shared" si="89"/>
        <v>0</v>
      </c>
      <c r="AH144" s="307">
        <f t="shared" si="90"/>
        <v>0</v>
      </c>
      <c r="AI144" s="307">
        <f>IFERROR(SUM(W144)*H145,0)</f>
        <v>0</v>
      </c>
      <c r="AJ144" s="307">
        <f t="shared" si="92"/>
        <v>0</v>
      </c>
      <c r="AK144" s="307">
        <f t="shared" si="93"/>
        <v>0</v>
      </c>
      <c r="AL144" s="307">
        <f t="shared" si="94"/>
        <v>0</v>
      </c>
      <c r="AM144" s="307">
        <f>SUM(AJ144:AL144)</f>
        <v>0</v>
      </c>
      <c r="AN144" s="307">
        <f t="shared" si="96"/>
        <v>0</v>
      </c>
      <c r="AO144" s="307">
        <f t="shared" si="97"/>
        <v>0</v>
      </c>
      <c r="AP144" s="309">
        <f>IFERROR(IF(V144&lt;&gt;"",1-(H145/V144),IF(Y144&lt;&gt;"",1-(H145/Y144),1-(H145/L144))),0)</f>
        <v>0.6452296819787986</v>
      </c>
      <c r="AQ144" s="310">
        <f>H145/0.75</f>
        <v>40.160000000000004</v>
      </c>
      <c r="AR144" s="544">
        <v>9</v>
      </c>
      <c r="AS144" s="202">
        <f t="shared" si="82"/>
        <v>64.522968197879862</v>
      </c>
      <c r="AT144" s="197">
        <f t="shared" si="73"/>
        <v>0</v>
      </c>
      <c r="AU144" s="199">
        <f t="shared" si="74"/>
        <v>0</v>
      </c>
      <c r="AV144" s="185"/>
      <c r="AW144" s="309" t="s">
        <v>202</v>
      </c>
      <c r="AX144" s="1002" t="s">
        <v>198</v>
      </c>
      <c r="AY144" s="556">
        <v>0</v>
      </c>
      <c r="AZ144" s="43"/>
      <c r="BA144" s="43"/>
      <c r="BB144" s="35">
        <f>IF($F$14="NOVO/REATIVAÇÃO",7*W144*1.4,7*W144)</f>
        <v>0</v>
      </c>
      <c r="BC144" s="43">
        <f t="shared" si="75"/>
        <v>0</v>
      </c>
      <c r="BD144" s="43" t="str">
        <f t="shared" si="85"/>
        <v/>
      </c>
      <c r="BE144" s="44">
        <f t="shared" si="49"/>
        <v>0</v>
      </c>
      <c r="BF144" s="971"/>
      <c r="BG144" s="236"/>
      <c r="BH144" s="12"/>
      <c r="BI144" s="12"/>
      <c r="BJ144" s="12"/>
      <c r="BK144" s="12"/>
      <c r="BL144" s="12"/>
      <c r="BM144" s="980"/>
      <c r="BN144" s="367"/>
      <c r="BO144" s="981"/>
      <c r="BP144" s="12"/>
      <c r="BQ144" s="12"/>
      <c r="BR144" s="12"/>
      <c r="BS144" s="973"/>
      <c r="BT144" s="12"/>
      <c r="BU144" s="12"/>
      <c r="BV144" s="12"/>
      <c r="BW144" s="982" t="s">
        <v>395</v>
      </c>
      <c r="BX144" s="983">
        <f t="shared" si="50"/>
        <v>0</v>
      </c>
      <c r="BY144" s="12" t="e">
        <f>VLOOKUP(B144,#REF!,13,0)</f>
        <v>#REF!</v>
      </c>
      <c r="BZ144" s="1055">
        <v>54.9</v>
      </c>
      <c r="CA144" s="1181" t="e">
        <f>VLOOKUP(B144,Pedido!$B$16:$L$292,22,0)</f>
        <v>#N/A</v>
      </c>
    </row>
    <row r="145" spans="1:79" ht="24.75" customHeight="1" thickBot="1">
      <c r="A145" s="936"/>
      <c r="B145" s="301" t="s">
        <v>330</v>
      </c>
      <c r="C145" s="114" t="s">
        <v>331</v>
      </c>
      <c r="D145" s="443" t="s">
        <v>332</v>
      </c>
      <c r="E145" s="444" t="s">
        <v>321</v>
      </c>
      <c r="F145" s="445" t="s">
        <v>61</v>
      </c>
      <c r="G145" s="446" t="s">
        <v>333</v>
      </c>
      <c r="H145" s="1162">
        <v>30.12</v>
      </c>
      <c r="I145" s="115">
        <v>119.9</v>
      </c>
      <c r="J145" s="116" t="str">
        <f t="shared" si="79"/>
        <v/>
      </c>
      <c r="K145" s="117" t="str">
        <f t="shared" si="40"/>
        <v/>
      </c>
      <c r="L145" s="239">
        <v>84.9</v>
      </c>
      <c r="M145" s="479">
        <f t="shared" si="76"/>
        <v>74.900000000000006</v>
      </c>
      <c r="N145" s="479">
        <f t="shared" si="77"/>
        <v>74.900000000000006</v>
      </c>
      <c r="O145" s="479">
        <f t="shared" si="78"/>
        <v>74.900000000000006</v>
      </c>
      <c r="P145" s="305">
        <v>74.900000000000006</v>
      </c>
      <c r="Q145" s="305">
        <v>68.900000000000006</v>
      </c>
      <c r="R145" s="305">
        <v>67.900000000000006</v>
      </c>
      <c r="S145" s="306">
        <v>64.900000000000006</v>
      </c>
      <c r="T145" s="246" t="str">
        <f t="shared" si="64"/>
        <v/>
      </c>
      <c r="U145" s="298" t="str">
        <f t="shared" si="65"/>
        <v/>
      </c>
      <c r="V145" s="734"/>
      <c r="W145" s="1100"/>
      <c r="X145" s="264"/>
      <c r="Y145" s="113" t="str">
        <f t="shared" si="60"/>
        <v/>
      </c>
      <c r="Z145" s="223">
        <f>IF(X145&gt;W145,-1,IF(W145=0,0,IF(U145&lt;(#REF!/0.75),-1,IF(W145&lt;=3,0,0.0001))))</f>
        <v>0</v>
      </c>
      <c r="AA145" s="307">
        <f t="shared" si="86"/>
        <v>0</v>
      </c>
      <c r="AB145" s="307">
        <f t="shared" si="83"/>
        <v>0</v>
      </c>
      <c r="AC145" s="307">
        <f t="shared" si="84"/>
        <v>0</v>
      </c>
      <c r="AD145" s="307">
        <f t="shared" si="51"/>
        <v>0</v>
      </c>
      <c r="AE145" s="307">
        <f>IFERROR(W145*#REF!,0)</f>
        <v>0</v>
      </c>
      <c r="AF145" s="307">
        <f t="shared" si="88"/>
        <v>0</v>
      </c>
      <c r="AG145" s="308">
        <f t="shared" si="89"/>
        <v>0</v>
      </c>
      <c r="AH145" s="307">
        <f t="shared" si="90"/>
        <v>0</v>
      </c>
      <c r="AI145" s="307">
        <f>IFERROR(SUM(W145)*#REF!,0)</f>
        <v>0</v>
      </c>
      <c r="AJ145" s="307">
        <f t="shared" si="92"/>
        <v>0</v>
      </c>
      <c r="AK145" s="307">
        <f t="shared" si="93"/>
        <v>0</v>
      </c>
      <c r="AL145" s="307">
        <f t="shared" si="94"/>
        <v>0</v>
      </c>
      <c r="AM145" s="307">
        <f t="shared" si="95"/>
        <v>0</v>
      </c>
      <c r="AN145" s="307">
        <f t="shared" si="96"/>
        <v>0</v>
      </c>
      <c r="AO145" s="307">
        <f t="shared" si="97"/>
        <v>0</v>
      </c>
      <c r="AP145" s="309">
        <f>IFERROR(IF(V145&lt;&gt;"",1-(#REF!/V145),IF(Y145&lt;&gt;"",1-(#REF!/Y145),1-(#REF!/L145))),0)</f>
        <v>0</v>
      </c>
      <c r="AQ145" s="310" t="e">
        <f>#REF!/0.75</f>
        <v>#REF!</v>
      </c>
      <c r="AR145" s="544">
        <v>9</v>
      </c>
      <c r="AS145" s="202">
        <f t="shared" si="82"/>
        <v>0</v>
      </c>
      <c r="AT145" s="197">
        <f t="shared" si="73"/>
        <v>0</v>
      </c>
      <c r="AU145" s="199">
        <f t="shared" si="74"/>
        <v>0</v>
      </c>
      <c r="AV145" s="185"/>
      <c r="AW145" s="309" t="s">
        <v>202</v>
      </c>
      <c r="AX145" s="1002" t="s">
        <v>198</v>
      </c>
      <c r="AY145" s="556">
        <v>0</v>
      </c>
      <c r="AZ145" s="43"/>
      <c r="BA145" s="43"/>
      <c r="BB145" s="35">
        <f>IF($F$14="NOVO/REATIVAÇÃO",7*W145*1.4,7*W145)</f>
        <v>0</v>
      </c>
      <c r="BC145" s="43">
        <f t="shared" si="75"/>
        <v>0</v>
      </c>
      <c r="BD145" s="43" t="str">
        <f t="shared" si="85"/>
        <v/>
      </c>
      <c r="BE145" s="44">
        <f t="shared" si="49"/>
        <v>0</v>
      </c>
      <c r="BF145" s="971"/>
      <c r="BG145" s="236"/>
      <c r="BH145" s="12"/>
      <c r="BI145" s="12"/>
      <c r="BJ145" s="12"/>
      <c r="BK145" s="12"/>
      <c r="BL145" s="12"/>
      <c r="BM145" s="980"/>
      <c r="BN145" s="367"/>
      <c r="BO145" s="981"/>
      <c r="BP145" s="12"/>
      <c r="BQ145" s="12"/>
      <c r="BR145" s="12"/>
      <c r="BS145" s="973"/>
      <c r="BT145" s="12"/>
      <c r="BU145" s="12"/>
      <c r="BV145" s="12"/>
      <c r="BW145" s="982" t="s">
        <v>395</v>
      </c>
      <c r="BX145" s="983">
        <f t="shared" si="50"/>
        <v>0</v>
      </c>
      <c r="BY145" s="12" t="e">
        <f>VLOOKUP(B145,#REF!,13,0)</f>
        <v>#REF!</v>
      </c>
      <c r="BZ145" s="1055">
        <v>54.9</v>
      </c>
      <c r="CA145" s="1181" t="e">
        <f>VLOOKUP(B145,Pedido!$B$16:$L$292,22,0)</f>
        <v>#N/A</v>
      </c>
    </row>
    <row r="146" spans="1:79" ht="24.75" customHeight="1" thickBot="1">
      <c r="A146" s="936"/>
      <c r="B146" s="301" t="s">
        <v>334</v>
      </c>
      <c r="C146" s="114" t="s">
        <v>331</v>
      </c>
      <c r="D146" s="443" t="s">
        <v>332</v>
      </c>
      <c r="E146" s="444" t="s">
        <v>324</v>
      </c>
      <c r="F146" s="445" t="s">
        <v>61</v>
      </c>
      <c r="G146" s="446" t="s">
        <v>333</v>
      </c>
      <c r="H146" s="1162">
        <v>30.12</v>
      </c>
      <c r="I146" s="115">
        <v>119.9</v>
      </c>
      <c r="J146" s="116" t="str">
        <f t="shared" si="79"/>
        <v/>
      </c>
      <c r="K146" s="117" t="str">
        <f t="shared" si="40"/>
        <v/>
      </c>
      <c r="L146" s="239">
        <v>84.9</v>
      </c>
      <c r="M146" s="479">
        <f t="shared" si="76"/>
        <v>74.900000000000006</v>
      </c>
      <c r="N146" s="479">
        <f t="shared" si="77"/>
        <v>74.900000000000006</v>
      </c>
      <c r="O146" s="479">
        <f t="shared" si="78"/>
        <v>74.900000000000006</v>
      </c>
      <c r="P146" s="305">
        <v>74.900000000000006</v>
      </c>
      <c r="Q146" s="305">
        <v>68.900000000000006</v>
      </c>
      <c r="R146" s="305">
        <v>67.900000000000006</v>
      </c>
      <c r="S146" s="306">
        <v>64.900000000000006</v>
      </c>
      <c r="T146" s="246" t="str">
        <f t="shared" si="64"/>
        <v/>
      </c>
      <c r="U146" s="298" t="str">
        <f t="shared" si="65"/>
        <v/>
      </c>
      <c r="V146" s="734"/>
      <c r="W146" s="1100"/>
      <c r="X146" s="264"/>
      <c r="Y146" s="113" t="str">
        <f t="shared" si="60"/>
        <v/>
      </c>
      <c r="Z146" s="223">
        <f t="shared" si="66"/>
        <v>0</v>
      </c>
      <c r="AA146" s="307">
        <f t="shared" si="86"/>
        <v>0</v>
      </c>
      <c r="AB146" s="307">
        <f t="shared" si="83"/>
        <v>0</v>
      </c>
      <c r="AC146" s="307">
        <f t="shared" si="84"/>
        <v>0</v>
      </c>
      <c r="AD146" s="307">
        <f t="shared" si="51"/>
        <v>0</v>
      </c>
      <c r="AE146" s="307">
        <f t="shared" si="87"/>
        <v>0</v>
      </c>
      <c r="AF146" s="307">
        <f t="shared" si="88"/>
        <v>0</v>
      </c>
      <c r="AG146" s="308">
        <f t="shared" si="89"/>
        <v>0</v>
      </c>
      <c r="AH146" s="307">
        <f t="shared" si="90"/>
        <v>0</v>
      </c>
      <c r="AI146" s="307">
        <f t="shared" si="91"/>
        <v>0</v>
      </c>
      <c r="AJ146" s="307">
        <f t="shared" si="92"/>
        <v>0</v>
      </c>
      <c r="AK146" s="307">
        <f t="shared" si="93"/>
        <v>0</v>
      </c>
      <c r="AL146" s="307">
        <f t="shared" si="94"/>
        <v>0</v>
      </c>
      <c r="AM146" s="307">
        <f t="shared" si="95"/>
        <v>0</v>
      </c>
      <c r="AN146" s="307">
        <f t="shared" si="96"/>
        <v>0</v>
      </c>
      <c r="AO146" s="307">
        <f t="shared" si="97"/>
        <v>0</v>
      </c>
      <c r="AP146" s="309">
        <f t="shared" si="98"/>
        <v>0.6452296819787986</v>
      </c>
      <c r="AQ146" s="310">
        <f t="shared" si="99"/>
        <v>40.160000000000004</v>
      </c>
      <c r="AR146" s="544">
        <v>9</v>
      </c>
      <c r="AS146" s="202">
        <f t="shared" si="82"/>
        <v>64.522968197879862</v>
      </c>
      <c r="AT146" s="197">
        <f t="shared" si="73"/>
        <v>0</v>
      </c>
      <c r="AU146" s="199">
        <f t="shared" si="74"/>
        <v>0</v>
      </c>
      <c r="AV146" s="185"/>
      <c r="AW146" s="309" t="s">
        <v>202</v>
      </c>
      <c r="AX146" s="1002" t="s">
        <v>198</v>
      </c>
      <c r="AY146" s="556">
        <v>0</v>
      </c>
      <c r="AZ146" s="43"/>
      <c r="BA146" s="43"/>
      <c r="BB146" s="35">
        <f>IF($F$14="NOVO/REATIVAÇÃO",7*W146*1.4,7*W146)</f>
        <v>0</v>
      </c>
      <c r="BC146" s="43">
        <f t="shared" si="75"/>
        <v>0</v>
      </c>
      <c r="BD146" s="43" t="str">
        <f t="shared" si="85"/>
        <v/>
      </c>
      <c r="BE146" s="44">
        <f t="shared" si="49"/>
        <v>0</v>
      </c>
      <c r="BF146" s="971"/>
      <c r="BG146" s="236"/>
      <c r="BH146" s="12"/>
      <c r="BI146" s="12"/>
      <c r="BJ146" s="12"/>
      <c r="BK146" s="12"/>
      <c r="BL146" s="12"/>
      <c r="BM146" s="980"/>
      <c r="BN146" s="367"/>
      <c r="BO146" s="981"/>
      <c r="BP146" s="12"/>
      <c r="BQ146" s="12"/>
      <c r="BR146" s="12"/>
      <c r="BS146" s="973"/>
      <c r="BT146" s="12"/>
      <c r="BU146" s="12"/>
      <c r="BV146" s="12"/>
      <c r="BW146" s="982" t="s">
        <v>395</v>
      </c>
      <c r="BX146" s="983">
        <f t="shared" si="50"/>
        <v>0</v>
      </c>
      <c r="BY146" s="12" t="e">
        <f>VLOOKUP(B146,#REF!,13,0)</f>
        <v>#REF!</v>
      </c>
      <c r="BZ146" s="1055">
        <v>54.9</v>
      </c>
      <c r="CA146" s="1181" t="e">
        <f>VLOOKUP(B146,Pedido!$B$16:$L$292,22,0)</f>
        <v>#N/A</v>
      </c>
    </row>
    <row r="147" spans="1:79" ht="24.75" customHeight="1" thickBot="1">
      <c r="A147" s="936"/>
      <c r="B147" s="301" t="s">
        <v>335</v>
      </c>
      <c r="C147" s="114" t="s">
        <v>331</v>
      </c>
      <c r="D147" s="443" t="s">
        <v>332</v>
      </c>
      <c r="E147" s="444" t="s">
        <v>326</v>
      </c>
      <c r="F147" s="445" t="s">
        <v>61</v>
      </c>
      <c r="G147" s="446" t="s">
        <v>336</v>
      </c>
      <c r="H147" s="1162">
        <v>30.12</v>
      </c>
      <c r="I147" s="115">
        <v>119.9</v>
      </c>
      <c r="J147" s="116" t="str">
        <f t="shared" si="79"/>
        <v/>
      </c>
      <c r="K147" s="117" t="str">
        <f t="shared" si="40"/>
        <v/>
      </c>
      <c r="L147" s="239">
        <v>84.9</v>
      </c>
      <c r="M147" s="479">
        <f t="shared" si="76"/>
        <v>74.900000000000006</v>
      </c>
      <c r="N147" s="479">
        <f t="shared" si="77"/>
        <v>74.900000000000006</v>
      </c>
      <c r="O147" s="479">
        <f t="shared" si="78"/>
        <v>74.900000000000006</v>
      </c>
      <c r="P147" s="305">
        <v>74.900000000000006</v>
      </c>
      <c r="Q147" s="305">
        <v>68.900000000000006</v>
      </c>
      <c r="R147" s="305">
        <v>67.900000000000006</v>
      </c>
      <c r="S147" s="306">
        <v>64.900000000000006</v>
      </c>
      <c r="T147" s="246" t="str">
        <f t="shared" si="64"/>
        <v/>
      </c>
      <c r="U147" s="298" t="str">
        <f t="shared" si="65"/>
        <v/>
      </c>
      <c r="V147" s="734"/>
      <c r="W147" s="1100"/>
      <c r="X147" s="264"/>
      <c r="Y147" s="113" t="str">
        <f t="shared" si="60"/>
        <v/>
      </c>
      <c r="Z147" s="223">
        <f t="shared" si="66"/>
        <v>0</v>
      </c>
      <c r="AA147" s="181">
        <f t="shared" si="86"/>
        <v>0</v>
      </c>
      <c r="AB147" s="181">
        <f t="shared" si="83"/>
        <v>0</v>
      </c>
      <c r="AC147" s="181">
        <f t="shared" si="84"/>
        <v>0</v>
      </c>
      <c r="AD147" s="181">
        <f t="shared" si="51"/>
        <v>0</v>
      </c>
      <c r="AE147" s="181">
        <f t="shared" si="87"/>
        <v>0</v>
      </c>
      <c r="AF147" s="181">
        <f t="shared" si="88"/>
        <v>0</v>
      </c>
      <c r="AG147" s="182">
        <f t="shared" si="89"/>
        <v>0</v>
      </c>
      <c r="AH147" s="181">
        <f t="shared" si="90"/>
        <v>0</v>
      </c>
      <c r="AI147" s="181">
        <f t="shared" si="91"/>
        <v>0</v>
      </c>
      <c r="AJ147" s="181">
        <f t="shared" si="92"/>
        <v>0</v>
      </c>
      <c r="AK147" s="181">
        <f t="shared" si="93"/>
        <v>0</v>
      </c>
      <c r="AL147" s="181">
        <f t="shared" si="94"/>
        <v>0</v>
      </c>
      <c r="AM147" s="181">
        <f t="shared" si="95"/>
        <v>0</v>
      </c>
      <c r="AN147" s="181">
        <f t="shared" si="96"/>
        <v>0</v>
      </c>
      <c r="AO147" s="181">
        <f t="shared" si="97"/>
        <v>0</v>
      </c>
      <c r="AP147" s="183">
        <f t="shared" si="98"/>
        <v>0.6452296819787986</v>
      </c>
      <c r="AQ147" s="184">
        <f t="shared" si="99"/>
        <v>40.160000000000004</v>
      </c>
      <c r="AR147" s="544">
        <v>9</v>
      </c>
      <c r="AS147" s="202">
        <f t="shared" si="82"/>
        <v>64.522968197879862</v>
      </c>
      <c r="AT147" s="197">
        <f t="shared" si="73"/>
        <v>0</v>
      </c>
      <c r="AU147" s="199">
        <f t="shared" si="74"/>
        <v>0</v>
      </c>
      <c r="AV147" s="185"/>
      <c r="AW147" s="138" t="s">
        <v>202</v>
      </c>
      <c r="AX147" s="1002" t="s">
        <v>198</v>
      </c>
      <c r="AY147" s="556">
        <v>0</v>
      </c>
      <c r="AZ147" s="43"/>
      <c r="BA147" s="43"/>
      <c r="BB147" s="35">
        <f>IF($F$14="NOVO/REATIVAÇÃO",7*W147*1.4,7*W147)</f>
        <v>0</v>
      </c>
      <c r="BC147" s="43">
        <f t="shared" si="75"/>
        <v>0</v>
      </c>
      <c r="BD147" s="43" t="str">
        <f t="shared" si="85"/>
        <v/>
      </c>
      <c r="BE147" s="44">
        <f t="shared" si="49"/>
        <v>0</v>
      </c>
      <c r="BF147" s="971"/>
      <c r="BG147" s="236"/>
      <c r="BH147" s="12"/>
      <c r="BI147" s="12"/>
      <c r="BJ147" s="12"/>
      <c r="BK147" s="12"/>
      <c r="BL147" s="12"/>
      <c r="BM147" s="980"/>
      <c r="BN147" s="367"/>
      <c r="BO147" s="981"/>
      <c r="BP147" s="12"/>
      <c r="BQ147" s="12"/>
      <c r="BR147" s="12"/>
      <c r="BS147" s="973"/>
      <c r="BT147" s="12"/>
      <c r="BU147" s="12"/>
      <c r="BV147" s="12"/>
      <c r="BW147" s="982" t="s">
        <v>395</v>
      </c>
      <c r="BX147" s="983">
        <f t="shared" si="50"/>
        <v>0</v>
      </c>
      <c r="BY147" s="12" t="e">
        <f>VLOOKUP(B147,#REF!,13,0)</f>
        <v>#REF!</v>
      </c>
      <c r="BZ147" s="1055">
        <v>54.9</v>
      </c>
      <c r="CA147" s="1181" t="e">
        <f>VLOOKUP(B147,Pedido!$B$16:$L$292,22,0)</f>
        <v>#N/A</v>
      </c>
    </row>
    <row r="148" spans="1:79" ht="24.75" customHeight="1" thickBot="1">
      <c r="A148" s="936"/>
      <c r="B148" s="302" t="s">
        <v>337</v>
      </c>
      <c r="C148" s="303" t="s">
        <v>331</v>
      </c>
      <c r="D148" s="447" t="s">
        <v>332</v>
      </c>
      <c r="E148" s="448" t="s">
        <v>329</v>
      </c>
      <c r="F148" s="449" t="s">
        <v>61</v>
      </c>
      <c r="G148" s="450" t="s">
        <v>333</v>
      </c>
      <c r="H148" s="1162">
        <v>30.12</v>
      </c>
      <c r="I148" s="396">
        <v>119.9</v>
      </c>
      <c r="J148" s="397" t="str">
        <f t="shared" si="79"/>
        <v/>
      </c>
      <c r="K148" s="398" t="str">
        <f t="shared" si="40"/>
        <v/>
      </c>
      <c r="L148" s="399">
        <v>84.9</v>
      </c>
      <c r="M148" s="476">
        <f t="shared" si="76"/>
        <v>74.900000000000006</v>
      </c>
      <c r="N148" s="476">
        <f t="shared" si="77"/>
        <v>74.900000000000006</v>
      </c>
      <c r="O148" s="476">
        <f t="shared" si="78"/>
        <v>74.900000000000006</v>
      </c>
      <c r="P148" s="176">
        <v>74.900000000000006</v>
      </c>
      <c r="Q148" s="176">
        <v>68.900000000000006</v>
      </c>
      <c r="R148" s="176">
        <v>67.900000000000006</v>
      </c>
      <c r="S148" s="177">
        <v>64.900000000000006</v>
      </c>
      <c r="T148" s="178" t="str">
        <f t="shared" si="64"/>
        <v/>
      </c>
      <c r="U148" s="179" t="str">
        <f t="shared" si="65"/>
        <v/>
      </c>
      <c r="V148" s="1117"/>
      <c r="W148" s="1118"/>
      <c r="X148" s="1119"/>
      <c r="Y148" s="180" t="str">
        <f t="shared" si="60"/>
        <v/>
      </c>
      <c r="Z148" s="226">
        <f t="shared" si="66"/>
        <v>0</v>
      </c>
      <c r="AA148" s="211">
        <f t="shared" si="86"/>
        <v>0</v>
      </c>
      <c r="AB148" s="211">
        <f t="shared" si="83"/>
        <v>0</v>
      </c>
      <c r="AC148" s="211">
        <f t="shared" si="84"/>
        <v>0</v>
      </c>
      <c r="AD148" s="211">
        <f t="shared" si="51"/>
        <v>0</v>
      </c>
      <c r="AE148" s="211">
        <f t="shared" si="87"/>
        <v>0</v>
      </c>
      <c r="AF148" s="211">
        <f t="shared" si="88"/>
        <v>0</v>
      </c>
      <c r="AG148" s="212">
        <f t="shared" si="89"/>
        <v>0</v>
      </c>
      <c r="AH148" s="211">
        <f t="shared" si="90"/>
        <v>0</v>
      </c>
      <c r="AI148" s="211">
        <f t="shared" si="91"/>
        <v>0</v>
      </c>
      <c r="AJ148" s="211">
        <f t="shared" si="92"/>
        <v>0</v>
      </c>
      <c r="AK148" s="211">
        <f t="shared" si="93"/>
        <v>0</v>
      </c>
      <c r="AL148" s="211">
        <f t="shared" si="94"/>
        <v>0</v>
      </c>
      <c r="AM148" s="211">
        <f t="shared" si="95"/>
        <v>0</v>
      </c>
      <c r="AN148" s="211">
        <f t="shared" si="96"/>
        <v>0</v>
      </c>
      <c r="AO148" s="211">
        <f t="shared" si="97"/>
        <v>0</v>
      </c>
      <c r="AP148" s="213">
        <f t="shared" si="98"/>
        <v>0.6452296819787986</v>
      </c>
      <c r="AQ148" s="214">
        <f t="shared" si="99"/>
        <v>40.160000000000004</v>
      </c>
      <c r="AR148" s="540">
        <v>9</v>
      </c>
      <c r="AS148" s="202">
        <f t="shared" si="82"/>
        <v>64.522968197879862</v>
      </c>
      <c r="AT148" s="197">
        <f t="shared" si="73"/>
        <v>0</v>
      </c>
      <c r="AU148" s="199">
        <f t="shared" si="74"/>
        <v>0</v>
      </c>
      <c r="AV148" s="185"/>
      <c r="AW148" s="969" t="s">
        <v>202</v>
      </c>
      <c r="AX148" s="1002" t="s">
        <v>198</v>
      </c>
      <c r="AY148" s="556">
        <v>0</v>
      </c>
      <c r="AZ148" s="43"/>
      <c r="BA148" s="43"/>
      <c r="BB148" s="35">
        <f>IF($F$14="NOVO/REATIVAÇÃO",7*W148*1.4,7*W148)</f>
        <v>0</v>
      </c>
      <c r="BC148" s="43">
        <f t="shared" si="75"/>
        <v>0</v>
      </c>
      <c r="BD148" s="43" t="str">
        <f t="shared" si="85"/>
        <v/>
      </c>
      <c r="BE148" s="44">
        <f t="shared" si="49"/>
        <v>0</v>
      </c>
      <c r="BF148" s="971"/>
      <c r="BG148" s="236"/>
      <c r="BH148" s="12"/>
      <c r="BI148" s="12"/>
      <c r="BJ148" s="12"/>
      <c r="BK148" s="12"/>
      <c r="BL148" s="12"/>
      <c r="BM148" s="980"/>
      <c r="BN148" s="367"/>
      <c r="BO148" s="981"/>
      <c r="BP148" s="12"/>
      <c r="BQ148" s="12"/>
      <c r="BR148" s="12"/>
      <c r="BS148" s="973"/>
      <c r="BT148" s="12"/>
      <c r="BU148" s="12"/>
      <c r="BV148" s="12"/>
      <c r="BW148" s="982" t="s">
        <v>395</v>
      </c>
      <c r="BX148" s="983">
        <f t="shared" si="50"/>
        <v>0</v>
      </c>
      <c r="BY148" s="12" t="e">
        <f>VLOOKUP(B148,#REF!,13,0)</f>
        <v>#REF!</v>
      </c>
      <c r="BZ148" s="1066">
        <v>54.9</v>
      </c>
      <c r="CA148" s="1181" t="e">
        <f>VLOOKUP(B148,Pedido!$B$16:$L$292,22,0)</f>
        <v>#N/A</v>
      </c>
    </row>
    <row r="149" spans="1:79" ht="24.75" customHeight="1" thickBot="1">
      <c r="A149" s="936"/>
      <c r="B149" s="304" t="s">
        <v>338</v>
      </c>
      <c r="C149" s="140" t="s">
        <v>339</v>
      </c>
      <c r="D149" s="451" t="s">
        <v>340</v>
      </c>
      <c r="E149" s="452" t="s">
        <v>341</v>
      </c>
      <c r="F149" s="453" t="s">
        <v>123</v>
      </c>
      <c r="G149" s="454" t="s">
        <v>342</v>
      </c>
      <c r="H149" s="1162">
        <v>29.6</v>
      </c>
      <c r="I149" s="129">
        <v>109</v>
      </c>
      <c r="J149" s="130" t="str">
        <f t="shared" si="79"/>
        <v/>
      </c>
      <c r="K149" s="131" t="str">
        <f t="shared" si="40"/>
        <v/>
      </c>
      <c r="L149" s="241">
        <v>99</v>
      </c>
      <c r="M149" s="478">
        <f t="shared" si="76"/>
        <v>89</v>
      </c>
      <c r="N149" s="478">
        <f t="shared" si="77"/>
        <v>89</v>
      </c>
      <c r="O149" s="478">
        <f t="shared" si="78"/>
        <v>89</v>
      </c>
      <c r="P149" s="312">
        <v>89</v>
      </c>
      <c r="Q149" s="312">
        <v>79</v>
      </c>
      <c r="R149" s="312">
        <v>69</v>
      </c>
      <c r="S149" s="313">
        <v>59</v>
      </c>
      <c r="T149" s="314" t="str">
        <f t="shared" si="64"/>
        <v/>
      </c>
      <c r="U149" s="315" t="str">
        <f t="shared" si="65"/>
        <v/>
      </c>
      <c r="V149" s="1123"/>
      <c r="W149" s="1105"/>
      <c r="X149" s="1106"/>
      <c r="Y149" s="194" t="str">
        <f t="shared" si="60"/>
        <v/>
      </c>
      <c r="Z149" s="216">
        <f t="shared" si="66"/>
        <v>0</v>
      </c>
      <c r="AA149" s="316">
        <f t="shared" si="86"/>
        <v>0</v>
      </c>
      <c r="AB149" s="316">
        <f t="shared" si="83"/>
        <v>0</v>
      </c>
      <c r="AC149" s="316">
        <f t="shared" si="84"/>
        <v>0</v>
      </c>
      <c r="AD149" s="316">
        <f t="shared" si="51"/>
        <v>0</v>
      </c>
      <c r="AE149" s="316">
        <f t="shared" si="87"/>
        <v>0</v>
      </c>
      <c r="AF149" s="316">
        <f t="shared" si="88"/>
        <v>0</v>
      </c>
      <c r="AG149" s="317">
        <f t="shared" si="89"/>
        <v>0</v>
      </c>
      <c r="AH149" s="316">
        <f t="shared" si="90"/>
        <v>0</v>
      </c>
      <c r="AI149" s="316">
        <f t="shared" si="91"/>
        <v>0</v>
      </c>
      <c r="AJ149" s="316">
        <f t="shared" si="92"/>
        <v>0</v>
      </c>
      <c r="AK149" s="316">
        <f t="shared" si="93"/>
        <v>0</v>
      </c>
      <c r="AL149" s="316">
        <f t="shared" si="94"/>
        <v>0</v>
      </c>
      <c r="AM149" s="316">
        <f t="shared" si="95"/>
        <v>0</v>
      </c>
      <c r="AN149" s="316">
        <f t="shared" si="96"/>
        <v>0</v>
      </c>
      <c r="AO149" s="316">
        <f t="shared" si="97"/>
        <v>0</v>
      </c>
      <c r="AP149" s="318">
        <f t="shared" si="98"/>
        <v>0.70101010101010097</v>
      </c>
      <c r="AQ149" s="319">
        <f t="shared" si="99"/>
        <v>39.466666666666669</v>
      </c>
      <c r="AR149" s="541">
        <v>10</v>
      </c>
      <c r="AS149" s="202">
        <f t="shared" si="82"/>
        <v>70.101010101010104</v>
      </c>
      <c r="AT149" s="197">
        <f t="shared" si="73"/>
        <v>0</v>
      </c>
      <c r="AU149" s="199">
        <f t="shared" si="74"/>
        <v>0</v>
      </c>
      <c r="AV149" s="320"/>
      <c r="AW149" s="318" t="s">
        <v>202</v>
      </c>
      <c r="AX149" s="1002" t="s">
        <v>198</v>
      </c>
      <c r="AY149" s="556">
        <v>0</v>
      </c>
      <c r="AZ149" s="43"/>
      <c r="BA149" s="43"/>
      <c r="BB149" s="35"/>
      <c r="BC149" s="43">
        <f t="shared" si="75"/>
        <v>0</v>
      </c>
      <c r="BD149" s="43" t="str">
        <f t="shared" si="85"/>
        <v/>
      </c>
      <c r="BE149" s="44">
        <f t="shared" si="49"/>
        <v>0</v>
      </c>
      <c r="BF149" s="971"/>
      <c r="BG149" s="236"/>
      <c r="BH149" s="12"/>
      <c r="BI149" s="12"/>
      <c r="BJ149" s="12"/>
      <c r="BK149" s="12"/>
      <c r="BL149" s="12"/>
      <c r="BM149" s="980"/>
      <c r="BN149" s="367"/>
      <c r="BO149" s="981"/>
      <c r="BP149" s="12"/>
      <c r="BQ149" s="12"/>
      <c r="BR149" s="12"/>
      <c r="BS149" s="973"/>
      <c r="BT149" s="12"/>
      <c r="BU149" s="12"/>
      <c r="BV149" s="12"/>
      <c r="BW149" s="982" t="s">
        <v>395</v>
      </c>
      <c r="BX149" s="983">
        <f t="shared" ref="BX149:BX222" si="100">IFERROR(W149*U149,0)</f>
        <v>0</v>
      </c>
      <c r="BY149" s="12" t="e">
        <f>VLOOKUP(B149,#REF!,13,0)</f>
        <v>#REF!</v>
      </c>
      <c r="BZ149" s="1056">
        <v>54.9</v>
      </c>
      <c r="CA149" s="1181" t="e">
        <f>VLOOKUP(B149,Pedido!$B$16:$L$292,22,0)</f>
        <v>#N/A</v>
      </c>
    </row>
    <row r="150" spans="1:79" ht="24.75" customHeight="1" thickBot="1">
      <c r="A150" s="936"/>
      <c r="B150" s="301" t="s">
        <v>343</v>
      </c>
      <c r="C150" s="114" t="s">
        <v>339</v>
      </c>
      <c r="D150" s="443" t="s">
        <v>340</v>
      </c>
      <c r="E150" s="444" t="s">
        <v>324</v>
      </c>
      <c r="F150" s="445" t="s">
        <v>123</v>
      </c>
      <c r="G150" s="446" t="s">
        <v>342</v>
      </c>
      <c r="H150" s="1162">
        <v>29.6</v>
      </c>
      <c r="I150" s="115">
        <v>109</v>
      </c>
      <c r="J150" s="116" t="str">
        <f t="shared" si="79"/>
        <v/>
      </c>
      <c r="K150" s="117" t="str">
        <f t="shared" si="40"/>
        <v/>
      </c>
      <c r="L150" s="239">
        <v>99</v>
      </c>
      <c r="M150" s="479">
        <f t="shared" si="76"/>
        <v>89</v>
      </c>
      <c r="N150" s="479">
        <f t="shared" si="77"/>
        <v>89</v>
      </c>
      <c r="O150" s="479">
        <f t="shared" si="78"/>
        <v>89</v>
      </c>
      <c r="P150" s="305">
        <v>89</v>
      </c>
      <c r="Q150" s="305">
        <v>79</v>
      </c>
      <c r="R150" s="305">
        <v>69</v>
      </c>
      <c r="S150" s="306">
        <v>59</v>
      </c>
      <c r="T150" s="246" t="str">
        <f t="shared" si="64"/>
        <v/>
      </c>
      <c r="U150" s="298" t="str">
        <f t="shared" si="65"/>
        <v/>
      </c>
      <c r="V150" s="734"/>
      <c r="W150" s="1100"/>
      <c r="X150" s="264"/>
      <c r="Y150" s="113" t="str">
        <f t="shared" si="60"/>
        <v/>
      </c>
      <c r="Z150" s="223">
        <f t="shared" si="66"/>
        <v>0</v>
      </c>
      <c r="AA150" s="307">
        <f t="shared" si="86"/>
        <v>0</v>
      </c>
      <c r="AB150" s="307">
        <f t="shared" si="83"/>
        <v>0</v>
      </c>
      <c r="AC150" s="307">
        <f t="shared" si="84"/>
        <v>0</v>
      </c>
      <c r="AD150" s="307">
        <f t="shared" si="51"/>
        <v>0</v>
      </c>
      <c r="AE150" s="307">
        <f t="shared" si="87"/>
        <v>0</v>
      </c>
      <c r="AF150" s="307">
        <f t="shared" si="88"/>
        <v>0</v>
      </c>
      <c r="AG150" s="308">
        <f t="shared" si="89"/>
        <v>0</v>
      </c>
      <c r="AH150" s="307">
        <f t="shared" si="90"/>
        <v>0</v>
      </c>
      <c r="AI150" s="307">
        <f t="shared" si="91"/>
        <v>0</v>
      </c>
      <c r="AJ150" s="307">
        <f t="shared" si="92"/>
        <v>0</v>
      </c>
      <c r="AK150" s="307">
        <f t="shared" si="93"/>
        <v>0</v>
      </c>
      <c r="AL150" s="307">
        <f t="shared" si="94"/>
        <v>0</v>
      </c>
      <c r="AM150" s="307">
        <f t="shared" si="95"/>
        <v>0</v>
      </c>
      <c r="AN150" s="307">
        <f t="shared" si="96"/>
        <v>0</v>
      </c>
      <c r="AO150" s="307">
        <f t="shared" si="97"/>
        <v>0</v>
      </c>
      <c r="AP150" s="309">
        <f t="shared" si="98"/>
        <v>0.70101010101010097</v>
      </c>
      <c r="AQ150" s="310">
        <f t="shared" si="99"/>
        <v>39.466666666666669</v>
      </c>
      <c r="AR150" s="544">
        <v>10</v>
      </c>
      <c r="AS150" s="202">
        <f t="shared" si="82"/>
        <v>70.101010101010104</v>
      </c>
      <c r="AT150" s="197">
        <f t="shared" si="73"/>
        <v>0</v>
      </c>
      <c r="AU150" s="199">
        <f t="shared" si="74"/>
        <v>0</v>
      </c>
      <c r="AV150" s="311"/>
      <c r="AW150" s="309" t="s">
        <v>202</v>
      </c>
      <c r="AX150" s="1002" t="s">
        <v>198</v>
      </c>
      <c r="AY150" s="556">
        <v>0</v>
      </c>
      <c r="AZ150" s="43"/>
      <c r="BA150" s="43"/>
      <c r="BB150" s="35"/>
      <c r="BC150" s="43">
        <f t="shared" si="75"/>
        <v>0</v>
      </c>
      <c r="BD150" s="43" t="str">
        <f t="shared" si="85"/>
        <v/>
      </c>
      <c r="BE150" s="44">
        <f t="shared" si="49"/>
        <v>0</v>
      </c>
      <c r="BF150" s="971"/>
      <c r="BG150" s="236"/>
      <c r="BH150" s="12"/>
      <c r="BI150" s="12"/>
      <c r="BJ150" s="12"/>
      <c r="BK150" s="12"/>
      <c r="BL150" s="12"/>
      <c r="BM150" s="980"/>
      <c r="BN150" s="367"/>
      <c r="BO150" s="981"/>
      <c r="BP150" s="12"/>
      <c r="BQ150" s="12"/>
      <c r="BR150" s="12"/>
      <c r="BS150" s="973"/>
      <c r="BT150" s="12"/>
      <c r="BU150" s="12"/>
      <c r="BV150" s="12"/>
      <c r="BW150" s="982" t="s">
        <v>395</v>
      </c>
      <c r="BX150" s="983">
        <f t="shared" si="100"/>
        <v>0</v>
      </c>
      <c r="BY150" s="12" t="e">
        <f>VLOOKUP(B150,#REF!,13,0)</f>
        <v>#REF!</v>
      </c>
      <c r="BZ150" s="1055">
        <v>54.9</v>
      </c>
      <c r="CA150" s="1181" t="e">
        <f>VLOOKUP(B150,Pedido!$B$16:$L$292,22,0)</f>
        <v>#N/A</v>
      </c>
    </row>
    <row r="151" spans="1:79" ht="24.75" customHeight="1" thickBot="1">
      <c r="A151" s="936"/>
      <c r="B151" s="301" t="s">
        <v>344</v>
      </c>
      <c r="C151" s="114" t="s">
        <v>339</v>
      </c>
      <c r="D151" s="443" t="s">
        <v>340</v>
      </c>
      <c r="E151" s="444" t="s">
        <v>345</v>
      </c>
      <c r="F151" s="445" t="s">
        <v>123</v>
      </c>
      <c r="G151" s="446" t="s">
        <v>342</v>
      </c>
      <c r="H151" s="1162">
        <v>29.6</v>
      </c>
      <c r="I151" s="115">
        <v>109</v>
      </c>
      <c r="J151" s="116" t="str">
        <f t="shared" si="79"/>
        <v/>
      </c>
      <c r="K151" s="117" t="str">
        <f t="shared" si="40"/>
        <v/>
      </c>
      <c r="L151" s="239">
        <v>99</v>
      </c>
      <c r="M151" s="476">
        <f t="shared" si="76"/>
        <v>89</v>
      </c>
      <c r="N151" s="476">
        <f t="shared" si="77"/>
        <v>89</v>
      </c>
      <c r="O151" s="476">
        <f t="shared" si="78"/>
        <v>89</v>
      </c>
      <c r="P151" s="176">
        <v>89</v>
      </c>
      <c r="Q151" s="176">
        <v>79</v>
      </c>
      <c r="R151" s="176">
        <v>69</v>
      </c>
      <c r="S151" s="177">
        <v>59</v>
      </c>
      <c r="T151" s="178" t="str">
        <f t="shared" si="64"/>
        <v/>
      </c>
      <c r="U151" s="179" t="str">
        <f t="shared" si="65"/>
        <v/>
      </c>
      <c r="V151" s="1117"/>
      <c r="W151" s="1118"/>
      <c r="X151" s="1119"/>
      <c r="Y151" s="180" t="str">
        <f t="shared" si="60"/>
        <v/>
      </c>
      <c r="Z151" s="226">
        <f t="shared" si="66"/>
        <v>0</v>
      </c>
      <c r="AA151" s="181">
        <f t="shared" si="86"/>
        <v>0</v>
      </c>
      <c r="AB151" s="181">
        <f t="shared" si="83"/>
        <v>0</v>
      </c>
      <c r="AC151" s="181">
        <f t="shared" si="84"/>
        <v>0</v>
      </c>
      <c r="AD151" s="181">
        <f t="shared" si="51"/>
        <v>0</v>
      </c>
      <c r="AE151" s="181">
        <f t="shared" si="87"/>
        <v>0</v>
      </c>
      <c r="AF151" s="181">
        <f t="shared" si="88"/>
        <v>0</v>
      </c>
      <c r="AG151" s="182">
        <f t="shared" si="89"/>
        <v>0</v>
      </c>
      <c r="AH151" s="181">
        <f t="shared" si="90"/>
        <v>0</v>
      </c>
      <c r="AI151" s="181">
        <f t="shared" si="91"/>
        <v>0</v>
      </c>
      <c r="AJ151" s="181">
        <f t="shared" si="92"/>
        <v>0</v>
      </c>
      <c r="AK151" s="181">
        <f t="shared" si="93"/>
        <v>0</v>
      </c>
      <c r="AL151" s="181">
        <f t="shared" si="94"/>
        <v>0</v>
      </c>
      <c r="AM151" s="181">
        <f t="shared" si="95"/>
        <v>0</v>
      </c>
      <c r="AN151" s="181">
        <f t="shared" si="96"/>
        <v>0</v>
      </c>
      <c r="AO151" s="181">
        <f t="shared" si="97"/>
        <v>0</v>
      </c>
      <c r="AP151" s="183">
        <f t="shared" si="98"/>
        <v>0.70101010101010097</v>
      </c>
      <c r="AQ151" s="184">
        <f t="shared" si="99"/>
        <v>39.466666666666669</v>
      </c>
      <c r="AR151" s="540">
        <v>10</v>
      </c>
      <c r="AS151" s="202">
        <f t="shared" si="82"/>
        <v>70.101010101010104</v>
      </c>
      <c r="AT151" s="197">
        <f t="shared" si="73"/>
        <v>0</v>
      </c>
      <c r="AU151" s="199">
        <f t="shared" si="74"/>
        <v>0</v>
      </c>
      <c r="AV151" s="185"/>
      <c r="AW151" s="183" t="s">
        <v>202</v>
      </c>
      <c r="AX151" s="1002" t="s">
        <v>198</v>
      </c>
      <c r="AY151" s="556">
        <v>0</v>
      </c>
      <c r="AZ151" s="43"/>
      <c r="BA151" s="43"/>
      <c r="BB151" s="35"/>
      <c r="BC151" s="43">
        <f t="shared" si="75"/>
        <v>0</v>
      </c>
      <c r="BD151" s="43" t="str">
        <f t="shared" si="85"/>
        <v/>
      </c>
      <c r="BE151" s="44">
        <f t="shared" si="49"/>
        <v>0</v>
      </c>
      <c r="BF151" s="971"/>
      <c r="BG151" s="236"/>
      <c r="BH151" s="12"/>
      <c r="BI151" s="12"/>
      <c r="BJ151" s="12"/>
      <c r="BK151" s="12"/>
      <c r="BL151" s="12"/>
      <c r="BM151" s="980"/>
      <c r="BN151" s="367"/>
      <c r="BO151" s="981"/>
      <c r="BP151" s="12"/>
      <c r="BQ151" s="12"/>
      <c r="BR151" s="12"/>
      <c r="BS151" s="973"/>
      <c r="BT151" s="12"/>
      <c r="BU151" s="12"/>
      <c r="BV151" s="12"/>
      <c r="BW151" s="982" t="s">
        <v>395</v>
      </c>
      <c r="BX151" s="983">
        <f t="shared" si="100"/>
        <v>0</v>
      </c>
      <c r="BY151" s="12" t="e">
        <f>VLOOKUP(B151,#REF!,13,0)</f>
        <v>#REF!</v>
      </c>
      <c r="BZ151" s="1055">
        <v>54.9</v>
      </c>
      <c r="CA151" s="1181" t="e">
        <f>VLOOKUP(B151,Pedido!$B$16:$L$292,22,0)</f>
        <v>#N/A</v>
      </c>
    </row>
    <row r="152" spans="1:79" ht="24.75" customHeight="1" thickBot="1">
      <c r="A152" s="936"/>
      <c r="B152" s="299" t="s">
        <v>346</v>
      </c>
      <c r="C152" s="300" t="s">
        <v>347</v>
      </c>
      <c r="D152" s="439" t="s">
        <v>348</v>
      </c>
      <c r="E152" s="440" t="s">
        <v>341</v>
      </c>
      <c r="F152" s="441" t="s">
        <v>61</v>
      </c>
      <c r="G152" s="442" t="s">
        <v>349</v>
      </c>
      <c r="H152" s="1162">
        <v>72.790000000000006</v>
      </c>
      <c r="I152" s="322">
        <v>269.89999999999998</v>
      </c>
      <c r="J152" s="323" t="str">
        <f t="shared" si="79"/>
        <v/>
      </c>
      <c r="K152" s="324" t="str">
        <f t="shared" si="40"/>
        <v/>
      </c>
      <c r="L152" s="325">
        <v>194.9</v>
      </c>
      <c r="M152" s="478">
        <f t="shared" si="76"/>
        <v>171.9</v>
      </c>
      <c r="N152" s="478">
        <f t="shared" si="77"/>
        <v>171.9</v>
      </c>
      <c r="O152" s="478">
        <f t="shared" si="78"/>
        <v>171.9</v>
      </c>
      <c r="P152" s="312">
        <v>171.9</v>
      </c>
      <c r="Q152" s="312">
        <v>158.9</v>
      </c>
      <c r="R152" s="312">
        <v>155.9</v>
      </c>
      <c r="S152" s="313">
        <v>149.9</v>
      </c>
      <c r="T152" s="314" t="str">
        <f t="shared" si="64"/>
        <v/>
      </c>
      <c r="U152" s="315" t="str">
        <f t="shared" si="65"/>
        <v/>
      </c>
      <c r="V152" s="1123"/>
      <c r="W152" s="1105"/>
      <c r="X152" s="1106"/>
      <c r="Y152" s="194" t="str">
        <f t="shared" si="60"/>
        <v/>
      </c>
      <c r="Z152" s="216">
        <f t="shared" si="66"/>
        <v>0</v>
      </c>
      <c r="AA152" s="316">
        <f t="shared" si="86"/>
        <v>0</v>
      </c>
      <c r="AB152" s="316">
        <f t="shared" si="83"/>
        <v>0</v>
      </c>
      <c r="AC152" s="316">
        <f t="shared" si="84"/>
        <v>0</v>
      </c>
      <c r="AD152" s="316">
        <f t="shared" si="51"/>
        <v>0</v>
      </c>
      <c r="AE152" s="316">
        <f t="shared" si="87"/>
        <v>0</v>
      </c>
      <c r="AF152" s="316">
        <f t="shared" si="88"/>
        <v>0</v>
      </c>
      <c r="AG152" s="317">
        <f t="shared" si="89"/>
        <v>0</v>
      </c>
      <c r="AH152" s="316">
        <f t="shared" si="90"/>
        <v>0</v>
      </c>
      <c r="AI152" s="316">
        <f t="shared" si="91"/>
        <v>0</v>
      </c>
      <c r="AJ152" s="316">
        <f t="shared" si="92"/>
        <v>0</v>
      </c>
      <c r="AK152" s="316">
        <f t="shared" si="93"/>
        <v>0</v>
      </c>
      <c r="AL152" s="316">
        <f t="shared" si="94"/>
        <v>0</v>
      </c>
      <c r="AM152" s="316">
        <f t="shared" si="95"/>
        <v>0</v>
      </c>
      <c r="AN152" s="316">
        <f t="shared" si="96"/>
        <v>0</v>
      </c>
      <c r="AO152" s="316">
        <f t="shared" si="97"/>
        <v>0</v>
      </c>
      <c r="AP152" s="318">
        <f t="shared" si="98"/>
        <v>0.62652642380708046</v>
      </c>
      <c r="AQ152" s="319">
        <f t="shared" si="99"/>
        <v>97.053333333333342</v>
      </c>
      <c r="AR152" s="541">
        <v>6</v>
      </c>
      <c r="AS152" s="202">
        <f t="shared" si="82"/>
        <v>62.652642380708045</v>
      </c>
      <c r="AT152" s="197">
        <f t="shared" si="73"/>
        <v>0</v>
      </c>
      <c r="AU152" s="199">
        <f t="shared" si="74"/>
        <v>0</v>
      </c>
      <c r="AV152" s="320"/>
      <c r="AW152" s="318" t="s">
        <v>202</v>
      </c>
      <c r="AX152" s="1002" t="s">
        <v>198</v>
      </c>
      <c r="AY152" s="556">
        <v>0</v>
      </c>
      <c r="AZ152" s="43"/>
      <c r="BA152" s="43"/>
      <c r="BB152" s="35">
        <f>IF($F$14="NOVO/REATIVAÇÃO",10*W152*1.4,10*W152)</f>
        <v>0</v>
      </c>
      <c r="BC152" s="43">
        <f t="shared" si="75"/>
        <v>0</v>
      </c>
      <c r="BD152" s="43" t="str">
        <f t="shared" si="85"/>
        <v/>
      </c>
      <c r="BE152" s="44">
        <f t="shared" si="49"/>
        <v>0</v>
      </c>
      <c r="BF152" s="971"/>
      <c r="BG152" s="236"/>
      <c r="BH152" s="12"/>
      <c r="BI152" s="12"/>
      <c r="BJ152" s="12"/>
      <c r="BK152" s="12"/>
      <c r="BL152" s="12"/>
      <c r="BM152" s="980"/>
      <c r="BN152" s="367"/>
      <c r="BO152" s="981"/>
      <c r="BP152" s="12"/>
      <c r="BQ152" s="12"/>
      <c r="BR152" s="12"/>
      <c r="BS152" s="973"/>
      <c r="BT152" s="12"/>
      <c r="BU152" s="12"/>
      <c r="BV152" s="12"/>
      <c r="BW152" s="982" t="s">
        <v>395</v>
      </c>
      <c r="BX152" s="983">
        <f t="shared" si="100"/>
        <v>0</v>
      </c>
      <c r="BY152" s="12" t="e">
        <f>VLOOKUP(B152,#REF!,13,0)</f>
        <v>#REF!</v>
      </c>
      <c r="BZ152" s="1059">
        <v>139.9</v>
      </c>
      <c r="CA152" s="1181" t="e">
        <f>VLOOKUP(B152,Pedido!$B$16:$L$292,22,0)</f>
        <v>#N/A</v>
      </c>
    </row>
    <row r="153" spans="1:79" ht="24.75" customHeight="1" thickBot="1">
      <c r="A153" s="936"/>
      <c r="B153" s="301" t="s">
        <v>350</v>
      </c>
      <c r="C153" s="114" t="s">
        <v>347</v>
      </c>
      <c r="D153" s="443" t="s">
        <v>348</v>
      </c>
      <c r="E153" s="444" t="s">
        <v>324</v>
      </c>
      <c r="F153" s="445" t="s">
        <v>61</v>
      </c>
      <c r="G153" s="446" t="s">
        <v>349</v>
      </c>
      <c r="H153" s="1162">
        <v>72.790000000000006</v>
      </c>
      <c r="I153" s="115">
        <v>269.89999999999998</v>
      </c>
      <c r="J153" s="116" t="str">
        <f t="shared" si="79"/>
        <v/>
      </c>
      <c r="K153" s="117" t="str">
        <f t="shared" si="40"/>
        <v/>
      </c>
      <c r="L153" s="239">
        <v>194.9</v>
      </c>
      <c r="M153" s="479">
        <f t="shared" si="76"/>
        <v>171.9</v>
      </c>
      <c r="N153" s="479">
        <f t="shared" si="77"/>
        <v>171.9</v>
      </c>
      <c r="O153" s="479">
        <f t="shared" si="78"/>
        <v>171.9</v>
      </c>
      <c r="P153" s="305">
        <v>171.9</v>
      </c>
      <c r="Q153" s="305">
        <v>158.9</v>
      </c>
      <c r="R153" s="305">
        <v>155.9</v>
      </c>
      <c r="S153" s="306">
        <v>149.9</v>
      </c>
      <c r="T153" s="246" t="str">
        <f t="shared" si="64"/>
        <v/>
      </c>
      <c r="U153" s="298" t="str">
        <f t="shared" si="65"/>
        <v/>
      </c>
      <c r="V153" s="734"/>
      <c r="W153" s="1100"/>
      <c r="X153" s="264"/>
      <c r="Y153" s="113" t="str">
        <f t="shared" si="60"/>
        <v/>
      </c>
      <c r="Z153" s="223">
        <f t="shared" si="66"/>
        <v>0</v>
      </c>
      <c r="AA153" s="307">
        <f t="shared" si="86"/>
        <v>0</v>
      </c>
      <c r="AB153" s="307">
        <f t="shared" si="83"/>
        <v>0</v>
      </c>
      <c r="AC153" s="307">
        <f t="shared" si="84"/>
        <v>0</v>
      </c>
      <c r="AD153" s="307">
        <f t="shared" si="51"/>
        <v>0</v>
      </c>
      <c r="AE153" s="307">
        <f t="shared" si="87"/>
        <v>0</v>
      </c>
      <c r="AF153" s="307">
        <f t="shared" si="88"/>
        <v>0</v>
      </c>
      <c r="AG153" s="308">
        <f t="shared" si="89"/>
        <v>0</v>
      </c>
      <c r="AH153" s="307">
        <f t="shared" si="90"/>
        <v>0</v>
      </c>
      <c r="AI153" s="307">
        <f t="shared" si="91"/>
        <v>0</v>
      </c>
      <c r="AJ153" s="307">
        <f t="shared" si="92"/>
        <v>0</v>
      </c>
      <c r="AK153" s="307">
        <f t="shared" si="93"/>
        <v>0</v>
      </c>
      <c r="AL153" s="307">
        <f t="shared" si="94"/>
        <v>0</v>
      </c>
      <c r="AM153" s="307">
        <f t="shared" si="95"/>
        <v>0</v>
      </c>
      <c r="AN153" s="307">
        <f t="shared" si="96"/>
        <v>0</v>
      </c>
      <c r="AO153" s="307">
        <f t="shared" si="97"/>
        <v>0</v>
      </c>
      <c r="AP153" s="309">
        <f t="shared" si="98"/>
        <v>0.62652642380708046</v>
      </c>
      <c r="AQ153" s="310">
        <f t="shared" si="99"/>
        <v>97.053333333333342</v>
      </c>
      <c r="AR153" s="544">
        <v>6</v>
      </c>
      <c r="AS153" s="202">
        <f t="shared" si="82"/>
        <v>62.652642380708045</v>
      </c>
      <c r="AT153" s="197">
        <f t="shared" si="73"/>
        <v>0</v>
      </c>
      <c r="AU153" s="199">
        <f t="shared" si="74"/>
        <v>0</v>
      </c>
      <c r="AV153" s="311"/>
      <c r="AW153" s="309" t="s">
        <v>202</v>
      </c>
      <c r="AX153" s="1002" t="s">
        <v>198</v>
      </c>
      <c r="AY153" s="556">
        <v>0</v>
      </c>
      <c r="AZ153" s="43"/>
      <c r="BA153" s="43"/>
      <c r="BB153" s="35">
        <f>IF($F$14="NOVO/REATIVAÇÃO",10*W153*1.4,10*W153)</f>
        <v>0</v>
      </c>
      <c r="BC153" s="43">
        <f t="shared" si="75"/>
        <v>0</v>
      </c>
      <c r="BD153" s="43" t="str">
        <f t="shared" si="85"/>
        <v/>
      </c>
      <c r="BE153" s="44">
        <f t="shared" si="49"/>
        <v>0</v>
      </c>
      <c r="BF153" s="971"/>
      <c r="BG153" s="236"/>
      <c r="BH153" s="12"/>
      <c r="BI153" s="12"/>
      <c r="BJ153" s="12"/>
      <c r="BK153" s="12"/>
      <c r="BL153" s="12"/>
      <c r="BM153" s="980"/>
      <c r="BN153" s="367"/>
      <c r="BO153" s="981"/>
      <c r="BP153" s="12"/>
      <c r="BQ153" s="12"/>
      <c r="BR153" s="12"/>
      <c r="BS153" s="973"/>
      <c r="BT153" s="12"/>
      <c r="BU153" s="12"/>
      <c r="BV153" s="12"/>
      <c r="BW153" s="982" t="s">
        <v>395</v>
      </c>
      <c r="BX153" s="983">
        <f t="shared" si="100"/>
        <v>0</v>
      </c>
      <c r="BY153" s="12" t="e">
        <f>VLOOKUP(B153,#REF!,13,0)</f>
        <v>#REF!</v>
      </c>
      <c r="BZ153" s="1055">
        <v>139.9</v>
      </c>
      <c r="CA153" s="1181" t="e">
        <f>VLOOKUP(B153,Pedido!$B$16:$L$292,22,0)</f>
        <v>#N/A</v>
      </c>
    </row>
    <row r="154" spans="1:79" ht="24.75" customHeight="1" thickBot="1">
      <c r="A154" s="936"/>
      <c r="B154" s="302" t="s">
        <v>351</v>
      </c>
      <c r="C154" s="303" t="s">
        <v>347</v>
      </c>
      <c r="D154" s="443" t="s">
        <v>348</v>
      </c>
      <c r="E154" s="444" t="s">
        <v>345</v>
      </c>
      <c r="F154" s="445" t="s">
        <v>61</v>
      </c>
      <c r="G154" s="446" t="s">
        <v>349</v>
      </c>
      <c r="H154" s="1152">
        <v>72.790000000000006</v>
      </c>
      <c r="I154" s="115">
        <v>269.89999999999998</v>
      </c>
      <c r="J154" s="116" t="str">
        <f t="shared" si="79"/>
        <v/>
      </c>
      <c r="K154" s="117" t="str">
        <f t="shared" si="40"/>
        <v/>
      </c>
      <c r="L154" s="239">
        <v>194.9</v>
      </c>
      <c r="M154" s="473">
        <f t="shared" si="76"/>
        <v>171.9</v>
      </c>
      <c r="N154" s="473">
        <f t="shared" si="77"/>
        <v>171.9</v>
      </c>
      <c r="O154" s="473">
        <f t="shared" si="78"/>
        <v>171.9</v>
      </c>
      <c r="P154" s="132">
        <v>171.9</v>
      </c>
      <c r="Q154" s="132">
        <v>158.9</v>
      </c>
      <c r="R154" s="132">
        <v>155.9</v>
      </c>
      <c r="S154" s="133">
        <v>149.9</v>
      </c>
      <c r="T154" s="134" t="str">
        <f t="shared" si="64"/>
        <v/>
      </c>
      <c r="U154" s="135" t="str">
        <f t="shared" si="65"/>
        <v/>
      </c>
      <c r="V154" s="575"/>
      <c r="W154" s="694"/>
      <c r="X154" s="170"/>
      <c r="Y154" s="122" t="str">
        <f t="shared" si="60"/>
        <v/>
      </c>
      <c r="Z154" s="224">
        <f t="shared" si="66"/>
        <v>0</v>
      </c>
      <c r="AA154" s="181">
        <f t="shared" si="86"/>
        <v>0</v>
      </c>
      <c r="AB154" s="181">
        <f t="shared" si="83"/>
        <v>0</v>
      </c>
      <c r="AC154" s="181">
        <f t="shared" si="84"/>
        <v>0</v>
      </c>
      <c r="AD154" s="181">
        <f t="shared" si="51"/>
        <v>0</v>
      </c>
      <c r="AE154" s="181">
        <f t="shared" si="87"/>
        <v>0</v>
      </c>
      <c r="AF154" s="181">
        <f t="shared" si="88"/>
        <v>0</v>
      </c>
      <c r="AG154" s="182">
        <f t="shared" si="89"/>
        <v>0</v>
      </c>
      <c r="AH154" s="181">
        <f t="shared" si="90"/>
        <v>0</v>
      </c>
      <c r="AI154" s="181">
        <f t="shared" si="91"/>
        <v>0</v>
      </c>
      <c r="AJ154" s="181">
        <f t="shared" si="92"/>
        <v>0</v>
      </c>
      <c r="AK154" s="181">
        <f t="shared" si="93"/>
        <v>0</v>
      </c>
      <c r="AL154" s="181">
        <f t="shared" si="94"/>
        <v>0</v>
      </c>
      <c r="AM154" s="181">
        <f t="shared" si="95"/>
        <v>0</v>
      </c>
      <c r="AN154" s="181">
        <f t="shared" si="96"/>
        <v>0</v>
      </c>
      <c r="AO154" s="181">
        <f t="shared" si="97"/>
        <v>0</v>
      </c>
      <c r="AP154" s="183">
        <f t="shared" si="98"/>
        <v>0.62652642380708046</v>
      </c>
      <c r="AQ154" s="184">
        <f t="shared" si="99"/>
        <v>97.053333333333342</v>
      </c>
      <c r="AR154" s="540">
        <v>6</v>
      </c>
      <c r="AS154" s="202">
        <f t="shared" si="82"/>
        <v>62.652642380708045</v>
      </c>
      <c r="AT154" s="197">
        <f t="shared" si="73"/>
        <v>0</v>
      </c>
      <c r="AU154" s="199">
        <f t="shared" si="74"/>
        <v>0</v>
      </c>
      <c r="AV154" s="185"/>
      <c r="AW154" s="183" t="s">
        <v>202</v>
      </c>
      <c r="AX154" s="1002" t="s">
        <v>198</v>
      </c>
      <c r="AY154" s="556">
        <v>0</v>
      </c>
      <c r="AZ154" s="43"/>
      <c r="BA154" s="43"/>
      <c r="BB154" s="35">
        <f>IF($F$14="NOVO/REATIVAÇÃO",10*W154*1.4,10*W154)</f>
        <v>0</v>
      </c>
      <c r="BC154" s="43">
        <f t="shared" si="75"/>
        <v>0</v>
      </c>
      <c r="BD154" s="43" t="str">
        <f t="shared" si="85"/>
        <v/>
      </c>
      <c r="BE154" s="44">
        <f t="shared" si="49"/>
        <v>0</v>
      </c>
      <c r="BF154" s="971"/>
      <c r="BG154" s="236"/>
      <c r="BH154" s="12"/>
      <c r="BI154" s="12"/>
      <c r="BJ154" s="12"/>
      <c r="BK154" s="12"/>
      <c r="BL154" s="12"/>
      <c r="BM154" s="980"/>
      <c r="BN154" s="367"/>
      <c r="BO154" s="981"/>
      <c r="BP154" s="12"/>
      <c r="BQ154" s="12"/>
      <c r="BR154" s="12"/>
      <c r="BS154" s="973"/>
      <c r="BT154" s="12"/>
      <c r="BU154" s="12"/>
      <c r="BV154" s="12"/>
      <c r="BW154" s="982" t="s">
        <v>395</v>
      </c>
      <c r="BX154" s="983">
        <f t="shared" si="100"/>
        <v>0</v>
      </c>
      <c r="BY154" s="12" t="e">
        <f>VLOOKUP(B154,#REF!,13,0)</f>
        <v>#REF!</v>
      </c>
      <c r="BZ154" s="1055">
        <v>139.9</v>
      </c>
      <c r="CA154" s="1181" t="e">
        <f>VLOOKUP(B154,Pedido!$B$16:$L$292,22,0)</f>
        <v>#N/A</v>
      </c>
    </row>
    <row r="155" spans="1:79" ht="66" customHeight="1" thickBot="1">
      <c r="A155" s="936"/>
      <c r="B155" s="299" t="s">
        <v>352</v>
      </c>
      <c r="C155" s="300" t="s">
        <v>358</v>
      </c>
      <c r="D155" s="504" t="s">
        <v>353</v>
      </c>
      <c r="E155" s="505" t="s">
        <v>80</v>
      </c>
      <c r="F155" s="506" t="s">
        <v>61</v>
      </c>
      <c r="G155" s="507" t="s">
        <v>354</v>
      </c>
      <c r="H155" s="1164">
        <v>18.239999999999998</v>
      </c>
      <c r="I155" s="508">
        <v>99.9</v>
      </c>
      <c r="J155" s="509" t="str">
        <f t="shared" si="79"/>
        <v/>
      </c>
      <c r="K155" s="510" t="str">
        <f t="shared" si="40"/>
        <v/>
      </c>
      <c r="L155" s="511">
        <v>71.900000000000006</v>
      </c>
      <c r="M155" s="512">
        <f t="shared" si="76"/>
        <v>62.9</v>
      </c>
      <c r="N155" s="512">
        <f t="shared" si="77"/>
        <v>62.9</v>
      </c>
      <c r="O155" s="512">
        <f t="shared" si="78"/>
        <v>62.9</v>
      </c>
      <c r="P155" s="513">
        <v>62.9</v>
      </c>
      <c r="Q155" s="513">
        <v>57.9</v>
      </c>
      <c r="R155" s="513">
        <v>56.9</v>
      </c>
      <c r="S155" s="514">
        <v>54.9</v>
      </c>
      <c r="T155" s="515" t="str">
        <f t="shared" si="64"/>
        <v/>
      </c>
      <c r="U155" s="516" t="str">
        <f t="shared" si="65"/>
        <v/>
      </c>
      <c r="V155" s="1124"/>
      <c r="W155" s="1125"/>
      <c r="X155" s="1126"/>
      <c r="Y155" s="517" t="str">
        <f t="shared" si="60"/>
        <v/>
      </c>
      <c r="Z155" s="518">
        <f t="shared" si="66"/>
        <v>0</v>
      </c>
      <c r="AA155" s="316">
        <f t="shared" si="86"/>
        <v>0</v>
      </c>
      <c r="AB155" s="316">
        <f t="shared" si="83"/>
        <v>0</v>
      </c>
      <c r="AC155" s="316">
        <f t="shared" si="84"/>
        <v>0</v>
      </c>
      <c r="AD155" s="316">
        <f t="shared" si="51"/>
        <v>0</v>
      </c>
      <c r="AE155" s="316">
        <f t="shared" si="87"/>
        <v>0</v>
      </c>
      <c r="AF155" s="316">
        <f t="shared" si="88"/>
        <v>0</v>
      </c>
      <c r="AG155" s="317">
        <f t="shared" si="89"/>
        <v>0</v>
      </c>
      <c r="AH155" s="316">
        <f t="shared" si="90"/>
        <v>0</v>
      </c>
      <c r="AI155" s="316">
        <f t="shared" si="91"/>
        <v>0</v>
      </c>
      <c r="AJ155" s="316">
        <f t="shared" si="92"/>
        <v>0</v>
      </c>
      <c r="AK155" s="316">
        <f t="shared" si="93"/>
        <v>0</v>
      </c>
      <c r="AL155" s="316">
        <f t="shared" si="94"/>
        <v>0</v>
      </c>
      <c r="AM155" s="316">
        <f t="shared" si="95"/>
        <v>0</v>
      </c>
      <c r="AN155" s="316">
        <f t="shared" si="96"/>
        <v>0</v>
      </c>
      <c r="AO155" s="316">
        <f t="shared" si="97"/>
        <v>0</v>
      </c>
      <c r="AP155" s="318">
        <f t="shared" si="98"/>
        <v>0.74631432545201681</v>
      </c>
      <c r="AQ155" s="319">
        <f t="shared" si="99"/>
        <v>24.319999999999997</v>
      </c>
      <c r="AR155" s="541">
        <v>50</v>
      </c>
      <c r="AS155" s="202">
        <f t="shared" si="82"/>
        <v>74.631432545201676</v>
      </c>
      <c r="AT155" s="197">
        <f t="shared" si="73"/>
        <v>0</v>
      </c>
      <c r="AU155" s="199">
        <f t="shared" si="74"/>
        <v>0</v>
      </c>
      <c r="AV155" s="320"/>
      <c r="AW155" s="318" t="s">
        <v>202</v>
      </c>
      <c r="AX155" s="1002" t="s">
        <v>198</v>
      </c>
      <c r="AY155" s="556">
        <v>0</v>
      </c>
      <c r="AZ155" s="43"/>
      <c r="BA155" s="43"/>
      <c r="BB155" s="35">
        <f>IF($F$14="NOVO/REATIVAÇÃO",W155*5*1.4,W155*5)</f>
        <v>0</v>
      </c>
      <c r="BC155" s="43">
        <f t="shared" si="75"/>
        <v>0</v>
      </c>
      <c r="BD155" s="43" t="str">
        <f t="shared" si="85"/>
        <v/>
      </c>
      <c r="BE155" s="44">
        <f t="shared" si="49"/>
        <v>0</v>
      </c>
      <c r="BF155" s="971"/>
      <c r="BG155" s="236"/>
      <c r="BH155" s="12"/>
      <c r="BI155" s="12"/>
      <c r="BJ155" s="12"/>
      <c r="BK155" s="12"/>
      <c r="BL155" s="12"/>
      <c r="BM155" s="980"/>
      <c r="BN155" s="367"/>
      <c r="BO155" s="981"/>
      <c r="BP155" s="12"/>
      <c r="BQ155" s="12"/>
      <c r="BR155" s="12"/>
      <c r="BS155" s="973"/>
      <c r="BT155" s="12"/>
      <c r="BU155" s="12"/>
      <c r="BV155" s="12"/>
      <c r="BW155" s="982" t="s">
        <v>395</v>
      </c>
      <c r="BX155" s="983">
        <f t="shared" si="100"/>
        <v>0</v>
      </c>
      <c r="BY155" s="12" t="e">
        <f>VLOOKUP(B155,#REF!,13,0)</f>
        <v>#REF!</v>
      </c>
      <c r="BZ155" s="1067">
        <v>41.9</v>
      </c>
      <c r="CA155" s="1181" t="e">
        <f>VLOOKUP(B155,Pedido!$B$16:$L$292,22,0)</f>
        <v>#N/A</v>
      </c>
    </row>
    <row r="156" spans="1:79" ht="66" customHeight="1" thickBot="1">
      <c r="A156" s="936"/>
      <c r="B156" s="301" t="s">
        <v>355</v>
      </c>
      <c r="C156" s="114" t="s">
        <v>356</v>
      </c>
      <c r="D156" s="443" t="s">
        <v>357</v>
      </c>
      <c r="E156" s="444" t="s">
        <v>80</v>
      </c>
      <c r="F156" s="445" t="s">
        <v>61</v>
      </c>
      <c r="G156" s="446" t="s">
        <v>354</v>
      </c>
      <c r="H156" s="1162">
        <v>21.92</v>
      </c>
      <c r="I156" s="115">
        <v>89.9</v>
      </c>
      <c r="J156" s="116" t="str">
        <f t="shared" si="79"/>
        <v/>
      </c>
      <c r="K156" s="117" t="str">
        <f t="shared" si="40"/>
        <v/>
      </c>
      <c r="L156" s="239">
        <v>65.900000000000006</v>
      </c>
      <c r="M156" s="480">
        <f t="shared" si="76"/>
        <v>57.9</v>
      </c>
      <c r="N156" s="480">
        <f t="shared" si="77"/>
        <v>57.9</v>
      </c>
      <c r="O156" s="480">
        <f t="shared" si="78"/>
        <v>57.9</v>
      </c>
      <c r="P156" s="278">
        <v>57.9</v>
      </c>
      <c r="Q156" s="278">
        <v>52.9</v>
      </c>
      <c r="R156" s="278">
        <v>51.9</v>
      </c>
      <c r="S156" s="321">
        <v>49.9</v>
      </c>
      <c r="T156" s="274" t="str">
        <f t="shared" si="64"/>
        <v/>
      </c>
      <c r="U156" s="152" t="str">
        <f t="shared" si="65"/>
        <v/>
      </c>
      <c r="V156" s="695"/>
      <c r="W156" s="696"/>
      <c r="X156" s="171"/>
      <c r="Y156" s="103" t="str">
        <f t="shared" si="60"/>
        <v/>
      </c>
      <c r="Z156" s="225">
        <f t="shared" si="66"/>
        <v>0</v>
      </c>
      <c r="AA156" s="275">
        <f t="shared" si="86"/>
        <v>0</v>
      </c>
      <c r="AB156" s="275">
        <f t="shared" si="83"/>
        <v>0</v>
      </c>
      <c r="AC156" s="275">
        <f t="shared" si="84"/>
        <v>0</v>
      </c>
      <c r="AD156" s="275">
        <f t="shared" si="51"/>
        <v>0</v>
      </c>
      <c r="AE156" s="275">
        <f t="shared" si="87"/>
        <v>0</v>
      </c>
      <c r="AF156" s="275">
        <f t="shared" si="88"/>
        <v>0</v>
      </c>
      <c r="AG156" s="290">
        <f t="shared" si="89"/>
        <v>0</v>
      </c>
      <c r="AH156" s="275">
        <f t="shared" si="90"/>
        <v>0</v>
      </c>
      <c r="AI156" s="275">
        <f t="shared" si="91"/>
        <v>0</v>
      </c>
      <c r="AJ156" s="275">
        <f t="shared" si="92"/>
        <v>0</v>
      </c>
      <c r="AK156" s="275">
        <f t="shared" si="93"/>
        <v>0</v>
      </c>
      <c r="AL156" s="275">
        <f t="shared" si="94"/>
        <v>0</v>
      </c>
      <c r="AM156" s="275">
        <f t="shared" si="95"/>
        <v>0</v>
      </c>
      <c r="AN156" s="275">
        <f t="shared" si="96"/>
        <v>0</v>
      </c>
      <c r="AO156" s="275">
        <f t="shared" si="97"/>
        <v>0</v>
      </c>
      <c r="AP156" s="276">
        <f t="shared" si="98"/>
        <v>0.66737481031866464</v>
      </c>
      <c r="AQ156" s="291">
        <f t="shared" si="99"/>
        <v>29.22666666666667</v>
      </c>
      <c r="AR156" s="542">
        <v>50</v>
      </c>
      <c r="AS156" s="202">
        <f t="shared" si="82"/>
        <v>66.737481031866466</v>
      </c>
      <c r="AT156" s="197">
        <f t="shared" si="73"/>
        <v>0</v>
      </c>
      <c r="AU156" s="199">
        <f t="shared" si="74"/>
        <v>0</v>
      </c>
      <c r="AV156" s="277"/>
      <c r="AW156" s="276" t="s">
        <v>202</v>
      </c>
      <c r="AX156" s="1002" t="s">
        <v>198</v>
      </c>
      <c r="AY156" s="556">
        <v>0</v>
      </c>
      <c r="AZ156" s="43"/>
      <c r="BA156" s="43"/>
      <c r="BB156" s="35">
        <f>IF($F$14="NOVO/REATIVAÇÃO",W156*7*1.4,W156*7)</f>
        <v>0</v>
      </c>
      <c r="BC156" s="43">
        <f t="shared" si="75"/>
        <v>0</v>
      </c>
      <c r="BD156" s="43" t="str">
        <f t="shared" si="85"/>
        <v/>
      </c>
      <c r="BE156" s="44">
        <f t="shared" si="49"/>
        <v>0</v>
      </c>
      <c r="BF156" s="971"/>
      <c r="BG156" s="236"/>
      <c r="BH156" s="12"/>
      <c r="BI156" s="12"/>
      <c r="BJ156" s="12"/>
      <c r="BK156" s="12"/>
      <c r="BL156" s="12"/>
      <c r="BM156" s="980"/>
      <c r="BN156" s="367"/>
      <c r="BO156" s="981"/>
      <c r="BP156" s="12"/>
      <c r="BQ156" s="12"/>
      <c r="BR156" s="12"/>
      <c r="BS156" s="973"/>
      <c r="BT156" s="12"/>
      <c r="BU156" s="12"/>
      <c r="BV156" s="12"/>
      <c r="BW156" s="982" t="s">
        <v>395</v>
      </c>
      <c r="BX156" s="983">
        <f t="shared" si="100"/>
        <v>0</v>
      </c>
      <c r="BY156" s="12" t="e">
        <f>VLOOKUP(B156,#REF!,13,0)</f>
        <v>#REF!</v>
      </c>
      <c r="BZ156" s="1055">
        <v>39.9</v>
      </c>
      <c r="CA156" s="1181" t="e">
        <f>VLOOKUP(B156,Pedido!$B$16:$L$292,22,0)</f>
        <v>#N/A</v>
      </c>
    </row>
    <row r="157" spans="1:79" ht="32.25" customHeight="1" thickBot="1">
      <c r="A157" s="953"/>
      <c r="B157" s="646">
        <v>412828075</v>
      </c>
      <c r="C157" s="647" t="s">
        <v>268</v>
      </c>
      <c r="D157" s="873" t="s">
        <v>359</v>
      </c>
      <c r="E157" s="877" t="s">
        <v>590</v>
      </c>
      <c r="F157" s="874" t="s">
        <v>269</v>
      </c>
      <c r="G157" s="875">
        <v>250</v>
      </c>
      <c r="H157" s="1156">
        <v>2.4500000000000002</v>
      </c>
      <c r="I157" s="322">
        <v>9.9</v>
      </c>
      <c r="J157" s="323">
        <f t="shared" si="79"/>
        <v>1.3943661971830987</v>
      </c>
      <c r="K157" s="324">
        <f t="shared" si="40"/>
        <v>0.28282828282828287</v>
      </c>
      <c r="L157" s="325">
        <v>7.1</v>
      </c>
      <c r="M157" s="481">
        <f t="shared" si="76"/>
        <v>6.2</v>
      </c>
      <c r="N157" s="481">
        <f t="shared" si="77"/>
        <v>6.2</v>
      </c>
      <c r="O157" s="481">
        <f t="shared" si="78"/>
        <v>6.2</v>
      </c>
      <c r="P157" s="326">
        <f t="shared" ref="P157:P162" si="101">IF(SUM($W$157:$W$162)&gt;2399,4.39,IF(SUM($W$157:$W$162)&gt;1199,4.59,IF(SUM($W$157:$W$162)&gt;599,4.99,6.2)))</f>
        <v>6.2</v>
      </c>
      <c r="Q157" s="326">
        <f t="shared" ref="Q157:Q162" si="102">IF(SUM($W$157:$W$162)&gt;2399,4.39,IF(SUM($W$157:$W$162)&gt;1199,4.59,IF(SUM($W$157:$W$162)&gt;599,4.99,5.7)))</f>
        <v>5.7</v>
      </c>
      <c r="R157" s="326">
        <f t="shared" ref="R157:R162" si="103">IF(SUM($W$157:$W$162)&gt;2399,4.39,IF(SUM($W$157:$W$162)&gt;1199,4.59,IF(SUM($W$157:$W$162)&gt;599,4.99,5.6)))</f>
        <v>5.6</v>
      </c>
      <c r="S157" s="326">
        <f t="shared" ref="S157:S162" si="104">IF(SUM($W$157:$W$162)&gt;2399,4.39,IF(SUM($W$157:$W$162)&gt;1199,4.59,IF(SUM($W$157:$W$162)&gt;599,4.99,5.4)))</f>
        <v>5.4</v>
      </c>
      <c r="T157" s="327">
        <f>IF(V157&gt;0,V157,IFERROR(IF(AND(W157&lt;&gt;"",X157&lt;&gt;""),AH157/W157,Y157),""))</f>
        <v>7.1</v>
      </c>
      <c r="U157" s="328" t="str">
        <f>IFERROR((T157*W157)/(W157+X157),"")</f>
        <v/>
      </c>
      <c r="V157" s="1112"/>
      <c r="W157" s="1113">
        <f>Pedido!L140</f>
        <v>0</v>
      </c>
      <c r="X157" s="1114"/>
      <c r="Y157" s="329">
        <f t="shared" si="60"/>
        <v>7.1</v>
      </c>
      <c r="Z157" s="330">
        <f t="shared" si="66"/>
        <v>0</v>
      </c>
      <c r="AA157" s="331">
        <f>IFERROR(L157*W157,0)</f>
        <v>0</v>
      </c>
      <c r="AB157" s="331">
        <f t="shared" si="83"/>
        <v>0</v>
      </c>
      <c r="AC157" s="331">
        <f t="shared" si="84"/>
        <v>0</v>
      </c>
      <c r="AD157" s="331">
        <f t="shared" si="51"/>
        <v>0</v>
      </c>
      <c r="AE157" s="331">
        <f>IFERROR(W157*H157,0)</f>
        <v>0</v>
      </c>
      <c r="AF157" s="331">
        <f t="shared" si="88"/>
        <v>0</v>
      </c>
      <c r="AG157" s="332">
        <f t="shared" si="89"/>
        <v>0</v>
      </c>
      <c r="AH157" s="331">
        <f>IFERROR(IF(V157&gt;0,V157*W157,(Y157*W157)),0)</f>
        <v>0</v>
      </c>
      <c r="AI157" s="331">
        <f>IFERROR(SUM(W157)*H157,0)</f>
        <v>0</v>
      </c>
      <c r="AJ157" s="331">
        <f t="shared" si="92"/>
        <v>0</v>
      </c>
      <c r="AK157" s="331">
        <f t="shared" si="93"/>
        <v>0</v>
      </c>
      <c r="AL157" s="331">
        <f t="shared" si="94"/>
        <v>0</v>
      </c>
      <c r="AM157" s="331">
        <f t="shared" ref="AM157:AM162" si="105">SUM(AJ157:AL157)</f>
        <v>0</v>
      </c>
      <c r="AN157" s="331">
        <f t="shared" si="96"/>
        <v>0</v>
      </c>
      <c r="AO157" s="331">
        <f t="shared" si="97"/>
        <v>0</v>
      </c>
      <c r="AP157" s="333">
        <f t="shared" si="98"/>
        <v>0.65492957746478875</v>
      </c>
      <c r="AQ157" s="334">
        <f t="shared" si="99"/>
        <v>3.2666666666666671</v>
      </c>
      <c r="AR157" s="545">
        <v>24</v>
      </c>
      <c r="AS157" s="202">
        <f t="shared" si="82"/>
        <v>65.492957746478879</v>
      </c>
      <c r="AT157" s="197">
        <f t="shared" si="73"/>
        <v>0</v>
      </c>
      <c r="AU157" s="199">
        <f t="shared" si="74"/>
        <v>0</v>
      </c>
      <c r="AV157" s="335"/>
      <c r="AW157" s="333" t="e">
        <f>VLOOKUP(AX157,Sup!#REF!,8,0)</f>
        <v>#REF!</v>
      </c>
      <c r="AX157" s="993" t="s">
        <v>197</v>
      </c>
      <c r="AY157" s="556">
        <v>0</v>
      </c>
      <c r="AZ157" s="35"/>
      <c r="BA157" s="35"/>
      <c r="BB157" s="43"/>
      <c r="BC157" s="35">
        <f t="shared" si="75"/>
        <v>0</v>
      </c>
      <c r="BD157" s="35">
        <f t="shared" si="85"/>
        <v>7.1</v>
      </c>
      <c r="BE157" s="45">
        <f t="shared" ref="BE157:BE172" si="106">IF(V157="",0,(V157*W157)-(BD157*W157))</f>
        <v>0</v>
      </c>
      <c r="BF157" s="971"/>
      <c r="BG157" s="236"/>
      <c r="BH157" s="12"/>
      <c r="BI157" s="12"/>
      <c r="BJ157" s="12"/>
      <c r="BK157" s="12"/>
      <c r="BL157" s="12"/>
      <c r="BM157" s="980">
        <v>24</v>
      </c>
      <c r="BN157" s="367"/>
      <c r="BO157" s="981"/>
      <c r="BP157" s="12"/>
      <c r="BQ157" s="12"/>
      <c r="BR157" s="12"/>
      <c r="BS157" s="973"/>
      <c r="BT157" s="12"/>
      <c r="BU157" s="12"/>
      <c r="BV157" s="12"/>
      <c r="BW157" s="982" t="s">
        <v>510</v>
      </c>
      <c r="BX157" s="983">
        <f t="shared" si="100"/>
        <v>0</v>
      </c>
      <c r="BY157" s="12" t="e">
        <f>VLOOKUP(B157,#REF!,13,0)</f>
        <v>#REF!</v>
      </c>
      <c r="BZ157" s="1059">
        <v>5</v>
      </c>
      <c r="CA157" s="1181" t="e">
        <f>VLOOKUP(B157,Pedido!$B$16:$L$292,22,0)</f>
        <v>#REF!</v>
      </c>
    </row>
    <row r="158" spans="1:79" ht="32.25" customHeight="1" thickBot="1">
      <c r="A158" s="954"/>
      <c r="B158" s="140">
        <v>412828022</v>
      </c>
      <c r="C158" s="648" t="s">
        <v>268</v>
      </c>
      <c r="D158" s="876" t="s">
        <v>359</v>
      </c>
      <c r="E158" s="877" t="s">
        <v>118</v>
      </c>
      <c r="F158" s="878" t="s">
        <v>269</v>
      </c>
      <c r="G158" s="879">
        <v>250</v>
      </c>
      <c r="H158" s="1153">
        <v>2.4500000000000002</v>
      </c>
      <c r="I158" s="129">
        <v>9.9</v>
      </c>
      <c r="J158" s="130">
        <f>IFERROR(IF(T158&lt;&gt;"",I158/T158,IF(AND(Y158="",V158=""),"",IF(V158="",I158/Y158,I158/V158))),"")</f>
        <v>1.3943661971830987</v>
      </c>
      <c r="K158" s="131">
        <f>IF(T158="","",IFERROR(1-(T158/I158),0))</f>
        <v>0.28282828282828287</v>
      </c>
      <c r="L158" s="241">
        <v>7.1</v>
      </c>
      <c r="M158" s="473">
        <f>P158</f>
        <v>6.2</v>
      </c>
      <c r="N158" s="473">
        <f>P158</f>
        <v>6.2</v>
      </c>
      <c r="O158" s="473">
        <f>P158</f>
        <v>6.2</v>
      </c>
      <c r="P158" s="132">
        <f t="shared" si="101"/>
        <v>6.2</v>
      </c>
      <c r="Q158" s="132">
        <f t="shared" si="102"/>
        <v>5.7</v>
      </c>
      <c r="R158" s="132">
        <f t="shared" si="103"/>
        <v>5.6</v>
      </c>
      <c r="S158" s="132">
        <f t="shared" si="104"/>
        <v>5.4</v>
      </c>
      <c r="T158" s="134">
        <f>IF(V158&gt;0,V158,IFERROR(IF(AND(W158&lt;&gt;"",X158&lt;&gt;""),AH158/W158,Y158),""))</f>
        <v>7.1</v>
      </c>
      <c r="U158" s="135" t="str">
        <f>IFERROR((T158*W158)/(W158+X158),"")</f>
        <v/>
      </c>
      <c r="V158" s="575"/>
      <c r="W158" s="694">
        <f>Pedido!L141</f>
        <v>0</v>
      </c>
      <c r="X158" s="170"/>
      <c r="Y158" s="122">
        <f t="shared" si="60"/>
        <v>7.1</v>
      </c>
      <c r="Z158" s="224">
        <f>IF(X158&gt;W158,-1,IF(W158=0,0,IF(U158&lt;(H158/0.75),-1,IF(W158&lt;=3,0,0.0001))))</f>
        <v>0</v>
      </c>
      <c r="AA158" s="136">
        <f>IFERROR(L158*W158,0)</f>
        <v>0</v>
      </c>
      <c r="AB158" s="136">
        <f t="shared" si="83"/>
        <v>0</v>
      </c>
      <c r="AC158" s="136">
        <f t="shared" si="84"/>
        <v>0</v>
      </c>
      <c r="AD158" s="136">
        <f>IFERROR(X158*T158,0)</f>
        <v>0</v>
      </c>
      <c r="AE158" s="136">
        <f>IFERROR(W158*H158,0)</f>
        <v>0</v>
      </c>
      <c r="AF158" s="136">
        <f>IFERROR(1-(AE158/AB158),0)</f>
        <v>0</v>
      </c>
      <c r="AG158" s="137">
        <f>IFERROR(SUM(W158:X158)*I158,0)</f>
        <v>0</v>
      </c>
      <c r="AH158" s="136">
        <f>IFERROR(IF(V158&gt;0,V158*W158,(Y158*W158)),0)</f>
        <v>0</v>
      </c>
      <c r="AI158" s="136">
        <f>IFERROR(SUM(W158)*H158,0)</f>
        <v>0</v>
      </c>
      <c r="AJ158" s="136">
        <f>AH158*$AJ$25</f>
        <v>0</v>
      </c>
      <c r="AK158" s="136">
        <f>AH158*AK$25</f>
        <v>0</v>
      </c>
      <c r="AL158" s="136">
        <f>AH158*AL$25</f>
        <v>0</v>
      </c>
      <c r="AM158" s="136">
        <f>SUM(AJ158:AL158)</f>
        <v>0</v>
      </c>
      <c r="AN158" s="136">
        <f>AH158-AM158</f>
        <v>0</v>
      </c>
      <c r="AO158" s="136">
        <f>AN158-AI158</f>
        <v>0</v>
      </c>
      <c r="AP158" s="138">
        <f>IFERROR(IF(V158&lt;&gt;"",1-(H158/V158),IF(Y158&lt;&gt;"",1-(H158/Y158),1-(H158/L158))),0)</f>
        <v>0.65492957746478875</v>
      </c>
      <c r="AQ158" s="139">
        <f>H158/0.75</f>
        <v>3.2666666666666671</v>
      </c>
      <c r="AR158" s="537">
        <v>24</v>
      </c>
      <c r="AS158" s="202">
        <f t="shared" si="82"/>
        <v>65.492957746478879</v>
      </c>
      <c r="AT158" s="197">
        <f>IFERROR(1-(AI158/AH158),0)</f>
        <v>0</v>
      </c>
      <c r="AU158" s="199">
        <f>IFERROR(AO158/AH158,0)</f>
        <v>0</v>
      </c>
      <c r="AV158" s="110"/>
      <c r="AW158" s="138" t="e">
        <f>VLOOKUP(AX158,Sup!#REF!,8,0)</f>
        <v>#REF!</v>
      </c>
      <c r="AX158" s="993" t="s">
        <v>197</v>
      </c>
      <c r="AY158" s="556">
        <v>0</v>
      </c>
      <c r="AZ158" s="35"/>
      <c r="BA158" s="35"/>
      <c r="BB158" s="43"/>
      <c r="BC158" s="35">
        <f>IF(BE158&lt;0,BE158,0)</f>
        <v>0</v>
      </c>
      <c r="BD158" s="35">
        <f t="shared" si="85"/>
        <v>7.1</v>
      </c>
      <c r="BE158" s="45">
        <f t="shared" si="106"/>
        <v>0</v>
      </c>
      <c r="BF158" s="971"/>
      <c r="BG158" s="236"/>
      <c r="BH158" s="12"/>
      <c r="BI158" s="12"/>
      <c r="BJ158" s="12"/>
      <c r="BK158" s="12"/>
      <c r="BL158" s="12"/>
      <c r="BM158" s="980">
        <v>24</v>
      </c>
      <c r="BN158" s="367"/>
      <c r="BO158" s="981"/>
      <c r="BP158" s="12"/>
      <c r="BQ158" s="12"/>
      <c r="BR158" s="12"/>
      <c r="BS158" s="973"/>
      <c r="BT158" s="12"/>
      <c r="BU158" s="12"/>
      <c r="BV158" s="12"/>
      <c r="BW158" s="982" t="s">
        <v>510</v>
      </c>
      <c r="BX158" s="983">
        <f>IFERROR(W158*U158,0)</f>
        <v>0</v>
      </c>
      <c r="BY158" s="12" t="e">
        <f>VLOOKUP(B158,#REF!,13,0)</f>
        <v>#REF!</v>
      </c>
      <c r="BZ158" s="1056">
        <v>5</v>
      </c>
      <c r="CA158" s="1181" t="e">
        <f>VLOOKUP(B158,Pedido!$B$16:$L$292,22,0)</f>
        <v>#REF!</v>
      </c>
    </row>
    <row r="159" spans="1:79" ht="32.25" customHeight="1" thickBot="1">
      <c r="A159" s="954"/>
      <c r="B159" s="140" t="s">
        <v>267</v>
      </c>
      <c r="C159" s="648" t="s">
        <v>268</v>
      </c>
      <c r="D159" s="876" t="s">
        <v>359</v>
      </c>
      <c r="E159" s="877" t="s">
        <v>126</v>
      </c>
      <c r="F159" s="878" t="s">
        <v>269</v>
      </c>
      <c r="G159" s="879">
        <v>250</v>
      </c>
      <c r="H159" s="1153">
        <v>2.4500000000000002</v>
      </c>
      <c r="I159" s="129">
        <v>9.9</v>
      </c>
      <c r="J159" s="130">
        <f>IFERROR(IF(T159&lt;&gt;"",I159/T159,IF(AND(Y159="",V159=""),"",IF(V159="",I159/Y159,I159/V159))),"")</f>
        <v>1.3943661971830987</v>
      </c>
      <c r="K159" s="131">
        <f>IF(T159="","",IFERROR(1-(T159/I159),0))</f>
        <v>0.28282828282828287</v>
      </c>
      <c r="L159" s="241">
        <v>7.1</v>
      </c>
      <c r="M159" s="473">
        <f>P159</f>
        <v>6.2</v>
      </c>
      <c r="N159" s="473">
        <f>P159</f>
        <v>6.2</v>
      </c>
      <c r="O159" s="473">
        <f>P159</f>
        <v>6.2</v>
      </c>
      <c r="P159" s="132">
        <f t="shared" si="101"/>
        <v>6.2</v>
      </c>
      <c r="Q159" s="132">
        <f t="shared" si="102"/>
        <v>5.7</v>
      </c>
      <c r="R159" s="132">
        <f t="shared" si="103"/>
        <v>5.6</v>
      </c>
      <c r="S159" s="132">
        <f t="shared" si="104"/>
        <v>5.4</v>
      </c>
      <c r="T159" s="134">
        <f>IF(V159&gt;0,V159,IFERROR(IF(AND(W159&lt;&gt;"",X159&lt;&gt;""),AH159/W159,Y159),""))</f>
        <v>7.1</v>
      </c>
      <c r="U159" s="135" t="str">
        <f>IFERROR((T159*W159)/(W159+X159),"")</f>
        <v/>
      </c>
      <c r="V159" s="575"/>
      <c r="W159" s="694">
        <f>Pedido!L142</f>
        <v>0</v>
      </c>
      <c r="X159" s="170"/>
      <c r="Y159" s="122">
        <f t="shared" si="60"/>
        <v>7.1</v>
      </c>
      <c r="Z159" s="224">
        <f>IF(X159&gt;W159,-1,IF(W159=0,0,IF(U159&lt;(H159/0.75),-1,IF(W159&lt;=3,0,0.0001))))</f>
        <v>0</v>
      </c>
      <c r="AA159" s="136">
        <f>IFERROR(L159*W159,0)</f>
        <v>0</v>
      </c>
      <c r="AB159" s="136">
        <f t="shared" si="83"/>
        <v>0</v>
      </c>
      <c r="AC159" s="136">
        <f t="shared" si="84"/>
        <v>0</v>
      </c>
      <c r="AD159" s="136">
        <f>IFERROR(X159*T159,0)</f>
        <v>0</v>
      </c>
      <c r="AE159" s="136">
        <f>IFERROR(W159*H159,0)</f>
        <v>0</v>
      </c>
      <c r="AF159" s="136">
        <f>IFERROR(1-(AE159/AB159),0)</f>
        <v>0</v>
      </c>
      <c r="AG159" s="137">
        <f>IFERROR(SUM(W159:X159)*I159,0)</f>
        <v>0</v>
      </c>
      <c r="AH159" s="136">
        <f>IFERROR(IF(V159&gt;0,V159*W159,(Y159*W159)),0)</f>
        <v>0</v>
      </c>
      <c r="AI159" s="136">
        <f>IFERROR(SUM(W159)*H159,0)</f>
        <v>0</v>
      </c>
      <c r="AJ159" s="136">
        <f>AH159*$AJ$25</f>
        <v>0</v>
      </c>
      <c r="AK159" s="136">
        <f>AH159*AK$25</f>
        <v>0</v>
      </c>
      <c r="AL159" s="136">
        <f>AH159*AL$25</f>
        <v>0</v>
      </c>
      <c r="AM159" s="136">
        <f>SUM(AJ159:AL159)</f>
        <v>0</v>
      </c>
      <c r="AN159" s="136">
        <f>AH159-AM159</f>
        <v>0</v>
      </c>
      <c r="AO159" s="136">
        <f>AN159-AI159</f>
        <v>0</v>
      </c>
      <c r="AP159" s="138">
        <f>IFERROR(IF(V159&lt;&gt;"",1-(H159/V159),IF(Y159&lt;&gt;"",1-(H159/Y159),1-(H159/L159))),0)</f>
        <v>0.65492957746478875</v>
      </c>
      <c r="AQ159" s="139">
        <f>H159/0.75</f>
        <v>3.2666666666666671</v>
      </c>
      <c r="AR159" s="537">
        <v>24</v>
      </c>
      <c r="AS159" s="202">
        <f t="shared" si="82"/>
        <v>65.492957746478879</v>
      </c>
      <c r="AT159" s="197">
        <f>IFERROR(1-(AI159/AH159),0)</f>
        <v>0</v>
      </c>
      <c r="AU159" s="199">
        <f>IFERROR(AO159/AH159,0)</f>
        <v>0</v>
      </c>
      <c r="AV159" s="110"/>
      <c r="AW159" s="138" t="e">
        <f>VLOOKUP(AX159,Sup!#REF!,8,0)</f>
        <v>#REF!</v>
      </c>
      <c r="AX159" s="993" t="s">
        <v>197</v>
      </c>
      <c r="AY159" s="556">
        <v>0</v>
      </c>
      <c r="AZ159" s="35"/>
      <c r="BA159" s="35"/>
      <c r="BB159" s="43"/>
      <c r="BC159" s="35">
        <f>IF(BE159&lt;0,BE159,0)</f>
        <v>0</v>
      </c>
      <c r="BD159" s="35">
        <f t="shared" si="85"/>
        <v>7.1</v>
      </c>
      <c r="BE159" s="45">
        <f t="shared" si="106"/>
        <v>0</v>
      </c>
      <c r="BF159" s="971"/>
      <c r="BG159" s="236"/>
      <c r="BH159" s="12"/>
      <c r="BI159" s="12"/>
      <c r="BJ159" s="12"/>
      <c r="BK159" s="12"/>
      <c r="BL159" s="12"/>
      <c r="BM159" s="980">
        <v>24</v>
      </c>
      <c r="BN159" s="367"/>
      <c r="BO159" s="981"/>
      <c r="BP159" s="12"/>
      <c r="BQ159" s="12"/>
      <c r="BR159" s="12"/>
      <c r="BS159" s="973"/>
      <c r="BT159" s="12"/>
      <c r="BU159" s="12"/>
      <c r="BV159" s="12"/>
      <c r="BW159" s="982" t="s">
        <v>510</v>
      </c>
      <c r="BX159" s="983">
        <f>IFERROR(W159*U159,0)</f>
        <v>0</v>
      </c>
      <c r="BY159" s="12" t="e">
        <f>VLOOKUP(B159,#REF!,13,0)</f>
        <v>#REF!</v>
      </c>
      <c r="BZ159" s="1056">
        <v>5</v>
      </c>
      <c r="CA159" s="1181" t="e">
        <f>VLOOKUP(B159,Pedido!$B$16:$L$292,22,0)</f>
        <v>#N/A</v>
      </c>
    </row>
    <row r="160" spans="1:79" ht="32.25" customHeight="1" thickBot="1">
      <c r="A160" s="954"/>
      <c r="B160" s="140" t="s">
        <v>270</v>
      </c>
      <c r="C160" s="648" t="s">
        <v>268</v>
      </c>
      <c r="D160" s="876" t="s">
        <v>359</v>
      </c>
      <c r="E160" s="877" t="s">
        <v>271</v>
      </c>
      <c r="F160" s="878" t="s">
        <v>269</v>
      </c>
      <c r="G160" s="879">
        <v>250</v>
      </c>
      <c r="H160" s="1153">
        <v>2.4500000000000002</v>
      </c>
      <c r="I160" s="129">
        <v>9.9</v>
      </c>
      <c r="J160" s="130">
        <f t="shared" si="79"/>
        <v>1.3943661971830987</v>
      </c>
      <c r="K160" s="131">
        <f t="shared" si="40"/>
        <v>0.28282828282828287</v>
      </c>
      <c r="L160" s="241">
        <v>7.1</v>
      </c>
      <c r="M160" s="473">
        <f t="shared" si="76"/>
        <v>6.2</v>
      </c>
      <c r="N160" s="473">
        <f t="shared" si="77"/>
        <v>6.2</v>
      </c>
      <c r="O160" s="473">
        <f t="shared" si="78"/>
        <v>6.2</v>
      </c>
      <c r="P160" s="132">
        <f t="shared" si="101"/>
        <v>6.2</v>
      </c>
      <c r="Q160" s="132">
        <f t="shared" si="102"/>
        <v>5.7</v>
      </c>
      <c r="R160" s="132">
        <f t="shared" si="103"/>
        <v>5.6</v>
      </c>
      <c r="S160" s="132">
        <f t="shared" si="104"/>
        <v>5.4</v>
      </c>
      <c r="T160" s="134">
        <f>IF(V160&gt;0,V160,IFERROR(IF(AND(W160&lt;&gt;"",X160&lt;&gt;""),AH160/W160,Y160),""))</f>
        <v>7.1</v>
      </c>
      <c r="U160" s="135" t="str">
        <f>IFERROR((T160*W160)/(W160+X160),"")</f>
        <v/>
      </c>
      <c r="V160" s="575"/>
      <c r="W160" s="694">
        <f>Pedido!L143</f>
        <v>0</v>
      </c>
      <c r="X160" s="170"/>
      <c r="Y160" s="122">
        <f t="shared" si="60"/>
        <v>7.1</v>
      </c>
      <c r="Z160" s="224">
        <f t="shared" si="66"/>
        <v>0</v>
      </c>
      <c r="AA160" s="136">
        <f>IFERROR(L160*W160,0)</f>
        <v>0</v>
      </c>
      <c r="AB160" s="136">
        <f t="shared" si="83"/>
        <v>0</v>
      </c>
      <c r="AC160" s="136">
        <f t="shared" si="84"/>
        <v>0</v>
      </c>
      <c r="AD160" s="136">
        <f t="shared" si="51"/>
        <v>0</v>
      </c>
      <c r="AE160" s="136">
        <f>IFERROR(W160*H160,0)</f>
        <v>0</v>
      </c>
      <c r="AF160" s="136">
        <f t="shared" si="88"/>
        <v>0</v>
      </c>
      <c r="AG160" s="137">
        <f>IFERROR(SUM(W160:X160)*I160,0)</f>
        <v>0</v>
      </c>
      <c r="AH160" s="136">
        <f>IFERROR(IF(V160&gt;0,V160*W160,(Y160*W160)),0)</f>
        <v>0</v>
      </c>
      <c r="AI160" s="136">
        <f>IFERROR(SUM(W160)*H160,0)</f>
        <v>0</v>
      </c>
      <c r="AJ160" s="136">
        <f t="shared" si="92"/>
        <v>0</v>
      </c>
      <c r="AK160" s="136">
        <f t="shared" si="93"/>
        <v>0</v>
      </c>
      <c r="AL160" s="136">
        <f t="shared" si="94"/>
        <v>0</v>
      </c>
      <c r="AM160" s="136">
        <f t="shared" si="105"/>
        <v>0</v>
      </c>
      <c r="AN160" s="136">
        <f t="shared" si="96"/>
        <v>0</v>
      </c>
      <c r="AO160" s="136">
        <f t="shared" si="97"/>
        <v>0</v>
      </c>
      <c r="AP160" s="138">
        <f t="shared" si="98"/>
        <v>0.65492957746478875</v>
      </c>
      <c r="AQ160" s="139">
        <f t="shared" si="99"/>
        <v>3.2666666666666671</v>
      </c>
      <c r="AR160" s="537">
        <v>24</v>
      </c>
      <c r="AS160" s="202">
        <f t="shared" si="82"/>
        <v>65.492957746478879</v>
      </c>
      <c r="AT160" s="197">
        <f t="shared" si="73"/>
        <v>0</v>
      </c>
      <c r="AU160" s="199">
        <f t="shared" si="74"/>
        <v>0</v>
      </c>
      <c r="AV160" s="110"/>
      <c r="AW160" s="138" t="e">
        <f>VLOOKUP(AX160,Sup!#REF!,8,0)</f>
        <v>#REF!</v>
      </c>
      <c r="AX160" s="993" t="s">
        <v>197</v>
      </c>
      <c r="AY160" s="556">
        <v>0</v>
      </c>
      <c r="AZ160" s="35"/>
      <c r="BA160" s="35"/>
      <c r="BB160" s="43"/>
      <c r="BC160" s="35">
        <f t="shared" si="75"/>
        <v>0</v>
      </c>
      <c r="BD160" s="35">
        <f t="shared" si="85"/>
        <v>7.1</v>
      </c>
      <c r="BE160" s="45">
        <f t="shared" si="106"/>
        <v>0</v>
      </c>
      <c r="BF160" s="971"/>
      <c r="BG160" s="236"/>
      <c r="BH160" s="12"/>
      <c r="BI160" s="12"/>
      <c r="BJ160" s="12"/>
      <c r="BK160" s="12"/>
      <c r="BL160" s="12"/>
      <c r="BM160" s="980">
        <f>BM157+24</f>
        <v>48</v>
      </c>
      <c r="BN160" s="367"/>
      <c r="BO160" s="981"/>
      <c r="BP160" s="12"/>
      <c r="BQ160" s="12"/>
      <c r="BR160" s="12"/>
      <c r="BS160" s="973"/>
      <c r="BT160" s="12"/>
      <c r="BU160" s="12"/>
      <c r="BV160" s="12"/>
      <c r="BW160" s="982" t="s">
        <v>510</v>
      </c>
      <c r="BX160" s="983">
        <f t="shared" si="100"/>
        <v>0</v>
      </c>
      <c r="BY160" s="12" t="e">
        <f>VLOOKUP(B160,#REF!,13,0)</f>
        <v>#REF!</v>
      </c>
      <c r="BZ160" s="1056">
        <v>5</v>
      </c>
      <c r="CA160" s="1181" t="e">
        <f>VLOOKUP(B160,Pedido!$B$16:$L$292,22,0)</f>
        <v>#N/A</v>
      </c>
    </row>
    <row r="161" spans="1:79" ht="32.25" customHeight="1" thickBot="1">
      <c r="A161" s="954"/>
      <c r="B161" s="140" t="s">
        <v>272</v>
      </c>
      <c r="C161" s="648" t="s">
        <v>268</v>
      </c>
      <c r="D161" s="876" t="s">
        <v>359</v>
      </c>
      <c r="E161" s="877" t="s">
        <v>125</v>
      </c>
      <c r="F161" s="878" t="s">
        <v>269</v>
      </c>
      <c r="G161" s="879">
        <v>250</v>
      </c>
      <c r="H161" s="1165">
        <v>2.4500000000000002</v>
      </c>
      <c r="I161" s="129">
        <v>9.9</v>
      </c>
      <c r="J161" s="130">
        <f t="shared" si="79"/>
        <v>1.3943661971830987</v>
      </c>
      <c r="K161" s="131">
        <f t="shared" si="40"/>
        <v>0.28282828282828287</v>
      </c>
      <c r="L161" s="241">
        <v>7.1</v>
      </c>
      <c r="M161" s="473">
        <f t="shared" si="76"/>
        <v>6.2</v>
      </c>
      <c r="N161" s="473">
        <f t="shared" si="77"/>
        <v>6.2</v>
      </c>
      <c r="O161" s="473">
        <f t="shared" si="78"/>
        <v>6.2</v>
      </c>
      <c r="P161" s="132">
        <f t="shared" si="101"/>
        <v>6.2</v>
      </c>
      <c r="Q161" s="132">
        <f t="shared" si="102"/>
        <v>5.7</v>
      </c>
      <c r="R161" s="132">
        <f t="shared" si="103"/>
        <v>5.6</v>
      </c>
      <c r="S161" s="132">
        <f t="shared" si="104"/>
        <v>5.4</v>
      </c>
      <c r="T161" s="134">
        <f>IF(V161&gt;0,V161,IFERROR(IF(AND(W161&lt;&gt;"",X161&lt;&gt;""),AH161/W161,Y161),""))</f>
        <v>7.1</v>
      </c>
      <c r="U161" s="135" t="str">
        <f>IFERROR((T161*W161)/(W161+X161),"")</f>
        <v/>
      </c>
      <c r="V161" s="575"/>
      <c r="W161" s="694">
        <f>Pedido!L144</f>
        <v>0</v>
      </c>
      <c r="X161" s="170"/>
      <c r="Y161" s="122">
        <f t="shared" si="60"/>
        <v>7.1</v>
      </c>
      <c r="Z161" s="224">
        <f t="shared" si="66"/>
        <v>0</v>
      </c>
      <c r="AA161" s="136">
        <f>IFERROR(L161*W161,0)</f>
        <v>0</v>
      </c>
      <c r="AB161" s="136">
        <f t="shared" si="83"/>
        <v>0</v>
      </c>
      <c r="AC161" s="136">
        <f t="shared" si="84"/>
        <v>0</v>
      </c>
      <c r="AD161" s="136">
        <f t="shared" si="51"/>
        <v>0</v>
      </c>
      <c r="AE161" s="136">
        <f>IFERROR(W161*H161,0)</f>
        <v>0</v>
      </c>
      <c r="AF161" s="136">
        <f t="shared" si="88"/>
        <v>0</v>
      </c>
      <c r="AG161" s="137">
        <f t="shared" si="89"/>
        <v>0</v>
      </c>
      <c r="AH161" s="136">
        <f>IFERROR(IF(V161&gt;0,V161*W161,(Y161*W161)),0)</f>
        <v>0</v>
      </c>
      <c r="AI161" s="136">
        <f>IFERROR(SUM(W161)*H161,0)</f>
        <v>0</v>
      </c>
      <c r="AJ161" s="136">
        <f t="shared" si="92"/>
        <v>0</v>
      </c>
      <c r="AK161" s="136">
        <f t="shared" si="93"/>
        <v>0</v>
      </c>
      <c r="AL161" s="136">
        <f t="shared" si="94"/>
        <v>0</v>
      </c>
      <c r="AM161" s="136">
        <f t="shared" si="105"/>
        <v>0</v>
      </c>
      <c r="AN161" s="136">
        <f t="shared" si="96"/>
        <v>0</v>
      </c>
      <c r="AO161" s="136">
        <f t="shared" si="97"/>
        <v>0</v>
      </c>
      <c r="AP161" s="138">
        <f t="shared" si="98"/>
        <v>0.65492957746478875</v>
      </c>
      <c r="AQ161" s="139">
        <f t="shared" si="99"/>
        <v>3.2666666666666671</v>
      </c>
      <c r="AR161" s="537">
        <v>24</v>
      </c>
      <c r="AS161" s="202">
        <f t="shared" si="82"/>
        <v>65.492957746478879</v>
      </c>
      <c r="AT161" s="197">
        <f t="shared" si="73"/>
        <v>0</v>
      </c>
      <c r="AU161" s="199">
        <f t="shared" si="74"/>
        <v>0</v>
      </c>
      <c r="AV161" s="110"/>
      <c r="AW161" s="138" t="e">
        <f>VLOOKUP(AX161,Sup!#REF!,8,0)</f>
        <v>#REF!</v>
      </c>
      <c r="AX161" s="993" t="s">
        <v>197</v>
      </c>
      <c r="AY161" s="556">
        <v>0</v>
      </c>
      <c r="AZ161" s="35"/>
      <c r="BA161" s="35"/>
      <c r="BB161" s="43"/>
      <c r="BC161" s="35">
        <f t="shared" si="75"/>
        <v>0</v>
      </c>
      <c r="BD161" s="35">
        <f t="shared" si="85"/>
        <v>7.1</v>
      </c>
      <c r="BE161" s="45">
        <f t="shared" si="106"/>
        <v>0</v>
      </c>
      <c r="BF161" s="971"/>
      <c r="BG161" s="236"/>
      <c r="BH161" s="12"/>
      <c r="BI161" s="12"/>
      <c r="BJ161" s="12"/>
      <c r="BK161" s="12"/>
      <c r="BL161" s="12"/>
      <c r="BM161" s="980">
        <f t="shared" ref="BM161:BM229" si="107">BM160+24</f>
        <v>72</v>
      </c>
      <c r="BN161" s="367"/>
      <c r="BO161" s="981"/>
      <c r="BP161" s="12"/>
      <c r="BQ161" s="12"/>
      <c r="BR161" s="12"/>
      <c r="BS161" s="973"/>
      <c r="BT161" s="12"/>
      <c r="BU161" s="12"/>
      <c r="BV161" s="12"/>
      <c r="BW161" s="982" t="s">
        <v>510</v>
      </c>
      <c r="BX161" s="983">
        <f t="shared" si="100"/>
        <v>0</v>
      </c>
      <c r="BY161" s="12" t="e">
        <f>VLOOKUP(B161,#REF!,13,0)</f>
        <v>#REF!</v>
      </c>
      <c r="BZ161" s="1056">
        <v>5</v>
      </c>
      <c r="CA161" s="1181" t="e">
        <f>VLOOKUP(B161,Pedido!$B$16:$L$292,22,0)</f>
        <v>#N/A</v>
      </c>
    </row>
    <row r="162" spans="1:79" ht="32.25" customHeight="1" thickBot="1">
      <c r="A162" s="954"/>
      <c r="B162" s="140" t="s">
        <v>273</v>
      </c>
      <c r="C162" s="648" t="s">
        <v>268</v>
      </c>
      <c r="D162" s="876" t="s">
        <v>359</v>
      </c>
      <c r="E162" s="877" t="s">
        <v>274</v>
      </c>
      <c r="F162" s="878" t="s">
        <v>269</v>
      </c>
      <c r="G162" s="879">
        <v>250</v>
      </c>
      <c r="H162" s="1165">
        <v>2.4500000000000002</v>
      </c>
      <c r="I162" s="129">
        <v>9.9</v>
      </c>
      <c r="J162" s="130">
        <f t="shared" si="79"/>
        <v>1.3943661971830987</v>
      </c>
      <c r="K162" s="131">
        <f t="shared" si="40"/>
        <v>0.28282828282828287</v>
      </c>
      <c r="L162" s="241">
        <v>7.1</v>
      </c>
      <c r="M162" s="473">
        <f t="shared" si="76"/>
        <v>6.2</v>
      </c>
      <c r="N162" s="473">
        <f t="shared" si="77"/>
        <v>6.2</v>
      </c>
      <c r="O162" s="473">
        <f t="shared" si="78"/>
        <v>6.2</v>
      </c>
      <c r="P162" s="132">
        <f t="shared" si="101"/>
        <v>6.2</v>
      </c>
      <c r="Q162" s="132">
        <f t="shared" si="102"/>
        <v>5.7</v>
      </c>
      <c r="R162" s="132">
        <f t="shared" si="103"/>
        <v>5.6</v>
      </c>
      <c r="S162" s="132">
        <f t="shared" si="104"/>
        <v>5.4</v>
      </c>
      <c r="T162" s="134">
        <f t="shared" ref="T162:T230" si="108">IF(V162&gt;0,V162,IFERROR(IF(AND(W162&lt;&gt;"",X162&lt;&gt;""),AH162/W162,Y162),""))</f>
        <v>7.1</v>
      </c>
      <c r="U162" s="135" t="str">
        <f t="shared" ref="U162:U230" si="109">IFERROR((T162*W162)/(W162+X162),"")</f>
        <v/>
      </c>
      <c r="V162" s="575"/>
      <c r="W162" s="694">
        <f>Pedido!L145</f>
        <v>0</v>
      </c>
      <c r="X162" s="170"/>
      <c r="Y162" s="122">
        <f t="shared" si="60"/>
        <v>7.1</v>
      </c>
      <c r="Z162" s="224">
        <f t="shared" si="66"/>
        <v>0</v>
      </c>
      <c r="AA162" s="136">
        <f t="shared" ref="AA162:AA230" si="110">IFERROR(L162*W162,0)</f>
        <v>0</v>
      </c>
      <c r="AB162" s="136">
        <f t="shared" si="83"/>
        <v>0</v>
      </c>
      <c r="AC162" s="136">
        <f t="shared" si="84"/>
        <v>0</v>
      </c>
      <c r="AD162" s="136">
        <f t="shared" si="51"/>
        <v>0</v>
      </c>
      <c r="AE162" s="136">
        <f t="shared" ref="AE162:AE196" si="111">IFERROR(W162*H162,0)</f>
        <v>0</v>
      </c>
      <c r="AF162" s="136">
        <f t="shared" si="88"/>
        <v>0</v>
      </c>
      <c r="AG162" s="137">
        <f t="shared" si="89"/>
        <v>0</v>
      </c>
      <c r="AH162" s="136">
        <f t="shared" ref="AH162:AH196" si="112">IFERROR(IF(V162&gt;0,V162*W162,(Y162*W162)),0)</f>
        <v>0</v>
      </c>
      <c r="AI162" s="136">
        <f t="shared" ref="AI162:AI196" si="113">IFERROR(SUM(W162)*H162,0)</f>
        <v>0</v>
      </c>
      <c r="AJ162" s="136">
        <f t="shared" si="92"/>
        <v>0</v>
      </c>
      <c r="AK162" s="136">
        <f t="shared" si="93"/>
        <v>0</v>
      </c>
      <c r="AL162" s="136">
        <f t="shared" si="94"/>
        <v>0</v>
      </c>
      <c r="AM162" s="136">
        <f t="shared" si="105"/>
        <v>0</v>
      </c>
      <c r="AN162" s="136">
        <f t="shared" si="96"/>
        <v>0</v>
      </c>
      <c r="AO162" s="136">
        <f t="shared" si="97"/>
        <v>0</v>
      </c>
      <c r="AP162" s="138">
        <f t="shared" si="98"/>
        <v>0.65492957746478875</v>
      </c>
      <c r="AQ162" s="139">
        <f t="shared" si="99"/>
        <v>3.2666666666666671</v>
      </c>
      <c r="AR162" s="537">
        <v>24</v>
      </c>
      <c r="AS162" s="202">
        <f t="shared" si="82"/>
        <v>65.492957746478879</v>
      </c>
      <c r="AT162" s="215">
        <f t="shared" si="73"/>
        <v>0</v>
      </c>
      <c r="AU162" s="520">
        <f t="shared" si="74"/>
        <v>0</v>
      </c>
      <c r="AV162" s="110"/>
      <c r="AW162" s="138" t="e">
        <f>VLOOKUP(AX162,Sup!#REF!,8,0)</f>
        <v>#REF!</v>
      </c>
      <c r="AX162" s="993" t="s">
        <v>197</v>
      </c>
      <c r="AY162" s="556">
        <v>0</v>
      </c>
      <c r="AZ162" s="35"/>
      <c r="BA162" s="35"/>
      <c r="BB162" s="43"/>
      <c r="BC162" s="35">
        <f t="shared" si="75"/>
        <v>0</v>
      </c>
      <c r="BD162" s="35">
        <f t="shared" si="85"/>
        <v>7.1</v>
      </c>
      <c r="BE162" s="45">
        <f t="shared" si="106"/>
        <v>0</v>
      </c>
      <c r="BF162" s="971"/>
      <c r="BG162" s="236"/>
      <c r="BH162" s="12"/>
      <c r="BI162" s="12"/>
      <c r="BJ162" s="12"/>
      <c r="BK162" s="12"/>
      <c r="BL162" s="12"/>
      <c r="BM162" s="980">
        <f>BM161+24</f>
        <v>96</v>
      </c>
      <c r="BN162" s="367"/>
      <c r="BO162" s="981"/>
      <c r="BP162" s="12"/>
      <c r="BQ162" s="12"/>
      <c r="BR162" s="12"/>
      <c r="BS162" s="973"/>
      <c r="BT162" s="12"/>
      <c r="BU162" s="12"/>
      <c r="BV162" s="12"/>
      <c r="BW162" s="982" t="s">
        <v>510</v>
      </c>
      <c r="BX162" s="983">
        <f t="shared" si="100"/>
        <v>0</v>
      </c>
      <c r="BY162" s="12" t="e">
        <f>VLOOKUP(B162,#REF!,13,0)</f>
        <v>#REF!</v>
      </c>
      <c r="BZ162" s="1056">
        <v>5</v>
      </c>
      <c r="CA162" s="1181" t="e">
        <f>VLOOKUP(B162,Pedido!$B$16:$L$292,22,0)</f>
        <v>#N/A</v>
      </c>
    </row>
    <row r="163" spans="1:79" ht="38.25" customHeight="1" thickBot="1">
      <c r="A163" s="953"/>
      <c r="B163" s="646" t="s">
        <v>549</v>
      </c>
      <c r="C163" s="647" t="s">
        <v>435</v>
      </c>
      <c r="D163" s="880" t="s">
        <v>436</v>
      </c>
      <c r="E163" s="881" t="s">
        <v>548</v>
      </c>
      <c r="F163" s="882" t="s">
        <v>438</v>
      </c>
      <c r="G163" s="883" t="s">
        <v>439</v>
      </c>
      <c r="H163" s="1166">
        <v>38.28</v>
      </c>
      <c r="I163" s="845">
        <v>166.9</v>
      </c>
      <c r="J163" s="846" t="str">
        <f t="shared" si="79"/>
        <v/>
      </c>
      <c r="K163" s="847" t="str">
        <f t="shared" ref="K163:K231" si="114">IF(T163="","",IFERROR(1-(T163/I163),0))</f>
        <v/>
      </c>
      <c r="L163" s="848">
        <v>155.9</v>
      </c>
      <c r="M163" s="849">
        <f t="shared" si="76"/>
        <v>131.9</v>
      </c>
      <c r="N163" s="849">
        <f t="shared" si="77"/>
        <v>131.9</v>
      </c>
      <c r="O163" s="849">
        <f t="shared" si="78"/>
        <v>131.9</v>
      </c>
      <c r="P163" s="850">
        <v>131.9</v>
      </c>
      <c r="Q163" s="850">
        <v>119.9</v>
      </c>
      <c r="R163" s="850">
        <v>107.9</v>
      </c>
      <c r="S163" s="850">
        <v>95.9</v>
      </c>
      <c r="T163" s="736" t="str">
        <f t="shared" si="108"/>
        <v/>
      </c>
      <c r="U163" s="737" t="str">
        <f t="shared" si="109"/>
        <v/>
      </c>
      <c r="V163" s="780"/>
      <c r="W163" s="1099"/>
      <c r="X163" s="781"/>
      <c r="Y163" s="782" t="str">
        <f t="shared" si="60"/>
        <v/>
      </c>
      <c r="Z163" s="783">
        <f t="shared" si="66"/>
        <v>0</v>
      </c>
      <c r="AA163" s="738">
        <f t="shared" si="110"/>
        <v>0</v>
      </c>
      <c r="AB163" s="738">
        <f t="shared" si="83"/>
        <v>0</v>
      </c>
      <c r="AC163" s="738">
        <f t="shared" si="84"/>
        <v>0</v>
      </c>
      <c r="AD163" s="738">
        <f t="shared" si="51"/>
        <v>0</v>
      </c>
      <c r="AE163" s="738">
        <f t="shared" si="111"/>
        <v>0</v>
      </c>
      <c r="AF163" s="738">
        <f t="shared" si="88"/>
        <v>0</v>
      </c>
      <c r="AG163" s="739">
        <f t="shared" si="89"/>
        <v>0</v>
      </c>
      <c r="AH163" s="738">
        <f t="shared" si="112"/>
        <v>0</v>
      </c>
      <c r="AI163" s="738">
        <f t="shared" si="113"/>
        <v>0</v>
      </c>
      <c r="AJ163" s="738">
        <f t="shared" si="92"/>
        <v>0</v>
      </c>
      <c r="AK163" s="738">
        <f t="shared" si="93"/>
        <v>0</v>
      </c>
      <c r="AL163" s="738">
        <f t="shared" si="94"/>
        <v>0</v>
      </c>
      <c r="AM163" s="738">
        <f t="shared" ref="AM163:AM172" si="115">SUM(AJ163:AL163)</f>
        <v>0</v>
      </c>
      <c r="AN163" s="738">
        <f t="shared" si="96"/>
        <v>0</v>
      </c>
      <c r="AO163" s="738">
        <f t="shared" si="97"/>
        <v>0</v>
      </c>
      <c r="AP163" s="740">
        <f t="shared" si="98"/>
        <v>0.75445798588838997</v>
      </c>
      <c r="AQ163" s="741">
        <f t="shared" si="99"/>
        <v>51.04</v>
      </c>
      <c r="AR163" s="742">
        <v>6</v>
      </c>
      <c r="AS163" s="743">
        <f t="shared" si="82"/>
        <v>75.445798588838997</v>
      </c>
      <c r="AT163" s="828">
        <f t="shared" si="73"/>
        <v>0</v>
      </c>
      <c r="AU163" s="829">
        <f t="shared" si="74"/>
        <v>0</v>
      </c>
      <c r="AV163" s="745"/>
      <c r="AW163" s="740" t="e">
        <f>VLOOKUP(AX163,Sup!#REF!,8,0)</f>
        <v>#REF!</v>
      </c>
      <c r="AX163" s="1004" t="s">
        <v>197</v>
      </c>
      <c r="AY163" s="556">
        <v>0</v>
      </c>
      <c r="AZ163" s="35"/>
      <c r="BA163" s="35"/>
      <c r="BB163" s="43"/>
      <c r="BC163" s="35">
        <f t="shared" si="75"/>
        <v>0</v>
      </c>
      <c r="BD163" s="35" t="str">
        <f t="shared" si="85"/>
        <v/>
      </c>
      <c r="BE163" s="45">
        <f t="shared" si="106"/>
        <v>0</v>
      </c>
      <c r="BF163" s="971"/>
      <c r="BG163" s="236"/>
      <c r="BH163" s="12"/>
      <c r="BI163" s="12"/>
      <c r="BJ163" s="12"/>
      <c r="BK163" s="12"/>
      <c r="BL163" s="12"/>
      <c r="BM163" s="980">
        <f t="shared" si="107"/>
        <v>120</v>
      </c>
      <c r="BN163" s="367"/>
      <c r="BO163" s="981"/>
      <c r="BP163" s="12"/>
      <c r="BQ163" s="12"/>
      <c r="BR163" s="12"/>
      <c r="BS163" s="973"/>
      <c r="BT163" s="12"/>
      <c r="BU163" s="12"/>
      <c r="BV163" s="12"/>
      <c r="BW163" s="982" t="s">
        <v>510</v>
      </c>
      <c r="BX163" s="983">
        <f t="shared" si="100"/>
        <v>0</v>
      </c>
      <c r="BY163" s="12" t="e">
        <f>VLOOKUP(B163,#REF!,13,0)</f>
        <v>#REF!</v>
      </c>
      <c r="BZ163" s="1068">
        <v>85.9</v>
      </c>
      <c r="CA163" s="1181" t="e">
        <f>VLOOKUP(B163,Pedido!$B$16:$L$292,22,0)</f>
        <v>#N/A</v>
      </c>
    </row>
    <row r="164" spans="1:79" ht="38.25" customHeight="1" thickBot="1">
      <c r="A164" s="954"/>
      <c r="B164" s="140" t="s">
        <v>551</v>
      </c>
      <c r="C164" s="648" t="s">
        <v>435</v>
      </c>
      <c r="D164" s="876" t="s">
        <v>436</v>
      </c>
      <c r="E164" s="877" t="s">
        <v>550</v>
      </c>
      <c r="F164" s="878" t="s">
        <v>438</v>
      </c>
      <c r="G164" s="879" t="s">
        <v>439</v>
      </c>
      <c r="H164" s="1153">
        <v>38.28</v>
      </c>
      <c r="I164" s="129">
        <v>166.9</v>
      </c>
      <c r="J164" s="130" t="str">
        <f>IFERROR(IF(T164&lt;&gt;"",I164/T164,IF(AND(Y164="",V164=""),"",IF(V164="",I164/Y164,I164/V164))),"")</f>
        <v/>
      </c>
      <c r="K164" s="131" t="str">
        <f>IF(T164="","",IFERROR(1-(T164/I164),0))</f>
        <v/>
      </c>
      <c r="L164" s="241">
        <v>155.9</v>
      </c>
      <c r="M164" s="473">
        <v>131.9</v>
      </c>
      <c r="N164" s="473">
        <v>131.9</v>
      </c>
      <c r="O164" s="473">
        <v>131.9</v>
      </c>
      <c r="P164" s="132">
        <v>131.9</v>
      </c>
      <c r="Q164" s="132">
        <v>119.9</v>
      </c>
      <c r="R164" s="132">
        <v>107.9</v>
      </c>
      <c r="S164" s="132">
        <v>95.9</v>
      </c>
      <c r="T164" s="134" t="str">
        <f>IF(V164&gt;0,V164,IFERROR(IF(AND(W164&lt;&gt;"",X164&lt;&gt;""),AH164/W164,Y164),""))</f>
        <v/>
      </c>
      <c r="U164" s="135" t="str">
        <f>IFERROR((T164*W164)/(W164+X164),"")</f>
        <v/>
      </c>
      <c r="V164" s="575"/>
      <c r="W164" s="694"/>
      <c r="X164" s="170"/>
      <c r="Y164" s="122" t="str">
        <f t="shared" ref="Y164:Y227" si="116">IF(AND(W164="",X164=""),"",$E$13*IF(V164&lt;&gt;"",V164,IF(SUMIF($C:$C,C164,$W:$W)&gt;=$S$27,S164,IF(OR($AA$373&gt;=$R$26,SUMIF($C:$C,C164,$W:$W)&gt;=$R$27),R164,IF(OR($AA$373&gt;=$Q$26,SUMIF($C:$C,C164,$W:$W)&gt;=$Q$27),Q164,IF(OR($AA$373&gt;=$P$26,SUMIF($C:$C,C164,$W:$W)&gt;=$P$27),P164,IF(OR($AA$373&gt;=$O$26,SUMIF($C:$C,C164,$W:$W)&gt;=$O$27),O164,IF(OR($AA$373&gt;=$N$26,SUMIF($C:$C,C164,$W:$W)&gt;=$N$27),N164,IF($AA$373&gt;=$M$26,M164,L164)))))))))</f>
        <v/>
      </c>
      <c r="Z164" s="224">
        <f>IF(X164&gt;W164,-1,IF(W164=0,0,IF(U164&lt;(H164/0.75),-1,IF(W164&lt;=3,0,0.0001))))</f>
        <v>0</v>
      </c>
      <c r="AA164" s="136">
        <f>IFERROR(L164*W164,0)</f>
        <v>0</v>
      </c>
      <c r="AB164" s="136">
        <f t="shared" ref="AB164:AB195" si="117">IFERROR(IF(OR($AA$373&gt;=$S$26,SUMIF($C:$C,C164,$W:$W)&gt;=$S$27),S164,IF(OR($AA$373&gt;=$R$26,SUMIF($C:$C,C164,$W:$W)&gt;=$R$27),R164,IF(OR($AA$373&gt;=$Q$26,SUMIF($C:$C,C164,$W:$W)&gt;=$Q$27),Q164,IF(OR($AA$373&gt;=$P$26,SUMIF($C:$C,C164,$W:$W)&gt;=$P$27),P164,IF(OR($AA$373&gt;=$O$26,SUMIF($C:$C,C164,$W:$W)&gt;=$O$27),O164,IF(OR($AA$373&gt;=$N$26,SUMIF($C:$C,C164,$W:$W)&gt;=$N$27),N164,IF($AA$373&gt;=$M$26,M164,L164)))))))*W164,0)</f>
        <v>0</v>
      </c>
      <c r="AC164" s="136">
        <f t="shared" ref="AC164:AC195" si="118">IFERROR(IF(V164="",0,(IF(AND(W164="",X164=""),"",IF(OR($AA$373&gt;=$S$26,SUMIF($C:$C,C164,$W:$W)&gt;=$S$27),S164*$E$13,IF(OR($AA$373&gt;=$R$26,SUMIF($C:$C,C164,$W:$W)&gt;=$R$27),R164*$E$13,IF(OR($AA$373&gt;=$Q$26,SUMIF($C:$C,C164,$W:$W)&gt;=$Q$27),Q164*$E$13,IF(OR($AA$373&gt;=$P$26,SUMIF($C:$C,C164,$W:$W)&gt;=$P$27),P164*$E$13,IF(OR($AA$373&gt;=$O$26,SUMIF($C:$C,C164,$W:$W)&gt;=$O$27),O164*$E$13,IF(OR($AA$373&gt;=$N$26,SUMIF($C:$C,C164,$W:$W)&gt;=$N$27),N164*$E$13,IF($AA$373&gt;=$M$26,M164*$E$13,L164))))))))-V164)*W164),0)</f>
        <v>0</v>
      </c>
      <c r="AD164" s="136">
        <f>IFERROR(X164*T164,0)</f>
        <v>0</v>
      </c>
      <c r="AE164" s="136">
        <f>IFERROR(W164*H164,0)</f>
        <v>0</v>
      </c>
      <c r="AF164" s="136">
        <f>IFERROR(1-(AE164/AB164),0)</f>
        <v>0</v>
      </c>
      <c r="AG164" s="137">
        <f t="shared" si="89"/>
        <v>0</v>
      </c>
      <c r="AH164" s="136">
        <f>IFERROR(IF(V164&gt;0,V164*W164,(Y164*W164)),0)</f>
        <v>0</v>
      </c>
      <c r="AI164" s="136">
        <f>IFERROR(SUM(W164)*H164,0)</f>
        <v>0</v>
      </c>
      <c r="AJ164" s="136">
        <f>AH164*$AJ$25</f>
        <v>0</v>
      </c>
      <c r="AK164" s="136">
        <f>AH164*AK$25</f>
        <v>0</v>
      </c>
      <c r="AL164" s="136">
        <f>AH164*AL$25</f>
        <v>0</v>
      </c>
      <c r="AM164" s="136">
        <f>SUM(AJ164:AL164)</f>
        <v>0</v>
      </c>
      <c r="AN164" s="136">
        <f>AH164-AM164</f>
        <v>0</v>
      </c>
      <c r="AO164" s="136">
        <f>AN164-AI164</f>
        <v>0</v>
      </c>
      <c r="AP164" s="138">
        <f>IFERROR(IF(V164&lt;&gt;"",1-(H164/V164),IF(Y164&lt;&gt;"",1-(H164/Y164),1-(H164/L164))),0)</f>
        <v>0.75445798588838997</v>
      </c>
      <c r="AQ164" s="139">
        <f>H164/0.75</f>
        <v>51.04</v>
      </c>
      <c r="AR164" s="537">
        <v>6</v>
      </c>
      <c r="AS164" s="202">
        <f t="shared" si="82"/>
        <v>75.445798588838997</v>
      </c>
      <c r="AT164" s="197">
        <f>IFERROR(1-(AI164/AH164),0)</f>
        <v>0</v>
      </c>
      <c r="AU164" s="199">
        <f>IFERROR(AO164/AH164,0)</f>
        <v>0</v>
      </c>
      <c r="AV164" s="110"/>
      <c r="AW164" s="138" t="e">
        <f>VLOOKUP(AX164,Sup!#REF!,8,0)</f>
        <v>#REF!</v>
      </c>
      <c r="AX164" s="993" t="s">
        <v>197</v>
      </c>
      <c r="AY164" s="556">
        <v>0</v>
      </c>
      <c r="AZ164" s="35"/>
      <c r="BA164" s="35"/>
      <c r="BB164" s="43"/>
      <c r="BC164" s="35">
        <f>IF(BE164&lt;0,BE164,0)</f>
        <v>0</v>
      </c>
      <c r="BD164" s="35" t="str">
        <f t="shared" ref="BD164:BD195" si="119">IFERROR(IF(AND(W164="",X164=""),"",IF(OR($AA$373&gt;=$S$26,SUMIF($C:$C,C164,$W:$W)&gt;=$S$27),S164,IF(OR($AA$373&gt;=$R$26,SUMIF($C:$C,C164,$W:$W)&gt;=$R$27),R164,IF(OR($AA$373&gt;=$Q$26,SUMIF($C:$C,C164,$W:$W)&gt;=$Q$27),Q164,IF(OR($AA$373&gt;=$P$26,SUMIF($C:$C,C164,$W:$W)&gt;=$P$27),P164,IF(OR($AA$373&gt;=$O$26,SUMIF($C:$C,C164,$W:$W)&gt;=$O$27),O164,IF(OR($AA$373&gt;=$N$26,SUMIF($C:$C,C164,$W:$W)&gt;=$N$27),N164,IF($AA$373&gt;=$M$26,M164,L164)))))))*$E$13),0)</f>
        <v/>
      </c>
      <c r="BE164" s="45">
        <f t="shared" si="106"/>
        <v>0</v>
      </c>
      <c r="BF164" s="971"/>
      <c r="BG164" s="236"/>
      <c r="BH164" s="12"/>
      <c r="BI164" s="12"/>
      <c r="BJ164" s="12"/>
      <c r="BK164" s="12"/>
      <c r="BL164" s="12"/>
      <c r="BM164" s="980">
        <f>BM161+24</f>
        <v>96</v>
      </c>
      <c r="BN164" s="367"/>
      <c r="BO164" s="981"/>
      <c r="BP164" s="12"/>
      <c r="BQ164" s="12"/>
      <c r="BR164" s="12"/>
      <c r="BS164" s="973"/>
      <c r="BT164" s="12"/>
      <c r="BU164" s="12"/>
      <c r="BV164" s="12"/>
      <c r="BW164" s="982" t="s">
        <v>510</v>
      </c>
      <c r="BX164" s="983">
        <f>IFERROR(W164*U164,0)</f>
        <v>0</v>
      </c>
      <c r="BY164" s="12" t="e">
        <f>VLOOKUP(B164,#REF!,13,0)</f>
        <v>#REF!</v>
      </c>
      <c r="BZ164" s="1056">
        <v>85.9</v>
      </c>
      <c r="CA164" s="1181" t="e">
        <f>VLOOKUP(B164,Pedido!$B$16:$L$292,22,0)</f>
        <v>#N/A</v>
      </c>
    </row>
    <row r="165" spans="1:79" ht="38.25" customHeight="1" thickBot="1">
      <c r="A165" s="954"/>
      <c r="B165" s="140" t="s">
        <v>434</v>
      </c>
      <c r="C165" s="648" t="s">
        <v>435</v>
      </c>
      <c r="D165" s="876" t="s">
        <v>436</v>
      </c>
      <c r="E165" s="877" t="s">
        <v>437</v>
      </c>
      <c r="F165" s="878" t="s">
        <v>438</v>
      </c>
      <c r="G165" s="879" t="s">
        <v>439</v>
      </c>
      <c r="H165" s="1153">
        <v>38.28</v>
      </c>
      <c r="I165" s="129">
        <v>166.9</v>
      </c>
      <c r="J165" s="130" t="str">
        <f>IFERROR(IF(T165&lt;&gt;"",I165/T165,IF(AND(Y165="",V165=""),"",IF(V165="",I165/Y165,I165/V165))),"")</f>
        <v/>
      </c>
      <c r="K165" s="131" t="str">
        <f>IF(T165="","",IFERROR(1-(T165/I165),0))</f>
        <v/>
      </c>
      <c r="L165" s="241">
        <v>155.9</v>
      </c>
      <c r="M165" s="473">
        <v>131.9</v>
      </c>
      <c r="N165" s="473">
        <v>131.9</v>
      </c>
      <c r="O165" s="473">
        <v>131.9</v>
      </c>
      <c r="P165" s="132">
        <v>131.9</v>
      </c>
      <c r="Q165" s="132">
        <v>119.9</v>
      </c>
      <c r="R165" s="132">
        <v>107.9</v>
      </c>
      <c r="S165" s="132">
        <v>95.9</v>
      </c>
      <c r="T165" s="134" t="str">
        <f>IF(V165&gt;0,V165,IFERROR(IF(AND(W165&lt;&gt;"",X165&lt;&gt;""),AH165/W165,Y165),""))</f>
        <v/>
      </c>
      <c r="U165" s="135" t="str">
        <f>IFERROR((T165*W165)/(W165+X165),"")</f>
        <v/>
      </c>
      <c r="V165" s="575"/>
      <c r="W165" s="694"/>
      <c r="X165" s="170"/>
      <c r="Y165" s="122" t="str">
        <f t="shared" si="116"/>
        <v/>
      </c>
      <c r="Z165" s="224">
        <f>IF(X165&gt;W165,-1,IF(W165=0,0,IF(U165&lt;(H165/0.75),-1,IF(W165&lt;=3,0,0.0001))))</f>
        <v>0</v>
      </c>
      <c r="AA165" s="136">
        <f>IFERROR(L165*W165,0)</f>
        <v>0</v>
      </c>
      <c r="AB165" s="136">
        <f t="shared" si="117"/>
        <v>0</v>
      </c>
      <c r="AC165" s="136">
        <f t="shared" si="118"/>
        <v>0</v>
      </c>
      <c r="AD165" s="136">
        <f>IFERROR(X165*T165,0)</f>
        <v>0</v>
      </c>
      <c r="AE165" s="136">
        <f>IFERROR(W165*H165,0)</f>
        <v>0</v>
      </c>
      <c r="AF165" s="136">
        <f>IFERROR(1-(AE165/AB165),0)</f>
        <v>0</v>
      </c>
      <c r="AG165" s="137">
        <f t="shared" si="89"/>
        <v>0</v>
      </c>
      <c r="AH165" s="136">
        <f>IFERROR(IF(V165&gt;0,V165*W165,(Y165*W165)),0)</f>
        <v>0</v>
      </c>
      <c r="AI165" s="136">
        <f>IFERROR(SUM(W165)*H165,0)</f>
        <v>0</v>
      </c>
      <c r="AJ165" s="136">
        <f>AH165*$AJ$25</f>
        <v>0</v>
      </c>
      <c r="AK165" s="136">
        <f>AH165*AK$25</f>
        <v>0</v>
      </c>
      <c r="AL165" s="136">
        <f>AH165*AL$25</f>
        <v>0</v>
      </c>
      <c r="AM165" s="136">
        <f>SUM(AJ165:AL165)</f>
        <v>0</v>
      </c>
      <c r="AN165" s="136">
        <f>AH165-AM165</f>
        <v>0</v>
      </c>
      <c r="AO165" s="136">
        <f>AN165-AI165</f>
        <v>0</v>
      </c>
      <c r="AP165" s="138">
        <f>IFERROR(IF(V165&lt;&gt;"",1-(H165/V165),IF(Y165&lt;&gt;"",1-(H165/Y165),1-(H165/L165))),0)</f>
        <v>0.75445798588838997</v>
      </c>
      <c r="AQ165" s="139">
        <f>H165/0.75</f>
        <v>51.04</v>
      </c>
      <c r="AR165" s="537">
        <v>6</v>
      </c>
      <c r="AS165" s="202">
        <f t="shared" si="82"/>
        <v>75.445798588838997</v>
      </c>
      <c r="AT165" s="197">
        <f>IFERROR(1-(AI165/AH165),0)</f>
        <v>0</v>
      </c>
      <c r="AU165" s="199">
        <f>IFERROR(AO165/AH165,0)</f>
        <v>0</v>
      </c>
      <c r="AV165" s="110"/>
      <c r="AW165" s="138" t="e">
        <f>VLOOKUP(AX165,Sup!#REF!,8,0)</f>
        <v>#REF!</v>
      </c>
      <c r="AX165" s="993" t="s">
        <v>197</v>
      </c>
      <c r="AY165" s="556">
        <v>0</v>
      </c>
      <c r="AZ165" s="35"/>
      <c r="BA165" s="35"/>
      <c r="BB165" s="43"/>
      <c r="BC165" s="35">
        <f>IF(BE165&lt;0,BE165,0)</f>
        <v>0</v>
      </c>
      <c r="BD165" s="35" t="str">
        <f t="shared" si="119"/>
        <v/>
      </c>
      <c r="BE165" s="45">
        <f t="shared" si="106"/>
        <v>0</v>
      </c>
      <c r="BF165" s="971"/>
      <c r="BG165" s="236"/>
      <c r="BH165" s="12"/>
      <c r="BI165" s="12"/>
      <c r="BJ165" s="12"/>
      <c r="BK165" s="12"/>
      <c r="BL165" s="12"/>
      <c r="BM165" s="980">
        <f>BM162+24</f>
        <v>120</v>
      </c>
      <c r="BN165" s="367"/>
      <c r="BO165" s="981"/>
      <c r="BP165" s="12"/>
      <c r="BQ165" s="12"/>
      <c r="BR165" s="12"/>
      <c r="BS165" s="973"/>
      <c r="BT165" s="12"/>
      <c r="BU165" s="12"/>
      <c r="BV165" s="12"/>
      <c r="BW165" s="982" t="s">
        <v>510</v>
      </c>
      <c r="BX165" s="983">
        <f>IFERROR(W165*U165,0)</f>
        <v>0</v>
      </c>
      <c r="BY165" s="12" t="e">
        <f>VLOOKUP(B165,#REF!,13,0)</f>
        <v>#REF!</v>
      </c>
      <c r="BZ165" s="1056">
        <v>85.9</v>
      </c>
      <c r="CA165" s="1181" t="e">
        <f>VLOOKUP(B165,Pedido!$B$16:$L$292,22,0)</f>
        <v>#N/A</v>
      </c>
    </row>
    <row r="166" spans="1:79" ht="38.25" customHeight="1" thickBot="1">
      <c r="A166" s="954"/>
      <c r="B166" s="140" t="s">
        <v>440</v>
      </c>
      <c r="C166" s="648" t="s">
        <v>435</v>
      </c>
      <c r="D166" s="876" t="s">
        <v>436</v>
      </c>
      <c r="E166" s="877" t="s">
        <v>441</v>
      </c>
      <c r="F166" s="878" t="s">
        <v>438</v>
      </c>
      <c r="G166" s="879" t="s">
        <v>439</v>
      </c>
      <c r="H166" s="1153">
        <v>38.28</v>
      </c>
      <c r="I166" s="129">
        <v>166.9</v>
      </c>
      <c r="J166" s="130" t="str">
        <f t="shared" si="79"/>
        <v/>
      </c>
      <c r="K166" s="131" t="str">
        <f t="shared" si="114"/>
        <v/>
      </c>
      <c r="L166" s="241">
        <v>155.9</v>
      </c>
      <c r="M166" s="473">
        <v>131.9</v>
      </c>
      <c r="N166" s="473">
        <v>131.9</v>
      </c>
      <c r="O166" s="473">
        <v>131.9</v>
      </c>
      <c r="P166" s="132">
        <v>131.9</v>
      </c>
      <c r="Q166" s="132">
        <v>119.9</v>
      </c>
      <c r="R166" s="132">
        <v>107.9</v>
      </c>
      <c r="S166" s="132">
        <v>95.9</v>
      </c>
      <c r="T166" s="134" t="str">
        <f t="shared" si="108"/>
        <v/>
      </c>
      <c r="U166" s="135" t="str">
        <f t="shared" si="109"/>
        <v/>
      </c>
      <c r="V166" s="575"/>
      <c r="W166" s="694"/>
      <c r="X166" s="170"/>
      <c r="Y166" s="122" t="str">
        <f t="shared" si="116"/>
        <v/>
      </c>
      <c r="Z166" s="224">
        <f t="shared" si="66"/>
        <v>0</v>
      </c>
      <c r="AA166" s="136">
        <f t="shared" si="110"/>
        <v>0</v>
      </c>
      <c r="AB166" s="136">
        <f t="shared" si="117"/>
        <v>0</v>
      </c>
      <c r="AC166" s="136">
        <f t="shared" si="118"/>
        <v>0</v>
      </c>
      <c r="AD166" s="136">
        <f t="shared" si="51"/>
        <v>0</v>
      </c>
      <c r="AE166" s="136">
        <f t="shared" si="111"/>
        <v>0</v>
      </c>
      <c r="AF166" s="136">
        <f t="shared" si="88"/>
        <v>0</v>
      </c>
      <c r="AG166" s="137">
        <f>IFERROR(SUM(W166:X166)*I166,0)</f>
        <v>0</v>
      </c>
      <c r="AH166" s="136">
        <f t="shared" si="112"/>
        <v>0</v>
      </c>
      <c r="AI166" s="136">
        <f t="shared" si="113"/>
        <v>0</v>
      </c>
      <c r="AJ166" s="136">
        <f t="shared" si="92"/>
        <v>0</v>
      </c>
      <c r="AK166" s="136">
        <f t="shared" si="93"/>
        <v>0</v>
      </c>
      <c r="AL166" s="136">
        <f t="shared" si="94"/>
        <v>0</v>
      </c>
      <c r="AM166" s="136">
        <f t="shared" si="115"/>
        <v>0</v>
      </c>
      <c r="AN166" s="136">
        <f t="shared" si="96"/>
        <v>0</v>
      </c>
      <c r="AO166" s="136">
        <f t="shared" si="97"/>
        <v>0</v>
      </c>
      <c r="AP166" s="138">
        <f t="shared" si="98"/>
        <v>0.75445798588838997</v>
      </c>
      <c r="AQ166" s="139">
        <f t="shared" si="99"/>
        <v>51.04</v>
      </c>
      <c r="AR166" s="537">
        <v>6</v>
      </c>
      <c r="AS166" s="202">
        <f t="shared" si="82"/>
        <v>75.445798588838997</v>
      </c>
      <c r="AT166" s="197">
        <f t="shared" si="73"/>
        <v>0</v>
      </c>
      <c r="AU166" s="199">
        <f t="shared" si="74"/>
        <v>0</v>
      </c>
      <c r="AV166" s="110"/>
      <c r="AW166" s="138" t="e">
        <f>VLOOKUP(AX166,Sup!#REF!,8,0)</f>
        <v>#REF!</v>
      </c>
      <c r="AX166" s="993" t="s">
        <v>197</v>
      </c>
      <c r="AY166" s="556">
        <v>0</v>
      </c>
      <c r="AZ166" s="35"/>
      <c r="BA166" s="35"/>
      <c r="BB166" s="43"/>
      <c r="BC166" s="35">
        <f t="shared" si="75"/>
        <v>0</v>
      </c>
      <c r="BD166" s="35" t="str">
        <f t="shared" si="119"/>
        <v/>
      </c>
      <c r="BE166" s="45">
        <f t="shared" si="106"/>
        <v>0</v>
      </c>
      <c r="BF166" s="971"/>
      <c r="BG166" s="236"/>
      <c r="BH166" s="12"/>
      <c r="BI166" s="12"/>
      <c r="BJ166" s="12"/>
      <c r="BK166" s="12"/>
      <c r="BL166" s="12"/>
      <c r="BM166" s="980">
        <f>BM163+24</f>
        <v>144</v>
      </c>
      <c r="BN166" s="367"/>
      <c r="BO166" s="981"/>
      <c r="BP166" s="12"/>
      <c r="BQ166" s="12"/>
      <c r="BR166" s="12"/>
      <c r="BS166" s="973"/>
      <c r="BT166" s="12"/>
      <c r="BU166" s="12"/>
      <c r="BV166" s="12"/>
      <c r="BW166" s="982" t="s">
        <v>510</v>
      </c>
      <c r="BX166" s="983">
        <f t="shared" si="100"/>
        <v>0</v>
      </c>
      <c r="BY166" s="12" t="e">
        <f>VLOOKUP(B166,#REF!,13,0)</f>
        <v>#REF!</v>
      </c>
      <c r="BZ166" s="1056">
        <v>85.9</v>
      </c>
      <c r="CA166" s="1181" t="e">
        <f>VLOOKUP(B166,Pedido!$B$16:$L$292,22,0)</f>
        <v>#N/A</v>
      </c>
    </row>
    <row r="167" spans="1:79" ht="38.25" customHeight="1" thickBot="1">
      <c r="A167" s="955"/>
      <c r="B167" s="649" t="s">
        <v>442</v>
      </c>
      <c r="C167" s="650" t="s">
        <v>435</v>
      </c>
      <c r="D167" s="884" t="s">
        <v>436</v>
      </c>
      <c r="E167" s="885" t="s">
        <v>443</v>
      </c>
      <c r="F167" s="886" t="s">
        <v>438</v>
      </c>
      <c r="G167" s="887" t="s">
        <v>439</v>
      </c>
      <c r="H167" s="1167">
        <v>38.28</v>
      </c>
      <c r="I167" s="841">
        <v>166.9</v>
      </c>
      <c r="J167" s="842" t="str">
        <f t="shared" si="79"/>
        <v/>
      </c>
      <c r="K167" s="843" t="str">
        <f t="shared" si="114"/>
        <v/>
      </c>
      <c r="L167" s="844">
        <v>155.9</v>
      </c>
      <c r="M167" s="835">
        <v>131.9</v>
      </c>
      <c r="N167" s="835">
        <v>131.9</v>
      </c>
      <c r="O167" s="835">
        <v>131.9</v>
      </c>
      <c r="P167" s="836">
        <v>131.9</v>
      </c>
      <c r="Q167" s="836">
        <v>119.9</v>
      </c>
      <c r="R167" s="836">
        <v>107.9</v>
      </c>
      <c r="S167" s="836">
        <v>95.9</v>
      </c>
      <c r="T167" s="746" t="str">
        <f t="shared" si="108"/>
        <v/>
      </c>
      <c r="U167" s="747" t="str">
        <f t="shared" si="109"/>
        <v/>
      </c>
      <c r="V167" s="795"/>
      <c r="W167" s="1101"/>
      <c r="X167" s="796"/>
      <c r="Y167" s="797" t="str">
        <f t="shared" si="116"/>
        <v/>
      </c>
      <c r="Z167" s="798">
        <f t="shared" si="66"/>
        <v>0</v>
      </c>
      <c r="AA167" s="748">
        <f t="shared" si="110"/>
        <v>0</v>
      </c>
      <c r="AB167" s="748">
        <f t="shared" si="117"/>
        <v>0</v>
      </c>
      <c r="AC167" s="748">
        <f t="shared" si="118"/>
        <v>0</v>
      </c>
      <c r="AD167" s="748">
        <f t="shared" si="51"/>
        <v>0</v>
      </c>
      <c r="AE167" s="748">
        <f t="shared" si="111"/>
        <v>0</v>
      </c>
      <c r="AF167" s="748">
        <f t="shared" si="88"/>
        <v>0</v>
      </c>
      <c r="AG167" s="749">
        <f t="shared" ref="AG167:AG172" si="120">IFERROR(SUM(W167:X167)*I167,0)</f>
        <v>0</v>
      </c>
      <c r="AH167" s="748">
        <f t="shared" si="112"/>
        <v>0</v>
      </c>
      <c r="AI167" s="748">
        <f t="shared" si="113"/>
        <v>0</v>
      </c>
      <c r="AJ167" s="748">
        <f t="shared" si="92"/>
        <v>0</v>
      </c>
      <c r="AK167" s="748">
        <f t="shared" si="93"/>
        <v>0</v>
      </c>
      <c r="AL167" s="748">
        <f t="shared" si="94"/>
        <v>0</v>
      </c>
      <c r="AM167" s="748">
        <f t="shared" si="115"/>
        <v>0</v>
      </c>
      <c r="AN167" s="748">
        <f t="shared" si="96"/>
        <v>0</v>
      </c>
      <c r="AO167" s="748">
        <f t="shared" si="97"/>
        <v>0</v>
      </c>
      <c r="AP167" s="750">
        <f t="shared" si="98"/>
        <v>0.75445798588838997</v>
      </c>
      <c r="AQ167" s="751">
        <f t="shared" si="99"/>
        <v>51.04</v>
      </c>
      <c r="AR167" s="752">
        <v>6</v>
      </c>
      <c r="AS167" s="838">
        <f t="shared" si="82"/>
        <v>75.445798588838997</v>
      </c>
      <c r="AT167" s="839">
        <f t="shared" si="73"/>
        <v>0</v>
      </c>
      <c r="AU167" s="840">
        <f t="shared" si="74"/>
        <v>0</v>
      </c>
      <c r="AV167" s="755"/>
      <c r="AW167" s="750" t="e">
        <f>VLOOKUP(AX167,Sup!#REF!,8,0)</f>
        <v>#REF!</v>
      </c>
      <c r="AX167" s="1005" t="s">
        <v>197</v>
      </c>
      <c r="AY167" s="556">
        <v>0</v>
      </c>
      <c r="AZ167" s="35"/>
      <c r="BA167" s="35"/>
      <c r="BB167" s="43"/>
      <c r="BC167" s="35">
        <f t="shared" si="75"/>
        <v>0</v>
      </c>
      <c r="BD167" s="35" t="str">
        <f t="shared" si="119"/>
        <v/>
      </c>
      <c r="BE167" s="45">
        <f t="shared" si="106"/>
        <v>0</v>
      </c>
      <c r="BF167" s="971"/>
      <c r="BG167" s="236"/>
      <c r="BH167" s="12"/>
      <c r="BI167" s="12"/>
      <c r="BJ167" s="12"/>
      <c r="BK167" s="12"/>
      <c r="BL167" s="12"/>
      <c r="BM167" s="980">
        <f t="shared" si="107"/>
        <v>168</v>
      </c>
      <c r="BN167" s="367"/>
      <c r="BO167" s="981"/>
      <c r="BP167" s="12"/>
      <c r="BQ167" s="12"/>
      <c r="BR167" s="12"/>
      <c r="BS167" s="973"/>
      <c r="BT167" s="12"/>
      <c r="BU167" s="12"/>
      <c r="BV167" s="12"/>
      <c r="BW167" s="982" t="s">
        <v>510</v>
      </c>
      <c r="BX167" s="983">
        <f t="shared" si="100"/>
        <v>0</v>
      </c>
      <c r="BY167" s="12" t="e">
        <f>VLOOKUP(B167,#REF!,13,0)</f>
        <v>#REF!</v>
      </c>
      <c r="BZ167" s="1070">
        <v>85.9</v>
      </c>
      <c r="CA167" s="1181" t="e">
        <f>VLOOKUP(B167,Pedido!$B$16:$L$292,22,0)</f>
        <v>#N/A</v>
      </c>
    </row>
    <row r="168" spans="1:79" ht="36" customHeight="1" thickBot="1">
      <c r="A168" s="956"/>
      <c r="B168" s="12" t="s">
        <v>497</v>
      </c>
      <c r="C168" s="646" t="s">
        <v>501</v>
      </c>
      <c r="D168" s="929" t="s">
        <v>504</v>
      </c>
      <c r="E168" s="413" t="s">
        <v>503</v>
      </c>
      <c r="F168" s="930" t="s">
        <v>61</v>
      </c>
      <c r="G168" s="931">
        <v>475</v>
      </c>
      <c r="H168" s="1168">
        <v>61.8</v>
      </c>
      <c r="I168" s="845">
        <v>269.89999999999998</v>
      </c>
      <c r="J168" s="846" t="str">
        <f t="shared" si="79"/>
        <v/>
      </c>
      <c r="K168" s="847" t="str">
        <f t="shared" si="114"/>
        <v/>
      </c>
      <c r="L168" s="848">
        <v>194.9</v>
      </c>
      <c r="M168" s="851">
        <f t="shared" si="76"/>
        <v>171.9</v>
      </c>
      <c r="N168" s="851">
        <f t="shared" si="77"/>
        <v>171.9</v>
      </c>
      <c r="O168" s="851">
        <f t="shared" si="78"/>
        <v>171.9</v>
      </c>
      <c r="P168" s="852">
        <v>171.9</v>
      </c>
      <c r="Q168" s="852">
        <v>158.9</v>
      </c>
      <c r="R168" s="852">
        <v>155.9</v>
      </c>
      <c r="S168" s="853">
        <v>149.9</v>
      </c>
      <c r="T168" s="778" t="str">
        <f t="shared" si="108"/>
        <v/>
      </c>
      <c r="U168" s="779" t="str">
        <f t="shared" si="109"/>
        <v/>
      </c>
      <c r="V168" s="1127"/>
      <c r="W168" s="1128"/>
      <c r="X168" s="1129"/>
      <c r="Y168" s="854" t="str">
        <f t="shared" si="116"/>
        <v/>
      </c>
      <c r="Z168" s="855">
        <f t="shared" si="66"/>
        <v>0</v>
      </c>
      <c r="AA168" s="823">
        <f t="shared" si="110"/>
        <v>0</v>
      </c>
      <c r="AB168" s="823">
        <f t="shared" si="117"/>
        <v>0</v>
      </c>
      <c r="AC168" s="823">
        <f t="shared" si="118"/>
        <v>0</v>
      </c>
      <c r="AD168" s="823">
        <f t="shared" si="51"/>
        <v>0</v>
      </c>
      <c r="AE168" s="823">
        <f t="shared" si="111"/>
        <v>0</v>
      </c>
      <c r="AF168" s="823">
        <f t="shared" si="88"/>
        <v>0</v>
      </c>
      <c r="AG168" s="824">
        <f t="shared" si="120"/>
        <v>0</v>
      </c>
      <c r="AH168" s="823">
        <f t="shared" si="112"/>
        <v>0</v>
      </c>
      <c r="AI168" s="823">
        <f t="shared" si="113"/>
        <v>0</v>
      </c>
      <c r="AJ168" s="823">
        <f t="shared" si="92"/>
        <v>0</v>
      </c>
      <c r="AK168" s="823">
        <f t="shared" si="93"/>
        <v>0</v>
      </c>
      <c r="AL168" s="823">
        <f t="shared" si="94"/>
        <v>0</v>
      </c>
      <c r="AM168" s="823">
        <f t="shared" si="115"/>
        <v>0</v>
      </c>
      <c r="AN168" s="823">
        <f t="shared" si="96"/>
        <v>0</v>
      </c>
      <c r="AO168" s="823">
        <f t="shared" si="97"/>
        <v>0</v>
      </c>
      <c r="AP168" s="825">
        <f t="shared" si="98"/>
        <v>0.68291431503335054</v>
      </c>
      <c r="AQ168" s="826">
        <f t="shared" si="99"/>
        <v>82.399999999999991</v>
      </c>
      <c r="AR168" s="827">
        <v>6</v>
      </c>
      <c r="AS168" s="743">
        <f t="shared" si="82"/>
        <v>68.291431503335048</v>
      </c>
      <c r="AT168" s="828">
        <f t="shared" si="73"/>
        <v>0</v>
      </c>
      <c r="AU168" s="829">
        <f t="shared" si="74"/>
        <v>0</v>
      </c>
      <c r="AV168" s="856"/>
      <c r="AW168" s="825" t="s">
        <v>202</v>
      </c>
      <c r="AX168" s="1006" t="s">
        <v>198</v>
      </c>
      <c r="AY168" s="556">
        <v>0</v>
      </c>
      <c r="AZ168" s="43"/>
      <c r="BA168" s="43"/>
      <c r="BB168" s="35">
        <f>IF($F$14="NOVO/REATIVAÇÃO",7*W168*1.4,7*W168)</f>
        <v>0</v>
      </c>
      <c r="BC168" s="43">
        <f t="shared" si="75"/>
        <v>0</v>
      </c>
      <c r="BD168" s="43" t="str">
        <f t="shared" si="119"/>
        <v/>
      </c>
      <c r="BE168" s="44">
        <f t="shared" si="106"/>
        <v>0</v>
      </c>
      <c r="BF168" s="971"/>
      <c r="BG168" s="236"/>
      <c r="BH168" s="12"/>
      <c r="BI168" s="12"/>
      <c r="BJ168" s="12"/>
      <c r="BK168" s="12"/>
      <c r="BL168" s="12"/>
      <c r="BM168" s="980">
        <f t="shared" si="107"/>
        <v>192</v>
      </c>
      <c r="BN168" s="367"/>
      <c r="BO168" s="981"/>
      <c r="BP168" s="12"/>
      <c r="BQ168" s="12"/>
      <c r="BR168" s="12"/>
      <c r="BS168" s="973"/>
      <c r="BT168" s="12"/>
      <c r="BU168" s="12"/>
      <c r="BV168" s="12"/>
      <c r="BW168" s="982" t="s">
        <v>394</v>
      </c>
      <c r="BX168" s="983">
        <f t="shared" si="100"/>
        <v>0</v>
      </c>
      <c r="BY168" s="12" t="e">
        <f>VLOOKUP(B168,#REF!,13,0)</f>
        <v>#REF!</v>
      </c>
      <c r="BZ168" s="1068">
        <v>136.9</v>
      </c>
      <c r="CA168" s="1181" t="e">
        <f>VLOOKUP(B168,Pedido!$B$16:$L$292,22,0)</f>
        <v>#N/A</v>
      </c>
    </row>
    <row r="169" spans="1:79" ht="36" customHeight="1" thickBot="1">
      <c r="A169" s="936"/>
      <c r="B169" s="12" t="s">
        <v>498</v>
      </c>
      <c r="C169" s="114" t="s">
        <v>501</v>
      </c>
      <c r="D169" s="412" t="s">
        <v>504</v>
      </c>
      <c r="E169" s="413" t="s">
        <v>67</v>
      </c>
      <c r="F169" s="414" t="s">
        <v>61</v>
      </c>
      <c r="G169" s="425">
        <v>475</v>
      </c>
      <c r="H169" s="1162">
        <v>61.8</v>
      </c>
      <c r="I169" s="115">
        <v>269.89999999999998</v>
      </c>
      <c r="J169" s="116" t="str">
        <f t="shared" si="79"/>
        <v/>
      </c>
      <c r="K169" s="117" t="str">
        <f t="shared" si="114"/>
        <v/>
      </c>
      <c r="L169" s="239">
        <v>194.9</v>
      </c>
      <c r="M169" s="479">
        <f t="shared" si="76"/>
        <v>171.9</v>
      </c>
      <c r="N169" s="479">
        <f t="shared" si="77"/>
        <v>171.9</v>
      </c>
      <c r="O169" s="479">
        <f t="shared" si="78"/>
        <v>171.9</v>
      </c>
      <c r="P169" s="305">
        <v>171.9</v>
      </c>
      <c r="Q169" s="305">
        <v>158.9</v>
      </c>
      <c r="R169" s="305">
        <v>155.9</v>
      </c>
      <c r="S169" s="306">
        <v>149.9</v>
      </c>
      <c r="T169" s="246" t="str">
        <f t="shared" si="108"/>
        <v/>
      </c>
      <c r="U169" s="298" t="str">
        <f t="shared" si="109"/>
        <v/>
      </c>
      <c r="V169" s="734"/>
      <c r="W169" s="1100"/>
      <c r="X169" s="264"/>
      <c r="Y169" s="113" t="str">
        <f t="shared" si="116"/>
        <v/>
      </c>
      <c r="Z169" s="223">
        <f t="shared" si="66"/>
        <v>0</v>
      </c>
      <c r="AA169" s="307">
        <f t="shared" si="110"/>
        <v>0</v>
      </c>
      <c r="AB169" s="307">
        <f t="shared" si="117"/>
        <v>0</v>
      </c>
      <c r="AC169" s="307">
        <f t="shared" si="118"/>
        <v>0</v>
      </c>
      <c r="AD169" s="307">
        <f t="shared" si="51"/>
        <v>0</v>
      </c>
      <c r="AE169" s="307">
        <f t="shared" si="111"/>
        <v>0</v>
      </c>
      <c r="AF169" s="307">
        <f t="shared" si="88"/>
        <v>0</v>
      </c>
      <c r="AG169" s="308">
        <f t="shared" si="120"/>
        <v>0</v>
      </c>
      <c r="AH169" s="307">
        <f t="shared" si="112"/>
        <v>0</v>
      </c>
      <c r="AI169" s="307">
        <f t="shared" si="113"/>
        <v>0</v>
      </c>
      <c r="AJ169" s="307">
        <f t="shared" si="92"/>
        <v>0</v>
      </c>
      <c r="AK169" s="307">
        <f t="shared" si="93"/>
        <v>0</v>
      </c>
      <c r="AL169" s="307">
        <f t="shared" si="94"/>
        <v>0</v>
      </c>
      <c r="AM169" s="307">
        <f t="shared" si="115"/>
        <v>0</v>
      </c>
      <c r="AN169" s="307">
        <f t="shared" si="96"/>
        <v>0</v>
      </c>
      <c r="AO169" s="307">
        <f t="shared" si="97"/>
        <v>0</v>
      </c>
      <c r="AP169" s="309">
        <f t="shared" si="98"/>
        <v>0.68291431503335054</v>
      </c>
      <c r="AQ169" s="310">
        <f t="shared" si="99"/>
        <v>82.399999999999991</v>
      </c>
      <c r="AR169" s="544">
        <v>6</v>
      </c>
      <c r="AS169" s="202">
        <f t="shared" si="82"/>
        <v>68.291431503335048</v>
      </c>
      <c r="AT169" s="197">
        <f t="shared" si="73"/>
        <v>0</v>
      </c>
      <c r="AU169" s="199">
        <f t="shared" si="74"/>
        <v>0</v>
      </c>
      <c r="AV169" s="185"/>
      <c r="AW169" s="309" t="s">
        <v>202</v>
      </c>
      <c r="AX169" s="1002" t="s">
        <v>198</v>
      </c>
      <c r="AY169" s="556">
        <v>0</v>
      </c>
      <c r="AZ169" s="43"/>
      <c r="BA169" s="43"/>
      <c r="BB169" s="35">
        <f>IF($F$14="NOVO/REATIVAÇÃO",7*W169*1.4,7*W169)</f>
        <v>0</v>
      </c>
      <c r="BC169" s="43">
        <f t="shared" si="75"/>
        <v>0</v>
      </c>
      <c r="BD169" s="43" t="str">
        <f t="shared" si="119"/>
        <v/>
      </c>
      <c r="BE169" s="44">
        <f t="shared" si="106"/>
        <v>0</v>
      </c>
      <c r="BF169" s="971"/>
      <c r="BG169" s="236"/>
      <c r="BH169" s="12"/>
      <c r="BI169" s="12"/>
      <c r="BJ169" s="12"/>
      <c r="BK169" s="12"/>
      <c r="BL169" s="12"/>
      <c r="BM169" s="980">
        <f t="shared" si="107"/>
        <v>216</v>
      </c>
      <c r="BN169" s="367"/>
      <c r="BO169" s="981"/>
      <c r="BP169" s="12"/>
      <c r="BQ169" s="12"/>
      <c r="BR169" s="12"/>
      <c r="BS169" s="973"/>
      <c r="BT169" s="12"/>
      <c r="BU169" s="12"/>
      <c r="BV169" s="12"/>
      <c r="BW169" s="982" t="s">
        <v>394</v>
      </c>
      <c r="BX169" s="983">
        <f t="shared" si="100"/>
        <v>0</v>
      </c>
      <c r="BY169" s="12" t="e">
        <f>VLOOKUP(B169,#REF!,13,0)</f>
        <v>#REF!</v>
      </c>
      <c r="BZ169" s="1055">
        <v>136.9</v>
      </c>
      <c r="CA169" s="1181" t="e">
        <f>VLOOKUP(B169,Pedido!$B$16:$L$292,22,0)</f>
        <v>#N/A</v>
      </c>
    </row>
    <row r="170" spans="1:79" ht="36" customHeight="1" thickBot="1">
      <c r="A170" s="957"/>
      <c r="B170" s="12" t="s">
        <v>496</v>
      </c>
      <c r="C170" s="830" t="s">
        <v>501</v>
      </c>
      <c r="D170" s="932" t="s">
        <v>504</v>
      </c>
      <c r="E170" s="933" t="s">
        <v>326</v>
      </c>
      <c r="F170" s="934" t="s">
        <v>61</v>
      </c>
      <c r="G170" s="935">
        <v>450</v>
      </c>
      <c r="H170" s="1169">
        <v>61.8</v>
      </c>
      <c r="I170" s="831">
        <v>269.89999999999998</v>
      </c>
      <c r="J170" s="832" t="str">
        <f t="shared" si="79"/>
        <v/>
      </c>
      <c r="K170" s="833" t="str">
        <f t="shared" si="114"/>
        <v/>
      </c>
      <c r="L170" s="834">
        <v>194.9</v>
      </c>
      <c r="M170" s="861">
        <f t="shared" si="76"/>
        <v>171.9</v>
      </c>
      <c r="N170" s="861">
        <f t="shared" si="77"/>
        <v>171.9</v>
      </c>
      <c r="O170" s="861">
        <f t="shared" si="78"/>
        <v>171.9</v>
      </c>
      <c r="P170" s="862">
        <v>171.9</v>
      </c>
      <c r="Q170" s="862">
        <v>158.9</v>
      </c>
      <c r="R170" s="862">
        <v>155.9</v>
      </c>
      <c r="S170" s="863">
        <v>149.9</v>
      </c>
      <c r="T170" s="794" t="str">
        <f t="shared" si="108"/>
        <v/>
      </c>
      <c r="U170" s="864" t="str">
        <f t="shared" si="109"/>
        <v/>
      </c>
      <c r="V170" s="1130"/>
      <c r="W170" s="1131"/>
      <c r="X170" s="1132"/>
      <c r="Y170" s="865" t="str">
        <f t="shared" si="116"/>
        <v/>
      </c>
      <c r="Z170" s="866">
        <f t="shared" si="66"/>
        <v>0</v>
      </c>
      <c r="AA170" s="867">
        <f t="shared" si="110"/>
        <v>0</v>
      </c>
      <c r="AB170" s="867">
        <f t="shared" si="117"/>
        <v>0</v>
      </c>
      <c r="AC170" s="867">
        <f t="shared" si="118"/>
        <v>0</v>
      </c>
      <c r="AD170" s="867">
        <f t="shared" si="51"/>
        <v>0</v>
      </c>
      <c r="AE170" s="867">
        <f t="shared" si="111"/>
        <v>0</v>
      </c>
      <c r="AF170" s="867">
        <f t="shared" si="88"/>
        <v>0</v>
      </c>
      <c r="AG170" s="868">
        <f t="shared" si="120"/>
        <v>0</v>
      </c>
      <c r="AH170" s="867">
        <f t="shared" si="112"/>
        <v>0</v>
      </c>
      <c r="AI170" s="867">
        <f t="shared" si="113"/>
        <v>0</v>
      </c>
      <c r="AJ170" s="867">
        <f t="shared" si="92"/>
        <v>0</v>
      </c>
      <c r="AK170" s="867">
        <f t="shared" si="93"/>
        <v>0</v>
      </c>
      <c r="AL170" s="867">
        <f t="shared" si="94"/>
        <v>0</v>
      </c>
      <c r="AM170" s="867">
        <f t="shared" si="115"/>
        <v>0</v>
      </c>
      <c r="AN170" s="867">
        <f t="shared" si="96"/>
        <v>0</v>
      </c>
      <c r="AO170" s="867">
        <f t="shared" si="97"/>
        <v>0</v>
      </c>
      <c r="AP170" s="869">
        <f t="shared" si="98"/>
        <v>0.68291431503335054</v>
      </c>
      <c r="AQ170" s="870">
        <f t="shared" si="99"/>
        <v>82.399999999999991</v>
      </c>
      <c r="AR170" s="871">
        <v>6</v>
      </c>
      <c r="AS170" s="838">
        <f t="shared" si="82"/>
        <v>68.291431503335048</v>
      </c>
      <c r="AT170" s="839">
        <f t="shared" si="73"/>
        <v>0</v>
      </c>
      <c r="AU170" s="840">
        <f t="shared" si="74"/>
        <v>0</v>
      </c>
      <c r="AV170" s="755"/>
      <c r="AW170" s="869" t="s">
        <v>202</v>
      </c>
      <c r="AX170" s="1007" t="s">
        <v>198</v>
      </c>
      <c r="AY170" s="556">
        <v>0</v>
      </c>
      <c r="AZ170" s="43"/>
      <c r="BA170" s="43"/>
      <c r="BB170" s="35">
        <f>IF($F$14="NOVO/REATIVAÇÃO",7*W170*1.4,7*W170)</f>
        <v>0</v>
      </c>
      <c r="BC170" s="43">
        <f t="shared" si="75"/>
        <v>0</v>
      </c>
      <c r="BD170" s="43" t="str">
        <f t="shared" si="119"/>
        <v/>
      </c>
      <c r="BE170" s="44">
        <f t="shared" si="106"/>
        <v>0</v>
      </c>
      <c r="BF170" s="971"/>
      <c r="BG170" s="236"/>
      <c r="BH170" s="12"/>
      <c r="BI170" s="12"/>
      <c r="BJ170" s="12"/>
      <c r="BK170" s="12"/>
      <c r="BL170" s="12"/>
      <c r="BM170" s="980">
        <f t="shared" si="107"/>
        <v>240</v>
      </c>
      <c r="BN170" s="367"/>
      <c r="BO170" s="981"/>
      <c r="BP170" s="12"/>
      <c r="BQ170" s="12"/>
      <c r="BR170" s="12"/>
      <c r="BS170" s="973"/>
      <c r="BT170" s="12"/>
      <c r="BU170" s="12"/>
      <c r="BV170" s="12"/>
      <c r="BW170" s="982" t="s">
        <v>394</v>
      </c>
      <c r="BX170" s="983">
        <f t="shared" si="100"/>
        <v>0</v>
      </c>
      <c r="BY170" s="12" t="e">
        <f>VLOOKUP(B170,#REF!,13,0)</f>
        <v>#REF!</v>
      </c>
      <c r="BZ170" s="1069">
        <v>136.9</v>
      </c>
      <c r="CA170" s="1181" t="e">
        <f>VLOOKUP(B170,Pedido!$B$16:$L$292,22,0)</f>
        <v>#N/A</v>
      </c>
    </row>
    <row r="171" spans="1:79" ht="48.75" customHeight="1" thickBot="1">
      <c r="A171" s="936"/>
      <c r="B171" s="12" t="s">
        <v>500</v>
      </c>
      <c r="C171" s="140" t="s">
        <v>502</v>
      </c>
      <c r="D171" s="420" t="s">
        <v>505</v>
      </c>
      <c r="E171" s="421" t="s">
        <v>503</v>
      </c>
      <c r="F171" s="422" t="s">
        <v>61</v>
      </c>
      <c r="G171" s="423">
        <v>470</v>
      </c>
      <c r="H171" s="1170">
        <v>49.68</v>
      </c>
      <c r="I171" s="129">
        <v>199.9</v>
      </c>
      <c r="J171" s="130" t="str">
        <f t="shared" si="79"/>
        <v/>
      </c>
      <c r="K171" s="131" t="str">
        <f t="shared" si="114"/>
        <v/>
      </c>
      <c r="L171" s="241">
        <v>143.9</v>
      </c>
      <c r="M171" s="480">
        <f t="shared" si="76"/>
        <v>126.9</v>
      </c>
      <c r="N171" s="480">
        <f t="shared" si="77"/>
        <v>126.9</v>
      </c>
      <c r="O171" s="480">
        <f t="shared" si="78"/>
        <v>126.9</v>
      </c>
      <c r="P171" s="278">
        <v>126.9</v>
      </c>
      <c r="Q171" s="278">
        <v>116.9</v>
      </c>
      <c r="R171" s="278">
        <v>114.9</v>
      </c>
      <c r="S171" s="321">
        <v>110.9</v>
      </c>
      <c r="T171" s="274" t="str">
        <f t="shared" si="108"/>
        <v/>
      </c>
      <c r="U171" s="152" t="str">
        <f t="shared" si="109"/>
        <v/>
      </c>
      <c r="V171" s="695"/>
      <c r="W171" s="696"/>
      <c r="X171" s="171"/>
      <c r="Y171" s="103" t="str">
        <f t="shared" si="116"/>
        <v/>
      </c>
      <c r="Z171" s="225">
        <f t="shared" si="66"/>
        <v>0</v>
      </c>
      <c r="AA171" s="181">
        <f t="shared" si="110"/>
        <v>0</v>
      </c>
      <c r="AB171" s="181">
        <f t="shared" si="117"/>
        <v>0</v>
      </c>
      <c r="AC171" s="181">
        <f t="shared" si="118"/>
        <v>0</v>
      </c>
      <c r="AD171" s="181">
        <f t="shared" si="51"/>
        <v>0</v>
      </c>
      <c r="AE171" s="181">
        <f t="shared" si="111"/>
        <v>0</v>
      </c>
      <c r="AF171" s="181">
        <f t="shared" si="88"/>
        <v>0</v>
      </c>
      <c r="AG171" s="182">
        <f t="shared" si="120"/>
        <v>0</v>
      </c>
      <c r="AH171" s="181">
        <f t="shared" si="112"/>
        <v>0</v>
      </c>
      <c r="AI171" s="181">
        <f t="shared" si="113"/>
        <v>0</v>
      </c>
      <c r="AJ171" s="181">
        <f t="shared" si="92"/>
        <v>0</v>
      </c>
      <c r="AK171" s="181">
        <f t="shared" si="93"/>
        <v>0</v>
      </c>
      <c r="AL171" s="181">
        <f t="shared" si="94"/>
        <v>0</v>
      </c>
      <c r="AM171" s="181">
        <f t="shared" si="115"/>
        <v>0</v>
      </c>
      <c r="AN171" s="181">
        <f t="shared" si="96"/>
        <v>0</v>
      </c>
      <c r="AO171" s="181">
        <f t="shared" si="97"/>
        <v>0</v>
      </c>
      <c r="AP171" s="183">
        <f t="shared" si="98"/>
        <v>0.65476025017373174</v>
      </c>
      <c r="AQ171" s="184">
        <f t="shared" si="99"/>
        <v>66.239999999999995</v>
      </c>
      <c r="AR171" s="542">
        <v>6</v>
      </c>
      <c r="AS171" s="519">
        <f t="shared" si="82"/>
        <v>65.476025017373175</v>
      </c>
      <c r="AT171" s="106">
        <f t="shared" si="73"/>
        <v>0</v>
      </c>
      <c r="AU171" s="109">
        <f t="shared" si="74"/>
        <v>0</v>
      </c>
      <c r="AV171" s="185"/>
      <c r="AW171" s="138" t="s">
        <v>202</v>
      </c>
      <c r="AX171" s="1003" t="s">
        <v>198</v>
      </c>
      <c r="AY171" s="556">
        <v>0</v>
      </c>
      <c r="AZ171" s="43"/>
      <c r="BA171" s="43"/>
      <c r="BB171" s="35">
        <f>IF($F$14="NOVO/REATIVAÇÃO",7*W171*1.4,7*W171)</f>
        <v>0</v>
      </c>
      <c r="BC171" s="43">
        <f t="shared" si="75"/>
        <v>0</v>
      </c>
      <c r="BD171" s="43" t="str">
        <f t="shared" si="119"/>
        <v/>
      </c>
      <c r="BE171" s="44">
        <f t="shared" si="106"/>
        <v>0</v>
      </c>
      <c r="BF171" s="971"/>
      <c r="BG171" s="236"/>
      <c r="BH171" s="12"/>
      <c r="BI171" s="12"/>
      <c r="BJ171" s="12"/>
      <c r="BK171" s="12"/>
      <c r="BL171" s="12"/>
      <c r="BM171" s="980">
        <f t="shared" si="107"/>
        <v>264</v>
      </c>
      <c r="BN171" s="367"/>
      <c r="BO171" s="981"/>
      <c r="BP171" s="12"/>
      <c r="BQ171" s="12"/>
      <c r="BR171" s="12"/>
      <c r="BS171" s="973"/>
      <c r="BT171" s="12"/>
      <c r="BU171" s="12"/>
      <c r="BV171" s="12"/>
      <c r="BW171" s="982" t="s">
        <v>394</v>
      </c>
      <c r="BX171" s="983">
        <f t="shared" si="100"/>
        <v>0</v>
      </c>
      <c r="BY171" s="12" t="e">
        <f>VLOOKUP(B171,#REF!,13,0)</f>
        <v>#REF!</v>
      </c>
      <c r="BZ171" s="1056">
        <v>99.9</v>
      </c>
      <c r="CA171" s="1181" t="e">
        <f>VLOOKUP(B171,Pedido!$B$16:$L$292,22,0)</f>
        <v>#N/A</v>
      </c>
    </row>
    <row r="172" spans="1:79" ht="48.75" customHeight="1" thickBot="1">
      <c r="A172" s="957"/>
      <c r="B172" s="12" t="s">
        <v>499</v>
      </c>
      <c r="C172" s="830" t="s">
        <v>502</v>
      </c>
      <c r="D172" s="932" t="s">
        <v>505</v>
      </c>
      <c r="E172" s="933" t="s">
        <v>326</v>
      </c>
      <c r="F172" s="934" t="s">
        <v>61</v>
      </c>
      <c r="G172" s="935">
        <v>450</v>
      </c>
      <c r="H172" s="1169">
        <v>49.68</v>
      </c>
      <c r="I172" s="831">
        <v>199.9</v>
      </c>
      <c r="J172" s="832" t="str">
        <f t="shared" si="79"/>
        <v/>
      </c>
      <c r="K172" s="833" t="str">
        <f t="shared" si="114"/>
        <v/>
      </c>
      <c r="L172" s="834">
        <v>143.9</v>
      </c>
      <c r="M172" s="835">
        <f t="shared" si="76"/>
        <v>126.9</v>
      </c>
      <c r="N172" s="835">
        <f t="shared" si="77"/>
        <v>126.9</v>
      </c>
      <c r="O172" s="835">
        <f t="shared" si="78"/>
        <v>126.9</v>
      </c>
      <c r="P172" s="836">
        <v>126.9</v>
      </c>
      <c r="Q172" s="836">
        <v>116.9</v>
      </c>
      <c r="R172" s="836">
        <v>114.9</v>
      </c>
      <c r="S172" s="837">
        <v>110.9</v>
      </c>
      <c r="T172" s="746" t="str">
        <f t="shared" si="108"/>
        <v/>
      </c>
      <c r="U172" s="747" t="str">
        <f t="shared" si="109"/>
        <v/>
      </c>
      <c r="V172" s="795"/>
      <c r="W172" s="1101"/>
      <c r="X172" s="796"/>
      <c r="Y172" s="797" t="str">
        <f t="shared" si="116"/>
        <v/>
      </c>
      <c r="Z172" s="798">
        <f t="shared" si="66"/>
        <v>0</v>
      </c>
      <c r="AA172" s="857">
        <f t="shared" si="110"/>
        <v>0</v>
      </c>
      <c r="AB172" s="857">
        <f t="shared" si="117"/>
        <v>0</v>
      </c>
      <c r="AC172" s="857">
        <f t="shared" si="118"/>
        <v>0</v>
      </c>
      <c r="AD172" s="857">
        <f t="shared" si="51"/>
        <v>0</v>
      </c>
      <c r="AE172" s="857">
        <f t="shared" si="111"/>
        <v>0</v>
      </c>
      <c r="AF172" s="857">
        <f t="shared" si="88"/>
        <v>0</v>
      </c>
      <c r="AG172" s="858">
        <f t="shared" si="120"/>
        <v>0</v>
      </c>
      <c r="AH172" s="857">
        <f t="shared" si="112"/>
        <v>0</v>
      </c>
      <c r="AI172" s="857">
        <f t="shared" si="113"/>
        <v>0</v>
      </c>
      <c r="AJ172" s="857">
        <f t="shared" si="92"/>
        <v>0</v>
      </c>
      <c r="AK172" s="857">
        <f t="shared" si="93"/>
        <v>0</v>
      </c>
      <c r="AL172" s="857">
        <f t="shared" si="94"/>
        <v>0</v>
      </c>
      <c r="AM172" s="857">
        <f t="shared" si="115"/>
        <v>0</v>
      </c>
      <c r="AN172" s="857">
        <f t="shared" si="96"/>
        <v>0</v>
      </c>
      <c r="AO172" s="857">
        <f t="shared" si="97"/>
        <v>0</v>
      </c>
      <c r="AP172" s="859">
        <f t="shared" si="98"/>
        <v>0.65476025017373174</v>
      </c>
      <c r="AQ172" s="860">
        <f t="shared" si="99"/>
        <v>66.239999999999995</v>
      </c>
      <c r="AR172" s="752">
        <v>6</v>
      </c>
      <c r="AS172" s="838">
        <f t="shared" si="82"/>
        <v>65.476025017373175</v>
      </c>
      <c r="AT172" s="839">
        <f t="shared" si="73"/>
        <v>0</v>
      </c>
      <c r="AU172" s="840">
        <f t="shared" si="74"/>
        <v>0</v>
      </c>
      <c r="AV172" s="755"/>
      <c r="AW172" s="869" t="s">
        <v>202</v>
      </c>
      <c r="AX172" s="1007" t="s">
        <v>198</v>
      </c>
      <c r="AY172" s="556">
        <v>0</v>
      </c>
      <c r="AZ172" s="43"/>
      <c r="BA172" s="43"/>
      <c r="BB172" s="35">
        <f>IF($F$14="NOVO/REATIVAÇÃO",7*W172*1.4,7*W172)</f>
        <v>0</v>
      </c>
      <c r="BC172" s="43">
        <f t="shared" si="75"/>
        <v>0</v>
      </c>
      <c r="BD172" s="43" t="str">
        <f t="shared" si="119"/>
        <v/>
      </c>
      <c r="BE172" s="44">
        <f t="shared" si="106"/>
        <v>0</v>
      </c>
      <c r="BF172" s="971"/>
      <c r="BG172" s="236"/>
      <c r="BH172" s="12"/>
      <c r="BI172" s="12"/>
      <c r="BJ172" s="12"/>
      <c r="BK172" s="12"/>
      <c r="BL172" s="12"/>
      <c r="BM172" s="980">
        <f t="shared" si="107"/>
        <v>288</v>
      </c>
      <c r="BN172" s="367"/>
      <c r="BO172" s="981"/>
      <c r="BP172" s="12"/>
      <c r="BQ172" s="12"/>
      <c r="BR172" s="12"/>
      <c r="BS172" s="973"/>
      <c r="BT172" s="12"/>
      <c r="BU172" s="12"/>
      <c r="BV172" s="12"/>
      <c r="BW172" s="982" t="s">
        <v>395</v>
      </c>
      <c r="BX172" s="983">
        <f t="shared" si="100"/>
        <v>0</v>
      </c>
      <c r="BY172" s="12" t="e">
        <f>VLOOKUP(B172,#REF!,13,0)</f>
        <v>#REF!</v>
      </c>
      <c r="BZ172" s="1069">
        <v>99.9</v>
      </c>
      <c r="CA172" s="1181" t="e">
        <f>VLOOKUP(B172,Pedido!$B$16:$L$292,22,0)</f>
        <v>#N/A</v>
      </c>
    </row>
    <row r="173" spans="1:79" ht="24.75" customHeight="1" thickBot="1">
      <c r="A173" s="524"/>
      <c r="B173" s="140" t="s">
        <v>244</v>
      </c>
      <c r="C173" s="140" t="s">
        <v>248</v>
      </c>
      <c r="D173" s="630" t="s">
        <v>209</v>
      </c>
      <c r="E173" s="421" t="s">
        <v>60</v>
      </c>
      <c r="F173" s="422" t="s">
        <v>123</v>
      </c>
      <c r="G173" s="423">
        <v>29</v>
      </c>
      <c r="H173" s="1165">
        <v>27.6</v>
      </c>
      <c r="I173" s="129">
        <v>139</v>
      </c>
      <c r="J173" s="130" t="str">
        <f t="shared" si="79"/>
        <v/>
      </c>
      <c r="K173" s="131" t="str">
        <f t="shared" si="114"/>
        <v/>
      </c>
      <c r="L173" s="241">
        <v>128.9</v>
      </c>
      <c r="M173" s="473">
        <f t="shared" si="76"/>
        <v>108.9</v>
      </c>
      <c r="N173" s="473">
        <f t="shared" si="77"/>
        <v>108.9</v>
      </c>
      <c r="O173" s="473">
        <f t="shared" si="78"/>
        <v>108.9</v>
      </c>
      <c r="P173" s="132">
        <v>108.9</v>
      </c>
      <c r="Q173" s="132">
        <v>98.9</v>
      </c>
      <c r="R173" s="132">
        <v>88.9</v>
      </c>
      <c r="S173" s="133">
        <v>78.900000000000006</v>
      </c>
      <c r="T173" s="134" t="str">
        <f t="shared" si="108"/>
        <v/>
      </c>
      <c r="U173" s="135" t="str">
        <f t="shared" si="109"/>
        <v/>
      </c>
      <c r="V173" s="575"/>
      <c r="W173" s="694"/>
      <c r="X173" s="170"/>
      <c r="Y173" s="122" t="str">
        <f t="shared" si="116"/>
        <v/>
      </c>
      <c r="Z173" s="224">
        <f t="shared" si="66"/>
        <v>0</v>
      </c>
      <c r="AA173" s="136">
        <f t="shared" si="110"/>
        <v>0</v>
      </c>
      <c r="AB173" s="136">
        <f t="shared" si="117"/>
        <v>0</v>
      </c>
      <c r="AC173" s="136">
        <f t="shared" si="118"/>
        <v>0</v>
      </c>
      <c r="AD173" s="136">
        <f t="shared" si="51"/>
        <v>0</v>
      </c>
      <c r="AE173" s="136">
        <f t="shared" si="111"/>
        <v>0</v>
      </c>
      <c r="AF173" s="136">
        <f t="shared" si="88"/>
        <v>0</v>
      </c>
      <c r="AG173" s="137">
        <f t="shared" ref="AG173:AG196" si="121">IFERROR(SUM(W173:X173)*I173,0)</f>
        <v>0</v>
      </c>
      <c r="AH173" s="136">
        <f t="shared" si="112"/>
        <v>0</v>
      </c>
      <c r="AI173" s="136">
        <f t="shared" si="113"/>
        <v>0</v>
      </c>
      <c r="AJ173" s="136">
        <f t="shared" si="92"/>
        <v>0</v>
      </c>
      <c r="AK173" s="136">
        <f t="shared" si="93"/>
        <v>0</v>
      </c>
      <c r="AL173" s="136">
        <f t="shared" si="94"/>
        <v>0</v>
      </c>
      <c r="AM173" s="136">
        <f t="shared" ref="AM173:AM196" si="122">SUM(AJ173:AL173)</f>
        <v>0</v>
      </c>
      <c r="AN173" s="136">
        <f t="shared" si="96"/>
        <v>0</v>
      </c>
      <c r="AO173" s="136">
        <f t="shared" si="97"/>
        <v>0</v>
      </c>
      <c r="AP173" s="138">
        <f t="shared" si="98"/>
        <v>0.78588052754072923</v>
      </c>
      <c r="AQ173" s="139">
        <f t="shared" si="99"/>
        <v>36.800000000000004</v>
      </c>
      <c r="AR173" s="537">
        <v>8</v>
      </c>
      <c r="AS173" s="519">
        <f t="shared" si="82"/>
        <v>78.588052754072919</v>
      </c>
      <c r="AT173" s="106">
        <f t="shared" si="73"/>
        <v>0</v>
      </c>
      <c r="AU173" s="109">
        <f t="shared" si="74"/>
        <v>0</v>
      </c>
      <c r="AV173" s="110"/>
      <c r="AW173" s="138" t="e">
        <f>VLOOKUP(AX173,Sup!#REF!,8,0)</f>
        <v>#REF!</v>
      </c>
      <c r="AX173" s="993" t="s">
        <v>197</v>
      </c>
      <c r="AY173" s="556">
        <v>0</v>
      </c>
      <c r="AZ173" s="35"/>
      <c r="BA173" s="35"/>
      <c r="BB173" s="35"/>
      <c r="BC173" s="35">
        <f t="shared" si="75"/>
        <v>0</v>
      </c>
      <c r="BD173" s="35" t="str">
        <f t="shared" si="119"/>
        <v/>
      </c>
      <c r="BE173" s="45">
        <f t="shared" si="49"/>
        <v>0</v>
      </c>
      <c r="BF173" s="971"/>
      <c r="BG173" s="236"/>
      <c r="BH173" s="12"/>
      <c r="BI173" s="12"/>
      <c r="BJ173" s="12"/>
      <c r="BK173" s="12"/>
      <c r="BL173" s="12"/>
      <c r="BM173" s="980">
        <f t="shared" si="107"/>
        <v>312</v>
      </c>
      <c r="BN173" s="367"/>
      <c r="BO173" s="981"/>
      <c r="BP173" s="12"/>
      <c r="BQ173" s="12"/>
      <c r="BR173" s="12"/>
      <c r="BS173" s="973"/>
      <c r="BT173" s="12"/>
      <c r="BU173" s="12"/>
      <c r="BV173" s="12"/>
      <c r="BW173" s="982" t="s">
        <v>394</v>
      </c>
      <c r="BX173" s="983">
        <f t="shared" si="100"/>
        <v>0</v>
      </c>
      <c r="BY173" s="12" t="e">
        <f>VLOOKUP(B173,#REF!,13,0)</f>
        <v>#REF!</v>
      </c>
      <c r="BZ173" s="1056">
        <v>69.900000000000006</v>
      </c>
      <c r="CA173" s="1181" t="e">
        <f>VLOOKUP(B173,Pedido!$B$16:$L$292,22,0)</f>
        <v>#N/A</v>
      </c>
    </row>
    <row r="174" spans="1:79" ht="24.75" customHeight="1" thickBot="1">
      <c r="A174" s="524"/>
      <c r="B174" s="140" t="s">
        <v>295</v>
      </c>
      <c r="C174" s="140" t="s">
        <v>248</v>
      </c>
      <c r="D174" s="630" t="s">
        <v>209</v>
      </c>
      <c r="E174" s="421" t="s">
        <v>293</v>
      </c>
      <c r="F174" s="422" t="s">
        <v>123</v>
      </c>
      <c r="G174" s="424">
        <v>30</v>
      </c>
      <c r="H174" s="1165">
        <v>27.6</v>
      </c>
      <c r="I174" s="129">
        <v>139</v>
      </c>
      <c r="J174" s="130" t="str">
        <f t="shared" si="79"/>
        <v/>
      </c>
      <c r="K174" s="131" t="str">
        <f t="shared" si="114"/>
        <v/>
      </c>
      <c r="L174" s="241">
        <v>128.9</v>
      </c>
      <c r="M174" s="473">
        <f t="shared" si="76"/>
        <v>108.9</v>
      </c>
      <c r="N174" s="473">
        <f t="shared" si="77"/>
        <v>108.9</v>
      </c>
      <c r="O174" s="473">
        <f t="shared" si="78"/>
        <v>108.9</v>
      </c>
      <c r="P174" s="132">
        <v>108.9</v>
      </c>
      <c r="Q174" s="132">
        <v>98.9</v>
      </c>
      <c r="R174" s="132">
        <v>88.9</v>
      </c>
      <c r="S174" s="133">
        <v>78.900000000000006</v>
      </c>
      <c r="T174" s="134" t="str">
        <f t="shared" si="108"/>
        <v/>
      </c>
      <c r="U174" s="135" t="str">
        <f t="shared" si="109"/>
        <v/>
      </c>
      <c r="V174" s="575"/>
      <c r="W174" s="694"/>
      <c r="X174" s="170"/>
      <c r="Y174" s="122" t="str">
        <f t="shared" si="116"/>
        <v/>
      </c>
      <c r="Z174" s="224">
        <f t="shared" si="66"/>
        <v>0</v>
      </c>
      <c r="AA174" s="136">
        <f t="shared" si="110"/>
        <v>0</v>
      </c>
      <c r="AB174" s="136">
        <f t="shared" si="117"/>
        <v>0</v>
      </c>
      <c r="AC174" s="136">
        <f t="shared" si="118"/>
        <v>0</v>
      </c>
      <c r="AD174" s="136">
        <f t="shared" si="51"/>
        <v>0</v>
      </c>
      <c r="AE174" s="136">
        <f t="shared" si="111"/>
        <v>0</v>
      </c>
      <c r="AF174" s="136">
        <f t="shared" si="88"/>
        <v>0</v>
      </c>
      <c r="AG174" s="137">
        <f t="shared" si="121"/>
        <v>0</v>
      </c>
      <c r="AH174" s="136">
        <f t="shared" si="112"/>
        <v>0</v>
      </c>
      <c r="AI174" s="136">
        <f t="shared" si="113"/>
        <v>0</v>
      </c>
      <c r="AJ174" s="136">
        <f t="shared" si="92"/>
        <v>0</v>
      </c>
      <c r="AK174" s="136">
        <f t="shared" si="93"/>
        <v>0</v>
      </c>
      <c r="AL174" s="136">
        <f t="shared" si="94"/>
        <v>0</v>
      </c>
      <c r="AM174" s="136">
        <f t="shared" si="122"/>
        <v>0</v>
      </c>
      <c r="AN174" s="136">
        <f t="shared" si="96"/>
        <v>0</v>
      </c>
      <c r="AO174" s="136">
        <f t="shared" si="97"/>
        <v>0</v>
      </c>
      <c r="AP174" s="138">
        <f t="shared" si="98"/>
        <v>0.78588052754072923</v>
      </c>
      <c r="AQ174" s="139">
        <f t="shared" si="99"/>
        <v>36.800000000000004</v>
      </c>
      <c r="AR174" s="537">
        <v>8</v>
      </c>
      <c r="AS174" s="202">
        <f t="shared" si="82"/>
        <v>78.588052754072919</v>
      </c>
      <c r="AT174" s="197">
        <f t="shared" si="73"/>
        <v>0</v>
      </c>
      <c r="AU174" s="199">
        <f t="shared" si="74"/>
        <v>0</v>
      </c>
      <c r="AV174" s="110"/>
      <c r="AW174" s="138" t="e">
        <f>VLOOKUP(AX174,Sup!#REF!,8,0)</f>
        <v>#REF!</v>
      </c>
      <c r="AX174" s="993" t="s">
        <v>197</v>
      </c>
      <c r="AY174" s="556">
        <v>0</v>
      </c>
      <c r="AZ174" s="35"/>
      <c r="BA174" s="35"/>
      <c r="BB174" s="35"/>
      <c r="BC174" s="35">
        <f t="shared" si="75"/>
        <v>0</v>
      </c>
      <c r="BD174" s="35" t="str">
        <f t="shared" si="119"/>
        <v/>
      </c>
      <c r="BE174" s="45">
        <f t="shared" si="49"/>
        <v>0</v>
      </c>
      <c r="BF174" s="971"/>
      <c r="BG174" s="236"/>
      <c r="BH174" s="12"/>
      <c r="BI174" s="12"/>
      <c r="BJ174" s="12"/>
      <c r="BK174" s="12"/>
      <c r="BL174" s="12"/>
      <c r="BM174" s="980">
        <f t="shared" si="107"/>
        <v>336</v>
      </c>
      <c r="BN174" s="367"/>
      <c r="BO174" s="981"/>
      <c r="BP174" s="12"/>
      <c r="BQ174" s="12"/>
      <c r="BR174" s="12"/>
      <c r="BS174" s="973"/>
      <c r="BT174" s="12"/>
      <c r="BU174" s="12"/>
      <c r="BV174" s="12"/>
      <c r="BW174" s="982" t="s">
        <v>394</v>
      </c>
      <c r="BX174" s="983">
        <f t="shared" si="100"/>
        <v>0</v>
      </c>
      <c r="BY174" s="12" t="e">
        <f>VLOOKUP(B174,#REF!,13,0)</f>
        <v>#REF!</v>
      </c>
      <c r="BZ174" s="1056">
        <v>69.900000000000006</v>
      </c>
      <c r="CA174" s="1181" t="e">
        <f>VLOOKUP(B174,Pedido!$B$16:$L$292,22,0)</f>
        <v>#N/A</v>
      </c>
    </row>
    <row r="175" spans="1:79" ht="24.75" customHeight="1" thickBot="1">
      <c r="A175" s="524"/>
      <c r="B175" s="140" t="s">
        <v>245</v>
      </c>
      <c r="C175" s="140" t="s">
        <v>248</v>
      </c>
      <c r="D175" s="630" t="s">
        <v>209</v>
      </c>
      <c r="E175" s="421" t="s">
        <v>63</v>
      </c>
      <c r="F175" s="422" t="s">
        <v>123</v>
      </c>
      <c r="G175" s="424">
        <v>31</v>
      </c>
      <c r="H175" s="1165">
        <v>27.6</v>
      </c>
      <c r="I175" s="129">
        <v>139</v>
      </c>
      <c r="J175" s="130" t="str">
        <f t="shared" si="79"/>
        <v/>
      </c>
      <c r="K175" s="131" t="str">
        <f t="shared" si="114"/>
        <v/>
      </c>
      <c r="L175" s="241">
        <v>128.9</v>
      </c>
      <c r="M175" s="473">
        <f t="shared" si="76"/>
        <v>108.9</v>
      </c>
      <c r="N175" s="473">
        <f t="shared" si="77"/>
        <v>108.9</v>
      </c>
      <c r="O175" s="473">
        <f t="shared" si="78"/>
        <v>108.9</v>
      </c>
      <c r="P175" s="132">
        <v>108.9</v>
      </c>
      <c r="Q175" s="132">
        <v>98.9</v>
      </c>
      <c r="R175" s="132">
        <v>88.9</v>
      </c>
      <c r="S175" s="133">
        <v>78.900000000000006</v>
      </c>
      <c r="T175" s="134" t="str">
        <f t="shared" si="108"/>
        <v/>
      </c>
      <c r="U175" s="135" t="str">
        <f t="shared" si="109"/>
        <v/>
      </c>
      <c r="V175" s="575"/>
      <c r="W175" s="694"/>
      <c r="X175" s="170"/>
      <c r="Y175" s="122" t="str">
        <f t="shared" si="116"/>
        <v/>
      </c>
      <c r="Z175" s="224">
        <f t="shared" si="66"/>
        <v>0</v>
      </c>
      <c r="AA175" s="136">
        <f t="shared" si="110"/>
        <v>0</v>
      </c>
      <c r="AB175" s="136">
        <f t="shared" si="117"/>
        <v>0</v>
      </c>
      <c r="AC175" s="136">
        <f t="shared" si="118"/>
        <v>0</v>
      </c>
      <c r="AD175" s="136">
        <f t="shared" si="51"/>
        <v>0</v>
      </c>
      <c r="AE175" s="136">
        <f t="shared" si="111"/>
        <v>0</v>
      </c>
      <c r="AF175" s="136">
        <f t="shared" si="88"/>
        <v>0</v>
      </c>
      <c r="AG175" s="137">
        <f t="shared" si="121"/>
        <v>0</v>
      </c>
      <c r="AH175" s="136">
        <f t="shared" si="112"/>
        <v>0</v>
      </c>
      <c r="AI175" s="136">
        <f t="shared" si="113"/>
        <v>0</v>
      </c>
      <c r="AJ175" s="136">
        <f t="shared" si="92"/>
        <v>0</v>
      </c>
      <c r="AK175" s="136">
        <f t="shared" si="93"/>
        <v>0</v>
      </c>
      <c r="AL175" s="136">
        <f t="shared" si="94"/>
        <v>0</v>
      </c>
      <c r="AM175" s="136">
        <f t="shared" si="122"/>
        <v>0</v>
      </c>
      <c r="AN175" s="136">
        <f t="shared" si="96"/>
        <v>0</v>
      </c>
      <c r="AO175" s="136">
        <f t="shared" si="97"/>
        <v>0</v>
      </c>
      <c r="AP175" s="138">
        <f t="shared" si="98"/>
        <v>0.78588052754072923</v>
      </c>
      <c r="AQ175" s="139">
        <f t="shared" si="99"/>
        <v>36.800000000000004</v>
      </c>
      <c r="AR175" s="537">
        <v>8</v>
      </c>
      <c r="AS175" s="202">
        <f t="shared" si="82"/>
        <v>78.588052754072919</v>
      </c>
      <c r="AT175" s="197">
        <f t="shared" si="73"/>
        <v>0</v>
      </c>
      <c r="AU175" s="199">
        <f t="shared" si="74"/>
        <v>0</v>
      </c>
      <c r="AV175" s="110"/>
      <c r="AW175" s="138" t="e">
        <f>VLOOKUP(AX175,Sup!#REF!,8,0)</f>
        <v>#REF!</v>
      </c>
      <c r="AX175" s="993" t="s">
        <v>197</v>
      </c>
      <c r="AY175" s="556">
        <v>0</v>
      </c>
      <c r="AZ175" s="35"/>
      <c r="BA175" s="35"/>
      <c r="BB175" s="35"/>
      <c r="BC175" s="35">
        <f t="shared" si="75"/>
        <v>0</v>
      </c>
      <c r="BD175" s="35" t="str">
        <f t="shared" si="119"/>
        <v/>
      </c>
      <c r="BE175" s="45">
        <f t="shared" si="49"/>
        <v>0</v>
      </c>
      <c r="BF175" s="971"/>
      <c r="BG175" s="236"/>
      <c r="BH175" s="12"/>
      <c r="BI175" s="12"/>
      <c r="BJ175" s="12"/>
      <c r="BK175" s="12"/>
      <c r="BL175" s="12"/>
      <c r="BM175" s="980">
        <f t="shared" si="107"/>
        <v>360</v>
      </c>
      <c r="BN175" s="367"/>
      <c r="BO175" s="981"/>
      <c r="BP175" s="12"/>
      <c r="BQ175" s="12"/>
      <c r="BR175" s="12"/>
      <c r="BS175" s="973"/>
      <c r="BT175" s="12"/>
      <c r="BU175" s="12"/>
      <c r="BV175" s="12"/>
      <c r="BW175" s="982" t="s">
        <v>394</v>
      </c>
      <c r="BX175" s="983">
        <f t="shared" si="100"/>
        <v>0</v>
      </c>
      <c r="BY175" s="12" t="e">
        <f>VLOOKUP(B175,#REF!,13,0)</f>
        <v>#REF!</v>
      </c>
      <c r="BZ175" s="1056">
        <v>69.900000000000006</v>
      </c>
      <c r="CA175" s="1181" t="e">
        <f>VLOOKUP(B175,Pedido!$B$16:$L$292,22,0)</f>
        <v>#N/A</v>
      </c>
    </row>
    <row r="176" spans="1:79" ht="24.75" customHeight="1" thickBot="1">
      <c r="A176" s="524"/>
      <c r="B176" s="140" t="s">
        <v>246</v>
      </c>
      <c r="C176" s="140" t="s">
        <v>248</v>
      </c>
      <c r="D176" s="630" t="s">
        <v>209</v>
      </c>
      <c r="E176" s="421" t="s">
        <v>65</v>
      </c>
      <c r="F176" s="422" t="s">
        <v>123</v>
      </c>
      <c r="G176" s="424">
        <v>31</v>
      </c>
      <c r="H176" s="1165">
        <v>27.6</v>
      </c>
      <c r="I176" s="129">
        <v>139</v>
      </c>
      <c r="J176" s="130" t="str">
        <f t="shared" si="79"/>
        <v/>
      </c>
      <c r="K176" s="131" t="str">
        <f t="shared" si="114"/>
        <v/>
      </c>
      <c r="L176" s="241">
        <v>128.9</v>
      </c>
      <c r="M176" s="473">
        <f t="shared" si="76"/>
        <v>108.9</v>
      </c>
      <c r="N176" s="473">
        <f t="shared" si="77"/>
        <v>108.9</v>
      </c>
      <c r="O176" s="473">
        <f t="shared" si="78"/>
        <v>108.9</v>
      </c>
      <c r="P176" s="132">
        <v>108.9</v>
      </c>
      <c r="Q176" s="132">
        <v>98.9</v>
      </c>
      <c r="R176" s="132">
        <v>88.9</v>
      </c>
      <c r="S176" s="133">
        <v>78.900000000000006</v>
      </c>
      <c r="T176" s="134" t="str">
        <f t="shared" si="108"/>
        <v/>
      </c>
      <c r="U176" s="135" t="str">
        <f t="shared" si="109"/>
        <v/>
      </c>
      <c r="V176" s="575"/>
      <c r="W176" s="694"/>
      <c r="X176" s="170"/>
      <c r="Y176" s="122" t="str">
        <f t="shared" si="116"/>
        <v/>
      </c>
      <c r="Z176" s="224">
        <f t="shared" si="66"/>
        <v>0</v>
      </c>
      <c r="AA176" s="136">
        <f t="shared" si="110"/>
        <v>0</v>
      </c>
      <c r="AB176" s="136">
        <f t="shared" si="117"/>
        <v>0</v>
      </c>
      <c r="AC176" s="136">
        <f t="shared" si="118"/>
        <v>0</v>
      </c>
      <c r="AD176" s="136">
        <f t="shared" si="51"/>
        <v>0</v>
      </c>
      <c r="AE176" s="136">
        <f t="shared" si="111"/>
        <v>0</v>
      </c>
      <c r="AF176" s="136">
        <f t="shared" si="88"/>
        <v>0</v>
      </c>
      <c r="AG176" s="137">
        <f t="shared" si="121"/>
        <v>0</v>
      </c>
      <c r="AH176" s="136">
        <f t="shared" si="112"/>
        <v>0</v>
      </c>
      <c r="AI176" s="136">
        <f t="shared" si="113"/>
        <v>0</v>
      </c>
      <c r="AJ176" s="136">
        <f t="shared" si="92"/>
        <v>0</v>
      </c>
      <c r="AK176" s="136">
        <f t="shared" si="93"/>
        <v>0</v>
      </c>
      <c r="AL176" s="136">
        <f t="shared" si="94"/>
        <v>0</v>
      </c>
      <c r="AM176" s="136">
        <f t="shared" si="122"/>
        <v>0</v>
      </c>
      <c r="AN176" s="136">
        <f t="shared" si="96"/>
        <v>0</v>
      </c>
      <c r="AO176" s="136">
        <f t="shared" si="97"/>
        <v>0</v>
      </c>
      <c r="AP176" s="138">
        <f t="shared" si="98"/>
        <v>0.78588052754072923</v>
      </c>
      <c r="AQ176" s="139">
        <f t="shared" si="99"/>
        <v>36.800000000000004</v>
      </c>
      <c r="AR176" s="537">
        <v>8</v>
      </c>
      <c r="AS176" s="202">
        <f t="shared" si="82"/>
        <v>78.588052754072919</v>
      </c>
      <c r="AT176" s="197">
        <f t="shared" si="73"/>
        <v>0</v>
      </c>
      <c r="AU176" s="199">
        <f t="shared" si="74"/>
        <v>0</v>
      </c>
      <c r="AV176" s="110"/>
      <c r="AW176" s="138" t="e">
        <f>VLOOKUP(AX176,Sup!#REF!,8,0)</f>
        <v>#REF!</v>
      </c>
      <c r="AX176" s="993" t="s">
        <v>197</v>
      </c>
      <c r="AY176" s="556">
        <v>0</v>
      </c>
      <c r="AZ176" s="35"/>
      <c r="BA176" s="35"/>
      <c r="BB176" s="35"/>
      <c r="BC176" s="35">
        <f t="shared" si="75"/>
        <v>0</v>
      </c>
      <c r="BD176" s="35" t="str">
        <f t="shared" si="119"/>
        <v/>
      </c>
      <c r="BE176" s="45">
        <f t="shared" si="49"/>
        <v>0</v>
      </c>
      <c r="BF176" s="971"/>
      <c r="BG176" s="236"/>
      <c r="BH176" s="12"/>
      <c r="BI176" s="12"/>
      <c r="BJ176" s="12"/>
      <c r="BK176" s="12"/>
      <c r="BL176" s="12"/>
      <c r="BM176" s="980">
        <f t="shared" si="107"/>
        <v>384</v>
      </c>
      <c r="BN176" s="367"/>
      <c r="BO176" s="981"/>
      <c r="BP176" s="12"/>
      <c r="BQ176" s="12"/>
      <c r="BR176" s="12"/>
      <c r="BS176" s="973"/>
      <c r="BT176" s="12"/>
      <c r="BU176" s="12"/>
      <c r="BV176" s="12"/>
      <c r="BW176" s="982" t="s">
        <v>394</v>
      </c>
      <c r="BX176" s="983">
        <f t="shared" si="100"/>
        <v>0</v>
      </c>
      <c r="BY176" s="12" t="e">
        <f>VLOOKUP(B176,#REF!,13,0)</f>
        <v>#REF!</v>
      </c>
      <c r="BZ176" s="1056">
        <v>69.900000000000006</v>
      </c>
      <c r="CA176" s="1181" t="e">
        <f>VLOOKUP(B176,Pedido!$B$16:$L$292,22,0)</f>
        <v>#N/A</v>
      </c>
    </row>
    <row r="177" spans="1:84" ht="24.75" customHeight="1" thickBot="1">
      <c r="A177" s="524"/>
      <c r="B177" s="140" t="s">
        <v>247</v>
      </c>
      <c r="C177" s="140" t="s">
        <v>248</v>
      </c>
      <c r="D177" s="630" t="s">
        <v>209</v>
      </c>
      <c r="E177" s="421" t="s">
        <v>67</v>
      </c>
      <c r="F177" s="422" t="s">
        <v>123</v>
      </c>
      <c r="G177" s="424">
        <v>29</v>
      </c>
      <c r="H177" s="1165">
        <v>27.6</v>
      </c>
      <c r="I177" s="129">
        <v>139</v>
      </c>
      <c r="J177" s="130" t="str">
        <f t="shared" si="79"/>
        <v/>
      </c>
      <c r="K177" s="131" t="str">
        <f t="shared" si="114"/>
        <v/>
      </c>
      <c r="L177" s="241">
        <v>128.9</v>
      </c>
      <c r="M177" s="473">
        <f t="shared" si="76"/>
        <v>108.9</v>
      </c>
      <c r="N177" s="473">
        <f t="shared" si="77"/>
        <v>108.9</v>
      </c>
      <c r="O177" s="473">
        <f t="shared" si="78"/>
        <v>108.9</v>
      </c>
      <c r="P177" s="132">
        <v>108.9</v>
      </c>
      <c r="Q177" s="132">
        <v>98.9</v>
      </c>
      <c r="R177" s="132">
        <v>88.9</v>
      </c>
      <c r="S177" s="133">
        <v>78.900000000000006</v>
      </c>
      <c r="T177" s="134" t="str">
        <f t="shared" si="108"/>
        <v/>
      </c>
      <c r="U177" s="135" t="str">
        <f t="shared" si="109"/>
        <v/>
      </c>
      <c r="V177" s="575"/>
      <c r="W177" s="694"/>
      <c r="X177" s="170"/>
      <c r="Y177" s="122" t="str">
        <f t="shared" si="116"/>
        <v/>
      </c>
      <c r="Z177" s="224">
        <f t="shared" si="66"/>
        <v>0</v>
      </c>
      <c r="AA177" s="136">
        <f t="shared" si="110"/>
        <v>0</v>
      </c>
      <c r="AB177" s="136">
        <f t="shared" si="117"/>
        <v>0</v>
      </c>
      <c r="AC177" s="136">
        <f t="shared" si="118"/>
        <v>0</v>
      </c>
      <c r="AD177" s="136">
        <f t="shared" si="51"/>
        <v>0</v>
      </c>
      <c r="AE177" s="136">
        <f t="shared" si="111"/>
        <v>0</v>
      </c>
      <c r="AF177" s="136">
        <f t="shared" si="88"/>
        <v>0</v>
      </c>
      <c r="AG177" s="137">
        <f t="shared" si="121"/>
        <v>0</v>
      </c>
      <c r="AH177" s="136">
        <f t="shared" si="112"/>
        <v>0</v>
      </c>
      <c r="AI177" s="136">
        <f t="shared" si="113"/>
        <v>0</v>
      </c>
      <c r="AJ177" s="136">
        <f t="shared" si="92"/>
        <v>0</v>
      </c>
      <c r="AK177" s="136">
        <f t="shared" si="93"/>
        <v>0</v>
      </c>
      <c r="AL177" s="136">
        <f t="shared" si="94"/>
        <v>0</v>
      </c>
      <c r="AM177" s="136">
        <f t="shared" si="122"/>
        <v>0</v>
      </c>
      <c r="AN177" s="136">
        <f t="shared" si="96"/>
        <v>0</v>
      </c>
      <c r="AO177" s="136">
        <f t="shared" si="97"/>
        <v>0</v>
      </c>
      <c r="AP177" s="138">
        <f t="shared" si="98"/>
        <v>0.78588052754072923</v>
      </c>
      <c r="AQ177" s="139">
        <f t="shared" si="99"/>
        <v>36.800000000000004</v>
      </c>
      <c r="AR177" s="537">
        <v>8</v>
      </c>
      <c r="AS177" s="202">
        <f t="shared" si="82"/>
        <v>78.588052754072919</v>
      </c>
      <c r="AT177" s="197">
        <f t="shared" si="73"/>
        <v>0</v>
      </c>
      <c r="AU177" s="199">
        <f t="shared" si="74"/>
        <v>0</v>
      </c>
      <c r="AV177" s="110"/>
      <c r="AW177" s="138" t="e">
        <f>VLOOKUP(AX177,Sup!#REF!,8,0)</f>
        <v>#REF!</v>
      </c>
      <c r="AX177" s="993" t="s">
        <v>197</v>
      </c>
      <c r="AY177" s="556">
        <v>0</v>
      </c>
      <c r="AZ177" s="35"/>
      <c r="BA177" s="35"/>
      <c r="BB177" s="35"/>
      <c r="BC177" s="35">
        <f t="shared" si="75"/>
        <v>0</v>
      </c>
      <c r="BD177" s="35" t="str">
        <f t="shared" si="119"/>
        <v/>
      </c>
      <c r="BE177" s="45">
        <f t="shared" si="49"/>
        <v>0</v>
      </c>
      <c r="BF177" s="971"/>
      <c r="BG177" s="236"/>
      <c r="BH177" s="12"/>
      <c r="BI177" s="12"/>
      <c r="BJ177" s="12"/>
      <c r="BK177" s="12"/>
      <c r="BL177" s="12"/>
      <c r="BM177" s="980">
        <f t="shared" si="107"/>
        <v>408</v>
      </c>
      <c r="BN177" s="367"/>
      <c r="BO177" s="981"/>
      <c r="BP177" s="12"/>
      <c r="BQ177" s="12"/>
      <c r="BR177" s="12"/>
      <c r="BS177" s="973"/>
      <c r="BT177" s="12"/>
      <c r="BU177" s="12"/>
      <c r="BV177" s="12"/>
      <c r="BW177" s="982" t="s">
        <v>394</v>
      </c>
      <c r="BX177" s="983">
        <f t="shared" si="100"/>
        <v>0</v>
      </c>
      <c r="BY177" s="12" t="e">
        <f>VLOOKUP(B177,#REF!,13,0)</f>
        <v>#REF!</v>
      </c>
      <c r="BZ177" s="1056">
        <v>69.900000000000006</v>
      </c>
      <c r="CA177" s="1181" t="e">
        <f>VLOOKUP(B177,Pedido!$B$16:$L$292,22,0)</f>
        <v>#N/A</v>
      </c>
    </row>
    <row r="178" spans="1:84" ht="24.75" customHeight="1" thickBot="1">
      <c r="A178" s="524"/>
      <c r="B178" s="140" t="s">
        <v>280</v>
      </c>
      <c r="C178" s="140" t="s">
        <v>248</v>
      </c>
      <c r="D178" s="630" t="s">
        <v>209</v>
      </c>
      <c r="E178" s="421" t="s">
        <v>76</v>
      </c>
      <c r="F178" s="422" t="s">
        <v>123</v>
      </c>
      <c r="G178" s="424">
        <v>30</v>
      </c>
      <c r="H178" s="1165">
        <v>27.6</v>
      </c>
      <c r="I178" s="129">
        <v>139</v>
      </c>
      <c r="J178" s="130" t="str">
        <f t="shared" si="79"/>
        <v/>
      </c>
      <c r="K178" s="131" t="str">
        <f t="shared" si="114"/>
        <v/>
      </c>
      <c r="L178" s="241">
        <v>128.9</v>
      </c>
      <c r="M178" s="473">
        <f t="shared" si="76"/>
        <v>108.9</v>
      </c>
      <c r="N178" s="473">
        <f t="shared" si="77"/>
        <v>108.9</v>
      </c>
      <c r="O178" s="473">
        <f t="shared" si="78"/>
        <v>108.9</v>
      </c>
      <c r="P178" s="132">
        <v>108.9</v>
      </c>
      <c r="Q178" s="132">
        <v>98.9</v>
      </c>
      <c r="R178" s="132">
        <v>88.9</v>
      </c>
      <c r="S178" s="133">
        <v>78.900000000000006</v>
      </c>
      <c r="T178" s="134" t="str">
        <f t="shared" si="108"/>
        <v/>
      </c>
      <c r="U178" s="135" t="str">
        <f t="shared" si="109"/>
        <v/>
      </c>
      <c r="V178" s="575"/>
      <c r="W178" s="694"/>
      <c r="X178" s="170"/>
      <c r="Y178" s="122" t="str">
        <f t="shared" si="116"/>
        <v/>
      </c>
      <c r="Z178" s="224">
        <f t="shared" si="66"/>
        <v>0</v>
      </c>
      <c r="AA178" s="136">
        <f t="shared" si="110"/>
        <v>0</v>
      </c>
      <c r="AB178" s="136">
        <f t="shared" si="117"/>
        <v>0</v>
      </c>
      <c r="AC178" s="136">
        <f t="shared" si="118"/>
        <v>0</v>
      </c>
      <c r="AD178" s="136">
        <f t="shared" si="51"/>
        <v>0</v>
      </c>
      <c r="AE178" s="136">
        <f t="shared" si="111"/>
        <v>0</v>
      </c>
      <c r="AF178" s="136">
        <f t="shared" si="88"/>
        <v>0</v>
      </c>
      <c r="AG178" s="137">
        <f t="shared" si="121"/>
        <v>0</v>
      </c>
      <c r="AH178" s="136">
        <f t="shared" si="112"/>
        <v>0</v>
      </c>
      <c r="AI178" s="136">
        <f t="shared" si="113"/>
        <v>0</v>
      </c>
      <c r="AJ178" s="136">
        <f t="shared" si="92"/>
        <v>0</v>
      </c>
      <c r="AK178" s="136">
        <f t="shared" si="93"/>
        <v>0</v>
      </c>
      <c r="AL178" s="136">
        <f t="shared" si="94"/>
        <v>0</v>
      </c>
      <c r="AM178" s="136">
        <f t="shared" si="122"/>
        <v>0</v>
      </c>
      <c r="AN178" s="136">
        <f t="shared" si="96"/>
        <v>0</v>
      </c>
      <c r="AO178" s="136">
        <f t="shared" si="97"/>
        <v>0</v>
      </c>
      <c r="AP178" s="138">
        <f t="shared" si="98"/>
        <v>0.78588052754072923</v>
      </c>
      <c r="AQ178" s="139">
        <f t="shared" si="99"/>
        <v>36.800000000000004</v>
      </c>
      <c r="AR178" s="537">
        <v>8</v>
      </c>
      <c r="AS178" s="202">
        <f t="shared" si="82"/>
        <v>78.588052754072919</v>
      </c>
      <c r="AT178" s="197">
        <f t="shared" si="73"/>
        <v>0</v>
      </c>
      <c r="AU178" s="199">
        <f t="shared" si="74"/>
        <v>0</v>
      </c>
      <c r="AV178" s="110"/>
      <c r="AW178" s="138" t="e">
        <f>VLOOKUP(AX178,Sup!#REF!,8,0)</f>
        <v>#REF!</v>
      </c>
      <c r="AX178" s="993" t="s">
        <v>197</v>
      </c>
      <c r="AY178" s="556">
        <v>0</v>
      </c>
      <c r="AZ178" s="35"/>
      <c r="BA178" s="35"/>
      <c r="BB178" s="35"/>
      <c r="BC178" s="35">
        <f t="shared" si="75"/>
        <v>0</v>
      </c>
      <c r="BD178" s="35" t="str">
        <f t="shared" si="119"/>
        <v/>
      </c>
      <c r="BE178" s="45">
        <f t="shared" si="49"/>
        <v>0</v>
      </c>
      <c r="BF178" s="971"/>
      <c r="BG178" s="236"/>
      <c r="BH178" s="12"/>
      <c r="BI178" s="12"/>
      <c r="BJ178" s="12"/>
      <c r="BK178" s="12"/>
      <c r="BL178" s="12"/>
      <c r="BM178" s="980">
        <f t="shared" si="107"/>
        <v>432</v>
      </c>
      <c r="BN178" s="367"/>
      <c r="BO178" s="981"/>
      <c r="BP178" s="12"/>
      <c r="BQ178" s="12"/>
      <c r="BR178" s="12"/>
      <c r="BS178" s="973"/>
      <c r="BT178" s="12"/>
      <c r="BU178" s="12"/>
      <c r="BV178" s="12"/>
      <c r="BW178" s="982" t="s">
        <v>394</v>
      </c>
      <c r="BX178" s="983">
        <f t="shared" si="100"/>
        <v>0</v>
      </c>
      <c r="BY178" s="12" t="e">
        <f>VLOOKUP(B178,#REF!,13,0)</f>
        <v>#REF!</v>
      </c>
      <c r="BZ178" s="1056">
        <v>69.900000000000006</v>
      </c>
      <c r="CA178" s="1181" t="e">
        <f>VLOOKUP(B178,Pedido!$B$16:$L$292,22,0)</f>
        <v>#N/A</v>
      </c>
    </row>
    <row r="179" spans="1:84" ht="24.75" customHeight="1" thickBot="1">
      <c r="A179" s="524"/>
      <c r="B179" s="95" t="s">
        <v>281</v>
      </c>
      <c r="C179" s="140" t="s">
        <v>248</v>
      </c>
      <c r="D179" s="630" t="s">
        <v>209</v>
      </c>
      <c r="E179" s="421" t="s">
        <v>275</v>
      </c>
      <c r="F179" s="422" t="s">
        <v>123</v>
      </c>
      <c r="G179" s="424">
        <v>29</v>
      </c>
      <c r="H179" s="1165">
        <v>27.6</v>
      </c>
      <c r="I179" s="129">
        <v>139</v>
      </c>
      <c r="J179" s="130" t="str">
        <f t="shared" si="79"/>
        <v/>
      </c>
      <c r="K179" s="131" t="str">
        <f t="shared" si="114"/>
        <v/>
      </c>
      <c r="L179" s="241">
        <v>128.9</v>
      </c>
      <c r="M179" s="473">
        <f t="shared" si="76"/>
        <v>108.9</v>
      </c>
      <c r="N179" s="473">
        <f t="shared" si="77"/>
        <v>108.9</v>
      </c>
      <c r="O179" s="473">
        <f t="shared" si="78"/>
        <v>108.9</v>
      </c>
      <c r="P179" s="132">
        <v>108.9</v>
      </c>
      <c r="Q179" s="132">
        <v>98.9</v>
      </c>
      <c r="R179" s="132">
        <v>88.9</v>
      </c>
      <c r="S179" s="133">
        <v>78.900000000000006</v>
      </c>
      <c r="T179" s="134" t="str">
        <f t="shared" si="108"/>
        <v/>
      </c>
      <c r="U179" s="135" t="str">
        <f t="shared" si="109"/>
        <v/>
      </c>
      <c r="V179" s="575"/>
      <c r="W179" s="694"/>
      <c r="X179" s="170"/>
      <c r="Y179" s="122" t="str">
        <f t="shared" si="116"/>
        <v/>
      </c>
      <c r="Z179" s="224">
        <f t="shared" si="66"/>
        <v>0</v>
      </c>
      <c r="AA179" s="136">
        <f t="shared" si="110"/>
        <v>0</v>
      </c>
      <c r="AB179" s="136">
        <f t="shared" si="117"/>
        <v>0</v>
      </c>
      <c r="AC179" s="136">
        <f t="shared" si="118"/>
        <v>0</v>
      </c>
      <c r="AD179" s="136">
        <f t="shared" si="51"/>
        <v>0</v>
      </c>
      <c r="AE179" s="136">
        <f t="shared" si="111"/>
        <v>0</v>
      </c>
      <c r="AF179" s="136">
        <f t="shared" si="88"/>
        <v>0</v>
      </c>
      <c r="AG179" s="137">
        <f t="shared" si="121"/>
        <v>0</v>
      </c>
      <c r="AH179" s="136">
        <f t="shared" si="112"/>
        <v>0</v>
      </c>
      <c r="AI179" s="136">
        <f t="shared" si="113"/>
        <v>0</v>
      </c>
      <c r="AJ179" s="136">
        <f t="shared" si="92"/>
        <v>0</v>
      </c>
      <c r="AK179" s="136">
        <f t="shared" si="93"/>
        <v>0</v>
      </c>
      <c r="AL179" s="136">
        <f t="shared" si="94"/>
        <v>0</v>
      </c>
      <c r="AM179" s="136">
        <f t="shared" si="122"/>
        <v>0</v>
      </c>
      <c r="AN179" s="136">
        <f t="shared" si="96"/>
        <v>0</v>
      </c>
      <c r="AO179" s="136">
        <f t="shared" si="97"/>
        <v>0</v>
      </c>
      <c r="AP179" s="138">
        <f t="shared" si="98"/>
        <v>0.78588052754072923</v>
      </c>
      <c r="AQ179" s="139">
        <f t="shared" si="99"/>
        <v>36.800000000000004</v>
      </c>
      <c r="AR179" s="537">
        <v>8</v>
      </c>
      <c r="AS179" s="202">
        <f t="shared" si="82"/>
        <v>78.588052754072919</v>
      </c>
      <c r="AT179" s="197">
        <f t="shared" si="73"/>
        <v>0</v>
      </c>
      <c r="AU179" s="199">
        <f t="shared" si="74"/>
        <v>0</v>
      </c>
      <c r="AV179" s="110"/>
      <c r="AW179" s="138" t="e">
        <f>VLOOKUP(AX179,Sup!#REF!,8,0)</f>
        <v>#REF!</v>
      </c>
      <c r="AX179" s="993" t="s">
        <v>197</v>
      </c>
      <c r="AY179" s="556">
        <v>0</v>
      </c>
      <c r="AZ179" s="35"/>
      <c r="BA179" s="35"/>
      <c r="BB179" s="35"/>
      <c r="BC179" s="35">
        <f t="shared" si="75"/>
        <v>0</v>
      </c>
      <c r="BD179" s="35" t="str">
        <f t="shared" si="119"/>
        <v/>
      </c>
      <c r="BE179" s="45">
        <f t="shared" si="49"/>
        <v>0</v>
      </c>
      <c r="BF179" s="971"/>
      <c r="BG179" s="236"/>
      <c r="BH179" s="12"/>
      <c r="BI179" s="12"/>
      <c r="BJ179" s="12"/>
      <c r="BK179" s="12"/>
      <c r="BL179" s="12"/>
      <c r="BM179" s="980">
        <f t="shared" si="107"/>
        <v>456</v>
      </c>
      <c r="BN179" s="367"/>
      <c r="BO179" s="981"/>
      <c r="BP179" s="12"/>
      <c r="BQ179" s="12"/>
      <c r="BR179" s="12"/>
      <c r="BS179" s="973"/>
      <c r="BT179" s="12"/>
      <c r="BU179" s="12"/>
      <c r="BV179" s="12"/>
      <c r="BW179" s="982" t="s">
        <v>394</v>
      </c>
      <c r="BX179" s="983">
        <f t="shared" si="100"/>
        <v>0</v>
      </c>
      <c r="BY179" s="12" t="e">
        <f>VLOOKUP(B179,#REF!,13,0)</f>
        <v>#REF!</v>
      </c>
      <c r="BZ179" s="1056">
        <v>69.900000000000006</v>
      </c>
      <c r="CA179" s="1181" t="e">
        <f>VLOOKUP(B179,Pedido!$B$16:$L$292,22,0)</f>
        <v>#N/A</v>
      </c>
    </row>
    <row r="180" spans="1:84" ht="24.75" customHeight="1" thickBot="1">
      <c r="A180" s="524"/>
      <c r="B180" s="95" t="s">
        <v>282</v>
      </c>
      <c r="C180" s="95" t="s">
        <v>248</v>
      </c>
      <c r="D180" s="631" t="s">
        <v>209</v>
      </c>
      <c r="E180" s="401" t="s">
        <v>276</v>
      </c>
      <c r="F180" s="402" t="s">
        <v>123</v>
      </c>
      <c r="G180" s="403">
        <v>30</v>
      </c>
      <c r="H180" s="1165">
        <v>27.6</v>
      </c>
      <c r="I180" s="96">
        <v>139</v>
      </c>
      <c r="J180" s="97" t="str">
        <f t="shared" si="79"/>
        <v/>
      </c>
      <c r="K180" s="98" t="str">
        <f t="shared" si="114"/>
        <v/>
      </c>
      <c r="L180" s="238">
        <v>128.9</v>
      </c>
      <c r="M180" s="471">
        <f t="shared" si="76"/>
        <v>108.9</v>
      </c>
      <c r="N180" s="471">
        <f t="shared" si="77"/>
        <v>108.9</v>
      </c>
      <c r="O180" s="471">
        <f t="shared" si="78"/>
        <v>108.9</v>
      </c>
      <c r="P180" s="99">
        <v>108.9</v>
      </c>
      <c r="Q180" s="99">
        <v>98.9</v>
      </c>
      <c r="R180" s="278">
        <v>88.9</v>
      </c>
      <c r="S180" s="100">
        <v>78.900000000000006</v>
      </c>
      <c r="T180" s="134" t="str">
        <f t="shared" si="108"/>
        <v/>
      </c>
      <c r="U180" s="135" t="str">
        <f t="shared" si="109"/>
        <v/>
      </c>
      <c r="V180" s="1107"/>
      <c r="W180" s="696"/>
      <c r="X180" s="171"/>
      <c r="Y180" s="103" t="str">
        <f t="shared" si="116"/>
        <v/>
      </c>
      <c r="Z180" s="225">
        <f t="shared" si="66"/>
        <v>0</v>
      </c>
      <c r="AA180" s="104">
        <f t="shared" si="110"/>
        <v>0</v>
      </c>
      <c r="AB180" s="104">
        <f t="shared" si="117"/>
        <v>0</v>
      </c>
      <c r="AC180" s="104">
        <f t="shared" si="118"/>
        <v>0</v>
      </c>
      <c r="AD180" s="104">
        <f t="shared" si="51"/>
        <v>0</v>
      </c>
      <c r="AE180" s="104">
        <f t="shared" si="111"/>
        <v>0</v>
      </c>
      <c r="AF180" s="104">
        <f t="shared" si="88"/>
        <v>0</v>
      </c>
      <c r="AG180" s="105">
        <f t="shared" si="121"/>
        <v>0</v>
      </c>
      <c r="AH180" s="104">
        <f t="shared" si="112"/>
        <v>0</v>
      </c>
      <c r="AI180" s="104">
        <f t="shared" si="113"/>
        <v>0</v>
      </c>
      <c r="AJ180" s="104">
        <f t="shared" si="92"/>
        <v>0</v>
      </c>
      <c r="AK180" s="104">
        <f t="shared" si="93"/>
        <v>0</v>
      </c>
      <c r="AL180" s="104">
        <f t="shared" si="94"/>
        <v>0</v>
      </c>
      <c r="AM180" s="104">
        <f t="shared" si="122"/>
        <v>0</v>
      </c>
      <c r="AN180" s="104">
        <f t="shared" si="96"/>
        <v>0</v>
      </c>
      <c r="AO180" s="104">
        <f t="shared" si="97"/>
        <v>0</v>
      </c>
      <c r="AP180" s="106">
        <f t="shared" si="98"/>
        <v>0.78588052754072923</v>
      </c>
      <c r="AQ180" s="107">
        <f t="shared" si="99"/>
        <v>36.800000000000004</v>
      </c>
      <c r="AR180" s="534">
        <v>8</v>
      </c>
      <c r="AS180" s="202">
        <f t="shared" si="82"/>
        <v>78.588052754072919</v>
      </c>
      <c r="AT180" s="197">
        <f t="shared" si="73"/>
        <v>0</v>
      </c>
      <c r="AU180" s="199">
        <f t="shared" si="74"/>
        <v>0</v>
      </c>
      <c r="AV180" s="110"/>
      <c r="AW180" s="106" t="e">
        <f>VLOOKUP(AX180,Sup!#REF!,8,0)</f>
        <v>#REF!</v>
      </c>
      <c r="AX180" s="990" t="s">
        <v>197</v>
      </c>
      <c r="AY180" s="556">
        <v>0</v>
      </c>
      <c r="AZ180" s="32"/>
      <c r="BA180" s="32"/>
      <c r="BB180" s="32"/>
      <c r="BC180" s="32">
        <f t="shared" si="75"/>
        <v>0</v>
      </c>
      <c r="BD180" s="32" t="str">
        <f t="shared" si="119"/>
        <v/>
      </c>
      <c r="BE180" s="40">
        <f t="shared" si="49"/>
        <v>0</v>
      </c>
      <c r="BF180" s="971"/>
      <c r="BG180" s="236"/>
      <c r="BH180" s="12"/>
      <c r="BI180" s="12"/>
      <c r="BJ180" s="12"/>
      <c r="BK180" s="12"/>
      <c r="BL180" s="12"/>
      <c r="BM180" s="980">
        <f t="shared" si="107"/>
        <v>480</v>
      </c>
      <c r="BN180" s="367"/>
      <c r="BO180" s="981"/>
      <c r="BP180" s="12"/>
      <c r="BQ180" s="12"/>
      <c r="BR180" s="12"/>
      <c r="BS180" s="973"/>
      <c r="BT180" s="12"/>
      <c r="BU180" s="12"/>
      <c r="BV180" s="12"/>
      <c r="BW180" s="982" t="s">
        <v>394</v>
      </c>
      <c r="BX180" s="983">
        <f t="shared" si="100"/>
        <v>0</v>
      </c>
      <c r="BY180" s="12" t="e">
        <f>VLOOKUP(B180,#REF!,13,0)</f>
        <v>#REF!</v>
      </c>
      <c r="BZ180" s="1054">
        <v>69.900000000000006</v>
      </c>
      <c r="CA180" s="1181" t="e">
        <f>VLOOKUP(B180,Pedido!$B$16:$L$292,22,0)</f>
        <v>#N/A</v>
      </c>
    </row>
    <row r="181" spans="1:84" ht="24.75" customHeight="1" thickBot="1">
      <c r="A181" s="524"/>
      <c r="B181" s="114" t="s">
        <v>238</v>
      </c>
      <c r="C181" s="114" t="s">
        <v>239</v>
      </c>
      <c r="D181" s="632" t="s">
        <v>59</v>
      </c>
      <c r="E181" s="413" t="s">
        <v>60</v>
      </c>
      <c r="F181" s="414" t="s">
        <v>61</v>
      </c>
      <c r="G181" s="425">
        <v>450</v>
      </c>
      <c r="H181" s="1171">
        <v>43.71</v>
      </c>
      <c r="I181" s="115">
        <v>174.9</v>
      </c>
      <c r="J181" s="116" t="str">
        <f t="shared" si="79"/>
        <v/>
      </c>
      <c r="K181" s="117" t="str">
        <f t="shared" si="114"/>
        <v/>
      </c>
      <c r="L181" s="239">
        <v>125.9</v>
      </c>
      <c r="M181" s="118">
        <v>110.9</v>
      </c>
      <c r="N181" s="118">
        <v>110.9</v>
      </c>
      <c r="O181" s="118">
        <v>110.9</v>
      </c>
      <c r="P181" s="118">
        <v>110.9</v>
      </c>
      <c r="Q181" s="118">
        <v>101.9</v>
      </c>
      <c r="R181" s="118">
        <v>99.9</v>
      </c>
      <c r="S181" s="118">
        <v>95.9</v>
      </c>
      <c r="T181" s="120" t="str">
        <f t="shared" si="108"/>
        <v/>
      </c>
      <c r="U181" s="121" t="str">
        <f t="shared" si="109"/>
        <v/>
      </c>
      <c r="V181" s="575"/>
      <c r="W181" s="694"/>
      <c r="X181" s="170"/>
      <c r="Y181" s="122" t="str">
        <f t="shared" si="116"/>
        <v/>
      </c>
      <c r="Z181" s="224">
        <f t="shared" si="66"/>
        <v>0</v>
      </c>
      <c r="AA181" s="136">
        <f t="shared" si="110"/>
        <v>0</v>
      </c>
      <c r="AB181" s="123">
        <f t="shared" si="117"/>
        <v>0</v>
      </c>
      <c r="AC181" s="123">
        <f t="shared" si="118"/>
        <v>0</v>
      </c>
      <c r="AD181" s="123">
        <f t="shared" si="51"/>
        <v>0</v>
      </c>
      <c r="AE181" s="123">
        <f t="shared" si="111"/>
        <v>0</v>
      </c>
      <c r="AF181" s="123">
        <f t="shared" si="88"/>
        <v>0</v>
      </c>
      <c r="AG181" s="124">
        <f t="shared" si="121"/>
        <v>0</v>
      </c>
      <c r="AH181" s="123">
        <f t="shared" si="112"/>
        <v>0</v>
      </c>
      <c r="AI181" s="123">
        <f t="shared" si="113"/>
        <v>0</v>
      </c>
      <c r="AJ181" s="123">
        <f t="shared" si="92"/>
        <v>0</v>
      </c>
      <c r="AK181" s="123">
        <f t="shared" si="93"/>
        <v>0</v>
      </c>
      <c r="AL181" s="123">
        <f t="shared" si="94"/>
        <v>0</v>
      </c>
      <c r="AM181" s="123">
        <f t="shared" si="122"/>
        <v>0</v>
      </c>
      <c r="AN181" s="123">
        <f t="shared" si="96"/>
        <v>0</v>
      </c>
      <c r="AO181" s="123">
        <f t="shared" si="97"/>
        <v>0</v>
      </c>
      <c r="AP181" s="125">
        <f t="shared" si="98"/>
        <v>0.65281969817315333</v>
      </c>
      <c r="AQ181" s="126">
        <f t="shared" si="99"/>
        <v>58.28</v>
      </c>
      <c r="AR181" s="535">
        <v>4</v>
      </c>
      <c r="AS181" s="202">
        <f t="shared" si="82"/>
        <v>65.281969817315328</v>
      </c>
      <c r="AT181" s="197">
        <f t="shared" si="73"/>
        <v>0</v>
      </c>
      <c r="AU181" s="199">
        <f t="shared" si="74"/>
        <v>0</v>
      </c>
      <c r="AV181" s="110"/>
      <c r="AW181" s="138" t="e">
        <f>VLOOKUP(AX181,Sup!#REF!,8,0)</f>
        <v>#REF!</v>
      </c>
      <c r="AX181" s="993" t="s">
        <v>197</v>
      </c>
      <c r="AY181" s="556">
        <v>0</v>
      </c>
      <c r="AZ181" s="35"/>
      <c r="BA181" s="35"/>
      <c r="BB181" s="35"/>
      <c r="BC181" s="35">
        <f t="shared" si="75"/>
        <v>0</v>
      </c>
      <c r="BD181" s="35" t="str">
        <f t="shared" si="119"/>
        <v/>
      </c>
      <c r="BE181" s="45">
        <f>IF(V181="",0,(V181*W181)-(BD181*W181))</f>
        <v>0</v>
      </c>
      <c r="BF181" s="971"/>
      <c r="BG181" s="236"/>
      <c r="BH181" s="12"/>
      <c r="BI181" s="12"/>
      <c r="BJ181" s="12"/>
      <c r="BK181" s="12"/>
      <c r="BL181" s="12"/>
      <c r="BM181" s="980">
        <f t="shared" si="107"/>
        <v>504</v>
      </c>
      <c r="BN181" s="367"/>
      <c r="BO181" s="981"/>
      <c r="BP181" s="12"/>
      <c r="BQ181" s="12"/>
      <c r="BR181" s="12"/>
      <c r="BS181" s="973"/>
      <c r="BT181" s="12"/>
      <c r="BU181" s="12"/>
      <c r="BV181" s="12"/>
      <c r="BW181" s="982" t="s">
        <v>394</v>
      </c>
      <c r="BX181" s="983">
        <f t="shared" si="100"/>
        <v>0</v>
      </c>
      <c r="BY181" s="12" t="e">
        <f>VLOOKUP(B181,#REF!,13,0)</f>
        <v>#REF!</v>
      </c>
      <c r="BZ181" s="1055">
        <v>84.9</v>
      </c>
      <c r="CC181" s="1185" t="e">
        <f>SUM(CA181:CA188)</f>
        <v>#N/A</v>
      </c>
      <c r="CD181" s="1185"/>
      <c r="CE181" s="1186"/>
      <c r="CF181" s="1186"/>
    </row>
    <row r="182" spans="1:84" ht="24.75" customHeight="1" thickBot="1">
      <c r="A182" s="524"/>
      <c r="B182" s="140" t="s">
        <v>294</v>
      </c>
      <c r="C182" s="140" t="s">
        <v>239</v>
      </c>
      <c r="D182" s="630" t="s">
        <v>59</v>
      </c>
      <c r="E182" s="421" t="s">
        <v>293</v>
      </c>
      <c r="F182" s="422" t="s">
        <v>61</v>
      </c>
      <c r="G182" s="424">
        <v>450</v>
      </c>
      <c r="H182" s="1171">
        <v>43.71</v>
      </c>
      <c r="I182" s="129">
        <v>174.9</v>
      </c>
      <c r="J182" s="130" t="str">
        <f t="shared" si="79"/>
        <v/>
      </c>
      <c r="K182" s="131" t="str">
        <f t="shared" si="114"/>
        <v/>
      </c>
      <c r="L182" s="241">
        <v>125.9</v>
      </c>
      <c r="M182" s="132">
        <v>110.9</v>
      </c>
      <c r="N182" s="132">
        <v>110.9</v>
      </c>
      <c r="O182" s="132">
        <v>110.9</v>
      </c>
      <c r="P182" s="132">
        <v>110.9</v>
      </c>
      <c r="Q182" s="132">
        <v>101.9</v>
      </c>
      <c r="R182" s="132">
        <v>99.9</v>
      </c>
      <c r="S182" s="133">
        <v>95.9</v>
      </c>
      <c r="T182" s="134" t="str">
        <f t="shared" si="108"/>
        <v/>
      </c>
      <c r="U182" s="135" t="str">
        <f t="shared" si="109"/>
        <v/>
      </c>
      <c r="V182" s="575"/>
      <c r="W182" s="694"/>
      <c r="X182" s="170"/>
      <c r="Y182" s="122" t="str">
        <f t="shared" si="116"/>
        <v/>
      </c>
      <c r="Z182" s="224">
        <f t="shared" si="66"/>
        <v>0</v>
      </c>
      <c r="AA182" s="136">
        <f t="shared" si="110"/>
        <v>0</v>
      </c>
      <c r="AB182" s="136">
        <f t="shared" si="117"/>
        <v>0</v>
      </c>
      <c r="AC182" s="136">
        <f t="shared" si="118"/>
        <v>0</v>
      </c>
      <c r="AD182" s="136">
        <f t="shared" si="51"/>
        <v>0</v>
      </c>
      <c r="AE182" s="136">
        <f t="shared" si="111"/>
        <v>0</v>
      </c>
      <c r="AF182" s="136">
        <f t="shared" si="88"/>
        <v>0</v>
      </c>
      <c r="AG182" s="137">
        <f t="shared" si="121"/>
        <v>0</v>
      </c>
      <c r="AH182" s="136">
        <f t="shared" si="112"/>
        <v>0</v>
      </c>
      <c r="AI182" s="136">
        <f t="shared" si="113"/>
        <v>0</v>
      </c>
      <c r="AJ182" s="136">
        <f t="shared" si="92"/>
        <v>0</v>
      </c>
      <c r="AK182" s="136">
        <f t="shared" si="93"/>
        <v>0</v>
      </c>
      <c r="AL182" s="136">
        <f t="shared" si="94"/>
        <v>0</v>
      </c>
      <c r="AM182" s="136">
        <f t="shared" si="122"/>
        <v>0</v>
      </c>
      <c r="AN182" s="136">
        <f t="shared" si="96"/>
        <v>0</v>
      </c>
      <c r="AO182" s="136">
        <f t="shared" si="97"/>
        <v>0</v>
      </c>
      <c r="AP182" s="138">
        <f t="shared" si="98"/>
        <v>0.65281969817315333</v>
      </c>
      <c r="AQ182" s="139">
        <f t="shared" si="99"/>
        <v>58.28</v>
      </c>
      <c r="AR182" s="537">
        <v>4</v>
      </c>
      <c r="AS182" s="202">
        <f t="shared" si="82"/>
        <v>65.281969817315328</v>
      </c>
      <c r="AT182" s="197">
        <f t="shared" si="73"/>
        <v>0</v>
      </c>
      <c r="AU182" s="199">
        <f t="shared" si="74"/>
        <v>0</v>
      </c>
      <c r="AV182" s="110"/>
      <c r="AW182" s="138" t="e">
        <f>VLOOKUP(AX182,Sup!#REF!,8,0)</f>
        <v>#REF!</v>
      </c>
      <c r="AX182" s="993" t="s">
        <v>197</v>
      </c>
      <c r="AY182" s="556">
        <v>0</v>
      </c>
      <c r="AZ182" s="35"/>
      <c r="BA182" s="35"/>
      <c r="BB182" s="35"/>
      <c r="BC182" s="35">
        <f t="shared" si="75"/>
        <v>0</v>
      </c>
      <c r="BD182" s="35" t="str">
        <f t="shared" si="119"/>
        <v/>
      </c>
      <c r="BE182" s="45">
        <f>IF(V182="",0,(V182*W182)-(BD182*W182))</f>
        <v>0</v>
      </c>
      <c r="BF182" s="971"/>
      <c r="BG182" s="236"/>
      <c r="BH182" s="12"/>
      <c r="BI182" s="12"/>
      <c r="BJ182" s="12"/>
      <c r="BK182" s="12"/>
      <c r="BL182" s="12"/>
      <c r="BM182" s="980">
        <f t="shared" si="107"/>
        <v>528</v>
      </c>
      <c r="BN182" s="367"/>
      <c r="BO182" s="981"/>
      <c r="BP182" s="12"/>
      <c r="BQ182" s="12"/>
      <c r="BR182" s="12"/>
      <c r="BS182" s="973"/>
      <c r="BT182" s="12"/>
      <c r="BU182" s="12"/>
      <c r="BV182" s="12"/>
      <c r="BW182" s="982" t="s">
        <v>394</v>
      </c>
      <c r="BX182" s="983">
        <f t="shared" si="100"/>
        <v>0</v>
      </c>
      <c r="BY182" s="12" t="e">
        <f>VLOOKUP(B182,#REF!,13,0)</f>
        <v>#REF!</v>
      </c>
      <c r="BZ182" s="1056">
        <v>84.9</v>
      </c>
      <c r="CA182" s="1181" t="e">
        <f>VLOOKUP(B182,Pedido!$B$16:$L$292,22,0)</f>
        <v>#N/A</v>
      </c>
      <c r="CC182" s="1186" t="e">
        <f>ROUNDDOWN(CC181/12,0)</f>
        <v>#N/A</v>
      </c>
      <c r="CD182" s="1186"/>
      <c r="CE182" s="1186"/>
      <c r="CF182" s="1187">
        <f>IFERROR(CC182*AVERAGE(Pedido!K170:K176),0)</f>
        <v>0</v>
      </c>
    </row>
    <row r="183" spans="1:84" ht="24.75" customHeight="1" thickBot="1">
      <c r="A183" s="524"/>
      <c r="B183" s="140" t="s">
        <v>240</v>
      </c>
      <c r="C183" s="140" t="s">
        <v>239</v>
      </c>
      <c r="D183" s="630" t="s">
        <v>59</v>
      </c>
      <c r="E183" s="421" t="s">
        <v>63</v>
      </c>
      <c r="F183" s="422" t="s">
        <v>61</v>
      </c>
      <c r="G183" s="424">
        <v>450</v>
      </c>
      <c r="H183" s="1171">
        <v>43.71</v>
      </c>
      <c r="I183" s="129">
        <v>174.9</v>
      </c>
      <c r="J183" s="130" t="str">
        <f t="shared" si="79"/>
        <v/>
      </c>
      <c r="K183" s="131" t="str">
        <f t="shared" si="114"/>
        <v/>
      </c>
      <c r="L183" s="241">
        <v>125.9</v>
      </c>
      <c r="M183" s="132">
        <v>110.9</v>
      </c>
      <c r="N183" s="132">
        <v>110.9</v>
      </c>
      <c r="O183" s="132">
        <v>110.9</v>
      </c>
      <c r="P183" s="132">
        <v>110.9</v>
      </c>
      <c r="Q183" s="132">
        <v>101.9</v>
      </c>
      <c r="R183" s="132">
        <v>99.9</v>
      </c>
      <c r="S183" s="133">
        <v>95.9</v>
      </c>
      <c r="T183" s="134" t="str">
        <f t="shared" si="108"/>
        <v/>
      </c>
      <c r="U183" s="135" t="str">
        <f t="shared" si="109"/>
        <v/>
      </c>
      <c r="V183" s="575"/>
      <c r="W183" s="694"/>
      <c r="X183" s="170"/>
      <c r="Y183" s="122" t="str">
        <f t="shared" si="116"/>
        <v/>
      </c>
      <c r="Z183" s="224">
        <f t="shared" si="66"/>
        <v>0</v>
      </c>
      <c r="AA183" s="136">
        <f t="shared" si="110"/>
        <v>0</v>
      </c>
      <c r="AB183" s="136">
        <f t="shared" si="117"/>
        <v>0</v>
      </c>
      <c r="AC183" s="136">
        <f t="shared" si="118"/>
        <v>0</v>
      </c>
      <c r="AD183" s="136">
        <f t="shared" si="51"/>
        <v>0</v>
      </c>
      <c r="AE183" s="136">
        <f t="shared" si="111"/>
        <v>0</v>
      </c>
      <c r="AF183" s="136">
        <f t="shared" si="88"/>
        <v>0</v>
      </c>
      <c r="AG183" s="137">
        <f t="shared" si="121"/>
        <v>0</v>
      </c>
      <c r="AH183" s="136">
        <f t="shared" si="112"/>
        <v>0</v>
      </c>
      <c r="AI183" s="136">
        <f t="shared" si="113"/>
        <v>0</v>
      </c>
      <c r="AJ183" s="136">
        <f t="shared" si="92"/>
        <v>0</v>
      </c>
      <c r="AK183" s="136">
        <f t="shared" si="93"/>
        <v>0</v>
      </c>
      <c r="AL183" s="136">
        <f t="shared" si="94"/>
        <v>0</v>
      </c>
      <c r="AM183" s="136">
        <f t="shared" si="122"/>
        <v>0</v>
      </c>
      <c r="AN183" s="136">
        <f t="shared" si="96"/>
        <v>0</v>
      </c>
      <c r="AO183" s="136">
        <f t="shared" si="97"/>
        <v>0</v>
      </c>
      <c r="AP183" s="138">
        <f t="shared" si="98"/>
        <v>0.65281969817315333</v>
      </c>
      <c r="AQ183" s="139">
        <f t="shared" si="99"/>
        <v>58.28</v>
      </c>
      <c r="AR183" s="537">
        <v>4</v>
      </c>
      <c r="AS183" s="202">
        <f t="shared" si="82"/>
        <v>65.281969817315328</v>
      </c>
      <c r="AT183" s="197">
        <f t="shared" si="73"/>
        <v>0</v>
      </c>
      <c r="AU183" s="199">
        <f t="shared" si="74"/>
        <v>0</v>
      </c>
      <c r="AV183" s="110"/>
      <c r="AW183" s="138" t="e">
        <f>VLOOKUP(AX183,Sup!#REF!,8,0)</f>
        <v>#REF!</v>
      </c>
      <c r="AX183" s="993" t="s">
        <v>197</v>
      </c>
      <c r="AY183" s="556">
        <v>0</v>
      </c>
      <c r="AZ183" s="35"/>
      <c r="BA183" s="35"/>
      <c r="BB183" s="35"/>
      <c r="BC183" s="35">
        <f t="shared" ref="BC183:BC249" si="123">IF(BE183&lt;0,BE183,0)</f>
        <v>0</v>
      </c>
      <c r="BD183" s="35" t="str">
        <f t="shared" si="119"/>
        <v/>
      </c>
      <c r="BE183" s="45">
        <f t="shared" ref="BE183:BE188" si="124">IF(V183="",0,(V183*W183)-(BD183*W183))</f>
        <v>0</v>
      </c>
      <c r="BF183" s="971"/>
      <c r="BG183" s="236"/>
      <c r="BH183" s="12"/>
      <c r="BI183" s="12"/>
      <c r="BJ183" s="12"/>
      <c r="BK183" s="12"/>
      <c r="BL183" s="12"/>
      <c r="BM183" s="980">
        <f t="shared" si="107"/>
        <v>552</v>
      </c>
      <c r="BN183" s="367"/>
      <c r="BO183" s="981"/>
      <c r="BP183" s="12"/>
      <c r="BQ183" s="12"/>
      <c r="BR183" s="12"/>
      <c r="BS183" s="973"/>
      <c r="BT183" s="12"/>
      <c r="BU183" s="12"/>
      <c r="BV183" s="12"/>
      <c r="BW183" s="982" t="s">
        <v>394</v>
      </c>
      <c r="BX183" s="983">
        <f t="shared" si="100"/>
        <v>0</v>
      </c>
      <c r="BY183" s="12" t="e">
        <f>VLOOKUP(B183,#REF!,13,0)</f>
        <v>#REF!</v>
      </c>
      <c r="BZ183" s="1056">
        <v>84.9</v>
      </c>
      <c r="CA183" s="1181" t="e">
        <f>VLOOKUP(B183,Pedido!$B$16:$L$292,22,0)</f>
        <v>#N/A</v>
      </c>
    </row>
    <row r="184" spans="1:84" ht="24.75" customHeight="1" thickBot="1">
      <c r="A184" s="524"/>
      <c r="B184" s="140" t="s">
        <v>241</v>
      </c>
      <c r="C184" s="140" t="s">
        <v>239</v>
      </c>
      <c r="D184" s="630" t="s">
        <v>59</v>
      </c>
      <c r="E184" s="421" t="s">
        <v>65</v>
      </c>
      <c r="F184" s="422" t="s">
        <v>61</v>
      </c>
      <c r="G184" s="424">
        <v>450</v>
      </c>
      <c r="H184" s="1171">
        <v>43.71</v>
      </c>
      <c r="I184" s="129">
        <v>174.9</v>
      </c>
      <c r="J184" s="130" t="str">
        <f t="shared" si="79"/>
        <v/>
      </c>
      <c r="K184" s="131" t="str">
        <f t="shared" si="114"/>
        <v/>
      </c>
      <c r="L184" s="241">
        <v>125.9</v>
      </c>
      <c r="M184" s="132">
        <v>110.9</v>
      </c>
      <c r="N184" s="132">
        <v>110.9</v>
      </c>
      <c r="O184" s="132">
        <v>110.9</v>
      </c>
      <c r="P184" s="132">
        <v>110.9</v>
      </c>
      <c r="Q184" s="132">
        <v>101.9</v>
      </c>
      <c r="R184" s="132">
        <v>99.9</v>
      </c>
      <c r="S184" s="133">
        <v>95.9</v>
      </c>
      <c r="T184" s="134" t="str">
        <f t="shared" si="108"/>
        <v/>
      </c>
      <c r="U184" s="135" t="str">
        <f t="shared" si="109"/>
        <v/>
      </c>
      <c r="V184" s="575"/>
      <c r="W184" s="694"/>
      <c r="X184" s="170"/>
      <c r="Y184" s="122" t="str">
        <f t="shared" si="116"/>
        <v/>
      </c>
      <c r="Z184" s="224">
        <f t="shared" si="66"/>
        <v>0</v>
      </c>
      <c r="AA184" s="136">
        <f t="shared" si="110"/>
        <v>0</v>
      </c>
      <c r="AB184" s="136">
        <f t="shared" si="117"/>
        <v>0</v>
      </c>
      <c r="AC184" s="136">
        <f t="shared" si="118"/>
        <v>0</v>
      </c>
      <c r="AD184" s="136">
        <f t="shared" si="51"/>
        <v>0</v>
      </c>
      <c r="AE184" s="136">
        <f t="shared" si="111"/>
        <v>0</v>
      </c>
      <c r="AF184" s="136">
        <f t="shared" si="88"/>
        <v>0</v>
      </c>
      <c r="AG184" s="137">
        <f t="shared" si="121"/>
        <v>0</v>
      </c>
      <c r="AH184" s="136">
        <f t="shared" si="112"/>
        <v>0</v>
      </c>
      <c r="AI184" s="136">
        <f t="shared" si="113"/>
        <v>0</v>
      </c>
      <c r="AJ184" s="136">
        <f t="shared" si="92"/>
        <v>0</v>
      </c>
      <c r="AK184" s="136">
        <f t="shared" si="93"/>
        <v>0</v>
      </c>
      <c r="AL184" s="136">
        <f t="shared" si="94"/>
        <v>0</v>
      </c>
      <c r="AM184" s="136">
        <f t="shared" si="122"/>
        <v>0</v>
      </c>
      <c r="AN184" s="136">
        <f t="shared" si="96"/>
        <v>0</v>
      </c>
      <c r="AO184" s="136">
        <f t="shared" si="97"/>
        <v>0</v>
      </c>
      <c r="AP184" s="138">
        <f t="shared" si="98"/>
        <v>0.65281969817315333</v>
      </c>
      <c r="AQ184" s="139">
        <f t="shared" si="99"/>
        <v>58.28</v>
      </c>
      <c r="AR184" s="537">
        <v>4</v>
      </c>
      <c r="AS184" s="202">
        <f t="shared" si="82"/>
        <v>65.281969817315328</v>
      </c>
      <c r="AT184" s="197">
        <f t="shared" si="73"/>
        <v>0</v>
      </c>
      <c r="AU184" s="199">
        <f t="shared" si="74"/>
        <v>0</v>
      </c>
      <c r="AV184" s="110"/>
      <c r="AW184" s="138" t="e">
        <f>VLOOKUP(AX184,Sup!#REF!,8,0)</f>
        <v>#REF!</v>
      </c>
      <c r="AX184" s="993" t="s">
        <v>197</v>
      </c>
      <c r="AY184" s="556">
        <v>0</v>
      </c>
      <c r="AZ184" s="35"/>
      <c r="BA184" s="35"/>
      <c r="BB184" s="35"/>
      <c r="BC184" s="35">
        <f t="shared" si="123"/>
        <v>0</v>
      </c>
      <c r="BD184" s="35" t="str">
        <f t="shared" si="119"/>
        <v/>
      </c>
      <c r="BE184" s="45">
        <f t="shared" si="124"/>
        <v>0</v>
      </c>
      <c r="BF184" s="971"/>
      <c r="BG184" s="236"/>
      <c r="BH184" s="12"/>
      <c r="BI184" s="12"/>
      <c r="BJ184" s="12"/>
      <c r="BK184" s="12"/>
      <c r="BL184" s="12"/>
      <c r="BM184" s="980">
        <f t="shared" si="107"/>
        <v>576</v>
      </c>
      <c r="BN184" s="367"/>
      <c r="BO184" s="981"/>
      <c r="BP184" s="12"/>
      <c r="BQ184" s="12"/>
      <c r="BR184" s="12"/>
      <c r="BS184" s="973"/>
      <c r="BT184" s="12"/>
      <c r="BU184" s="12"/>
      <c r="BV184" s="12"/>
      <c r="BW184" s="982" t="s">
        <v>394</v>
      </c>
      <c r="BX184" s="983">
        <f t="shared" si="100"/>
        <v>0</v>
      </c>
      <c r="BY184" s="12" t="e">
        <f>VLOOKUP(B184,#REF!,13,0)</f>
        <v>#REF!</v>
      </c>
      <c r="BZ184" s="1056">
        <v>84.9</v>
      </c>
      <c r="CA184" s="1181" t="e">
        <f>VLOOKUP(B184,Pedido!$B$16:$L$292,22,0)</f>
        <v>#N/A</v>
      </c>
    </row>
    <row r="185" spans="1:84" ht="24.75" customHeight="1" thickBot="1">
      <c r="A185" s="524"/>
      <c r="B185" s="140" t="s">
        <v>242</v>
      </c>
      <c r="C185" s="140" t="s">
        <v>239</v>
      </c>
      <c r="D185" s="630" t="s">
        <v>59</v>
      </c>
      <c r="E185" s="421" t="s">
        <v>67</v>
      </c>
      <c r="F185" s="422" t="s">
        <v>61</v>
      </c>
      <c r="G185" s="424">
        <v>450</v>
      </c>
      <c r="H185" s="1171">
        <v>43.71</v>
      </c>
      <c r="I185" s="129">
        <v>174.9</v>
      </c>
      <c r="J185" s="130" t="str">
        <f t="shared" si="79"/>
        <v/>
      </c>
      <c r="K185" s="131" t="str">
        <f t="shared" si="114"/>
        <v/>
      </c>
      <c r="L185" s="241">
        <v>125.9</v>
      </c>
      <c r="M185" s="132">
        <v>110.9</v>
      </c>
      <c r="N185" s="132">
        <v>110.9</v>
      </c>
      <c r="O185" s="132">
        <v>110.9</v>
      </c>
      <c r="P185" s="132">
        <v>110.9</v>
      </c>
      <c r="Q185" s="132">
        <v>101.9</v>
      </c>
      <c r="R185" s="132">
        <v>99.9</v>
      </c>
      <c r="S185" s="133">
        <v>95.9</v>
      </c>
      <c r="T185" s="134" t="str">
        <f t="shared" si="108"/>
        <v/>
      </c>
      <c r="U185" s="135" t="str">
        <f t="shared" si="109"/>
        <v/>
      </c>
      <c r="V185" s="575"/>
      <c r="W185" s="694"/>
      <c r="X185" s="170"/>
      <c r="Y185" s="122" t="str">
        <f t="shared" si="116"/>
        <v/>
      </c>
      <c r="Z185" s="224">
        <f t="shared" si="66"/>
        <v>0</v>
      </c>
      <c r="AA185" s="136">
        <f t="shared" si="110"/>
        <v>0</v>
      </c>
      <c r="AB185" s="136">
        <f t="shared" si="117"/>
        <v>0</v>
      </c>
      <c r="AC185" s="136">
        <f t="shared" si="118"/>
        <v>0</v>
      </c>
      <c r="AD185" s="136">
        <f t="shared" si="51"/>
        <v>0</v>
      </c>
      <c r="AE185" s="136">
        <f t="shared" si="111"/>
        <v>0</v>
      </c>
      <c r="AF185" s="136">
        <f t="shared" si="88"/>
        <v>0</v>
      </c>
      <c r="AG185" s="137">
        <f t="shared" si="121"/>
        <v>0</v>
      </c>
      <c r="AH185" s="136">
        <f t="shared" si="112"/>
        <v>0</v>
      </c>
      <c r="AI185" s="136">
        <f t="shared" si="113"/>
        <v>0</v>
      </c>
      <c r="AJ185" s="136">
        <f t="shared" si="92"/>
        <v>0</v>
      </c>
      <c r="AK185" s="136">
        <f t="shared" si="93"/>
        <v>0</v>
      </c>
      <c r="AL185" s="136">
        <f t="shared" si="94"/>
        <v>0</v>
      </c>
      <c r="AM185" s="136">
        <f t="shared" si="122"/>
        <v>0</v>
      </c>
      <c r="AN185" s="136">
        <f t="shared" si="96"/>
        <v>0</v>
      </c>
      <c r="AO185" s="136">
        <f t="shared" si="97"/>
        <v>0</v>
      </c>
      <c r="AP185" s="138">
        <f t="shared" si="98"/>
        <v>0.65281969817315333</v>
      </c>
      <c r="AQ185" s="139">
        <f t="shared" si="99"/>
        <v>58.28</v>
      </c>
      <c r="AR185" s="537">
        <v>4</v>
      </c>
      <c r="AS185" s="202">
        <f t="shared" si="82"/>
        <v>65.281969817315328</v>
      </c>
      <c r="AT185" s="197">
        <f t="shared" si="73"/>
        <v>0</v>
      </c>
      <c r="AU185" s="199">
        <f t="shared" si="74"/>
        <v>0</v>
      </c>
      <c r="AV185" s="110"/>
      <c r="AW185" s="138" t="e">
        <f>VLOOKUP(AX185,Sup!#REF!,8,0)</f>
        <v>#REF!</v>
      </c>
      <c r="AX185" s="993" t="s">
        <v>197</v>
      </c>
      <c r="AY185" s="556">
        <v>0</v>
      </c>
      <c r="AZ185" s="35"/>
      <c r="BA185" s="35"/>
      <c r="BB185" s="35"/>
      <c r="BC185" s="35">
        <f t="shared" si="123"/>
        <v>0</v>
      </c>
      <c r="BD185" s="35" t="str">
        <f t="shared" si="119"/>
        <v/>
      </c>
      <c r="BE185" s="45">
        <f t="shared" si="124"/>
        <v>0</v>
      </c>
      <c r="BF185" s="971"/>
      <c r="BG185" s="236"/>
      <c r="BH185" s="12"/>
      <c r="BI185" s="12"/>
      <c r="BJ185" s="12"/>
      <c r="BK185" s="12"/>
      <c r="BL185" s="12"/>
      <c r="BM185" s="980">
        <f t="shared" si="107"/>
        <v>600</v>
      </c>
      <c r="BN185" s="367"/>
      <c r="BO185" s="981"/>
      <c r="BP185" s="12"/>
      <c r="BQ185" s="12"/>
      <c r="BR185" s="12"/>
      <c r="BS185" s="973"/>
      <c r="BT185" s="12"/>
      <c r="BU185" s="12"/>
      <c r="BV185" s="12"/>
      <c r="BW185" s="982" t="s">
        <v>394</v>
      </c>
      <c r="BX185" s="983">
        <f t="shared" si="100"/>
        <v>0</v>
      </c>
      <c r="BY185" s="12" t="e">
        <f>VLOOKUP(B185,#REF!,13,0)</f>
        <v>#REF!</v>
      </c>
      <c r="BZ185" s="1056">
        <v>84.9</v>
      </c>
    </row>
    <row r="186" spans="1:84" ht="24.75" customHeight="1" thickBot="1">
      <c r="A186" s="524"/>
      <c r="B186" s="140" t="s">
        <v>277</v>
      </c>
      <c r="C186" s="140" t="s">
        <v>239</v>
      </c>
      <c r="D186" s="630" t="s">
        <v>59</v>
      </c>
      <c r="E186" s="421" t="s">
        <v>76</v>
      </c>
      <c r="F186" s="422" t="s">
        <v>61</v>
      </c>
      <c r="G186" s="424">
        <v>450</v>
      </c>
      <c r="H186" s="1171">
        <v>43.71</v>
      </c>
      <c r="I186" s="129">
        <v>174.9</v>
      </c>
      <c r="J186" s="130" t="str">
        <f t="shared" si="79"/>
        <v/>
      </c>
      <c r="K186" s="131" t="str">
        <f t="shared" si="114"/>
        <v/>
      </c>
      <c r="L186" s="241">
        <v>125.9</v>
      </c>
      <c r="M186" s="132">
        <v>110.9</v>
      </c>
      <c r="N186" s="132">
        <v>110.9</v>
      </c>
      <c r="O186" s="132">
        <v>110.9</v>
      </c>
      <c r="P186" s="132">
        <v>110.9</v>
      </c>
      <c r="Q186" s="132">
        <v>101.9</v>
      </c>
      <c r="R186" s="132">
        <v>99.9</v>
      </c>
      <c r="S186" s="133">
        <v>95.9</v>
      </c>
      <c r="T186" s="134" t="str">
        <f t="shared" si="108"/>
        <v/>
      </c>
      <c r="U186" s="135" t="str">
        <f t="shared" si="109"/>
        <v/>
      </c>
      <c r="V186" s="575"/>
      <c r="W186" s="694"/>
      <c r="X186" s="170"/>
      <c r="Y186" s="122" t="str">
        <f t="shared" si="116"/>
        <v/>
      </c>
      <c r="Z186" s="224">
        <f t="shared" si="66"/>
        <v>0</v>
      </c>
      <c r="AA186" s="136">
        <f t="shared" si="110"/>
        <v>0</v>
      </c>
      <c r="AB186" s="136">
        <f t="shared" si="117"/>
        <v>0</v>
      </c>
      <c r="AC186" s="136">
        <f t="shared" si="118"/>
        <v>0</v>
      </c>
      <c r="AD186" s="136">
        <f t="shared" si="51"/>
        <v>0</v>
      </c>
      <c r="AE186" s="136">
        <f t="shared" si="111"/>
        <v>0</v>
      </c>
      <c r="AF186" s="136">
        <f t="shared" si="88"/>
        <v>0</v>
      </c>
      <c r="AG186" s="137">
        <f t="shared" si="121"/>
        <v>0</v>
      </c>
      <c r="AH186" s="136">
        <f t="shared" si="112"/>
        <v>0</v>
      </c>
      <c r="AI186" s="136">
        <f t="shared" si="113"/>
        <v>0</v>
      </c>
      <c r="AJ186" s="136">
        <f t="shared" si="92"/>
        <v>0</v>
      </c>
      <c r="AK186" s="136">
        <f t="shared" si="93"/>
        <v>0</v>
      </c>
      <c r="AL186" s="136">
        <f t="shared" si="94"/>
        <v>0</v>
      </c>
      <c r="AM186" s="136">
        <f t="shared" si="122"/>
        <v>0</v>
      </c>
      <c r="AN186" s="136">
        <f t="shared" si="96"/>
        <v>0</v>
      </c>
      <c r="AO186" s="136">
        <f t="shared" si="97"/>
        <v>0</v>
      </c>
      <c r="AP186" s="138">
        <f t="shared" si="98"/>
        <v>0.65281969817315333</v>
      </c>
      <c r="AQ186" s="139">
        <f t="shared" si="99"/>
        <v>58.28</v>
      </c>
      <c r="AR186" s="537">
        <v>4</v>
      </c>
      <c r="AS186" s="202">
        <f t="shared" si="82"/>
        <v>65.281969817315328</v>
      </c>
      <c r="AT186" s="197">
        <f t="shared" si="73"/>
        <v>0</v>
      </c>
      <c r="AU186" s="199">
        <f t="shared" si="74"/>
        <v>0</v>
      </c>
      <c r="AV186" s="110"/>
      <c r="AW186" s="138" t="e">
        <f>VLOOKUP(AX186,Sup!#REF!,8,0)</f>
        <v>#REF!</v>
      </c>
      <c r="AX186" s="993" t="s">
        <v>197</v>
      </c>
      <c r="AY186" s="556">
        <v>0</v>
      </c>
      <c r="AZ186" s="35"/>
      <c r="BA186" s="35"/>
      <c r="BB186" s="35"/>
      <c r="BC186" s="35">
        <f t="shared" si="123"/>
        <v>0</v>
      </c>
      <c r="BD186" s="35" t="str">
        <f t="shared" si="119"/>
        <v/>
      </c>
      <c r="BE186" s="45">
        <f t="shared" si="124"/>
        <v>0</v>
      </c>
      <c r="BF186" s="971"/>
      <c r="BG186" s="236"/>
      <c r="BH186" s="12"/>
      <c r="BI186" s="12"/>
      <c r="BJ186" s="12"/>
      <c r="BK186" s="12"/>
      <c r="BL186" s="12"/>
      <c r="BM186" s="980">
        <f t="shared" si="107"/>
        <v>624</v>
      </c>
      <c r="BN186" s="367"/>
      <c r="BO186" s="981"/>
      <c r="BP186" s="12"/>
      <c r="BQ186" s="12"/>
      <c r="BR186" s="12"/>
      <c r="BS186" s="973"/>
      <c r="BT186" s="12"/>
      <c r="BU186" s="12"/>
      <c r="BV186" s="12"/>
      <c r="BW186" s="982" t="s">
        <v>394</v>
      </c>
      <c r="BX186" s="983">
        <f t="shared" si="100"/>
        <v>0</v>
      </c>
      <c r="BY186" s="12" t="e">
        <f>VLOOKUP(B186,#REF!,13,0)</f>
        <v>#REF!</v>
      </c>
      <c r="BZ186" s="1056">
        <v>84.9</v>
      </c>
      <c r="CA186" s="1181" t="e">
        <f>VLOOKUP(B186,Pedido!$B$16:$L$292,22,0)</f>
        <v>#N/A</v>
      </c>
    </row>
    <row r="187" spans="1:84" ht="24.75" customHeight="1" thickBot="1">
      <c r="A187" s="524"/>
      <c r="B187" s="95" t="s">
        <v>278</v>
      </c>
      <c r="C187" s="140" t="s">
        <v>239</v>
      </c>
      <c r="D187" s="630" t="s">
        <v>59</v>
      </c>
      <c r="E187" s="421" t="s">
        <v>275</v>
      </c>
      <c r="F187" s="422" t="s">
        <v>61</v>
      </c>
      <c r="G187" s="424">
        <v>450</v>
      </c>
      <c r="H187" s="1171">
        <v>43.71</v>
      </c>
      <c r="I187" s="129">
        <v>174.9</v>
      </c>
      <c r="J187" s="130" t="str">
        <f t="shared" ref="J187:J253" si="125">IFERROR(IF(T187&lt;&gt;"",I187/T187,IF(AND(Y187="",V187=""),"",IF(V187="",I187/Y187,I187/V187))),"")</f>
        <v/>
      </c>
      <c r="K187" s="131" t="str">
        <f t="shared" si="114"/>
        <v/>
      </c>
      <c r="L187" s="241">
        <v>125.9</v>
      </c>
      <c r="M187" s="132">
        <v>110.9</v>
      </c>
      <c r="N187" s="132">
        <v>110.9</v>
      </c>
      <c r="O187" s="132">
        <v>110.9</v>
      </c>
      <c r="P187" s="132">
        <v>110.9</v>
      </c>
      <c r="Q187" s="132">
        <v>101.9</v>
      </c>
      <c r="R187" s="132">
        <v>99.9</v>
      </c>
      <c r="S187" s="133">
        <v>95.9</v>
      </c>
      <c r="T187" s="134" t="str">
        <f t="shared" si="108"/>
        <v/>
      </c>
      <c r="U187" s="135" t="str">
        <f t="shared" si="109"/>
        <v/>
      </c>
      <c r="V187" s="575"/>
      <c r="W187" s="694"/>
      <c r="X187" s="170"/>
      <c r="Y187" s="122" t="str">
        <f t="shared" si="116"/>
        <v/>
      </c>
      <c r="Z187" s="224">
        <f t="shared" si="66"/>
        <v>0</v>
      </c>
      <c r="AA187" s="136">
        <f t="shared" si="110"/>
        <v>0</v>
      </c>
      <c r="AB187" s="136">
        <f t="shared" si="117"/>
        <v>0</v>
      </c>
      <c r="AC187" s="136">
        <f t="shared" si="118"/>
        <v>0</v>
      </c>
      <c r="AD187" s="136">
        <f t="shared" si="51"/>
        <v>0</v>
      </c>
      <c r="AE187" s="136">
        <f t="shared" si="111"/>
        <v>0</v>
      </c>
      <c r="AF187" s="136">
        <f t="shared" si="88"/>
        <v>0</v>
      </c>
      <c r="AG187" s="137">
        <f t="shared" si="121"/>
        <v>0</v>
      </c>
      <c r="AH187" s="136">
        <f t="shared" si="112"/>
        <v>0</v>
      </c>
      <c r="AI187" s="136">
        <f t="shared" si="113"/>
        <v>0</v>
      </c>
      <c r="AJ187" s="136">
        <f t="shared" si="92"/>
        <v>0</v>
      </c>
      <c r="AK187" s="136">
        <f t="shared" si="93"/>
        <v>0</v>
      </c>
      <c r="AL187" s="136">
        <f t="shared" si="94"/>
        <v>0</v>
      </c>
      <c r="AM187" s="136">
        <f t="shared" si="122"/>
        <v>0</v>
      </c>
      <c r="AN187" s="136">
        <f t="shared" si="96"/>
        <v>0</v>
      </c>
      <c r="AO187" s="136">
        <f t="shared" si="97"/>
        <v>0</v>
      </c>
      <c r="AP187" s="138">
        <f t="shared" si="98"/>
        <v>0.65281969817315333</v>
      </c>
      <c r="AQ187" s="139">
        <f t="shared" si="99"/>
        <v>58.28</v>
      </c>
      <c r="AR187" s="537">
        <v>4</v>
      </c>
      <c r="AS187" s="202">
        <f t="shared" si="82"/>
        <v>65.281969817315328</v>
      </c>
      <c r="AT187" s="197">
        <f t="shared" si="73"/>
        <v>0</v>
      </c>
      <c r="AU187" s="199">
        <f t="shared" si="74"/>
        <v>0</v>
      </c>
      <c r="AV187" s="110"/>
      <c r="AW187" s="138" t="e">
        <f>VLOOKUP(AX187,Sup!#REF!,8,0)</f>
        <v>#REF!</v>
      </c>
      <c r="AX187" s="993" t="s">
        <v>197</v>
      </c>
      <c r="AY187" s="556">
        <v>0</v>
      </c>
      <c r="AZ187" s="35"/>
      <c r="BA187" s="35"/>
      <c r="BB187" s="35"/>
      <c r="BC187" s="35">
        <f t="shared" si="123"/>
        <v>0</v>
      </c>
      <c r="BD187" s="35" t="str">
        <f t="shared" si="119"/>
        <v/>
      </c>
      <c r="BE187" s="45">
        <f t="shared" si="124"/>
        <v>0</v>
      </c>
      <c r="BF187" s="971"/>
      <c r="BG187" s="236"/>
      <c r="BH187" s="12"/>
      <c r="BI187" s="12"/>
      <c r="BJ187" s="12"/>
      <c r="BK187" s="12"/>
      <c r="BL187" s="12"/>
      <c r="BM187" s="980">
        <f t="shared" si="107"/>
        <v>648</v>
      </c>
      <c r="BN187" s="367"/>
      <c r="BO187" s="981"/>
      <c r="BP187" s="12"/>
      <c r="BQ187" s="12"/>
      <c r="BR187" s="12"/>
      <c r="BS187" s="973"/>
      <c r="BT187" s="12"/>
      <c r="BU187" s="12"/>
      <c r="BV187" s="12"/>
      <c r="BW187" s="982" t="s">
        <v>394</v>
      </c>
      <c r="BX187" s="983">
        <f t="shared" si="100"/>
        <v>0</v>
      </c>
      <c r="BY187" s="12" t="e">
        <f>VLOOKUP(B187,#REF!,13,0)</f>
        <v>#REF!</v>
      </c>
      <c r="BZ187" s="1056">
        <v>84.9</v>
      </c>
      <c r="CA187" s="1181" t="e">
        <f>VLOOKUP(B187,Pedido!$B$16:$L$292,22,0)</f>
        <v>#N/A</v>
      </c>
    </row>
    <row r="188" spans="1:84" ht="24.75" customHeight="1" thickBot="1">
      <c r="A188" s="524"/>
      <c r="B188" s="95" t="s">
        <v>279</v>
      </c>
      <c r="C188" s="140" t="s">
        <v>239</v>
      </c>
      <c r="D188" s="631" t="s">
        <v>59</v>
      </c>
      <c r="E188" s="401" t="s">
        <v>276</v>
      </c>
      <c r="F188" s="402" t="s">
        <v>61</v>
      </c>
      <c r="G188" s="403">
        <v>450</v>
      </c>
      <c r="H188" s="1171">
        <v>43.71</v>
      </c>
      <c r="I188" s="96">
        <v>174.9</v>
      </c>
      <c r="J188" s="97" t="str">
        <f t="shared" si="125"/>
        <v/>
      </c>
      <c r="K188" s="98" t="str">
        <f t="shared" si="114"/>
        <v/>
      </c>
      <c r="L188" s="238">
        <v>125.9</v>
      </c>
      <c r="M188" s="99">
        <v>110.9</v>
      </c>
      <c r="N188" s="99">
        <v>110.9</v>
      </c>
      <c r="O188" s="99">
        <v>110.9</v>
      </c>
      <c r="P188" s="99">
        <v>110.9</v>
      </c>
      <c r="Q188" s="99">
        <v>101.9</v>
      </c>
      <c r="R188" s="132">
        <v>99.9</v>
      </c>
      <c r="S188" s="100">
        <v>95.9</v>
      </c>
      <c r="T188" s="134" t="str">
        <f t="shared" si="108"/>
        <v/>
      </c>
      <c r="U188" s="135" t="str">
        <f t="shared" si="109"/>
        <v/>
      </c>
      <c r="V188" s="1107"/>
      <c r="W188" s="696"/>
      <c r="X188" s="171"/>
      <c r="Y188" s="103" t="str">
        <f t="shared" si="116"/>
        <v/>
      </c>
      <c r="Z188" s="225">
        <f t="shared" si="66"/>
        <v>0</v>
      </c>
      <c r="AA188" s="104">
        <f t="shared" si="110"/>
        <v>0</v>
      </c>
      <c r="AB188" s="104">
        <f t="shared" si="117"/>
        <v>0</v>
      </c>
      <c r="AC188" s="104">
        <f t="shared" si="118"/>
        <v>0</v>
      </c>
      <c r="AD188" s="104">
        <f t="shared" si="51"/>
        <v>0</v>
      </c>
      <c r="AE188" s="104">
        <f t="shared" si="111"/>
        <v>0</v>
      </c>
      <c r="AF188" s="104">
        <f t="shared" si="88"/>
        <v>0</v>
      </c>
      <c r="AG188" s="105">
        <f t="shared" si="121"/>
        <v>0</v>
      </c>
      <c r="AH188" s="104">
        <f t="shared" si="112"/>
        <v>0</v>
      </c>
      <c r="AI188" s="104">
        <f t="shared" si="113"/>
        <v>0</v>
      </c>
      <c r="AJ188" s="104">
        <f t="shared" si="92"/>
        <v>0</v>
      </c>
      <c r="AK188" s="104">
        <f t="shared" si="93"/>
        <v>0</v>
      </c>
      <c r="AL188" s="104">
        <f t="shared" si="94"/>
        <v>0</v>
      </c>
      <c r="AM188" s="104">
        <f t="shared" si="122"/>
        <v>0</v>
      </c>
      <c r="AN188" s="104">
        <f t="shared" si="96"/>
        <v>0</v>
      </c>
      <c r="AO188" s="104">
        <f t="shared" si="97"/>
        <v>0</v>
      </c>
      <c r="AP188" s="106">
        <f t="shared" si="98"/>
        <v>0.65281969817315333</v>
      </c>
      <c r="AQ188" s="107">
        <f t="shared" si="99"/>
        <v>58.28</v>
      </c>
      <c r="AR188" s="534">
        <v>4</v>
      </c>
      <c r="AS188" s="202">
        <f t="shared" si="82"/>
        <v>65.281969817315328</v>
      </c>
      <c r="AT188" s="197">
        <f t="shared" si="73"/>
        <v>0</v>
      </c>
      <c r="AU188" s="199">
        <f t="shared" si="74"/>
        <v>0</v>
      </c>
      <c r="AV188" s="110"/>
      <c r="AW188" s="106" t="e">
        <f>VLOOKUP(AX188,Sup!#REF!,8,0)</f>
        <v>#REF!</v>
      </c>
      <c r="AX188" s="990" t="s">
        <v>197</v>
      </c>
      <c r="AY188" s="556">
        <v>0</v>
      </c>
      <c r="AZ188" s="32"/>
      <c r="BA188" s="32"/>
      <c r="BB188" s="32"/>
      <c r="BC188" s="32">
        <f t="shared" si="123"/>
        <v>0</v>
      </c>
      <c r="BD188" s="32" t="str">
        <f t="shared" si="119"/>
        <v/>
      </c>
      <c r="BE188" s="40">
        <f t="shared" si="124"/>
        <v>0</v>
      </c>
      <c r="BF188" s="971"/>
      <c r="BG188" s="236"/>
      <c r="BH188" s="12"/>
      <c r="BI188" s="12"/>
      <c r="BJ188" s="12"/>
      <c r="BK188" s="12"/>
      <c r="BL188" s="12"/>
      <c r="BM188" s="980">
        <f t="shared" si="107"/>
        <v>672</v>
      </c>
      <c r="BN188" s="367"/>
      <c r="BO188" s="981"/>
      <c r="BP188" s="12"/>
      <c r="BQ188" s="12"/>
      <c r="BR188" s="12"/>
      <c r="BS188" s="973"/>
      <c r="BT188" s="12"/>
      <c r="BU188" s="12"/>
      <c r="BV188" s="12"/>
      <c r="BW188" s="982" t="s">
        <v>394</v>
      </c>
      <c r="BX188" s="983">
        <f t="shared" si="100"/>
        <v>0</v>
      </c>
      <c r="BY188" s="12" t="e">
        <f>VLOOKUP(B188,#REF!,13,0)</f>
        <v>#REF!</v>
      </c>
      <c r="BZ188" s="1054">
        <v>84.9</v>
      </c>
      <c r="CA188" s="1181" t="e">
        <f>VLOOKUP(B188,Pedido!$B$16:$L$292,22,0)</f>
        <v>#N/A</v>
      </c>
    </row>
    <row r="189" spans="1:84" ht="24.75" customHeight="1" thickBot="1">
      <c r="A189" s="524"/>
      <c r="B189" s="114" t="s">
        <v>58</v>
      </c>
      <c r="C189" s="114" t="str">
        <f>LEFT(B189,6)</f>
        <v>PPOWPF</v>
      </c>
      <c r="D189" s="632" t="s">
        <v>59</v>
      </c>
      <c r="E189" s="413" t="s">
        <v>60</v>
      </c>
      <c r="F189" s="414" t="s">
        <v>61</v>
      </c>
      <c r="G189" s="425">
        <v>900</v>
      </c>
      <c r="H189" s="1171">
        <v>83.02</v>
      </c>
      <c r="I189" s="115">
        <v>299.89999999999998</v>
      </c>
      <c r="J189" s="116" t="str">
        <f t="shared" si="125"/>
        <v/>
      </c>
      <c r="K189" s="117" t="str">
        <f t="shared" si="114"/>
        <v/>
      </c>
      <c r="L189" s="239">
        <v>212.9</v>
      </c>
      <c r="M189" s="472">
        <f t="shared" ref="M189:M250" si="126">P189</f>
        <v>187.9</v>
      </c>
      <c r="N189" s="472">
        <f t="shared" ref="N189:N250" si="127">P189</f>
        <v>187.9</v>
      </c>
      <c r="O189" s="472">
        <f t="shared" ref="O189:O250" si="128">P189</f>
        <v>187.9</v>
      </c>
      <c r="P189" s="118">
        <v>187.9</v>
      </c>
      <c r="Q189" s="118">
        <v>173.9</v>
      </c>
      <c r="R189" s="118">
        <v>170.9</v>
      </c>
      <c r="S189" s="133">
        <v>164.9</v>
      </c>
      <c r="T189" s="120" t="str">
        <f t="shared" si="108"/>
        <v/>
      </c>
      <c r="U189" s="121" t="str">
        <f t="shared" si="109"/>
        <v/>
      </c>
      <c r="V189" s="575"/>
      <c r="W189" s="694"/>
      <c r="X189" s="170"/>
      <c r="Y189" s="122" t="str">
        <f t="shared" si="116"/>
        <v/>
      </c>
      <c r="Z189" s="224">
        <f t="shared" si="66"/>
        <v>0</v>
      </c>
      <c r="AA189" s="136">
        <f t="shared" si="110"/>
        <v>0</v>
      </c>
      <c r="AB189" s="123">
        <f t="shared" si="117"/>
        <v>0</v>
      </c>
      <c r="AC189" s="123">
        <f t="shared" si="118"/>
        <v>0</v>
      </c>
      <c r="AD189" s="123">
        <f t="shared" si="51"/>
        <v>0</v>
      </c>
      <c r="AE189" s="123">
        <f t="shared" si="111"/>
        <v>0</v>
      </c>
      <c r="AF189" s="123">
        <f t="shared" si="88"/>
        <v>0</v>
      </c>
      <c r="AG189" s="124">
        <f t="shared" si="121"/>
        <v>0</v>
      </c>
      <c r="AH189" s="123">
        <f t="shared" si="112"/>
        <v>0</v>
      </c>
      <c r="AI189" s="123">
        <f t="shared" si="113"/>
        <v>0</v>
      </c>
      <c r="AJ189" s="123">
        <f t="shared" si="92"/>
        <v>0</v>
      </c>
      <c r="AK189" s="123">
        <f t="shared" si="93"/>
        <v>0</v>
      </c>
      <c r="AL189" s="123">
        <f t="shared" si="94"/>
        <v>0</v>
      </c>
      <c r="AM189" s="123">
        <f t="shared" si="122"/>
        <v>0</v>
      </c>
      <c r="AN189" s="123">
        <f t="shared" si="96"/>
        <v>0</v>
      </c>
      <c r="AO189" s="123">
        <f t="shared" si="97"/>
        <v>0</v>
      </c>
      <c r="AP189" s="125">
        <f t="shared" si="98"/>
        <v>0.6100516674495069</v>
      </c>
      <c r="AQ189" s="126">
        <f t="shared" si="99"/>
        <v>110.69333333333333</v>
      </c>
      <c r="AR189" s="535">
        <v>4</v>
      </c>
      <c r="AS189" s="202">
        <f t="shared" si="82"/>
        <v>61.005166744950692</v>
      </c>
      <c r="AT189" s="197">
        <f t="shared" si="73"/>
        <v>0</v>
      </c>
      <c r="AU189" s="199">
        <f t="shared" si="74"/>
        <v>0</v>
      </c>
      <c r="AV189" s="110"/>
      <c r="AW189" s="138" t="e">
        <f>VLOOKUP(AX189,Sup!#REF!,8,0)</f>
        <v>#REF!</v>
      </c>
      <c r="AX189" s="993" t="s">
        <v>197</v>
      </c>
      <c r="AY189" s="556">
        <v>0</v>
      </c>
      <c r="AZ189" s="35"/>
      <c r="BA189" s="35"/>
      <c r="BB189" s="35"/>
      <c r="BC189" s="35">
        <f t="shared" si="123"/>
        <v>0</v>
      </c>
      <c r="BD189" s="35" t="str">
        <f t="shared" si="119"/>
        <v/>
      </c>
      <c r="BE189" s="45">
        <f t="shared" si="49"/>
        <v>0</v>
      </c>
      <c r="BF189" s="971"/>
      <c r="BG189" s="236"/>
      <c r="BH189" s="12"/>
      <c r="BI189" s="12"/>
      <c r="BJ189" s="12"/>
      <c r="BK189" s="12"/>
      <c r="BL189" s="12"/>
      <c r="BM189" s="980">
        <f t="shared" si="107"/>
        <v>696</v>
      </c>
      <c r="BN189" s="367"/>
      <c r="BO189" s="981"/>
      <c r="BP189" s="12"/>
      <c r="BQ189" s="12"/>
      <c r="BR189" s="12"/>
      <c r="BS189" s="973"/>
      <c r="BT189" s="12"/>
      <c r="BU189" s="12"/>
      <c r="BV189" s="12"/>
      <c r="BW189" s="982" t="s">
        <v>394</v>
      </c>
      <c r="BX189" s="983">
        <f t="shared" si="100"/>
        <v>0</v>
      </c>
      <c r="BY189" s="12" t="e">
        <f>VLOOKUP(B189,#REF!,13,0)</f>
        <v>#REF!</v>
      </c>
      <c r="BZ189" s="1055">
        <v>154.9</v>
      </c>
      <c r="CC189" s="1185"/>
      <c r="CD189" s="1185"/>
      <c r="CE189" s="1186"/>
      <c r="CF189" s="1186"/>
    </row>
    <row r="190" spans="1:84" ht="24.75" customHeight="1" thickBot="1">
      <c r="A190" s="524"/>
      <c r="B190" s="140" t="s">
        <v>383</v>
      </c>
      <c r="C190" s="140" t="s">
        <v>384</v>
      </c>
      <c r="D190" s="630" t="s">
        <v>59</v>
      </c>
      <c r="E190" s="421" t="s">
        <v>293</v>
      </c>
      <c r="F190" s="422" t="s">
        <v>61</v>
      </c>
      <c r="G190" s="424">
        <v>900</v>
      </c>
      <c r="H190" s="1171">
        <v>83.02</v>
      </c>
      <c r="I190" s="129">
        <v>299.89999999999998</v>
      </c>
      <c r="J190" s="130" t="str">
        <f t="shared" si="125"/>
        <v/>
      </c>
      <c r="K190" s="131" t="str">
        <f t="shared" si="114"/>
        <v/>
      </c>
      <c r="L190" s="241">
        <v>212.9</v>
      </c>
      <c r="M190" s="132">
        <f t="shared" si="126"/>
        <v>187.9</v>
      </c>
      <c r="N190" s="132">
        <f t="shared" si="127"/>
        <v>187.9</v>
      </c>
      <c r="O190" s="132">
        <f t="shared" si="128"/>
        <v>187.9</v>
      </c>
      <c r="P190" s="132">
        <v>187.9</v>
      </c>
      <c r="Q190" s="132">
        <v>173.9</v>
      </c>
      <c r="R190" s="132">
        <v>170.9</v>
      </c>
      <c r="S190" s="133">
        <v>164.9</v>
      </c>
      <c r="T190" s="134" t="str">
        <f t="shared" si="108"/>
        <v/>
      </c>
      <c r="U190" s="135" t="str">
        <f t="shared" si="109"/>
        <v/>
      </c>
      <c r="V190" s="575"/>
      <c r="W190" s="694"/>
      <c r="X190" s="170"/>
      <c r="Y190" s="122" t="str">
        <f t="shared" si="116"/>
        <v/>
      </c>
      <c r="Z190" s="224">
        <f t="shared" si="66"/>
        <v>0</v>
      </c>
      <c r="AA190" s="136">
        <f t="shared" si="110"/>
        <v>0</v>
      </c>
      <c r="AB190" s="136">
        <f t="shared" si="117"/>
        <v>0</v>
      </c>
      <c r="AC190" s="136">
        <f t="shared" si="118"/>
        <v>0</v>
      </c>
      <c r="AD190" s="136">
        <f t="shared" si="51"/>
        <v>0</v>
      </c>
      <c r="AE190" s="136">
        <f t="shared" si="111"/>
        <v>0</v>
      </c>
      <c r="AF190" s="136">
        <f t="shared" si="88"/>
        <v>0</v>
      </c>
      <c r="AG190" s="137">
        <f t="shared" si="121"/>
        <v>0</v>
      </c>
      <c r="AH190" s="136">
        <f t="shared" si="112"/>
        <v>0</v>
      </c>
      <c r="AI190" s="136">
        <f t="shared" si="113"/>
        <v>0</v>
      </c>
      <c r="AJ190" s="136">
        <f t="shared" si="92"/>
        <v>0</v>
      </c>
      <c r="AK190" s="136">
        <f t="shared" si="93"/>
        <v>0</v>
      </c>
      <c r="AL190" s="136">
        <f t="shared" si="94"/>
        <v>0</v>
      </c>
      <c r="AM190" s="136">
        <f t="shared" si="122"/>
        <v>0</v>
      </c>
      <c r="AN190" s="136">
        <f t="shared" si="96"/>
        <v>0</v>
      </c>
      <c r="AO190" s="136">
        <f t="shared" si="97"/>
        <v>0</v>
      </c>
      <c r="AP190" s="138">
        <f t="shared" si="98"/>
        <v>0.6100516674495069</v>
      </c>
      <c r="AQ190" s="139">
        <f t="shared" si="99"/>
        <v>110.69333333333333</v>
      </c>
      <c r="AR190" s="537">
        <v>4</v>
      </c>
      <c r="AS190" s="202">
        <f t="shared" si="82"/>
        <v>61.005166744950692</v>
      </c>
      <c r="AT190" s="197">
        <f t="shared" si="73"/>
        <v>0</v>
      </c>
      <c r="AU190" s="199">
        <f t="shared" si="74"/>
        <v>0</v>
      </c>
      <c r="AV190" s="110"/>
      <c r="AW190" s="138" t="e">
        <f>VLOOKUP(AX190,Sup!#REF!,8,0)</f>
        <v>#REF!</v>
      </c>
      <c r="AX190" s="993" t="s">
        <v>197</v>
      </c>
      <c r="AY190" s="556">
        <v>0</v>
      </c>
      <c r="AZ190" s="35"/>
      <c r="BA190" s="35"/>
      <c r="BB190" s="35"/>
      <c r="BC190" s="35">
        <f t="shared" si="123"/>
        <v>0</v>
      </c>
      <c r="BD190" s="35" t="str">
        <f t="shared" si="119"/>
        <v/>
      </c>
      <c r="BE190" s="45">
        <f t="shared" si="49"/>
        <v>0</v>
      </c>
      <c r="BF190" s="971"/>
      <c r="BG190" s="236"/>
      <c r="BH190" s="12"/>
      <c r="BI190" s="12"/>
      <c r="BJ190" s="12"/>
      <c r="BK190" s="12"/>
      <c r="BL190" s="12"/>
      <c r="BM190" s="980">
        <f t="shared" si="107"/>
        <v>720</v>
      </c>
      <c r="BN190" s="367"/>
      <c r="BO190" s="981"/>
      <c r="BP190" s="12"/>
      <c r="BQ190" s="12"/>
      <c r="BR190" s="12"/>
      <c r="BS190" s="973"/>
      <c r="BT190" s="12"/>
      <c r="BU190" s="12"/>
      <c r="BV190" s="12"/>
      <c r="BW190" s="982" t="s">
        <v>394</v>
      </c>
      <c r="BX190" s="983">
        <f t="shared" si="100"/>
        <v>0</v>
      </c>
      <c r="BY190" s="12" t="e">
        <f>VLOOKUP(B190,#REF!,13,0)</f>
        <v>#REF!</v>
      </c>
      <c r="BZ190" s="1056">
        <v>154.9</v>
      </c>
      <c r="CC190" s="1186"/>
      <c r="CD190" s="1186"/>
      <c r="CE190" s="1186"/>
      <c r="CF190" s="1187"/>
    </row>
    <row r="191" spans="1:84" ht="24.75" customHeight="1" thickBot="1">
      <c r="A191" s="524"/>
      <c r="B191" s="140" t="s">
        <v>62</v>
      </c>
      <c r="C191" s="140" t="str">
        <f>LEFT(B191,6)</f>
        <v>PPOWPF</v>
      </c>
      <c r="D191" s="630" t="s">
        <v>59</v>
      </c>
      <c r="E191" s="421" t="s">
        <v>63</v>
      </c>
      <c r="F191" s="422" t="s">
        <v>61</v>
      </c>
      <c r="G191" s="424">
        <v>900</v>
      </c>
      <c r="H191" s="1171">
        <v>83.02</v>
      </c>
      <c r="I191" s="129">
        <v>299.89999999999998</v>
      </c>
      <c r="J191" s="130" t="str">
        <f t="shared" si="125"/>
        <v/>
      </c>
      <c r="K191" s="131" t="str">
        <f t="shared" si="114"/>
        <v/>
      </c>
      <c r="L191" s="241">
        <v>212.9</v>
      </c>
      <c r="M191" s="473">
        <f t="shared" si="126"/>
        <v>187.9</v>
      </c>
      <c r="N191" s="473">
        <f t="shared" si="127"/>
        <v>187.9</v>
      </c>
      <c r="O191" s="473">
        <f t="shared" si="128"/>
        <v>187.9</v>
      </c>
      <c r="P191" s="132">
        <v>187.9</v>
      </c>
      <c r="Q191" s="132">
        <v>173.9</v>
      </c>
      <c r="R191" s="132">
        <v>170.9</v>
      </c>
      <c r="S191" s="133">
        <v>164.9</v>
      </c>
      <c r="T191" s="134" t="str">
        <f t="shared" si="108"/>
        <v/>
      </c>
      <c r="U191" s="135" t="str">
        <f t="shared" si="109"/>
        <v/>
      </c>
      <c r="V191" s="575"/>
      <c r="W191" s="694"/>
      <c r="X191" s="170"/>
      <c r="Y191" s="122" t="str">
        <f t="shared" si="116"/>
        <v/>
      </c>
      <c r="Z191" s="224">
        <f t="shared" si="66"/>
        <v>0</v>
      </c>
      <c r="AA191" s="136">
        <f t="shared" si="110"/>
        <v>0</v>
      </c>
      <c r="AB191" s="136">
        <f t="shared" si="117"/>
        <v>0</v>
      </c>
      <c r="AC191" s="136">
        <f t="shared" si="118"/>
        <v>0</v>
      </c>
      <c r="AD191" s="136">
        <f t="shared" si="51"/>
        <v>0</v>
      </c>
      <c r="AE191" s="136">
        <f t="shared" si="111"/>
        <v>0</v>
      </c>
      <c r="AF191" s="136">
        <f t="shared" si="88"/>
        <v>0</v>
      </c>
      <c r="AG191" s="137">
        <f t="shared" si="121"/>
        <v>0</v>
      </c>
      <c r="AH191" s="136">
        <f t="shared" si="112"/>
        <v>0</v>
      </c>
      <c r="AI191" s="136">
        <f t="shared" si="113"/>
        <v>0</v>
      </c>
      <c r="AJ191" s="136">
        <f t="shared" si="92"/>
        <v>0</v>
      </c>
      <c r="AK191" s="136">
        <f t="shared" si="93"/>
        <v>0</v>
      </c>
      <c r="AL191" s="136">
        <f t="shared" si="94"/>
        <v>0</v>
      </c>
      <c r="AM191" s="136">
        <f t="shared" si="122"/>
        <v>0</v>
      </c>
      <c r="AN191" s="136">
        <f t="shared" si="96"/>
        <v>0</v>
      </c>
      <c r="AO191" s="136">
        <f t="shared" si="97"/>
        <v>0</v>
      </c>
      <c r="AP191" s="138">
        <f t="shared" si="98"/>
        <v>0.6100516674495069</v>
      </c>
      <c r="AQ191" s="139">
        <f t="shared" si="99"/>
        <v>110.69333333333333</v>
      </c>
      <c r="AR191" s="537">
        <v>4</v>
      </c>
      <c r="AS191" s="202">
        <f t="shared" si="82"/>
        <v>61.005166744950692</v>
      </c>
      <c r="AT191" s="197">
        <f t="shared" si="73"/>
        <v>0</v>
      </c>
      <c r="AU191" s="199">
        <f t="shared" si="74"/>
        <v>0</v>
      </c>
      <c r="AV191" s="110"/>
      <c r="AW191" s="138" t="e">
        <f>VLOOKUP(AX191,Sup!#REF!,8,0)</f>
        <v>#REF!</v>
      </c>
      <c r="AX191" s="993" t="s">
        <v>197</v>
      </c>
      <c r="AY191" s="556">
        <v>0</v>
      </c>
      <c r="AZ191" s="35"/>
      <c r="BA191" s="35"/>
      <c r="BB191" s="35"/>
      <c r="BC191" s="35">
        <f t="shared" si="123"/>
        <v>0</v>
      </c>
      <c r="BD191" s="35" t="str">
        <f t="shared" si="119"/>
        <v/>
      </c>
      <c r="BE191" s="45">
        <f t="shared" si="49"/>
        <v>0</v>
      </c>
      <c r="BF191" s="971"/>
      <c r="BG191" s="236"/>
      <c r="BH191" s="12"/>
      <c r="BI191" s="12"/>
      <c r="BJ191" s="12"/>
      <c r="BK191" s="12"/>
      <c r="BL191" s="12"/>
      <c r="BM191" s="980">
        <f t="shared" si="107"/>
        <v>744</v>
      </c>
      <c r="BN191" s="367"/>
      <c r="BO191" s="981"/>
      <c r="BP191" s="12"/>
      <c r="BQ191" s="12"/>
      <c r="BR191" s="12"/>
      <c r="BS191" s="973"/>
      <c r="BT191" s="12"/>
      <c r="BU191" s="12"/>
      <c r="BV191" s="12"/>
      <c r="BW191" s="982" t="s">
        <v>394</v>
      </c>
      <c r="BX191" s="983">
        <f t="shared" si="100"/>
        <v>0</v>
      </c>
      <c r="BY191" s="12" t="e">
        <f>VLOOKUP(B191,#REF!,13,0)</f>
        <v>#REF!</v>
      </c>
      <c r="BZ191" s="1056">
        <v>154.9</v>
      </c>
    </row>
    <row r="192" spans="1:84" ht="24.75" customHeight="1" thickBot="1">
      <c r="A192" s="524"/>
      <c r="B192" s="140" t="s">
        <v>64</v>
      </c>
      <c r="C192" s="140" t="str">
        <f>LEFT(B192,6)</f>
        <v>PPOWPF</v>
      </c>
      <c r="D192" s="630" t="s">
        <v>59</v>
      </c>
      <c r="E192" s="421" t="s">
        <v>65</v>
      </c>
      <c r="F192" s="422" t="s">
        <v>61</v>
      </c>
      <c r="G192" s="424">
        <v>900</v>
      </c>
      <c r="H192" s="1171">
        <v>83.02</v>
      </c>
      <c r="I192" s="129">
        <v>299.89999999999998</v>
      </c>
      <c r="J192" s="130" t="str">
        <f t="shared" si="125"/>
        <v/>
      </c>
      <c r="K192" s="131" t="str">
        <f t="shared" si="114"/>
        <v/>
      </c>
      <c r="L192" s="241">
        <v>212.9</v>
      </c>
      <c r="M192" s="473">
        <f t="shared" si="126"/>
        <v>187.9</v>
      </c>
      <c r="N192" s="473">
        <f t="shared" si="127"/>
        <v>187.9</v>
      </c>
      <c r="O192" s="473">
        <f t="shared" si="128"/>
        <v>187.9</v>
      </c>
      <c r="P192" s="132">
        <v>187.9</v>
      </c>
      <c r="Q192" s="132">
        <v>173.9</v>
      </c>
      <c r="R192" s="132">
        <v>170.9</v>
      </c>
      <c r="S192" s="133">
        <v>164.9</v>
      </c>
      <c r="T192" s="134" t="str">
        <f t="shared" si="108"/>
        <v/>
      </c>
      <c r="U192" s="135" t="str">
        <f t="shared" si="109"/>
        <v/>
      </c>
      <c r="V192" s="575"/>
      <c r="W192" s="694"/>
      <c r="X192" s="170"/>
      <c r="Y192" s="122" t="str">
        <f t="shared" si="116"/>
        <v/>
      </c>
      <c r="Z192" s="224">
        <f t="shared" si="66"/>
        <v>0</v>
      </c>
      <c r="AA192" s="136">
        <f t="shared" si="110"/>
        <v>0</v>
      </c>
      <c r="AB192" s="136">
        <f t="shared" si="117"/>
        <v>0</v>
      </c>
      <c r="AC192" s="136">
        <f t="shared" si="118"/>
        <v>0</v>
      </c>
      <c r="AD192" s="136">
        <f t="shared" si="51"/>
        <v>0</v>
      </c>
      <c r="AE192" s="136">
        <f t="shared" si="111"/>
        <v>0</v>
      </c>
      <c r="AF192" s="136">
        <f t="shared" si="88"/>
        <v>0</v>
      </c>
      <c r="AG192" s="137">
        <f t="shared" si="121"/>
        <v>0</v>
      </c>
      <c r="AH192" s="136">
        <f t="shared" si="112"/>
        <v>0</v>
      </c>
      <c r="AI192" s="136">
        <f t="shared" si="113"/>
        <v>0</v>
      </c>
      <c r="AJ192" s="136">
        <f t="shared" si="92"/>
        <v>0</v>
      </c>
      <c r="AK192" s="136">
        <f t="shared" si="93"/>
        <v>0</v>
      </c>
      <c r="AL192" s="136">
        <f t="shared" si="94"/>
        <v>0</v>
      </c>
      <c r="AM192" s="136">
        <f t="shared" si="122"/>
        <v>0</v>
      </c>
      <c r="AN192" s="136">
        <f t="shared" si="96"/>
        <v>0</v>
      </c>
      <c r="AO192" s="136">
        <f t="shared" si="97"/>
        <v>0</v>
      </c>
      <c r="AP192" s="138">
        <f t="shared" si="98"/>
        <v>0.6100516674495069</v>
      </c>
      <c r="AQ192" s="139">
        <f t="shared" si="99"/>
        <v>110.69333333333333</v>
      </c>
      <c r="AR192" s="537">
        <v>4</v>
      </c>
      <c r="AS192" s="202">
        <f t="shared" si="82"/>
        <v>61.005166744950692</v>
      </c>
      <c r="AT192" s="197">
        <f t="shared" si="73"/>
        <v>0</v>
      </c>
      <c r="AU192" s="199">
        <f t="shared" si="74"/>
        <v>0</v>
      </c>
      <c r="AV192" s="110"/>
      <c r="AW192" s="138" t="e">
        <f>VLOOKUP(AX192,Sup!#REF!,8,0)</f>
        <v>#REF!</v>
      </c>
      <c r="AX192" s="993" t="s">
        <v>197</v>
      </c>
      <c r="AY192" s="556">
        <v>0</v>
      </c>
      <c r="AZ192" s="35"/>
      <c r="BA192" s="35"/>
      <c r="BB192" s="35"/>
      <c r="BC192" s="35">
        <f t="shared" si="123"/>
        <v>0</v>
      </c>
      <c r="BD192" s="35" t="str">
        <f t="shared" si="119"/>
        <v/>
      </c>
      <c r="BE192" s="45">
        <f t="shared" si="49"/>
        <v>0</v>
      </c>
      <c r="BF192" s="971"/>
      <c r="BG192" s="236"/>
      <c r="BH192" s="12"/>
      <c r="BI192" s="12"/>
      <c r="BJ192" s="12"/>
      <c r="BK192" s="12"/>
      <c r="BL192" s="12"/>
      <c r="BM192" s="980">
        <f t="shared" si="107"/>
        <v>768</v>
      </c>
      <c r="BN192" s="367"/>
      <c r="BO192" s="981"/>
      <c r="BP192" s="12"/>
      <c r="BQ192" s="12"/>
      <c r="BR192" s="12"/>
      <c r="BS192" s="973"/>
      <c r="BT192" s="12"/>
      <c r="BU192" s="12"/>
      <c r="BV192" s="12"/>
      <c r="BW192" s="982" t="s">
        <v>394</v>
      </c>
      <c r="BX192" s="983">
        <f t="shared" si="100"/>
        <v>0</v>
      </c>
      <c r="BY192" s="12" t="e">
        <f>VLOOKUP(B192,#REF!,13,0)</f>
        <v>#REF!</v>
      </c>
      <c r="BZ192" s="1056">
        <v>154.9</v>
      </c>
    </row>
    <row r="193" spans="1:79" ht="24.75" customHeight="1" thickBot="1">
      <c r="A193" s="524"/>
      <c r="B193" s="140" t="s">
        <v>66</v>
      </c>
      <c r="C193" s="140" t="str">
        <f>LEFT(B193,6)</f>
        <v>PPOWPF</v>
      </c>
      <c r="D193" s="630" t="s">
        <v>59</v>
      </c>
      <c r="E193" s="421" t="s">
        <v>67</v>
      </c>
      <c r="F193" s="422" t="s">
        <v>61</v>
      </c>
      <c r="G193" s="424">
        <v>900</v>
      </c>
      <c r="H193" s="1171">
        <v>83.02</v>
      </c>
      <c r="I193" s="129">
        <v>299.89999999999998</v>
      </c>
      <c r="J193" s="130" t="str">
        <f t="shared" si="125"/>
        <v/>
      </c>
      <c r="K193" s="131" t="str">
        <f t="shared" si="114"/>
        <v/>
      </c>
      <c r="L193" s="241">
        <v>212.9</v>
      </c>
      <c r="M193" s="473">
        <f t="shared" si="126"/>
        <v>187.9</v>
      </c>
      <c r="N193" s="473">
        <f t="shared" si="127"/>
        <v>187.9</v>
      </c>
      <c r="O193" s="473">
        <f t="shared" si="128"/>
        <v>187.9</v>
      </c>
      <c r="P193" s="132">
        <v>187.9</v>
      </c>
      <c r="Q193" s="132">
        <v>173.9</v>
      </c>
      <c r="R193" s="132">
        <v>170.9</v>
      </c>
      <c r="S193" s="133">
        <v>164.9</v>
      </c>
      <c r="T193" s="134" t="str">
        <f t="shared" si="108"/>
        <v/>
      </c>
      <c r="U193" s="135" t="str">
        <f t="shared" si="109"/>
        <v/>
      </c>
      <c r="V193" s="575"/>
      <c r="W193" s="694"/>
      <c r="X193" s="170"/>
      <c r="Y193" s="122" t="str">
        <f t="shared" si="116"/>
        <v/>
      </c>
      <c r="Z193" s="224">
        <f t="shared" si="66"/>
        <v>0</v>
      </c>
      <c r="AA193" s="136">
        <f t="shared" si="110"/>
        <v>0</v>
      </c>
      <c r="AB193" s="136">
        <f t="shared" si="117"/>
        <v>0</v>
      </c>
      <c r="AC193" s="136">
        <f t="shared" si="118"/>
        <v>0</v>
      </c>
      <c r="AD193" s="136">
        <f t="shared" si="51"/>
        <v>0</v>
      </c>
      <c r="AE193" s="136">
        <f t="shared" si="111"/>
        <v>0</v>
      </c>
      <c r="AF193" s="136">
        <f t="shared" si="88"/>
        <v>0</v>
      </c>
      <c r="AG193" s="137">
        <f t="shared" si="121"/>
        <v>0</v>
      </c>
      <c r="AH193" s="136">
        <f t="shared" si="112"/>
        <v>0</v>
      </c>
      <c r="AI193" s="136">
        <f t="shared" si="113"/>
        <v>0</v>
      </c>
      <c r="AJ193" s="136">
        <f t="shared" si="92"/>
        <v>0</v>
      </c>
      <c r="AK193" s="136">
        <f t="shared" si="93"/>
        <v>0</v>
      </c>
      <c r="AL193" s="136">
        <f t="shared" si="94"/>
        <v>0</v>
      </c>
      <c r="AM193" s="136">
        <f t="shared" si="122"/>
        <v>0</v>
      </c>
      <c r="AN193" s="136">
        <f t="shared" si="96"/>
        <v>0</v>
      </c>
      <c r="AO193" s="136">
        <f t="shared" si="97"/>
        <v>0</v>
      </c>
      <c r="AP193" s="138">
        <f t="shared" si="98"/>
        <v>0.6100516674495069</v>
      </c>
      <c r="AQ193" s="139">
        <f t="shared" si="99"/>
        <v>110.69333333333333</v>
      </c>
      <c r="AR193" s="537">
        <v>4</v>
      </c>
      <c r="AS193" s="202">
        <f t="shared" ref="AS193:AS256" si="129">(AP193-MIN($AP$65:$AP$368))/(MAX($AP$65:$AP$368)-MIN($AP$65:$AP$368))*100</f>
        <v>61.005166744950692</v>
      </c>
      <c r="AT193" s="197">
        <f t="shared" ref="AT193:AT259" si="130">IFERROR(1-(AI193/AH193),0)</f>
        <v>0</v>
      </c>
      <c r="AU193" s="199">
        <f t="shared" ref="AU193:AU259" si="131">IFERROR(AO193/AH193,0)</f>
        <v>0</v>
      </c>
      <c r="AV193" s="110"/>
      <c r="AW193" s="138" t="e">
        <f>VLOOKUP(AX193,Sup!#REF!,8,0)</f>
        <v>#REF!</v>
      </c>
      <c r="AX193" s="993" t="s">
        <v>197</v>
      </c>
      <c r="AY193" s="556">
        <v>0</v>
      </c>
      <c r="AZ193" s="35"/>
      <c r="BA193" s="35"/>
      <c r="BB193" s="35"/>
      <c r="BC193" s="35">
        <f t="shared" si="123"/>
        <v>0</v>
      </c>
      <c r="BD193" s="35" t="str">
        <f t="shared" si="119"/>
        <v/>
      </c>
      <c r="BE193" s="45">
        <f t="shared" si="49"/>
        <v>0</v>
      </c>
      <c r="BF193" s="971"/>
      <c r="BG193" s="236"/>
      <c r="BH193" s="12"/>
      <c r="BI193" s="12"/>
      <c r="BJ193" s="12"/>
      <c r="BK193" s="12"/>
      <c r="BL193" s="12"/>
      <c r="BM193" s="980">
        <f t="shared" si="107"/>
        <v>792</v>
      </c>
      <c r="BN193" s="367"/>
      <c r="BO193" s="981"/>
      <c r="BP193" s="12"/>
      <c r="BQ193" s="12"/>
      <c r="BR193" s="12"/>
      <c r="BS193" s="973"/>
      <c r="BT193" s="12"/>
      <c r="BU193" s="12"/>
      <c r="BV193" s="12"/>
      <c r="BW193" s="982" t="s">
        <v>394</v>
      </c>
      <c r="BX193" s="983">
        <f t="shared" si="100"/>
        <v>0</v>
      </c>
      <c r="BY193" s="12" t="e">
        <f>VLOOKUP(B193,#REF!,13,0)</f>
        <v>#REF!</v>
      </c>
      <c r="BZ193" s="1056">
        <v>154.9</v>
      </c>
    </row>
    <row r="194" spans="1:79" ht="24.75" customHeight="1" thickBot="1">
      <c r="A194" s="524"/>
      <c r="B194" s="140" t="s">
        <v>380</v>
      </c>
      <c r="C194" s="140" t="s">
        <v>384</v>
      </c>
      <c r="D194" s="630" t="s">
        <v>59</v>
      </c>
      <c r="E194" s="421" t="s">
        <v>76</v>
      </c>
      <c r="F194" s="422" t="s">
        <v>61</v>
      </c>
      <c r="G194" s="424">
        <v>900</v>
      </c>
      <c r="H194" s="1171">
        <v>83.02</v>
      </c>
      <c r="I194" s="129">
        <v>299.89999999999998</v>
      </c>
      <c r="J194" s="130" t="str">
        <f t="shared" si="125"/>
        <v/>
      </c>
      <c r="K194" s="131" t="str">
        <f t="shared" si="114"/>
        <v/>
      </c>
      <c r="L194" s="241">
        <v>212.9</v>
      </c>
      <c r="M194" s="473">
        <f t="shared" si="126"/>
        <v>187.9</v>
      </c>
      <c r="N194" s="473">
        <f t="shared" si="127"/>
        <v>187.9</v>
      </c>
      <c r="O194" s="473">
        <f t="shared" si="128"/>
        <v>187.9</v>
      </c>
      <c r="P194" s="132">
        <v>187.9</v>
      </c>
      <c r="Q194" s="132">
        <v>173.9</v>
      </c>
      <c r="R194" s="132">
        <v>170.9</v>
      </c>
      <c r="S194" s="133">
        <v>164.9</v>
      </c>
      <c r="T194" s="134" t="str">
        <f t="shared" si="108"/>
        <v/>
      </c>
      <c r="U194" s="135" t="str">
        <f t="shared" si="109"/>
        <v/>
      </c>
      <c r="V194" s="575"/>
      <c r="W194" s="694"/>
      <c r="X194" s="170"/>
      <c r="Y194" s="122" t="str">
        <f t="shared" si="116"/>
        <v/>
      </c>
      <c r="Z194" s="224">
        <f t="shared" si="66"/>
        <v>0</v>
      </c>
      <c r="AA194" s="136">
        <f t="shared" si="110"/>
        <v>0</v>
      </c>
      <c r="AB194" s="136">
        <f t="shared" si="117"/>
        <v>0</v>
      </c>
      <c r="AC194" s="136">
        <f t="shared" si="118"/>
        <v>0</v>
      </c>
      <c r="AD194" s="136">
        <f t="shared" si="51"/>
        <v>0</v>
      </c>
      <c r="AE194" s="136">
        <f t="shared" si="111"/>
        <v>0</v>
      </c>
      <c r="AF194" s="136">
        <f t="shared" si="88"/>
        <v>0</v>
      </c>
      <c r="AG194" s="137">
        <f t="shared" si="121"/>
        <v>0</v>
      </c>
      <c r="AH194" s="136">
        <f t="shared" si="112"/>
        <v>0</v>
      </c>
      <c r="AI194" s="136">
        <f t="shared" si="113"/>
        <v>0</v>
      </c>
      <c r="AJ194" s="136">
        <f t="shared" si="92"/>
        <v>0</v>
      </c>
      <c r="AK194" s="136">
        <f t="shared" si="93"/>
        <v>0</v>
      </c>
      <c r="AL194" s="136">
        <f t="shared" si="94"/>
        <v>0</v>
      </c>
      <c r="AM194" s="136">
        <f t="shared" si="122"/>
        <v>0</v>
      </c>
      <c r="AN194" s="136">
        <f t="shared" si="96"/>
        <v>0</v>
      </c>
      <c r="AO194" s="136">
        <f t="shared" si="97"/>
        <v>0</v>
      </c>
      <c r="AP194" s="138">
        <f t="shared" si="98"/>
        <v>0.6100516674495069</v>
      </c>
      <c r="AQ194" s="139">
        <f t="shared" si="99"/>
        <v>110.69333333333333</v>
      </c>
      <c r="AR194" s="537">
        <v>4</v>
      </c>
      <c r="AS194" s="202">
        <f t="shared" si="129"/>
        <v>61.005166744950692</v>
      </c>
      <c r="AT194" s="197">
        <f t="shared" si="130"/>
        <v>0</v>
      </c>
      <c r="AU194" s="199">
        <f t="shared" si="131"/>
        <v>0</v>
      </c>
      <c r="AV194" s="110"/>
      <c r="AW194" s="138" t="e">
        <f>VLOOKUP(AX194,Sup!#REF!,8,0)</f>
        <v>#REF!</v>
      </c>
      <c r="AX194" s="993" t="s">
        <v>197</v>
      </c>
      <c r="AY194" s="556">
        <v>0</v>
      </c>
      <c r="AZ194" s="35"/>
      <c r="BA194" s="35"/>
      <c r="BB194" s="35"/>
      <c r="BC194" s="35">
        <f t="shared" si="123"/>
        <v>0</v>
      </c>
      <c r="BD194" s="35" t="str">
        <f t="shared" si="119"/>
        <v/>
      </c>
      <c r="BE194" s="45">
        <f t="shared" si="49"/>
        <v>0</v>
      </c>
      <c r="BF194" s="971"/>
      <c r="BG194" s="236"/>
      <c r="BH194" s="12"/>
      <c r="BI194" s="12"/>
      <c r="BJ194" s="12"/>
      <c r="BK194" s="12"/>
      <c r="BL194" s="12"/>
      <c r="BM194" s="980">
        <f t="shared" si="107"/>
        <v>816</v>
      </c>
      <c r="BN194" s="367"/>
      <c r="BO194" s="981"/>
      <c r="BP194" s="12"/>
      <c r="BQ194" s="12"/>
      <c r="BR194" s="12"/>
      <c r="BS194" s="973"/>
      <c r="BT194" s="12"/>
      <c r="BU194" s="12"/>
      <c r="BV194" s="12"/>
      <c r="BW194" s="982" t="s">
        <v>394</v>
      </c>
      <c r="BX194" s="983">
        <f t="shared" si="100"/>
        <v>0</v>
      </c>
      <c r="BY194" s="12" t="e">
        <f>VLOOKUP(B194,#REF!,13,0)</f>
        <v>#REF!</v>
      </c>
      <c r="BZ194" s="1056">
        <v>154.9</v>
      </c>
    </row>
    <row r="195" spans="1:79" ht="24.75" customHeight="1" thickBot="1">
      <c r="A195" s="524"/>
      <c r="B195" s="95" t="s">
        <v>381</v>
      </c>
      <c r="C195" s="140" t="s">
        <v>384</v>
      </c>
      <c r="D195" s="630" t="s">
        <v>59</v>
      </c>
      <c r="E195" s="421" t="s">
        <v>275</v>
      </c>
      <c r="F195" s="422" t="s">
        <v>61</v>
      </c>
      <c r="G195" s="424">
        <v>900</v>
      </c>
      <c r="H195" s="1171">
        <v>83.02</v>
      </c>
      <c r="I195" s="129">
        <v>299.89999999999998</v>
      </c>
      <c r="J195" s="130" t="str">
        <f t="shared" si="125"/>
        <v/>
      </c>
      <c r="K195" s="131" t="str">
        <f t="shared" si="114"/>
        <v/>
      </c>
      <c r="L195" s="241">
        <v>212.9</v>
      </c>
      <c r="M195" s="132">
        <f t="shared" si="126"/>
        <v>187.9</v>
      </c>
      <c r="N195" s="132">
        <f t="shared" si="127"/>
        <v>187.9</v>
      </c>
      <c r="O195" s="132">
        <f t="shared" si="128"/>
        <v>187.9</v>
      </c>
      <c r="P195" s="132">
        <v>187.9</v>
      </c>
      <c r="Q195" s="132">
        <v>173.9</v>
      </c>
      <c r="R195" s="132">
        <v>170.9</v>
      </c>
      <c r="S195" s="133">
        <v>164.9</v>
      </c>
      <c r="T195" s="134" t="str">
        <f t="shared" si="108"/>
        <v/>
      </c>
      <c r="U195" s="135" t="str">
        <f t="shared" si="109"/>
        <v/>
      </c>
      <c r="V195" s="575"/>
      <c r="W195" s="694"/>
      <c r="X195" s="170"/>
      <c r="Y195" s="122" t="str">
        <f t="shared" si="116"/>
        <v/>
      </c>
      <c r="Z195" s="224">
        <f t="shared" si="66"/>
        <v>0</v>
      </c>
      <c r="AA195" s="136">
        <f t="shared" si="110"/>
        <v>0</v>
      </c>
      <c r="AB195" s="136">
        <f t="shared" si="117"/>
        <v>0</v>
      </c>
      <c r="AC195" s="136">
        <f t="shared" si="118"/>
        <v>0</v>
      </c>
      <c r="AD195" s="136">
        <f t="shared" si="51"/>
        <v>0</v>
      </c>
      <c r="AE195" s="136">
        <f t="shared" si="111"/>
        <v>0</v>
      </c>
      <c r="AF195" s="136">
        <f t="shared" si="88"/>
        <v>0</v>
      </c>
      <c r="AG195" s="137">
        <f t="shared" si="121"/>
        <v>0</v>
      </c>
      <c r="AH195" s="136">
        <f t="shared" si="112"/>
        <v>0</v>
      </c>
      <c r="AI195" s="136">
        <f t="shared" si="113"/>
        <v>0</v>
      </c>
      <c r="AJ195" s="136">
        <f t="shared" si="92"/>
        <v>0</v>
      </c>
      <c r="AK195" s="136">
        <f t="shared" si="93"/>
        <v>0</v>
      </c>
      <c r="AL195" s="136">
        <f t="shared" si="94"/>
        <v>0</v>
      </c>
      <c r="AM195" s="136">
        <f t="shared" si="122"/>
        <v>0</v>
      </c>
      <c r="AN195" s="136">
        <f t="shared" si="96"/>
        <v>0</v>
      </c>
      <c r="AO195" s="136">
        <f t="shared" si="97"/>
        <v>0</v>
      </c>
      <c r="AP195" s="138">
        <f t="shared" si="98"/>
        <v>0.6100516674495069</v>
      </c>
      <c r="AQ195" s="139">
        <f t="shared" si="99"/>
        <v>110.69333333333333</v>
      </c>
      <c r="AR195" s="537">
        <v>4</v>
      </c>
      <c r="AS195" s="202">
        <f t="shared" si="129"/>
        <v>61.005166744950692</v>
      </c>
      <c r="AT195" s="197">
        <f t="shared" si="130"/>
        <v>0</v>
      </c>
      <c r="AU195" s="199">
        <f t="shared" si="131"/>
        <v>0</v>
      </c>
      <c r="AV195" s="110"/>
      <c r="AW195" s="138" t="e">
        <f>VLOOKUP(AX195,Sup!#REF!,8,0)</f>
        <v>#REF!</v>
      </c>
      <c r="AX195" s="993" t="s">
        <v>197</v>
      </c>
      <c r="AY195" s="556">
        <v>0</v>
      </c>
      <c r="AZ195" s="35"/>
      <c r="BA195" s="35"/>
      <c r="BB195" s="35"/>
      <c r="BC195" s="35">
        <f t="shared" si="123"/>
        <v>0</v>
      </c>
      <c r="BD195" s="35" t="str">
        <f t="shared" si="119"/>
        <v/>
      </c>
      <c r="BE195" s="45">
        <f t="shared" si="49"/>
        <v>0</v>
      </c>
      <c r="BF195" s="971"/>
      <c r="BG195" s="236"/>
      <c r="BH195" s="12"/>
      <c r="BI195" s="12"/>
      <c r="BJ195" s="12"/>
      <c r="BK195" s="12"/>
      <c r="BL195" s="12"/>
      <c r="BM195" s="980">
        <f t="shared" si="107"/>
        <v>840</v>
      </c>
      <c r="BN195" s="367"/>
      <c r="BO195" s="981"/>
      <c r="BP195" s="12"/>
      <c r="BQ195" s="12"/>
      <c r="BR195" s="12"/>
      <c r="BS195" s="973"/>
      <c r="BT195" s="12"/>
      <c r="BU195" s="12"/>
      <c r="BV195" s="12"/>
      <c r="BW195" s="982" t="s">
        <v>394</v>
      </c>
      <c r="BX195" s="983">
        <f t="shared" si="100"/>
        <v>0</v>
      </c>
      <c r="BY195" s="12" t="e">
        <f>VLOOKUP(B195,#REF!,13,0)</f>
        <v>#REF!</v>
      </c>
      <c r="BZ195" s="1056">
        <v>154.9</v>
      </c>
    </row>
    <row r="196" spans="1:79" ht="24.75" customHeight="1" thickBot="1">
      <c r="A196" s="524"/>
      <c r="B196" s="95" t="s">
        <v>382</v>
      </c>
      <c r="C196" s="140" t="s">
        <v>384</v>
      </c>
      <c r="D196" s="633" t="s">
        <v>59</v>
      </c>
      <c r="E196" s="526" t="s">
        <v>276</v>
      </c>
      <c r="F196" s="527" t="s">
        <v>61</v>
      </c>
      <c r="G196" s="634">
        <v>900</v>
      </c>
      <c r="H196" s="1172">
        <v>83.02</v>
      </c>
      <c r="I196" s="337">
        <v>299.89999999999998</v>
      </c>
      <c r="J196" s="338" t="str">
        <f t="shared" si="125"/>
        <v/>
      </c>
      <c r="K196" s="339" t="str">
        <f t="shared" si="114"/>
        <v/>
      </c>
      <c r="L196" s="340">
        <v>212.9</v>
      </c>
      <c r="M196" s="341">
        <f t="shared" si="126"/>
        <v>187.9</v>
      </c>
      <c r="N196" s="341">
        <f t="shared" si="127"/>
        <v>187.9</v>
      </c>
      <c r="O196" s="341">
        <f t="shared" si="128"/>
        <v>187.9</v>
      </c>
      <c r="P196" s="341">
        <v>187.9</v>
      </c>
      <c r="Q196" s="341">
        <v>173.9</v>
      </c>
      <c r="R196" s="341">
        <v>170.9</v>
      </c>
      <c r="S196" s="342">
        <v>164.9</v>
      </c>
      <c r="T196" s="343" t="str">
        <f t="shared" si="108"/>
        <v/>
      </c>
      <c r="U196" s="344" t="str">
        <f t="shared" si="109"/>
        <v/>
      </c>
      <c r="V196" s="1115"/>
      <c r="W196" s="1116"/>
      <c r="X196" s="635"/>
      <c r="Y196" s="345" t="str">
        <f t="shared" si="116"/>
        <v/>
      </c>
      <c r="Z196" s="346">
        <f t="shared" si="66"/>
        <v>0</v>
      </c>
      <c r="AA196" s="347">
        <f t="shared" si="110"/>
        <v>0</v>
      </c>
      <c r="AB196" s="347">
        <f t="shared" ref="AB196:AB213" si="132">IFERROR(IF(OR($AA$373&gt;=$S$26,SUMIF($C:$C,C196,$W:$W)&gt;=$S$27),S196,IF(OR($AA$373&gt;=$R$26,SUMIF($C:$C,C196,$W:$W)&gt;=$R$27),R196,IF(OR($AA$373&gt;=$Q$26,SUMIF($C:$C,C196,$W:$W)&gt;=$Q$27),Q196,IF(OR($AA$373&gt;=$P$26,SUMIF($C:$C,C196,$W:$W)&gt;=$P$27),P196,IF(OR($AA$373&gt;=$O$26,SUMIF($C:$C,C196,$W:$W)&gt;=$O$27),O196,IF(OR($AA$373&gt;=$N$26,SUMIF($C:$C,C196,$W:$W)&gt;=$N$27),N196,IF($AA$373&gt;=$M$26,M196,L196)))))))*W196,0)</f>
        <v>0</v>
      </c>
      <c r="AC196" s="347">
        <f t="shared" ref="AC196:AC213" si="133">IFERROR(IF(V196="",0,(IF(AND(W196="",X196=""),"",IF(OR($AA$373&gt;=$S$26,SUMIF($C:$C,C196,$W:$W)&gt;=$S$27),S196*$E$13,IF(OR($AA$373&gt;=$R$26,SUMIF($C:$C,C196,$W:$W)&gt;=$R$27),R196*$E$13,IF(OR($AA$373&gt;=$Q$26,SUMIF($C:$C,C196,$W:$W)&gt;=$Q$27),Q196*$E$13,IF(OR($AA$373&gt;=$P$26,SUMIF($C:$C,C196,$W:$W)&gt;=$P$27),P196*$E$13,IF(OR($AA$373&gt;=$O$26,SUMIF($C:$C,C196,$W:$W)&gt;=$O$27),O196*$E$13,IF(OR($AA$373&gt;=$N$26,SUMIF($C:$C,C196,$W:$W)&gt;=$N$27),N196*$E$13,IF($AA$373&gt;=$M$26,M196*$E$13,L196))))))))-V196)*W196),0)</f>
        <v>0</v>
      </c>
      <c r="AD196" s="347">
        <f t="shared" si="51"/>
        <v>0</v>
      </c>
      <c r="AE196" s="347">
        <f t="shared" si="111"/>
        <v>0</v>
      </c>
      <c r="AF196" s="347">
        <f t="shared" si="88"/>
        <v>0</v>
      </c>
      <c r="AG196" s="348">
        <f t="shared" si="121"/>
        <v>0</v>
      </c>
      <c r="AH196" s="347">
        <f t="shared" si="112"/>
        <v>0</v>
      </c>
      <c r="AI196" s="347">
        <f t="shared" si="113"/>
        <v>0</v>
      </c>
      <c r="AJ196" s="347">
        <f t="shared" si="92"/>
        <v>0</v>
      </c>
      <c r="AK196" s="347">
        <f t="shared" si="93"/>
        <v>0</v>
      </c>
      <c r="AL196" s="347">
        <f t="shared" si="94"/>
        <v>0</v>
      </c>
      <c r="AM196" s="347">
        <f t="shared" si="122"/>
        <v>0</v>
      </c>
      <c r="AN196" s="347">
        <f t="shared" si="96"/>
        <v>0</v>
      </c>
      <c r="AO196" s="347">
        <f t="shared" si="97"/>
        <v>0</v>
      </c>
      <c r="AP196" s="349">
        <f t="shared" si="98"/>
        <v>0.6100516674495069</v>
      </c>
      <c r="AQ196" s="350">
        <f t="shared" si="99"/>
        <v>110.69333333333333</v>
      </c>
      <c r="AR196" s="546">
        <v>4</v>
      </c>
      <c r="AS196" s="528">
        <f t="shared" si="129"/>
        <v>61.005166744950692</v>
      </c>
      <c r="AT196" s="529">
        <f t="shared" si="130"/>
        <v>0</v>
      </c>
      <c r="AU196" s="530">
        <f t="shared" si="131"/>
        <v>0</v>
      </c>
      <c r="AV196" s="351"/>
      <c r="AW196" s="349" t="e">
        <f>VLOOKUP(AX196,Sup!#REF!,8,0)</f>
        <v>#REF!</v>
      </c>
      <c r="AX196" s="998" t="s">
        <v>197</v>
      </c>
      <c r="AY196" s="556">
        <v>0</v>
      </c>
      <c r="AZ196" s="32"/>
      <c r="BA196" s="32"/>
      <c r="BB196" s="32"/>
      <c r="BC196" s="32">
        <f t="shared" si="123"/>
        <v>0</v>
      </c>
      <c r="BD196" s="32" t="str">
        <f t="shared" ref="BD196:BD218" si="134">IFERROR(IF(AND(W196="",X196=""),"",IF(OR($AA$373&gt;=$S$26,SUMIF($C:$C,C196,$W:$W)&gt;=$S$27),S196,IF(OR($AA$373&gt;=$R$26,SUMIF($C:$C,C196,$W:$W)&gt;=$R$27),R196,IF(OR($AA$373&gt;=$Q$26,SUMIF($C:$C,C196,$W:$W)&gt;=$Q$27),Q196,IF(OR($AA$373&gt;=$P$26,SUMIF($C:$C,C196,$W:$W)&gt;=$P$27),P196,IF(OR($AA$373&gt;=$O$26,SUMIF($C:$C,C196,$W:$W)&gt;=$O$27),O196,IF(OR($AA$373&gt;=$N$26,SUMIF($C:$C,C196,$W:$W)&gt;=$N$27),N196,IF($AA$373&gt;=$M$26,M196,L196)))))))*$E$13),0)</f>
        <v/>
      </c>
      <c r="BE196" s="40">
        <f t="shared" si="49"/>
        <v>0</v>
      </c>
      <c r="BF196" s="971"/>
      <c r="BG196" s="236"/>
      <c r="BH196" s="12"/>
      <c r="BI196" s="12"/>
      <c r="BJ196" s="12"/>
      <c r="BK196" s="12"/>
      <c r="BL196" s="12"/>
      <c r="BM196" s="980">
        <f t="shared" si="107"/>
        <v>864</v>
      </c>
      <c r="BN196" s="367"/>
      <c r="BO196" s="981"/>
      <c r="BP196" s="12"/>
      <c r="BQ196" s="12"/>
      <c r="BR196" s="12"/>
      <c r="BS196" s="973"/>
      <c r="BT196" s="12"/>
      <c r="BU196" s="12"/>
      <c r="BV196" s="12"/>
      <c r="BW196" s="982" t="s">
        <v>394</v>
      </c>
      <c r="BX196" s="983">
        <f t="shared" si="100"/>
        <v>0</v>
      </c>
      <c r="BY196" s="12" t="e">
        <f>VLOOKUP(B196,#REF!,13,0)</f>
        <v>#REF!</v>
      </c>
      <c r="BZ196" s="1060">
        <v>154.9</v>
      </c>
    </row>
    <row r="197" spans="1:79" ht="35.25" customHeight="1" thickBot="1">
      <c r="A197" s="1871"/>
      <c r="B197" s="300" t="s">
        <v>249</v>
      </c>
      <c r="C197" s="300" t="s">
        <v>252</v>
      </c>
      <c r="D197" s="420" t="s">
        <v>210</v>
      </c>
      <c r="E197" s="421" t="s">
        <v>70</v>
      </c>
      <c r="F197" s="422" t="s">
        <v>123</v>
      </c>
      <c r="G197" s="423">
        <v>26</v>
      </c>
      <c r="H197" s="1165">
        <v>27.9</v>
      </c>
      <c r="I197" s="129">
        <v>149</v>
      </c>
      <c r="J197" s="130" t="str">
        <f t="shared" si="125"/>
        <v/>
      </c>
      <c r="K197" s="131" t="str">
        <f t="shared" si="114"/>
        <v/>
      </c>
      <c r="L197" s="241">
        <v>128.9</v>
      </c>
      <c r="M197" s="473">
        <f t="shared" si="126"/>
        <v>108.9</v>
      </c>
      <c r="N197" s="473">
        <f t="shared" si="127"/>
        <v>108.9</v>
      </c>
      <c r="O197" s="473">
        <f t="shared" si="128"/>
        <v>108.9</v>
      </c>
      <c r="P197" s="132">
        <v>108.9</v>
      </c>
      <c r="Q197" s="132">
        <v>98.9</v>
      </c>
      <c r="R197" s="132">
        <v>88.9</v>
      </c>
      <c r="S197" s="133">
        <v>78.900000000000006</v>
      </c>
      <c r="T197" s="134" t="str">
        <f t="shared" si="108"/>
        <v/>
      </c>
      <c r="U197" s="135" t="str">
        <f t="shared" si="109"/>
        <v/>
      </c>
      <c r="V197" s="575"/>
      <c r="W197" s="694"/>
      <c r="X197" s="170"/>
      <c r="Y197" s="122" t="str">
        <f t="shared" si="116"/>
        <v/>
      </c>
      <c r="Z197" s="224">
        <f t="shared" si="66"/>
        <v>0</v>
      </c>
      <c r="AA197" s="136">
        <f t="shared" si="110"/>
        <v>0</v>
      </c>
      <c r="AB197" s="136">
        <f t="shared" si="132"/>
        <v>0</v>
      </c>
      <c r="AC197" s="136">
        <f t="shared" si="133"/>
        <v>0</v>
      </c>
      <c r="AD197" s="136">
        <f t="shared" si="51"/>
        <v>0</v>
      </c>
      <c r="AE197" s="136">
        <f t="shared" si="41"/>
        <v>0</v>
      </c>
      <c r="AF197" s="136">
        <f t="shared" si="42"/>
        <v>0</v>
      </c>
      <c r="AG197" s="137">
        <f t="shared" si="43"/>
        <v>0</v>
      </c>
      <c r="AH197" s="136">
        <f t="shared" si="44"/>
        <v>0</v>
      </c>
      <c r="AI197" s="136">
        <f t="shared" si="45"/>
        <v>0</v>
      </c>
      <c r="AJ197" s="136">
        <f t="shared" si="92"/>
        <v>0</v>
      </c>
      <c r="AK197" s="136">
        <f t="shared" si="93"/>
        <v>0</v>
      </c>
      <c r="AL197" s="136">
        <f t="shared" si="94"/>
        <v>0</v>
      </c>
      <c r="AM197" s="136">
        <f t="shared" si="46"/>
        <v>0</v>
      </c>
      <c r="AN197" s="136">
        <f t="shared" si="96"/>
        <v>0</v>
      </c>
      <c r="AO197" s="136">
        <f t="shared" si="97"/>
        <v>0</v>
      </c>
      <c r="AP197" s="138">
        <f t="shared" si="47"/>
        <v>0.78355314197051984</v>
      </c>
      <c r="AQ197" s="139">
        <f t="shared" si="48"/>
        <v>37.199999999999996</v>
      </c>
      <c r="AR197" s="537">
        <v>8</v>
      </c>
      <c r="AS197" s="519">
        <f t="shared" si="129"/>
        <v>78.355314197051982</v>
      </c>
      <c r="AT197" s="106">
        <f t="shared" si="130"/>
        <v>0</v>
      </c>
      <c r="AU197" s="109">
        <f t="shared" si="131"/>
        <v>0</v>
      </c>
      <c r="AV197" s="110"/>
      <c r="AW197" s="138" t="e">
        <f>VLOOKUP(AX197,Sup!#REF!,8,0)</f>
        <v>#REF!</v>
      </c>
      <c r="AX197" s="993" t="s">
        <v>197</v>
      </c>
      <c r="AY197" s="556">
        <v>0</v>
      </c>
      <c r="AZ197" s="35"/>
      <c r="BA197" s="35"/>
      <c r="BB197" s="35"/>
      <c r="BC197" s="35">
        <f t="shared" si="123"/>
        <v>0</v>
      </c>
      <c r="BD197" s="35" t="str">
        <f t="shared" si="134"/>
        <v/>
      </c>
      <c r="BE197" s="45">
        <f t="shared" si="49"/>
        <v>0</v>
      </c>
      <c r="BF197" s="971"/>
      <c r="BG197" s="236"/>
      <c r="BH197" s="12"/>
      <c r="BI197" s="12"/>
      <c r="BJ197" s="12"/>
      <c r="BK197" s="12"/>
      <c r="BL197" s="12"/>
      <c r="BM197" s="980">
        <f t="shared" si="107"/>
        <v>888</v>
      </c>
      <c r="BN197" s="367"/>
      <c r="BO197" s="981"/>
      <c r="BP197" s="12"/>
      <c r="BQ197" s="12"/>
      <c r="BR197" s="12"/>
      <c r="BS197" s="973"/>
      <c r="BT197" s="12"/>
      <c r="BU197" s="12"/>
      <c r="BV197" s="12"/>
      <c r="BW197" s="982" t="s">
        <v>394</v>
      </c>
      <c r="BX197" s="983">
        <f t="shared" si="100"/>
        <v>0</v>
      </c>
      <c r="BY197" s="12" t="e">
        <f>VLOOKUP(B197,#REF!,13,0)</f>
        <v>#REF!</v>
      </c>
      <c r="BZ197" s="1056">
        <v>67.900000000000006</v>
      </c>
      <c r="CA197" s="1181" t="e">
        <f>VLOOKUP(B197,Pedido!$B$16:$L$292,22,0)</f>
        <v>#N/A</v>
      </c>
    </row>
    <row r="198" spans="1:79" ht="35.25" customHeight="1" thickBot="1">
      <c r="A198" s="1872"/>
      <c r="B198" s="140" t="s">
        <v>250</v>
      </c>
      <c r="C198" s="140" t="s">
        <v>252</v>
      </c>
      <c r="D198" s="420" t="s">
        <v>210</v>
      </c>
      <c r="E198" s="421" t="s">
        <v>72</v>
      </c>
      <c r="F198" s="422" t="s">
        <v>123</v>
      </c>
      <c r="G198" s="423">
        <v>26</v>
      </c>
      <c r="H198" s="1165">
        <v>27.9</v>
      </c>
      <c r="I198" s="129">
        <v>149</v>
      </c>
      <c r="J198" s="130" t="str">
        <f t="shared" si="125"/>
        <v/>
      </c>
      <c r="K198" s="131" t="str">
        <f t="shared" si="114"/>
        <v/>
      </c>
      <c r="L198" s="241">
        <v>128.9</v>
      </c>
      <c r="M198" s="473">
        <f t="shared" si="126"/>
        <v>108.9</v>
      </c>
      <c r="N198" s="473">
        <f t="shared" si="127"/>
        <v>108.9</v>
      </c>
      <c r="O198" s="473">
        <f t="shared" si="128"/>
        <v>108.9</v>
      </c>
      <c r="P198" s="132">
        <v>108.9</v>
      </c>
      <c r="Q198" s="132">
        <v>98.9</v>
      </c>
      <c r="R198" s="132">
        <v>88.9</v>
      </c>
      <c r="S198" s="133">
        <v>78.900000000000006</v>
      </c>
      <c r="T198" s="134" t="str">
        <f t="shared" si="108"/>
        <v/>
      </c>
      <c r="U198" s="135" t="str">
        <f t="shared" si="109"/>
        <v/>
      </c>
      <c r="V198" s="575"/>
      <c r="W198" s="694"/>
      <c r="X198" s="170"/>
      <c r="Y198" s="122" t="str">
        <f t="shared" si="116"/>
        <v/>
      </c>
      <c r="Z198" s="224">
        <f t="shared" ref="Z198:Z264" si="135">IF(X198&gt;W198,-1,IF(W198=0,0,IF(U198&lt;(H198/0.75),-1,IF(W198&lt;=3,0,0.0001))))</f>
        <v>0</v>
      </c>
      <c r="AA198" s="136">
        <f t="shared" si="110"/>
        <v>0</v>
      </c>
      <c r="AB198" s="136">
        <f t="shared" si="132"/>
        <v>0</v>
      </c>
      <c r="AC198" s="136">
        <f t="shared" si="133"/>
        <v>0</v>
      </c>
      <c r="AD198" s="136">
        <f t="shared" si="51"/>
        <v>0</v>
      </c>
      <c r="AE198" s="136">
        <f t="shared" si="41"/>
        <v>0</v>
      </c>
      <c r="AF198" s="136">
        <f t="shared" si="42"/>
        <v>0</v>
      </c>
      <c r="AG198" s="137">
        <f t="shared" si="43"/>
        <v>0</v>
      </c>
      <c r="AH198" s="136">
        <f t="shared" si="44"/>
        <v>0</v>
      </c>
      <c r="AI198" s="136">
        <f t="shared" si="45"/>
        <v>0</v>
      </c>
      <c r="AJ198" s="136">
        <f t="shared" si="92"/>
        <v>0</v>
      </c>
      <c r="AK198" s="136">
        <f t="shared" si="93"/>
        <v>0</v>
      </c>
      <c r="AL198" s="136">
        <f t="shared" si="94"/>
        <v>0</v>
      </c>
      <c r="AM198" s="136">
        <f t="shared" si="46"/>
        <v>0</v>
      </c>
      <c r="AN198" s="136">
        <f t="shared" si="96"/>
        <v>0</v>
      </c>
      <c r="AO198" s="136">
        <f t="shared" si="97"/>
        <v>0</v>
      </c>
      <c r="AP198" s="138">
        <f t="shared" si="47"/>
        <v>0.78355314197051984</v>
      </c>
      <c r="AQ198" s="139">
        <f t="shared" si="48"/>
        <v>37.199999999999996</v>
      </c>
      <c r="AR198" s="537">
        <v>8</v>
      </c>
      <c r="AS198" s="202">
        <f t="shared" si="129"/>
        <v>78.355314197051982</v>
      </c>
      <c r="AT198" s="197">
        <f t="shared" si="130"/>
        <v>0</v>
      </c>
      <c r="AU198" s="199">
        <f t="shared" si="131"/>
        <v>0</v>
      </c>
      <c r="AV198" s="110"/>
      <c r="AW198" s="138" t="e">
        <f>VLOOKUP(AX198,Sup!#REF!,8,0)</f>
        <v>#REF!</v>
      </c>
      <c r="AX198" s="993" t="s">
        <v>197</v>
      </c>
      <c r="AY198" s="556">
        <v>0</v>
      </c>
      <c r="AZ198" s="35"/>
      <c r="BA198" s="35"/>
      <c r="BB198" s="35"/>
      <c r="BC198" s="35">
        <f t="shared" si="123"/>
        <v>0</v>
      </c>
      <c r="BD198" s="35" t="str">
        <f t="shared" si="134"/>
        <v/>
      </c>
      <c r="BE198" s="45">
        <f t="shared" si="49"/>
        <v>0</v>
      </c>
      <c r="BF198" s="971"/>
      <c r="BG198" s="236"/>
      <c r="BH198" s="12"/>
      <c r="BI198" s="12"/>
      <c r="BJ198" s="12"/>
      <c r="BK198" s="12"/>
      <c r="BL198" s="12"/>
      <c r="BM198" s="980">
        <f t="shared" si="107"/>
        <v>912</v>
      </c>
      <c r="BN198" s="367"/>
      <c r="BO198" s="981"/>
      <c r="BP198" s="12"/>
      <c r="BQ198" s="12"/>
      <c r="BR198" s="12"/>
      <c r="BS198" s="973"/>
      <c r="BT198" s="12"/>
      <c r="BU198" s="12"/>
      <c r="BV198" s="12"/>
      <c r="BW198" s="982" t="s">
        <v>394</v>
      </c>
      <c r="BX198" s="983">
        <f t="shared" si="100"/>
        <v>0</v>
      </c>
      <c r="BY198" s="12" t="e">
        <f>VLOOKUP(B198,#REF!,13,0)</f>
        <v>#REF!</v>
      </c>
      <c r="BZ198" s="1056">
        <v>67.900000000000006</v>
      </c>
      <c r="CA198" s="1181" t="e">
        <f>VLOOKUP(B198,Pedido!$B$16:$L$292,22,0)</f>
        <v>#N/A</v>
      </c>
    </row>
    <row r="199" spans="1:79" ht="35.25" customHeight="1" thickBot="1">
      <c r="A199" s="1872"/>
      <c r="B199" s="95" t="s">
        <v>251</v>
      </c>
      <c r="C199" s="95" t="s">
        <v>252</v>
      </c>
      <c r="D199" s="400" t="s">
        <v>210</v>
      </c>
      <c r="E199" s="401" t="s">
        <v>74</v>
      </c>
      <c r="F199" s="402" t="s">
        <v>123</v>
      </c>
      <c r="G199" s="426">
        <v>26</v>
      </c>
      <c r="H199" s="1173">
        <v>27.9</v>
      </c>
      <c r="I199" s="129">
        <v>149</v>
      </c>
      <c r="J199" s="130" t="str">
        <f t="shared" si="125"/>
        <v/>
      </c>
      <c r="K199" s="131" t="str">
        <f t="shared" si="114"/>
        <v/>
      </c>
      <c r="L199" s="241">
        <v>128.9</v>
      </c>
      <c r="M199" s="473">
        <f t="shared" si="126"/>
        <v>108.9</v>
      </c>
      <c r="N199" s="473">
        <f t="shared" si="127"/>
        <v>108.9</v>
      </c>
      <c r="O199" s="473">
        <f t="shared" si="128"/>
        <v>108.9</v>
      </c>
      <c r="P199" s="132">
        <v>108.9</v>
      </c>
      <c r="Q199" s="132">
        <v>98.9</v>
      </c>
      <c r="R199" s="132">
        <v>88.9</v>
      </c>
      <c r="S199" s="100">
        <v>78.900000000000006</v>
      </c>
      <c r="T199" s="101" t="str">
        <f t="shared" si="108"/>
        <v/>
      </c>
      <c r="U199" s="102" t="str">
        <f t="shared" si="109"/>
        <v/>
      </c>
      <c r="V199" s="1107"/>
      <c r="W199" s="696"/>
      <c r="X199" s="171"/>
      <c r="Y199" s="103" t="str">
        <f t="shared" si="116"/>
        <v/>
      </c>
      <c r="Z199" s="225">
        <f t="shared" si="135"/>
        <v>0</v>
      </c>
      <c r="AA199" s="104">
        <f t="shared" si="110"/>
        <v>0</v>
      </c>
      <c r="AB199" s="104">
        <f t="shared" si="132"/>
        <v>0</v>
      </c>
      <c r="AC199" s="104">
        <f t="shared" si="133"/>
        <v>0</v>
      </c>
      <c r="AD199" s="104">
        <f t="shared" si="51"/>
        <v>0</v>
      </c>
      <c r="AE199" s="104">
        <f t="shared" ref="AE199:AE265" si="136">IFERROR(W199*H199,0)</f>
        <v>0</v>
      </c>
      <c r="AF199" s="104">
        <f t="shared" ref="AF199:AF265" si="137">IFERROR(1-(AE199/AB199),0)</f>
        <v>0</v>
      </c>
      <c r="AG199" s="105">
        <f t="shared" ref="AG199:AG265" si="138">IFERROR(SUM(W199:X199)*I199,0)</f>
        <v>0</v>
      </c>
      <c r="AH199" s="104">
        <f t="shared" ref="AH199:AH265" si="139">IFERROR(IF(V199&gt;0,V199*W199,(Y199*W199)),0)</f>
        <v>0</v>
      </c>
      <c r="AI199" s="104">
        <f t="shared" ref="AI199:AI265" si="140">IFERROR(SUM(W199)*H199,0)</f>
        <v>0</v>
      </c>
      <c r="AJ199" s="104">
        <f t="shared" si="92"/>
        <v>0</v>
      </c>
      <c r="AK199" s="104">
        <f t="shared" si="93"/>
        <v>0</v>
      </c>
      <c r="AL199" s="104">
        <f t="shared" si="94"/>
        <v>0</v>
      </c>
      <c r="AM199" s="104">
        <f t="shared" ref="AM199:AM265" si="141">SUM(AJ199:AL199)</f>
        <v>0</v>
      </c>
      <c r="AN199" s="104">
        <f t="shared" si="96"/>
        <v>0</v>
      </c>
      <c r="AO199" s="104">
        <f t="shared" si="97"/>
        <v>0</v>
      </c>
      <c r="AP199" s="106">
        <f t="shared" ref="AP199:AP265" si="142">IFERROR(IF(V199&lt;&gt;"",1-(H199/V199),IF(Y199&lt;&gt;"",1-(H199/Y199),1-(H199/L199))),0)</f>
        <v>0.78355314197051984</v>
      </c>
      <c r="AQ199" s="107">
        <f t="shared" ref="AQ199:AQ265" si="143">H199/0.75</f>
        <v>37.199999999999996</v>
      </c>
      <c r="AR199" s="534">
        <v>8</v>
      </c>
      <c r="AS199" s="202">
        <f t="shared" si="129"/>
        <v>78.355314197051982</v>
      </c>
      <c r="AT199" s="197">
        <f t="shared" si="130"/>
        <v>0</v>
      </c>
      <c r="AU199" s="199">
        <f t="shared" si="131"/>
        <v>0</v>
      </c>
      <c r="AV199" s="110"/>
      <c r="AW199" s="106" t="e">
        <f>VLOOKUP(AX199,Sup!#REF!,8,0)</f>
        <v>#REF!</v>
      </c>
      <c r="AX199" s="990" t="s">
        <v>197</v>
      </c>
      <c r="AY199" s="556">
        <v>0</v>
      </c>
      <c r="AZ199" s="32"/>
      <c r="BA199" s="32"/>
      <c r="BB199" s="32"/>
      <c r="BC199" s="32">
        <f t="shared" si="123"/>
        <v>0</v>
      </c>
      <c r="BD199" s="32" t="str">
        <f t="shared" si="134"/>
        <v/>
      </c>
      <c r="BE199" s="40">
        <f t="shared" si="49"/>
        <v>0</v>
      </c>
      <c r="BF199" s="971"/>
      <c r="BG199" s="236"/>
      <c r="BH199" s="12"/>
      <c r="BI199" s="12"/>
      <c r="BJ199" s="12"/>
      <c r="BK199" s="12"/>
      <c r="BL199" s="12"/>
      <c r="BM199" s="980">
        <f t="shared" si="107"/>
        <v>936</v>
      </c>
      <c r="BN199" s="367"/>
      <c r="BO199" s="981"/>
      <c r="BP199" s="12"/>
      <c r="BQ199" s="12"/>
      <c r="BR199" s="12"/>
      <c r="BS199" s="973"/>
      <c r="BT199" s="12"/>
      <c r="BU199" s="12"/>
      <c r="BV199" s="12"/>
      <c r="BW199" s="982" t="s">
        <v>394</v>
      </c>
      <c r="BX199" s="983">
        <f t="shared" si="100"/>
        <v>0</v>
      </c>
      <c r="BY199" s="12" t="e">
        <f>VLOOKUP(B199,#REF!,13,0)</f>
        <v>#REF!</v>
      </c>
      <c r="BZ199" s="1056">
        <v>67.900000000000006</v>
      </c>
      <c r="CA199" s="1181" t="e">
        <f>VLOOKUP(B199,Pedido!$B$16:$L$292,22,0)</f>
        <v>#N/A</v>
      </c>
    </row>
    <row r="200" spans="1:79" ht="35.25" customHeight="1" thickBot="1">
      <c r="A200" s="1872"/>
      <c r="B200" s="114" t="s">
        <v>68</v>
      </c>
      <c r="C200" s="114" t="str">
        <f>LEFT(B200,6)</f>
        <v>PPOFVG</v>
      </c>
      <c r="D200" s="412" t="s">
        <v>69</v>
      </c>
      <c r="E200" s="413" t="s">
        <v>70</v>
      </c>
      <c r="F200" s="414" t="s">
        <v>61</v>
      </c>
      <c r="G200" s="425">
        <v>520</v>
      </c>
      <c r="H200" s="1171">
        <v>42.29</v>
      </c>
      <c r="I200" s="115">
        <v>199.9</v>
      </c>
      <c r="J200" s="116" t="str">
        <f t="shared" si="125"/>
        <v/>
      </c>
      <c r="K200" s="117" t="str">
        <f t="shared" si="114"/>
        <v/>
      </c>
      <c r="L200" s="239">
        <v>142.9</v>
      </c>
      <c r="M200" s="472">
        <f t="shared" si="126"/>
        <v>125.9</v>
      </c>
      <c r="N200" s="472">
        <f t="shared" si="127"/>
        <v>125.9</v>
      </c>
      <c r="O200" s="472">
        <f t="shared" si="128"/>
        <v>125.9</v>
      </c>
      <c r="P200" s="118">
        <v>125.9</v>
      </c>
      <c r="Q200" s="118">
        <v>115.9</v>
      </c>
      <c r="R200" s="118">
        <v>113.9</v>
      </c>
      <c r="S200" s="133">
        <v>109.9</v>
      </c>
      <c r="T200" s="120" t="str">
        <f t="shared" si="108"/>
        <v/>
      </c>
      <c r="U200" s="121" t="str">
        <f t="shared" si="109"/>
        <v/>
      </c>
      <c r="V200" s="575"/>
      <c r="W200" s="694"/>
      <c r="X200" s="170"/>
      <c r="Y200" s="122" t="str">
        <f t="shared" si="116"/>
        <v/>
      </c>
      <c r="Z200" s="224">
        <f t="shared" si="135"/>
        <v>0</v>
      </c>
      <c r="AA200" s="136">
        <f t="shared" si="110"/>
        <v>0</v>
      </c>
      <c r="AB200" s="123">
        <f t="shared" si="132"/>
        <v>0</v>
      </c>
      <c r="AC200" s="123">
        <f t="shared" si="133"/>
        <v>0</v>
      </c>
      <c r="AD200" s="123">
        <f t="shared" si="51"/>
        <v>0</v>
      </c>
      <c r="AE200" s="123">
        <f t="shared" si="136"/>
        <v>0</v>
      </c>
      <c r="AF200" s="123">
        <f t="shared" si="137"/>
        <v>0</v>
      </c>
      <c r="AG200" s="124">
        <f t="shared" si="138"/>
        <v>0</v>
      </c>
      <c r="AH200" s="123">
        <f t="shared" si="139"/>
        <v>0</v>
      </c>
      <c r="AI200" s="123">
        <f t="shared" si="140"/>
        <v>0</v>
      </c>
      <c r="AJ200" s="123">
        <f t="shared" si="92"/>
        <v>0</v>
      </c>
      <c r="AK200" s="123">
        <f t="shared" si="93"/>
        <v>0</v>
      </c>
      <c r="AL200" s="123">
        <f t="shared" si="94"/>
        <v>0</v>
      </c>
      <c r="AM200" s="123">
        <f t="shared" si="141"/>
        <v>0</v>
      </c>
      <c r="AN200" s="123">
        <f t="shared" si="96"/>
        <v>0</v>
      </c>
      <c r="AO200" s="123">
        <f t="shared" si="97"/>
        <v>0</v>
      </c>
      <c r="AP200" s="125">
        <f t="shared" si="142"/>
        <v>0.7040587823652904</v>
      </c>
      <c r="AQ200" s="126">
        <f t="shared" si="143"/>
        <v>56.386666666666663</v>
      </c>
      <c r="AR200" s="535">
        <v>5</v>
      </c>
      <c r="AS200" s="202">
        <f t="shared" si="129"/>
        <v>70.405878236529034</v>
      </c>
      <c r="AT200" s="197">
        <f t="shared" si="130"/>
        <v>0</v>
      </c>
      <c r="AU200" s="199">
        <f t="shared" si="131"/>
        <v>0</v>
      </c>
      <c r="AV200" s="110"/>
      <c r="AW200" s="138" t="e">
        <f>VLOOKUP(AX200,Sup!#REF!,8,0)</f>
        <v>#REF!</v>
      </c>
      <c r="AX200" s="993" t="s">
        <v>197</v>
      </c>
      <c r="AY200" s="556">
        <v>0</v>
      </c>
      <c r="AZ200" s="35"/>
      <c r="BA200" s="35"/>
      <c r="BB200" s="35"/>
      <c r="BC200" s="35">
        <f t="shared" si="123"/>
        <v>0</v>
      </c>
      <c r="BD200" s="35" t="str">
        <f t="shared" si="134"/>
        <v/>
      </c>
      <c r="BE200" s="45">
        <f t="shared" si="49"/>
        <v>0</v>
      </c>
      <c r="BF200" s="971"/>
      <c r="BG200" s="236"/>
      <c r="BH200" s="12"/>
      <c r="BI200" s="12"/>
      <c r="BJ200" s="12"/>
      <c r="BK200" s="12"/>
      <c r="BL200" s="12"/>
      <c r="BM200" s="980">
        <f t="shared" si="107"/>
        <v>960</v>
      </c>
      <c r="BN200" s="367"/>
      <c r="BO200" s="981"/>
      <c r="BP200" s="12"/>
      <c r="BQ200" s="12"/>
      <c r="BR200" s="12"/>
      <c r="BS200" s="973"/>
      <c r="BT200" s="12"/>
      <c r="BU200" s="12"/>
      <c r="BV200" s="12"/>
      <c r="BW200" s="982" t="s">
        <v>394</v>
      </c>
      <c r="BX200" s="983">
        <f t="shared" si="100"/>
        <v>0</v>
      </c>
      <c r="BY200" s="12" t="e">
        <f>VLOOKUP(B200,#REF!,13,0)</f>
        <v>#REF!</v>
      </c>
      <c r="BZ200" s="1055">
        <v>98.9</v>
      </c>
      <c r="CA200" s="1181" t="e">
        <f>VLOOKUP(B200,Pedido!$B$16:$L$292,22,0)</f>
        <v>#N/A</v>
      </c>
    </row>
    <row r="201" spans="1:79" ht="35.25" customHeight="1" thickBot="1">
      <c r="A201" s="1872"/>
      <c r="B201" s="140" t="s">
        <v>71</v>
      </c>
      <c r="C201" s="140" t="str">
        <f>LEFT(B201,6)</f>
        <v>PPOFVG</v>
      </c>
      <c r="D201" s="420" t="s">
        <v>69</v>
      </c>
      <c r="E201" s="421" t="s">
        <v>72</v>
      </c>
      <c r="F201" s="422" t="s">
        <v>61</v>
      </c>
      <c r="G201" s="423">
        <v>520</v>
      </c>
      <c r="H201" s="1153">
        <v>42.29</v>
      </c>
      <c r="I201" s="129">
        <v>199.9</v>
      </c>
      <c r="J201" s="130" t="str">
        <f t="shared" si="125"/>
        <v/>
      </c>
      <c r="K201" s="131" t="str">
        <f t="shared" si="114"/>
        <v/>
      </c>
      <c r="L201" s="241">
        <v>142.9</v>
      </c>
      <c r="M201" s="473">
        <f t="shared" si="126"/>
        <v>125.9</v>
      </c>
      <c r="N201" s="473">
        <f t="shared" si="127"/>
        <v>125.9</v>
      </c>
      <c r="O201" s="473">
        <f t="shared" si="128"/>
        <v>125.9</v>
      </c>
      <c r="P201" s="132">
        <v>125.9</v>
      </c>
      <c r="Q201" s="132">
        <v>115.9</v>
      </c>
      <c r="R201" s="132">
        <v>113.9</v>
      </c>
      <c r="S201" s="133">
        <v>109.9</v>
      </c>
      <c r="T201" s="134" t="str">
        <f t="shared" si="108"/>
        <v/>
      </c>
      <c r="U201" s="135" t="str">
        <f t="shared" si="109"/>
        <v/>
      </c>
      <c r="V201" s="575"/>
      <c r="W201" s="694"/>
      <c r="X201" s="170"/>
      <c r="Y201" s="122" t="str">
        <f t="shared" si="116"/>
        <v/>
      </c>
      <c r="Z201" s="224">
        <f t="shared" si="135"/>
        <v>0</v>
      </c>
      <c r="AA201" s="136">
        <f t="shared" si="110"/>
        <v>0</v>
      </c>
      <c r="AB201" s="136">
        <f t="shared" si="132"/>
        <v>0</v>
      </c>
      <c r="AC201" s="136">
        <f t="shared" si="133"/>
        <v>0</v>
      </c>
      <c r="AD201" s="136">
        <f t="shared" si="51"/>
        <v>0</v>
      </c>
      <c r="AE201" s="136">
        <f t="shared" si="136"/>
        <v>0</v>
      </c>
      <c r="AF201" s="136">
        <f t="shared" si="137"/>
        <v>0</v>
      </c>
      <c r="AG201" s="137">
        <f t="shared" si="138"/>
        <v>0</v>
      </c>
      <c r="AH201" s="136">
        <f t="shared" si="139"/>
        <v>0</v>
      </c>
      <c r="AI201" s="136">
        <f t="shared" si="140"/>
        <v>0</v>
      </c>
      <c r="AJ201" s="136">
        <f t="shared" si="92"/>
        <v>0</v>
      </c>
      <c r="AK201" s="136">
        <f t="shared" si="93"/>
        <v>0</v>
      </c>
      <c r="AL201" s="136">
        <f t="shared" si="94"/>
        <v>0</v>
      </c>
      <c r="AM201" s="136">
        <f t="shared" si="141"/>
        <v>0</v>
      </c>
      <c r="AN201" s="136">
        <f t="shared" si="96"/>
        <v>0</v>
      </c>
      <c r="AO201" s="136">
        <f t="shared" si="97"/>
        <v>0</v>
      </c>
      <c r="AP201" s="138">
        <f t="shared" si="142"/>
        <v>0.7040587823652904</v>
      </c>
      <c r="AQ201" s="139">
        <f t="shared" si="143"/>
        <v>56.386666666666663</v>
      </c>
      <c r="AR201" s="537">
        <v>5</v>
      </c>
      <c r="AS201" s="202">
        <f t="shared" si="129"/>
        <v>70.405878236529034</v>
      </c>
      <c r="AT201" s="197">
        <f t="shared" si="130"/>
        <v>0</v>
      </c>
      <c r="AU201" s="199">
        <f t="shared" si="131"/>
        <v>0</v>
      </c>
      <c r="AV201" s="110"/>
      <c r="AW201" s="138" t="e">
        <f>VLOOKUP(AX201,Sup!#REF!,8,0)</f>
        <v>#REF!</v>
      </c>
      <c r="AX201" s="993" t="s">
        <v>197</v>
      </c>
      <c r="AY201" s="556">
        <v>0</v>
      </c>
      <c r="AZ201" s="35"/>
      <c r="BA201" s="35"/>
      <c r="BB201" s="35"/>
      <c r="BC201" s="35">
        <f t="shared" si="123"/>
        <v>0</v>
      </c>
      <c r="BD201" s="35" t="str">
        <f t="shared" si="134"/>
        <v/>
      </c>
      <c r="BE201" s="45">
        <f t="shared" si="49"/>
        <v>0</v>
      </c>
      <c r="BF201" s="971"/>
      <c r="BG201" s="236"/>
      <c r="BH201" s="12"/>
      <c r="BI201" s="12"/>
      <c r="BJ201" s="12"/>
      <c r="BK201" s="12"/>
      <c r="BL201" s="12"/>
      <c r="BM201" s="980">
        <f t="shared" si="107"/>
        <v>984</v>
      </c>
      <c r="BN201" s="367"/>
      <c r="BO201" s="981"/>
      <c r="BP201" s="12"/>
      <c r="BQ201" s="12"/>
      <c r="BR201" s="12"/>
      <c r="BS201" s="973"/>
      <c r="BT201" s="12"/>
      <c r="BU201" s="12"/>
      <c r="BV201" s="12"/>
      <c r="BW201" s="982" t="s">
        <v>394</v>
      </c>
      <c r="BX201" s="983">
        <f t="shared" si="100"/>
        <v>0</v>
      </c>
      <c r="BY201" s="12" t="e">
        <f>VLOOKUP(B201,#REF!,13,0)</f>
        <v>#REF!</v>
      </c>
      <c r="BZ201" s="1056">
        <v>98.9</v>
      </c>
      <c r="CA201" s="1181" t="e">
        <f>VLOOKUP(B201,Pedido!$B$16:$L$292,22,0)</f>
        <v>#N/A</v>
      </c>
    </row>
    <row r="202" spans="1:79" ht="35.25" customHeight="1" thickBot="1">
      <c r="A202" s="1873"/>
      <c r="B202" s="336" t="s">
        <v>73</v>
      </c>
      <c r="C202" s="336" t="str">
        <f>LEFT(B202,6)</f>
        <v>PPOFVG</v>
      </c>
      <c r="D202" s="525" t="s">
        <v>69</v>
      </c>
      <c r="E202" s="526" t="s">
        <v>74</v>
      </c>
      <c r="F202" s="527" t="s">
        <v>61</v>
      </c>
      <c r="G202" s="531">
        <v>520</v>
      </c>
      <c r="H202" s="1157">
        <v>42.29</v>
      </c>
      <c r="I202" s="337">
        <v>199.9</v>
      </c>
      <c r="J202" s="338" t="str">
        <f t="shared" si="125"/>
        <v/>
      </c>
      <c r="K202" s="339" t="str">
        <f t="shared" si="114"/>
        <v/>
      </c>
      <c r="L202" s="340">
        <v>142.9</v>
      </c>
      <c r="M202" s="482">
        <f t="shared" si="126"/>
        <v>125.9</v>
      </c>
      <c r="N202" s="482">
        <f t="shared" si="127"/>
        <v>125.9</v>
      </c>
      <c r="O202" s="482">
        <f t="shared" si="128"/>
        <v>125.9</v>
      </c>
      <c r="P202" s="341">
        <v>125.9</v>
      </c>
      <c r="Q202" s="341">
        <v>115.9</v>
      </c>
      <c r="R202" s="341">
        <v>113.9</v>
      </c>
      <c r="S202" s="342">
        <v>109.9</v>
      </c>
      <c r="T202" s="343" t="str">
        <f t="shared" si="108"/>
        <v/>
      </c>
      <c r="U202" s="344" t="str">
        <f t="shared" si="109"/>
        <v/>
      </c>
      <c r="V202" s="1115"/>
      <c r="W202" s="1116"/>
      <c r="X202" s="635"/>
      <c r="Y202" s="345" t="str">
        <f t="shared" si="116"/>
        <v/>
      </c>
      <c r="Z202" s="346">
        <f t="shared" si="135"/>
        <v>0</v>
      </c>
      <c r="AA202" s="347">
        <f t="shared" si="110"/>
        <v>0</v>
      </c>
      <c r="AB202" s="347">
        <f t="shared" si="132"/>
        <v>0</v>
      </c>
      <c r="AC202" s="347">
        <f t="shared" si="133"/>
        <v>0</v>
      </c>
      <c r="AD202" s="347">
        <f t="shared" si="51"/>
        <v>0</v>
      </c>
      <c r="AE202" s="347">
        <f t="shared" si="136"/>
        <v>0</v>
      </c>
      <c r="AF202" s="347">
        <f t="shared" si="137"/>
        <v>0</v>
      </c>
      <c r="AG202" s="348">
        <f t="shared" si="138"/>
        <v>0</v>
      </c>
      <c r="AH202" s="347">
        <f t="shared" si="139"/>
        <v>0</v>
      </c>
      <c r="AI202" s="347">
        <f t="shared" si="140"/>
        <v>0</v>
      </c>
      <c r="AJ202" s="347">
        <f t="shared" si="92"/>
        <v>0</v>
      </c>
      <c r="AK202" s="347">
        <f t="shared" si="93"/>
        <v>0</v>
      </c>
      <c r="AL202" s="347">
        <f t="shared" si="94"/>
        <v>0</v>
      </c>
      <c r="AM202" s="347">
        <f t="shared" si="141"/>
        <v>0</v>
      </c>
      <c r="AN202" s="347">
        <f t="shared" si="96"/>
        <v>0</v>
      </c>
      <c r="AO202" s="347">
        <f t="shared" si="97"/>
        <v>0</v>
      </c>
      <c r="AP202" s="349">
        <f t="shared" si="142"/>
        <v>0.7040587823652904</v>
      </c>
      <c r="AQ202" s="350">
        <f t="shared" si="143"/>
        <v>56.386666666666663</v>
      </c>
      <c r="AR202" s="546">
        <v>5</v>
      </c>
      <c r="AS202" s="528">
        <f t="shared" si="129"/>
        <v>70.405878236529034</v>
      </c>
      <c r="AT202" s="529">
        <f t="shared" si="130"/>
        <v>0</v>
      </c>
      <c r="AU202" s="530">
        <f t="shared" si="131"/>
        <v>0</v>
      </c>
      <c r="AV202" s="351"/>
      <c r="AW202" s="349" t="e">
        <f>VLOOKUP(AX202,Sup!#REF!,8,0)</f>
        <v>#REF!</v>
      </c>
      <c r="AX202" s="998" t="s">
        <v>197</v>
      </c>
      <c r="AY202" s="556">
        <v>0</v>
      </c>
      <c r="AZ202" s="32"/>
      <c r="BA202" s="32"/>
      <c r="BB202" s="32"/>
      <c r="BC202" s="32">
        <f t="shared" si="123"/>
        <v>0</v>
      </c>
      <c r="BD202" s="32" t="str">
        <f t="shared" si="134"/>
        <v/>
      </c>
      <c r="BE202" s="40">
        <f t="shared" si="49"/>
        <v>0</v>
      </c>
      <c r="BF202" s="971"/>
      <c r="BG202" s="236"/>
      <c r="BH202" s="12"/>
      <c r="BI202" s="12"/>
      <c r="BJ202" s="12"/>
      <c r="BK202" s="12"/>
      <c r="BL202" s="12"/>
      <c r="BM202" s="980">
        <f t="shared" si="107"/>
        <v>1008</v>
      </c>
      <c r="BN202" s="367"/>
      <c r="BO202" s="981"/>
      <c r="BP202" s="12"/>
      <c r="BQ202" s="12"/>
      <c r="BR202" s="12"/>
      <c r="BS202" s="973"/>
      <c r="BT202" s="12"/>
      <c r="BU202" s="12"/>
      <c r="BV202" s="12"/>
      <c r="BW202" s="982" t="s">
        <v>394</v>
      </c>
      <c r="BX202" s="983">
        <f t="shared" si="100"/>
        <v>0</v>
      </c>
      <c r="BY202" s="12" t="e">
        <f>VLOOKUP(B202,#REF!,13,0)</f>
        <v>#REF!</v>
      </c>
      <c r="BZ202" s="1060">
        <v>98.9</v>
      </c>
      <c r="CA202" s="1181" t="e">
        <f>VLOOKUP(B202,Pedido!$B$16:$L$292,22,0)</f>
        <v>#N/A</v>
      </c>
    </row>
    <row r="203" spans="1:79" ht="35.25" customHeight="1" thickBot="1">
      <c r="A203" s="524"/>
      <c r="B203" s="140" t="s">
        <v>375</v>
      </c>
      <c r="C203" s="140" t="s">
        <v>253</v>
      </c>
      <c r="D203" s="369" t="s">
        <v>122</v>
      </c>
      <c r="E203" s="370" t="s">
        <v>376</v>
      </c>
      <c r="F203" s="371" t="s">
        <v>123</v>
      </c>
      <c r="G203" s="373">
        <v>28</v>
      </c>
      <c r="H203" s="1153">
        <v>23.1</v>
      </c>
      <c r="I203" s="129">
        <v>119</v>
      </c>
      <c r="J203" s="130" t="str">
        <f t="shared" si="125"/>
        <v/>
      </c>
      <c r="K203" s="131" t="str">
        <f t="shared" si="114"/>
        <v/>
      </c>
      <c r="L203" s="241">
        <v>108.9</v>
      </c>
      <c r="M203" s="473">
        <f t="shared" si="126"/>
        <v>98.9</v>
      </c>
      <c r="N203" s="473">
        <f t="shared" si="127"/>
        <v>98.9</v>
      </c>
      <c r="O203" s="473">
        <f t="shared" si="128"/>
        <v>98.9</v>
      </c>
      <c r="P203" s="132">
        <v>98.9</v>
      </c>
      <c r="Q203" s="132">
        <v>88.9</v>
      </c>
      <c r="R203" s="132">
        <v>78.900000000000006</v>
      </c>
      <c r="S203" s="133">
        <v>68.900000000000006</v>
      </c>
      <c r="T203" s="134" t="str">
        <f t="shared" si="108"/>
        <v/>
      </c>
      <c r="U203" s="135" t="str">
        <f t="shared" si="109"/>
        <v/>
      </c>
      <c r="V203" s="575"/>
      <c r="W203" s="694"/>
      <c r="X203" s="170"/>
      <c r="Y203" s="122" t="str">
        <f t="shared" si="116"/>
        <v/>
      </c>
      <c r="Z203" s="224">
        <f t="shared" si="135"/>
        <v>0</v>
      </c>
      <c r="AA203" s="136">
        <f t="shared" si="110"/>
        <v>0</v>
      </c>
      <c r="AB203" s="136">
        <f t="shared" si="132"/>
        <v>0</v>
      </c>
      <c r="AC203" s="136">
        <f t="shared" si="133"/>
        <v>0</v>
      </c>
      <c r="AD203" s="136">
        <f t="shared" ref="AD203:AD269" si="144">IFERROR(X203*T203,0)</f>
        <v>0</v>
      </c>
      <c r="AE203" s="136">
        <f t="shared" si="136"/>
        <v>0</v>
      </c>
      <c r="AF203" s="136">
        <f t="shared" si="137"/>
        <v>0</v>
      </c>
      <c r="AG203" s="137">
        <f t="shared" si="138"/>
        <v>0</v>
      </c>
      <c r="AH203" s="136">
        <f t="shared" si="139"/>
        <v>0</v>
      </c>
      <c r="AI203" s="136">
        <f t="shared" si="140"/>
        <v>0</v>
      </c>
      <c r="AJ203" s="136">
        <f t="shared" si="92"/>
        <v>0</v>
      </c>
      <c r="AK203" s="136">
        <f t="shared" si="93"/>
        <v>0</v>
      </c>
      <c r="AL203" s="136">
        <f t="shared" si="94"/>
        <v>0</v>
      </c>
      <c r="AM203" s="136">
        <f t="shared" si="141"/>
        <v>0</v>
      </c>
      <c r="AN203" s="136">
        <f t="shared" si="96"/>
        <v>0</v>
      </c>
      <c r="AO203" s="136">
        <f t="shared" si="97"/>
        <v>0</v>
      </c>
      <c r="AP203" s="138">
        <f t="shared" si="142"/>
        <v>0.78787878787878785</v>
      </c>
      <c r="AQ203" s="139">
        <f t="shared" si="143"/>
        <v>30.8</v>
      </c>
      <c r="AR203" s="537">
        <v>8</v>
      </c>
      <c r="AS203" s="519">
        <f t="shared" si="129"/>
        <v>78.787878787878782</v>
      </c>
      <c r="AT203" s="106">
        <f t="shared" si="130"/>
        <v>0</v>
      </c>
      <c r="AU203" s="109">
        <f t="shared" si="131"/>
        <v>0</v>
      </c>
      <c r="AV203" s="110"/>
      <c r="AW203" s="138" t="e">
        <f>VLOOKUP(AX203,Sup!#REF!,8,0)</f>
        <v>#REF!</v>
      </c>
      <c r="AX203" s="1008" t="s">
        <v>199</v>
      </c>
      <c r="AY203" s="556">
        <v>0</v>
      </c>
      <c r="AZ203" s="35"/>
      <c r="BA203" s="35"/>
      <c r="BB203" s="35"/>
      <c r="BC203" s="35">
        <f t="shared" si="123"/>
        <v>0</v>
      </c>
      <c r="BD203" s="35" t="str">
        <f t="shared" si="134"/>
        <v/>
      </c>
      <c r="BE203" s="45">
        <f t="shared" ref="BE203:BE269" si="145">IF(V203="",0,(V203*W203)-(BD203*W203))</f>
        <v>0</v>
      </c>
      <c r="BF203" s="971"/>
      <c r="BG203" s="236"/>
      <c r="BH203" s="12"/>
      <c r="BI203" s="12"/>
      <c r="BJ203" s="12"/>
      <c r="BK203" s="12"/>
      <c r="BL203" s="12"/>
      <c r="BM203" s="980">
        <f t="shared" si="107"/>
        <v>1032</v>
      </c>
      <c r="BN203" s="367"/>
      <c r="BO203" s="981"/>
      <c r="BP203" s="12"/>
      <c r="BQ203" s="12"/>
      <c r="BR203" s="12"/>
      <c r="BS203" s="973"/>
      <c r="BT203" s="12"/>
      <c r="BU203" s="12"/>
      <c r="BV203" s="12"/>
      <c r="BW203" s="982" t="s">
        <v>392</v>
      </c>
      <c r="BX203" s="983">
        <f t="shared" si="100"/>
        <v>0</v>
      </c>
      <c r="BY203" s="12" t="e">
        <f>VLOOKUP(B203,#REF!,13,0)</f>
        <v>#REF!</v>
      </c>
      <c r="BZ203" s="1056">
        <v>58.9</v>
      </c>
      <c r="CA203" s="1181" t="e">
        <f>VLOOKUP(B203,Pedido!$B$16:$L$292,22,0)</f>
        <v>#N/A</v>
      </c>
    </row>
    <row r="204" spans="1:79" ht="33" customHeight="1" thickBot="1">
      <c r="A204" s="524"/>
      <c r="B204" s="140" t="s">
        <v>254</v>
      </c>
      <c r="C204" s="140" t="s">
        <v>253</v>
      </c>
      <c r="D204" s="369" t="s">
        <v>122</v>
      </c>
      <c r="E204" s="370" t="s">
        <v>70</v>
      </c>
      <c r="F204" s="371" t="s">
        <v>123</v>
      </c>
      <c r="G204" s="372">
        <v>28</v>
      </c>
      <c r="H204" s="1153">
        <v>23.1</v>
      </c>
      <c r="I204" s="129">
        <v>119</v>
      </c>
      <c r="J204" s="130" t="str">
        <f t="shared" si="125"/>
        <v/>
      </c>
      <c r="K204" s="131" t="str">
        <f t="shared" si="114"/>
        <v/>
      </c>
      <c r="L204" s="241">
        <v>108.9</v>
      </c>
      <c r="M204" s="473">
        <f t="shared" si="126"/>
        <v>98.9</v>
      </c>
      <c r="N204" s="473">
        <f t="shared" si="127"/>
        <v>98.9</v>
      </c>
      <c r="O204" s="473">
        <f t="shared" si="128"/>
        <v>98.9</v>
      </c>
      <c r="P204" s="132">
        <v>98.9</v>
      </c>
      <c r="Q204" s="132">
        <v>88.9</v>
      </c>
      <c r="R204" s="132">
        <v>78.900000000000006</v>
      </c>
      <c r="S204" s="133">
        <v>68.900000000000006</v>
      </c>
      <c r="T204" s="134" t="str">
        <f t="shared" si="108"/>
        <v/>
      </c>
      <c r="U204" s="135" t="str">
        <f t="shared" si="109"/>
        <v/>
      </c>
      <c r="V204" s="575"/>
      <c r="W204" s="694"/>
      <c r="X204" s="170"/>
      <c r="Y204" s="122" t="str">
        <f t="shared" si="116"/>
        <v/>
      </c>
      <c r="Z204" s="224">
        <f t="shared" si="135"/>
        <v>0</v>
      </c>
      <c r="AA204" s="136">
        <f t="shared" si="110"/>
        <v>0</v>
      </c>
      <c r="AB204" s="136">
        <f t="shared" si="132"/>
        <v>0</v>
      </c>
      <c r="AC204" s="136">
        <f t="shared" si="133"/>
        <v>0</v>
      </c>
      <c r="AD204" s="136">
        <f t="shared" si="144"/>
        <v>0</v>
      </c>
      <c r="AE204" s="136">
        <f t="shared" si="136"/>
        <v>0</v>
      </c>
      <c r="AF204" s="136">
        <f t="shared" si="137"/>
        <v>0</v>
      </c>
      <c r="AG204" s="137">
        <f t="shared" si="138"/>
        <v>0</v>
      </c>
      <c r="AH204" s="136">
        <f t="shared" si="139"/>
        <v>0</v>
      </c>
      <c r="AI204" s="136">
        <f t="shared" si="140"/>
        <v>0</v>
      </c>
      <c r="AJ204" s="136">
        <f t="shared" si="92"/>
        <v>0</v>
      </c>
      <c r="AK204" s="136">
        <f t="shared" si="93"/>
        <v>0</v>
      </c>
      <c r="AL204" s="136">
        <f t="shared" si="94"/>
        <v>0</v>
      </c>
      <c r="AM204" s="136">
        <f t="shared" si="141"/>
        <v>0</v>
      </c>
      <c r="AN204" s="136">
        <f t="shared" si="96"/>
        <v>0</v>
      </c>
      <c r="AO204" s="136">
        <f t="shared" si="97"/>
        <v>0</v>
      </c>
      <c r="AP204" s="138">
        <f t="shared" si="142"/>
        <v>0.78787878787878785</v>
      </c>
      <c r="AQ204" s="139">
        <f t="shared" si="143"/>
        <v>30.8</v>
      </c>
      <c r="AR204" s="537">
        <v>8</v>
      </c>
      <c r="AS204" s="202">
        <f t="shared" si="129"/>
        <v>78.787878787878782</v>
      </c>
      <c r="AT204" s="197">
        <f t="shared" si="130"/>
        <v>0</v>
      </c>
      <c r="AU204" s="199">
        <f t="shared" si="131"/>
        <v>0</v>
      </c>
      <c r="AV204" s="110"/>
      <c r="AW204" s="138" t="e">
        <f>VLOOKUP(AX204,Sup!#REF!,8,0)</f>
        <v>#REF!</v>
      </c>
      <c r="AX204" s="1008" t="s">
        <v>199</v>
      </c>
      <c r="AY204" s="556">
        <v>0</v>
      </c>
      <c r="AZ204" s="35"/>
      <c r="BA204" s="35"/>
      <c r="BB204" s="35"/>
      <c r="BC204" s="35">
        <f t="shared" si="123"/>
        <v>0</v>
      </c>
      <c r="BD204" s="35" t="str">
        <f t="shared" si="134"/>
        <v/>
      </c>
      <c r="BE204" s="45">
        <f t="shared" si="145"/>
        <v>0</v>
      </c>
      <c r="BF204" s="971"/>
      <c r="BG204" s="236"/>
      <c r="BH204" s="12"/>
      <c r="BI204" s="12"/>
      <c r="BJ204" s="12"/>
      <c r="BK204" s="12"/>
      <c r="BL204" s="12"/>
      <c r="BM204" s="980">
        <f t="shared" si="107"/>
        <v>1056</v>
      </c>
      <c r="BN204" s="367"/>
      <c r="BO204" s="981"/>
      <c r="BP204" s="12"/>
      <c r="BQ204" s="12"/>
      <c r="BR204" s="12"/>
      <c r="BS204" s="973"/>
      <c r="BT204" s="12"/>
      <c r="BU204" s="12"/>
      <c r="BV204" s="12"/>
      <c r="BW204" s="982" t="s">
        <v>392</v>
      </c>
      <c r="BX204" s="983">
        <f t="shared" si="100"/>
        <v>0</v>
      </c>
      <c r="BY204" s="12" t="e">
        <f>VLOOKUP(B204,#REF!,13,0)</f>
        <v>#REF!</v>
      </c>
      <c r="BZ204" s="1056">
        <v>58.9</v>
      </c>
      <c r="CA204" s="1181" t="e">
        <f>VLOOKUP(B204,Pedido!$B$16:$L$292,22,0)</f>
        <v>#N/A</v>
      </c>
    </row>
    <row r="205" spans="1:79" ht="33" customHeight="1" thickBot="1">
      <c r="A205" s="524"/>
      <c r="B205" s="140" t="s">
        <v>309</v>
      </c>
      <c r="C205" s="140" t="s">
        <v>253</v>
      </c>
      <c r="D205" s="369" t="s">
        <v>122</v>
      </c>
      <c r="E205" s="370" t="s">
        <v>312</v>
      </c>
      <c r="F205" s="371" t="s">
        <v>123</v>
      </c>
      <c r="G205" s="373">
        <v>28</v>
      </c>
      <c r="H205" s="1153">
        <v>23.1</v>
      </c>
      <c r="I205" s="129">
        <v>119</v>
      </c>
      <c r="J205" s="130" t="str">
        <f t="shared" si="125"/>
        <v/>
      </c>
      <c r="K205" s="131" t="str">
        <f t="shared" si="114"/>
        <v/>
      </c>
      <c r="L205" s="241">
        <v>108.9</v>
      </c>
      <c r="M205" s="473">
        <f t="shared" si="126"/>
        <v>98.9</v>
      </c>
      <c r="N205" s="473">
        <f t="shared" si="127"/>
        <v>98.9</v>
      </c>
      <c r="O205" s="473">
        <f t="shared" si="128"/>
        <v>98.9</v>
      </c>
      <c r="P205" s="132">
        <v>98.9</v>
      </c>
      <c r="Q205" s="132">
        <v>88.9</v>
      </c>
      <c r="R205" s="132">
        <v>78.900000000000006</v>
      </c>
      <c r="S205" s="133">
        <v>68.900000000000006</v>
      </c>
      <c r="T205" s="134" t="str">
        <f t="shared" si="108"/>
        <v/>
      </c>
      <c r="U205" s="135" t="str">
        <f t="shared" si="109"/>
        <v/>
      </c>
      <c r="V205" s="575"/>
      <c r="W205" s="694"/>
      <c r="X205" s="170"/>
      <c r="Y205" s="122" t="str">
        <f t="shared" si="116"/>
        <v/>
      </c>
      <c r="Z205" s="224">
        <f t="shared" si="135"/>
        <v>0</v>
      </c>
      <c r="AA205" s="136">
        <f t="shared" si="110"/>
        <v>0</v>
      </c>
      <c r="AB205" s="136">
        <f t="shared" si="132"/>
        <v>0</v>
      </c>
      <c r="AC205" s="136">
        <f t="shared" si="133"/>
        <v>0</v>
      </c>
      <c r="AD205" s="136">
        <f t="shared" si="144"/>
        <v>0</v>
      </c>
      <c r="AE205" s="136">
        <f t="shared" si="136"/>
        <v>0</v>
      </c>
      <c r="AF205" s="136">
        <f t="shared" si="137"/>
        <v>0</v>
      </c>
      <c r="AG205" s="137">
        <f t="shared" si="138"/>
        <v>0</v>
      </c>
      <c r="AH205" s="136">
        <f t="shared" si="139"/>
        <v>0</v>
      </c>
      <c r="AI205" s="136">
        <f t="shared" si="140"/>
        <v>0</v>
      </c>
      <c r="AJ205" s="136">
        <f t="shared" si="92"/>
        <v>0</v>
      </c>
      <c r="AK205" s="136">
        <f t="shared" si="93"/>
        <v>0</v>
      </c>
      <c r="AL205" s="136">
        <f t="shared" si="94"/>
        <v>0</v>
      </c>
      <c r="AM205" s="136">
        <f t="shared" si="141"/>
        <v>0</v>
      </c>
      <c r="AN205" s="136">
        <f t="shared" si="96"/>
        <v>0</v>
      </c>
      <c r="AO205" s="136">
        <f t="shared" si="97"/>
        <v>0</v>
      </c>
      <c r="AP205" s="138">
        <f t="shared" si="142"/>
        <v>0.78787878787878785</v>
      </c>
      <c r="AQ205" s="139">
        <f t="shared" si="143"/>
        <v>30.8</v>
      </c>
      <c r="AR205" s="537">
        <v>8</v>
      </c>
      <c r="AS205" s="202">
        <f t="shared" si="129"/>
        <v>78.787878787878782</v>
      </c>
      <c r="AT205" s="197">
        <f t="shared" si="130"/>
        <v>0</v>
      </c>
      <c r="AU205" s="199">
        <f t="shared" si="131"/>
        <v>0</v>
      </c>
      <c r="AV205" s="110"/>
      <c r="AW205" s="138" t="e">
        <f>VLOOKUP(AX205,Sup!#REF!,8,0)</f>
        <v>#REF!</v>
      </c>
      <c r="AX205" s="1008" t="s">
        <v>199</v>
      </c>
      <c r="AY205" s="556">
        <v>0</v>
      </c>
      <c r="AZ205" s="35"/>
      <c r="BA205" s="35"/>
      <c r="BB205" s="35"/>
      <c r="BC205" s="35">
        <f t="shared" si="123"/>
        <v>0</v>
      </c>
      <c r="BD205" s="35" t="str">
        <f t="shared" si="134"/>
        <v/>
      </c>
      <c r="BE205" s="45">
        <f t="shared" si="145"/>
        <v>0</v>
      </c>
      <c r="BF205" s="971"/>
      <c r="BG205" s="236"/>
      <c r="BH205" s="12"/>
      <c r="BI205" s="12"/>
      <c r="BJ205" s="12"/>
      <c r="BK205" s="12"/>
      <c r="BL205" s="12"/>
      <c r="BM205" s="980">
        <f t="shared" si="107"/>
        <v>1080</v>
      </c>
      <c r="BN205" s="367"/>
      <c r="BO205" s="981"/>
      <c r="BP205" s="12"/>
      <c r="BQ205" s="12"/>
      <c r="BR205" s="12"/>
      <c r="BS205" s="973"/>
      <c r="BT205" s="12"/>
      <c r="BU205" s="12"/>
      <c r="BV205" s="12"/>
      <c r="BW205" s="982" t="s">
        <v>392</v>
      </c>
      <c r="BX205" s="983">
        <f t="shared" si="100"/>
        <v>0</v>
      </c>
      <c r="BY205" s="12" t="e">
        <f>VLOOKUP(B205,#REF!,13,0)</f>
        <v>#REF!</v>
      </c>
      <c r="BZ205" s="1056">
        <v>58.9</v>
      </c>
      <c r="CA205" s="1181" t="e">
        <f>VLOOKUP(B205,Pedido!$B$16:$L$292,22,0)</f>
        <v>#N/A</v>
      </c>
    </row>
    <row r="206" spans="1:79" ht="33" customHeight="1" thickBot="1">
      <c r="A206" s="524"/>
      <c r="B206" s="140" t="s">
        <v>255</v>
      </c>
      <c r="C206" s="140" t="s">
        <v>253</v>
      </c>
      <c r="D206" s="369" t="s">
        <v>122</v>
      </c>
      <c r="E206" s="370" t="s">
        <v>124</v>
      </c>
      <c r="F206" s="371" t="s">
        <v>123</v>
      </c>
      <c r="G206" s="373">
        <v>28</v>
      </c>
      <c r="H206" s="1153">
        <v>23.1</v>
      </c>
      <c r="I206" s="129">
        <v>119</v>
      </c>
      <c r="J206" s="130" t="str">
        <f t="shared" si="125"/>
        <v/>
      </c>
      <c r="K206" s="131" t="str">
        <f t="shared" si="114"/>
        <v/>
      </c>
      <c r="L206" s="241">
        <v>108.9</v>
      </c>
      <c r="M206" s="473">
        <f t="shared" si="126"/>
        <v>98.9</v>
      </c>
      <c r="N206" s="473">
        <f t="shared" si="127"/>
        <v>98.9</v>
      </c>
      <c r="O206" s="473">
        <f t="shared" si="128"/>
        <v>98.9</v>
      </c>
      <c r="P206" s="132">
        <v>98.9</v>
      </c>
      <c r="Q206" s="132">
        <v>88.9</v>
      </c>
      <c r="R206" s="132">
        <v>78.900000000000006</v>
      </c>
      <c r="S206" s="133">
        <v>68.900000000000006</v>
      </c>
      <c r="T206" s="134" t="str">
        <f t="shared" si="108"/>
        <v/>
      </c>
      <c r="U206" s="135" t="str">
        <f t="shared" si="109"/>
        <v/>
      </c>
      <c r="V206" s="575"/>
      <c r="W206" s="694"/>
      <c r="X206" s="170"/>
      <c r="Y206" s="122" t="str">
        <f t="shared" si="116"/>
        <v/>
      </c>
      <c r="Z206" s="224">
        <f t="shared" si="135"/>
        <v>0</v>
      </c>
      <c r="AA206" s="136">
        <f t="shared" si="110"/>
        <v>0</v>
      </c>
      <c r="AB206" s="136">
        <f t="shared" si="132"/>
        <v>0</v>
      </c>
      <c r="AC206" s="136">
        <f t="shared" si="133"/>
        <v>0</v>
      </c>
      <c r="AD206" s="136">
        <f t="shared" si="144"/>
        <v>0</v>
      </c>
      <c r="AE206" s="136">
        <f t="shared" si="136"/>
        <v>0</v>
      </c>
      <c r="AF206" s="136">
        <f t="shared" si="137"/>
        <v>0</v>
      </c>
      <c r="AG206" s="137">
        <f t="shared" si="138"/>
        <v>0</v>
      </c>
      <c r="AH206" s="136">
        <f t="shared" si="139"/>
        <v>0</v>
      </c>
      <c r="AI206" s="136">
        <f t="shared" si="140"/>
        <v>0</v>
      </c>
      <c r="AJ206" s="136">
        <f t="shared" si="92"/>
        <v>0</v>
      </c>
      <c r="AK206" s="136">
        <f t="shared" si="93"/>
        <v>0</v>
      </c>
      <c r="AL206" s="136">
        <f t="shared" si="94"/>
        <v>0</v>
      </c>
      <c r="AM206" s="136">
        <f t="shared" si="141"/>
        <v>0</v>
      </c>
      <c r="AN206" s="136">
        <f t="shared" si="96"/>
        <v>0</v>
      </c>
      <c r="AO206" s="136">
        <f t="shared" si="97"/>
        <v>0</v>
      </c>
      <c r="AP206" s="138">
        <f t="shared" si="142"/>
        <v>0.78787878787878785</v>
      </c>
      <c r="AQ206" s="139">
        <f t="shared" si="143"/>
        <v>30.8</v>
      </c>
      <c r="AR206" s="537">
        <v>8</v>
      </c>
      <c r="AS206" s="202">
        <f t="shared" si="129"/>
        <v>78.787878787878782</v>
      </c>
      <c r="AT206" s="197">
        <f t="shared" si="130"/>
        <v>0</v>
      </c>
      <c r="AU206" s="199">
        <f t="shared" si="131"/>
        <v>0</v>
      </c>
      <c r="AV206" s="110"/>
      <c r="AW206" s="138" t="e">
        <f>VLOOKUP(AX206,Sup!#REF!,8,0)</f>
        <v>#REF!</v>
      </c>
      <c r="AX206" s="1008" t="s">
        <v>199</v>
      </c>
      <c r="AY206" s="556">
        <v>0</v>
      </c>
      <c r="AZ206" s="35"/>
      <c r="BA206" s="35"/>
      <c r="BB206" s="35"/>
      <c r="BC206" s="35">
        <f t="shared" si="123"/>
        <v>0</v>
      </c>
      <c r="BD206" s="35" t="str">
        <f t="shared" si="134"/>
        <v/>
      </c>
      <c r="BE206" s="45">
        <f t="shared" si="145"/>
        <v>0</v>
      </c>
      <c r="BF206" s="971"/>
      <c r="BG206" s="236"/>
      <c r="BH206" s="12"/>
      <c r="BI206" s="12"/>
      <c r="BJ206" s="12"/>
      <c r="BK206" s="12"/>
      <c r="BL206" s="12"/>
      <c r="BM206" s="980">
        <f t="shared" si="107"/>
        <v>1104</v>
      </c>
      <c r="BN206" s="367"/>
      <c r="BO206" s="981"/>
      <c r="BP206" s="12"/>
      <c r="BQ206" s="12"/>
      <c r="BR206" s="12"/>
      <c r="BS206" s="973"/>
      <c r="BT206" s="12"/>
      <c r="BU206" s="12"/>
      <c r="BV206" s="12"/>
      <c r="BW206" s="982" t="s">
        <v>392</v>
      </c>
      <c r="BX206" s="983">
        <f t="shared" si="100"/>
        <v>0</v>
      </c>
      <c r="BY206" s="12" t="e">
        <f>VLOOKUP(B206,#REF!,13,0)</f>
        <v>#REF!</v>
      </c>
      <c r="BZ206" s="1056">
        <v>58.9</v>
      </c>
      <c r="CA206" s="1181" t="e">
        <f>VLOOKUP(B206,Pedido!$B$16:$L$292,22,0)</f>
        <v>#N/A</v>
      </c>
    </row>
    <row r="207" spans="1:79" ht="33" customHeight="1" thickBot="1">
      <c r="A207" s="524"/>
      <c r="B207" s="140" t="s">
        <v>592</v>
      </c>
      <c r="C207" s="140" t="s">
        <v>253</v>
      </c>
      <c r="D207" s="369" t="s">
        <v>122</v>
      </c>
      <c r="E207" s="370" t="s">
        <v>591</v>
      </c>
      <c r="F207" s="371" t="s">
        <v>123</v>
      </c>
      <c r="G207" s="373">
        <v>28</v>
      </c>
      <c r="H207" s="1153">
        <v>23.1</v>
      </c>
      <c r="I207" s="129">
        <v>119</v>
      </c>
      <c r="J207" s="130" t="str">
        <f>IFERROR(IF(T207&lt;&gt;"",I207/T207,IF(AND(Y207="",V207=""),"",IF(V207="",I207/Y207,I207/V207))),"")</f>
        <v/>
      </c>
      <c r="K207" s="131" t="str">
        <f>IF(T207="","",IFERROR(1-(T207/I207),0))</f>
        <v/>
      </c>
      <c r="L207" s="241">
        <v>108.9</v>
      </c>
      <c r="M207" s="473">
        <f>P207</f>
        <v>98.9</v>
      </c>
      <c r="N207" s="473">
        <f>P207</f>
        <v>98.9</v>
      </c>
      <c r="O207" s="473">
        <f>P207</f>
        <v>98.9</v>
      </c>
      <c r="P207" s="132">
        <v>98.9</v>
      </c>
      <c r="Q207" s="132">
        <v>88.9</v>
      </c>
      <c r="R207" s="132">
        <v>78.900000000000006</v>
      </c>
      <c r="S207" s="133">
        <v>68.900000000000006</v>
      </c>
      <c r="T207" s="134" t="str">
        <f>IF(V207&gt;0,V207,IFERROR(IF(AND(W207&lt;&gt;"",X207&lt;&gt;""),AH207/W207,Y207),""))</f>
        <v/>
      </c>
      <c r="U207" s="135" t="str">
        <f>IFERROR((T207*W207)/(W207+X207),"")</f>
        <v/>
      </c>
      <c r="V207" s="575"/>
      <c r="W207" s="694"/>
      <c r="X207" s="170"/>
      <c r="Y207" s="122" t="str">
        <f t="shared" si="116"/>
        <v/>
      </c>
      <c r="Z207" s="224">
        <f>IF(X207&gt;W207,-1,IF(W207=0,0,IF(U207&lt;(H207/0.75),-1,IF(W207&lt;=3,0,0.0001))))</f>
        <v>0</v>
      </c>
      <c r="AA207" s="136">
        <f>IFERROR(L207*W207,0)</f>
        <v>0</v>
      </c>
      <c r="AB207" s="136">
        <f t="shared" si="132"/>
        <v>0</v>
      </c>
      <c r="AC207" s="136">
        <f t="shared" si="133"/>
        <v>0</v>
      </c>
      <c r="AD207" s="136">
        <f>IFERROR(X207*T207,0)</f>
        <v>0</v>
      </c>
      <c r="AE207" s="136">
        <f>IFERROR(W207*H207,0)</f>
        <v>0</v>
      </c>
      <c r="AF207" s="136">
        <f>IFERROR(1-(AE207/AB207),0)</f>
        <v>0</v>
      </c>
      <c r="AG207" s="137">
        <f>IFERROR(SUM(W207:X207)*I207,0)</f>
        <v>0</v>
      </c>
      <c r="AH207" s="136">
        <f>IFERROR(IF(V207&gt;0,V207*W207,(Y207*W207)),0)</f>
        <v>0</v>
      </c>
      <c r="AI207" s="136">
        <f>IFERROR(SUM(W207)*H207,0)</f>
        <v>0</v>
      </c>
      <c r="AJ207" s="136">
        <f>AH207*$AJ$25</f>
        <v>0</v>
      </c>
      <c r="AK207" s="136">
        <f>AH207*AK$25</f>
        <v>0</v>
      </c>
      <c r="AL207" s="136">
        <f>AH207*AL$25</f>
        <v>0</v>
      </c>
      <c r="AM207" s="136">
        <f>SUM(AJ207:AL207)</f>
        <v>0</v>
      </c>
      <c r="AN207" s="136">
        <f>AH207-AM207</f>
        <v>0</v>
      </c>
      <c r="AO207" s="136">
        <f>AN207-AI207</f>
        <v>0</v>
      </c>
      <c r="AP207" s="138">
        <f>IFERROR(IF(V207&lt;&gt;"",1-(H207/V207),IF(Y207&lt;&gt;"",1-(H207/Y207),1-(H207/L207))),0)</f>
        <v>0.78787878787878785</v>
      </c>
      <c r="AQ207" s="139">
        <f>H207/0.75</f>
        <v>30.8</v>
      </c>
      <c r="AR207" s="537">
        <v>8</v>
      </c>
      <c r="AS207" s="202">
        <f t="shared" si="129"/>
        <v>78.787878787878782</v>
      </c>
      <c r="AT207" s="197">
        <f>IFERROR(1-(AI207/AH207),0)</f>
        <v>0</v>
      </c>
      <c r="AU207" s="199">
        <f>IFERROR(AO207/AH207,0)</f>
        <v>0</v>
      </c>
      <c r="AV207" s="110"/>
      <c r="AW207" s="138" t="e">
        <f>VLOOKUP(AX207,Sup!#REF!,8,0)</f>
        <v>#REF!</v>
      </c>
      <c r="AX207" s="1008" t="s">
        <v>199</v>
      </c>
      <c r="AY207" s="556">
        <v>0</v>
      </c>
      <c r="AZ207" s="35"/>
      <c r="BA207" s="35"/>
      <c r="BB207" s="35"/>
      <c r="BC207" s="35">
        <f>IF(BE207&lt;0,BE207,0)</f>
        <v>0</v>
      </c>
      <c r="BD207" s="35" t="str">
        <f t="shared" si="134"/>
        <v/>
      </c>
      <c r="BE207" s="45">
        <f>IF(V207="",0,(V207*W207)-(BD207*W207))</f>
        <v>0</v>
      </c>
      <c r="BF207" s="971"/>
      <c r="BG207" s="236"/>
      <c r="BH207" s="12"/>
      <c r="BI207" s="12"/>
      <c r="BJ207" s="12"/>
      <c r="BK207" s="12"/>
      <c r="BL207" s="12"/>
      <c r="BM207" s="980">
        <f>BM205+24</f>
        <v>1104</v>
      </c>
      <c r="BN207" s="367"/>
      <c r="BO207" s="981"/>
      <c r="BP207" s="12"/>
      <c r="BQ207" s="12"/>
      <c r="BR207" s="12"/>
      <c r="BS207" s="973"/>
      <c r="BT207" s="12"/>
      <c r="BU207" s="12"/>
      <c r="BV207" s="12"/>
      <c r="BW207" s="982" t="s">
        <v>392</v>
      </c>
      <c r="BX207" s="983">
        <f>IFERROR(W207*U207,0)</f>
        <v>0</v>
      </c>
      <c r="BY207" s="12" t="e">
        <f>VLOOKUP(B207,#REF!,13,0)</f>
        <v>#REF!</v>
      </c>
      <c r="BZ207" s="1056">
        <v>58.9</v>
      </c>
      <c r="CA207" s="1181" t="e">
        <f>VLOOKUP(B207,Pedido!$B$16:$L$292,22,0)</f>
        <v>#N/A</v>
      </c>
    </row>
    <row r="208" spans="1:79" ht="33" customHeight="1" thickBot="1">
      <c r="A208" s="524"/>
      <c r="B208" s="140">
        <v>30000086</v>
      </c>
      <c r="C208" s="140" t="s">
        <v>253</v>
      </c>
      <c r="D208" s="369" t="s">
        <v>122</v>
      </c>
      <c r="E208" s="370" t="s">
        <v>125</v>
      </c>
      <c r="F208" s="371" t="s">
        <v>123</v>
      </c>
      <c r="G208" s="373">
        <v>28</v>
      </c>
      <c r="H208" s="1153">
        <v>23.1</v>
      </c>
      <c r="I208" s="129">
        <v>119</v>
      </c>
      <c r="J208" s="130" t="str">
        <f t="shared" si="125"/>
        <v/>
      </c>
      <c r="K208" s="131" t="str">
        <f t="shared" si="114"/>
        <v/>
      </c>
      <c r="L208" s="241">
        <v>108.9</v>
      </c>
      <c r="M208" s="473">
        <f t="shared" si="126"/>
        <v>98.9</v>
      </c>
      <c r="N208" s="473">
        <f t="shared" si="127"/>
        <v>98.9</v>
      </c>
      <c r="O208" s="473">
        <f t="shared" si="128"/>
        <v>98.9</v>
      </c>
      <c r="P208" s="132">
        <v>98.9</v>
      </c>
      <c r="Q208" s="132">
        <v>88.9</v>
      </c>
      <c r="R208" s="132">
        <v>78.900000000000006</v>
      </c>
      <c r="S208" s="133">
        <v>68.900000000000006</v>
      </c>
      <c r="T208" s="134" t="str">
        <f t="shared" si="108"/>
        <v/>
      </c>
      <c r="U208" s="135" t="str">
        <f t="shared" si="109"/>
        <v/>
      </c>
      <c r="V208" s="575"/>
      <c r="W208" s="694"/>
      <c r="X208" s="170"/>
      <c r="Y208" s="122" t="str">
        <f t="shared" si="116"/>
        <v/>
      </c>
      <c r="Z208" s="224">
        <f t="shared" si="135"/>
        <v>0</v>
      </c>
      <c r="AA208" s="136">
        <f t="shared" si="110"/>
        <v>0</v>
      </c>
      <c r="AB208" s="136">
        <f t="shared" si="132"/>
        <v>0</v>
      </c>
      <c r="AC208" s="136">
        <f t="shared" si="133"/>
        <v>0</v>
      </c>
      <c r="AD208" s="136">
        <f t="shared" si="144"/>
        <v>0</v>
      </c>
      <c r="AE208" s="136">
        <f t="shared" si="136"/>
        <v>0</v>
      </c>
      <c r="AF208" s="136">
        <f t="shared" si="137"/>
        <v>0</v>
      </c>
      <c r="AG208" s="137">
        <f t="shared" si="138"/>
        <v>0</v>
      </c>
      <c r="AH208" s="136">
        <f t="shared" si="139"/>
        <v>0</v>
      </c>
      <c r="AI208" s="136">
        <f t="shared" si="140"/>
        <v>0</v>
      </c>
      <c r="AJ208" s="136">
        <f t="shared" ref="AJ208:AJ273" si="146">AH208*$AJ$25</f>
        <v>0</v>
      </c>
      <c r="AK208" s="136">
        <f t="shared" ref="AK208:AK273" si="147">AH208*AK$25</f>
        <v>0</v>
      </c>
      <c r="AL208" s="136">
        <f t="shared" ref="AL208:AL273" si="148">AH208*AL$25</f>
        <v>0</v>
      </c>
      <c r="AM208" s="136">
        <f t="shared" si="141"/>
        <v>0</v>
      </c>
      <c r="AN208" s="136">
        <f t="shared" ref="AN208:AN273" si="149">AH208-AM208</f>
        <v>0</v>
      </c>
      <c r="AO208" s="136">
        <f t="shared" ref="AO208:AO273" si="150">AN208-AI208</f>
        <v>0</v>
      </c>
      <c r="AP208" s="138">
        <f t="shared" si="142"/>
        <v>0.78787878787878785</v>
      </c>
      <c r="AQ208" s="139">
        <f t="shared" si="143"/>
        <v>30.8</v>
      </c>
      <c r="AR208" s="537">
        <v>8</v>
      </c>
      <c r="AS208" s="202">
        <f t="shared" si="129"/>
        <v>78.787878787878782</v>
      </c>
      <c r="AT208" s="197">
        <f t="shared" si="130"/>
        <v>0</v>
      </c>
      <c r="AU208" s="199">
        <f t="shared" si="131"/>
        <v>0</v>
      </c>
      <c r="AV208" s="110"/>
      <c r="AW208" s="138" t="e">
        <f>VLOOKUP(AX208,Sup!#REF!,8,0)</f>
        <v>#REF!</v>
      </c>
      <c r="AX208" s="1008" t="s">
        <v>199</v>
      </c>
      <c r="AY208" s="556">
        <v>0</v>
      </c>
      <c r="AZ208" s="35"/>
      <c r="BA208" s="35"/>
      <c r="BB208" s="35"/>
      <c r="BC208" s="35">
        <f t="shared" si="123"/>
        <v>0</v>
      </c>
      <c r="BD208" s="35" t="str">
        <f t="shared" si="134"/>
        <v/>
      </c>
      <c r="BE208" s="45">
        <f t="shared" si="145"/>
        <v>0</v>
      </c>
      <c r="BF208" s="971"/>
      <c r="BG208" s="236"/>
      <c r="BH208" s="12"/>
      <c r="BI208" s="12"/>
      <c r="BJ208" s="12"/>
      <c r="BK208" s="12"/>
      <c r="BL208" s="12"/>
      <c r="BM208" s="980">
        <f>BM206+24</f>
        <v>1128</v>
      </c>
      <c r="BN208" s="367"/>
      <c r="BO208" s="981"/>
      <c r="BP208" s="12"/>
      <c r="BQ208" s="12"/>
      <c r="BR208" s="12"/>
      <c r="BS208" s="973"/>
      <c r="BT208" s="12"/>
      <c r="BU208" s="12"/>
      <c r="BV208" s="12"/>
      <c r="BW208" s="982" t="s">
        <v>392</v>
      </c>
      <c r="BX208" s="983">
        <f t="shared" si="100"/>
        <v>0</v>
      </c>
      <c r="BY208" s="12" t="e">
        <f>VLOOKUP(B208,#REF!,13,0)</f>
        <v>#REF!</v>
      </c>
      <c r="BZ208" s="1056">
        <v>58.9</v>
      </c>
      <c r="CA208" s="1181" t="e">
        <f>VLOOKUP(B208,Pedido!$B$16:$L$292,22,0)</f>
        <v>#N/A</v>
      </c>
    </row>
    <row r="209" spans="1:85" ht="33" customHeight="1" thickBot="1">
      <c r="A209" s="524"/>
      <c r="B209" s="140" t="s">
        <v>417</v>
      </c>
      <c r="C209" s="140" t="s">
        <v>253</v>
      </c>
      <c r="D209" s="369" t="s">
        <v>122</v>
      </c>
      <c r="E209" s="370" t="s">
        <v>274</v>
      </c>
      <c r="F209" s="371" t="s">
        <v>123</v>
      </c>
      <c r="G209" s="373">
        <v>28</v>
      </c>
      <c r="H209" s="1153">
        <v>23.1</v>
      </c>
      <c r="I209" s="129">
        <v>119</v>
      </c>
      <c r="J209" s="130" t="str">
        <f t="shared" si="125"/>
        <v/>
      </c>
      <c r="K209" s="131" t="str">
        <f t="shared" si="114"/>
        <v/>
      </c>
      <c r="L209" s="241">
        <v>108.9</v>
      </c>
      <c r="M209" s="473">
        <f t="shared" si="126"/>
        <v>98.9</v>
      </c>
      <c r="N209" s="473">
        <f t="shared" si="127"/>
        <v>98.9</v>
      </c>
      <c r="O209" s="473">
        <f t="shared" si="128"/>
        <v>98.9</v>
      </c>
      <c r="P209" s="132">
        <v>98.9</v>
      </c>
      <c r="Q209" s="132">
        <v>88.9</v>
      </c>
      <c r="R209" s="132">
        <v>78.900000000000006</v>
      </c>
      <c r="S209" s="133">
        <v>68.900000000000006</v>
      </c>
      <c r="T209" s="134" t="str">
        <f t="shared" si="108"/>
        <v/>
      </c>
      <c r="U209" s="135" t="str">
        <f t="shared" si="109"/>
        <v/>
      </c>
      <c r="V209" s="575"/>
      <c r="W209" s="694"/>
      <c r="X209" s="170"/>
      <c r="Y209" s="122" t="str">
        <f t="shared" si="116"/>
        <v/>
      </c>
      <c r="Z209" s="224">
        <f t="shared" si="135"/>
        <v>0</v>
      </c>
      <c r="AA209" s="136">
        <f t="shared" si="110"/>
        <v>0</v>
      </c>
      <c r="AB209" s="136">
        <f t="shared" si="132"/>
        <v>0</v>
      </c>
      <c r="AC209" s="136">
        <f t="shared" si="133"/>
        <v>0</v>
      </c>
      <c r="AD209" s="136">
        <f t="shared" si="144"/>
        <v>0</v>
      </c>
      <c r="AE209" s="136">
        <f t="shared" si="136"/>
        <v>0</v>
      </c>
      <c r="AF209" s="136">
        <f t="shared" si="137"/>
        <v>0</v>
      </c>
      <c r="AG209" s="137">
        <f t="shared" si="138"/>
        <v>0</v>
      </c>
      <c r="AH209" s="136">
        <f t="shared" si="139"/>
        <v>0</v>
      </c>
      <c r="AI209" s="136">
        <f t="shared" si="140"/>
        <v>0</v>
      </c>
      <c r="AJ209" s="136">
        <f t="shared" si="146"/>
        <v>0</v>
      </c>
      <c r="AK209" s="136">
        <f t="shared" si="147"/>
        <v>0</v>
      </c>
      <c r="AL209" s="136">
        <f t="shared" si="148"/>
        <v>0</v>
      </c>
      <c r="AM209" s="136">
        <f t="shared" si="141"/>
        <v>0</v>
      </c>
      <c r="AN209" s="136">
        <f t="shared" si="149"/>
        <v>0</v>
      </c>
      <c r="AO209" s="136">
        <f t="shared" si="150"/>
        <v>0</v>
      </c>
      <c r="AP209" s="138">
        <f t="shared" si="142"/>
        <v>0.78787878787878785</v>
      </c>
      <c r="AQ209" s="139">
        <f t="shared" si="143"/>
        <v>30.8</v>
      </c>
      <c r="AR209" s="537">
        <v>8</v>
      </c>
      <c r="AS209" s="202">
        <f t="shared" si="129"/>
        <v>78.787878787878782</v>
      </c>
      <c r="AT209" s="197">
        <f t="shared" si="130"/>
        <v>0</v>
      </c>
      <c r="AU209" s="199">
        <f t="shared" si="131"/>
        <v>0</v>
      </c>
      <c r="AV209" s="110"/>
      <c r="AW209" s="138" t="e">
        <f>VLOOKUP(AX209,Sup!#REF!,8,0)</f>
        <v>#REF!</v>
      </c>
      <c r="AX209" s="1008" t="s">
        <v>199</v>
      </c>
      <c r="AY209" s="556">
        <v>0</v>
      </c>
      <c r="AZ209" s="35"/>
      <c r="BA209" s="35"/>
      <c r="BB209" s="35"/>
      <c r="BC209" s="35">
        <f t="shared" si="123"/>
        <v>0</v>
      </c>
      <c r="BD209" s="35" t="str">
        <f t="shared" si="134"/>
        <v/>
      </c>
      <c r="BE209" s="45">
        <f t="shared" si="145"/>
        <v>0</v>
      </c>
      <c r="BF209" s="971"/>
      <c r="BG209" s="236"/>
      <c r="BH209" s="12"/>
      <c r="BI209" s="12"/>
      <c r="BJ209" s="12"/>
      <c r="BK209" s="12"/>
      <c r="BL209" s="12"/>
      <c r="BM209" s="980">
        <f t="shared" si="107"/>
        <v>1152</v>
      </c>
      <c r="BN209" s="367"/>
      <c r="BO209" s="981"/>
      <c r="BP209" s="12"/>
      <c r="BQ209" s="12"/>
      <c r="BR209" s="12"/>
      <c r="BS209" s="973"/>
      <c r="BT209" s="12"/>
      <c r="BU209" s="12"/>
      <c r="BV209" s="12"/>
      <c r="BW209" s="982" t="s">
        <v>392</v>
      </c>
      <c r="BX209" s="983">
        <f t="shared" si="100"/>
        <v>0</v>
      </c>
      <c r="BY209" s="12" t="e">
        <f>VLOOKUP(B209,#REF!,13,0)</f>
        <v>#REF!</v>
      </c>
      <c r="BZ209" s="1056">
        <v>58.9</v>
      </c>
      <c r="CA209" s="1181" t="e">
        <f>VLOOKUP(B209,Pedido!$B$16:$L$292,22,0)</f>
        <v>#N/A</v>
      </c>
    </row>
    <row r="210" spans="1:85" ht="33" customHeight="1" thickBot="1">
      <c r="A210" s="524"/>
      <c r="B210" s="140" t="s">
        <v>256</v>
      </c>
      <c r="C210" s="140" t="s">
        <v>253</v>
      </c>
      <c r="D210" s="369" t="s">
        <v>122</v>
      </c>
      <c r="E210" s="370" t="s">
        <v>118</v>
      </c>
      <c r="F210" s="371" t="s">
        <v>123</v>
      </c>
      <c r="G210" s="373">
        <v>28</v>
      </c>
      <c r="H210" s="1153">
        <v>23.1</v>
      </c>
      <c r="I210" s="129">
        <v>119</v>
      </c>
      <c r="J210" s="130" t="str">
        <f t="shared" si="125"/>
        <v/>
      </c>
      <c r="K210" s="131" t="str">
        <f t="shared" si="114"/>
        <v/>
      </c>
      <c r="L210" s="241">
        <v>108.9</v>
      </c>
      <c r="M210" s="473">
        <f t="shared" si="126"/>
        <v>98.9</v>
      </c>
      <c r="N210" s="473">
        <f t="shared" si="127"/>
        <v>98.9</v>
      </c>
      <c r="O210" s="473">
        <f t="shared" si="128"/>
        <v>98.9</v>
      </c>
      <c r="P210" s="132">
        <v>98.9</v>
      </c>
      <c r="Q210" s="132">
        <v>88.9</v>
      </c>
      <c r="R210" s="132">
        <v>78.900000000000006</v>
      </c>
      <c r="S210" s="133">
        <v>68.900000000000006</v>
      </c>
      <c r="T210" s="134" t="str">
        <f t="shared" si="108"/>
        <v/>
      </c>
      <c r="U210" s="135" t="str">
        <f t="shared" si="109"/>
        <v/>
      </c>
      <c r="V210" s="575"/>
      <c r="W210" s="694"/>
      <c r="X210" s="170"/>
      <c r="Y210" s="122" t="str">
        <f t="shared" si="116"/>
        <v/>
      </c>
      <c r="Z210" s="224">
        <f t="shared" si="135"/>
        <v>0</v>
      </c>
      <c r="AA210" s="136">
        <f t="shared" si="110"/>
        <v>0</v>
      </c>
      <c r="AB210" s="136">
        <f t="shared" si="132"/>
        <v>0</v>
      </c>
      <c r="AC210" s="136">
        <f t="shared" si="133"/>
        <v>0</v>
      </c>
      <c r="AD210" s="136">
        <f t="shared" si="144"/>
        <v>0</v>
      </c>
      <c r="AE210" s="136">
        <f t="shared" si="136"/>
        <v>0</v>
      </c>
      <c r="AF210" s="136">
        <f t="shared" si="137"/>
        <v>0</v>
      </c>
      <c r="AG210" s="137">
        <f t="shared" si="138"/>
        <v>0</v>
      </c>
      <c r="AH210" s="136">
        <f t="shared" si="139"/>
        <v>0</v>
      </c>
      <c r="AI210" s="136">
        <f t="shared" si="140"/>
        <v>0</v>
      </c>
      <c r="AJ210" s="136">
        <f t="shared" si="146"/>
        <v>0</v>
      </c>
      <c r="AK210" s="136">
        <f t="shared" si="147"/>
        <v>0</v>
      </c>
      <c r="AL210" s="136">
        <f t="shared" si="148"/>
        <v>0</v>
      </c>
      <c r="AM210" s="136">
        <f t="shared" si="141"/>
        <v>0</v>
      </c>
      <c r="AN210" s="136">
        <f t="shared" si="149"/>
        <v>0</v>
      </c>
      <c r="AO210" s="136">
        <f t="shared" si="150"/>
        <v>0</v>
      </c>
      <c r="AP210" s="138">
        <f t="shared" si="142"/>
        <v>0.78787878787878785</v>
      </c>
      <c r="AQ210" s="139">
        <f t="shared" si="143"/>
        <v>30.8</v>
      </c>
      <c r="AR210" s="537">
        <v>8</v>
      </c>
      <c r="AS210" s="202">
        <f t="shared" si="129"/>
        <v>78.787878787878782</v>
      </c>
      <c r="AT210" s="197">
        <f t="shared" si="130"/>
        <v>0</v>
      </c>
      <c r="AU210" s="199">
        <f t="shared" si="131"/>
        <v>0</v>
      </c>
      <c r="AV210" s="110"/>
      <c r="AW210" s="138" t="e">
        <f>VLOOKUP(AX210,Sup!#REF!,8,0)</f>
        <v>#REF!</v>
      </c>
      <c r="AX210" s="1008" t="s">
        <v>199</v>
      </c>
      <c r="AY210" s="556">
        <v>0</v>
      </c>
      <c r="AZ210" s="35"/>
      <c r="BA210" s="35"/>
      <c r="BB210" s="35"/>
      <c r="BC210" s="35">
        <f t="shared" si="123"/>
        <v>0</v>
      </c>
      <c r="BD210" s="35" t="str">
        <f t="shared" si="134"/>
        <v/>
      </c>
      <c r="BE210" s="45">
        <f t="shared" si="145"/>
        <v>0</v>
      </c>
      <c r="BF210" s="971"/>
      <c r="BG210" s="236"/>
      <c r="BH210" s="12"/>
      <c r="BI210" s="12"/>
      <c r="BJ210" s="12"/>
      <c r="BK210" s="12"/>
      <c r="BL210" s="12"/>
      <c r="BM210" s="980">
        <f t="shared" si="107"/>
        <v>1176</v>
      </c>
      <c r="BN210" s="367"/>
      <c r="BO210" s="981"/>
      <c r="BP210" s="12"/>
      <c r="BQ210" s="12"/>
      <c r="BR210" s="12"/>
      <c r="BS210" s="973"/>
      <c r="BT210" s="12"/>
      <c r="BU210" s="12"/>
      <c r="BV210" s="12"/>
      <c r="BW210" s="982" t="s">
        <v>392</v>
      </c>
      <c r="BX210" s="983">
        <f t="shared" si="100"/>
        <v>0</v>
      </c>
      <c r="BY210" s="12" t="e">
        <f>VLOOKUP(B210,#REF!,13,0)</f>
        <v>#REF!</v>
      </c>
      <c r="BZ210" s="1056">
        <v>58.9</v>
      </c>
      <c r="CA210" s="1181" t="e">
        <f>VLOOKUP(B210,Pedido!$B$16:$L$292,22,0)</f>
        <v>#N/A</v>
      </c>
    </row>
    <row r="211" spans="1:85" ht="33" customHeight="1" thickBot="1">
      <c r="A211" s="524"/>
      <c r="B211" s="140" t="s">
        <v>257</v>
      </c>
      <c r="C211" s="140" t="s">
        <v>253</v>
      </c>
      <c r="D211" s="369" t="s">
        <v>122</v>
      </c>
      <c r="E211" s="370" t="s">
        <v>126</v>
      </c>
      <c r="F211" s="371" t="s">
        <v>123</v>
      </c>
      <c r="G211" s="373">
        <v>28</v>
      </c>
      <c r="H211" s="1153">
        <v>23.1</v>
      </c>
      <c r="I211" s="129">
        <v>119</v>
      </c>
      <c r="J211" s="130" t="str">
        <f t="shared" si="125"/>
        <v/>
      </c>
      <c r="K211" s="131" t="str">
        <f t="shared" si="114"/>
        <v/>
      </c>
      <c r="L211" s="241">
        <v>108.9</v>
      </c>
      <c r="M211" s="473">
        <f t="shared" si="126"/>
        <v>98.9</v>
      </c>
      <c r="N211" s="473">
        <f t="shared" si="127"/>
        <v>98.9</v>
      </c>
      <c r="O211" s="473">
        <f t="shared" si="128"/>
        <v>98.9</v>
      </c>
      <c r="P211" s="132">
        <v>98.9</v>
      </c>
      <c r="Q211" s="132">
        <v>88.9</v>
      </c>
      <c r="R211" s="132">
        <v>78.900000000000006</v>
      </c>
      <c r="S211" s="133">
        <v>68.900000000000006</v>
      </c>
      <c r="T211" s="134" t="str">
        <f t="shared" si="108"/>
        <v/>
      </c>
      <c r="U211" s="135" t="str">
        <f t="shared" si="109"/>
        <v/>
      </c>
      <c r="V211" s="575"/>
      <c r="W211" s="694"/>
      <c r="X211" s="170"/>
      <c r="Y211" s="122" t="str">
        <f t="shared" si="116"/>
        <v/>
      </c>
      <c r="Z211" s="224">
        <f t="shared" si="135"/>
        <v>0</v>
      </c>
      <c r="AA211" s="136">
        <f t="shared" si="110"/>
        <v>0</v>
      </c>
      <c r="AB211" s="136">
        <f t="shared" si="132"/>
        <v>0</v>
      </c>
      <c r="AC211" s="136">
        <f t="shared" si="133"/>
        <v>0</v>
      </c>
      <c r="AD211" s="136">
        <f t="shared" si="144"/>
        <v>0</v>
      </c>
      <c r="AE211" s="136">
        <f t="shared" si="136"/>
        <v>0</v>
      </c>
      <c r="AF211" s="136">
        <f t="shared" si="137"/>
        <v>0</v>
      </c>
      <c r="AG211" s="137">
        <f t="shared" si="138"/>
        <v>0</v>
      </c>
      <c r="AH211" s="136">
        <f t="shared" si="139"/>
        <v>0</v>
      </c>
      <c r="AI211" s="136">
        <f t="shared" si="140"/>
        <v>0</v>
      </c>
      <c r="AJ211" s="136">
        <f t="shared" si="146"/>
        <v>0</v>
      </c>
      <c r="AK211" s="136">
        <f t="shared" si="147"/>
        <v>0</v>
      </c>
      <c r="AL211" s="136">
        <f t="shared" si="148"/>
        <v>0</v>
      </c>
      <c r="AM211" s="136">
        <f t="shared" si="141"/>
        <v>0</v>
      </c>
      <c r="AN211" s="136">
        <f t="shared" si="149"/>
        <v>0</v>
      </c>
      <c r="AO211" s="136">
        <f t="shared" si="150"/>
        <v>0</v>
      </c>
      <c r="AP211" s="138">
        <f t="shared" si="142"/>
        <v>0.78787878787878785</v>
      </c>
      <c r="AQ211" s="139">
        <f t="shared" si="143"/>
        <v>30.8</v>
      </c>
      <c r="AR211" s="537">
        <v>8</v>
      </c>
      <c r="AS211" s="202">
        <f t="shared" si="129"/>
        <v>78.787878787878782</v>
      </c>
      <c r="AT211" s="197">
        <f t="shared" si="130"/>
        <v>0</v>
      </c>
      <c r="AU211" s="199">
        <f t="shared" si="131"/>
        <v>0</v>
      </c>
      <c r="AV211" s="110"/>
      <c r="AW211" s="138" t="e">
        <f>VLOOKUP(AX211,Sup!#REF!,8,0)</f>
        <v>#REF!</v>
      </c>
      <c r="AX211" s="1008" t="s">
        <v>199</v>
      </c>
      <c r="AY211" s="556">
        <v>0</v>
      </c>
      <c r="AZ211" s="35"/>
      <c r="BA211" s="35"/>
      <c r="BB211" s="35"/>
      <c r="BC211" s="35">
        <f t="shared" si="123"/>
        <v>0</v>
      </c>
      <c r="BD211" s="35" t="str">
        <f t="shared" si="134"/>
        <v/>
      </c>
      <c r="BE211" s="45">
        <f t="shared" si="145"/>
        <v>0</v>
      </c>
      <c r="BF211" s="971"/>
      <c r="BG211" s="236"/>
      <c r="BH211" s="12"/>
      <c r="BI211" s="12"/>
      <c r="BJ211" s="12"/>
      <c r="BK211" s="12"/>
      <c r="BL211" s="12"/>
      <c r="BM211" s="980">
        <f t="shared" si="107"/>
        <v>1200</v>
      </c>
      <c r="BN211" s="367"/>
      <c r="BO211" s="981"/>
      <c r="BP211" s="12"/>
      <c r="BQ211" s="12"/>
      <c r="BR211" s="12"/>
      <c r="BS211" s="973"/>
      <c r="BT211" s="12"/>
      <c r="BU211" s="12"/>
      <c r="BV211" s="12"/>
      <c r="BW211" s="982" t="s">
        <v>392</v>
      </c>
      <c r="BX211" s="983">
        <f t="shared" si="100"/>
        <v>0</v>
      </c>
      <c r="BY211" s="12" t="e">
        <f>VLOOKUP(B211,#REF!,13,0)</f>
        <v>#REF!</v>
      </c>
      <c r="BZ211" s="1056">
        <v>58.9</v>
      </c>
      <c r="CA211" s="1181" t="e">
        <f>VLOOKUP(B211,Pedido!$B$16:$L$292,22,0)</f>
        <v>#N/A</v>
      </c>
    </row>
    <row r="212" spans="1:85" ht="33" customHeight="1" thickBot="1">
      <c r="A212" s="524"/>
      <c r="B212" s="140" t="s">
        <v>418</v>
      </c>
      <c r="C212" s="140" t="s">
        <v>253</v>
      </c>
      <c r="D212" s="369" t="s">
        <v>122</v>
      </c>
      <c r="E212" s="370" t="s">
        <v>271</v>
      </c>
      <c r="F212" s="371" t="s">
        <v>123</v>
      </c>
      <c r="G212" s="373">
        <v>28</v>
      </c>
      <c r="H212" s="1153">
        <v>23.1</v>
      </c>
      <c r="I212" s="129">
        <v>119</v>
      </c>
      <c r="J212" s="130" t="str">
        <f t="shared" si="125"/>
        <v/>
      </c>
      <c r="K212" s="131" t="str">
        <f t="shared" si="114"/>
        <v/>
      </c>
      <c r="L212" s="241">
        <v>108.9</v>
      </c>
      <c r="M212" s="132">
        <f t="shared" si="126"/>
        <v>98.9</v>
      </c>
      <c r="N212" s="132">
        <f t="shared" si="127"/>
        <v>98.9</v>
      </c>
      <c r="O212" s="132">
        <f t="shared" si="128"/>
        <v>98.9</v>
      </c>
      <c r="P212" s="132">
        <v>98.9</v>
      </c>
      <c r="Q212" s="132">
        <v>88.9</v>
      </c>
      <c r="R212" s="132">
        <v>78.900000000000006</v>
      </c>
      <c r="S212" s="133">
        <v>68.900000000000006</v>
      </c>
      <c r="T212" s="134" t="str">
        <f t="shared" si="108"/>
        <v/>
      </c>
      <c r="U212" s="135" t="str">
        <f t="shared" si="109"/>
        <v/>
      </c>
      <c r="V212" s="575"/>
      <c r="W212" s="694"/>
      <c r="X212" s="1133"/>
      <c r="Y212" s="673" t="str">
        <f t="shared" si="116"/>
        <v/>
      </c>
      <c r="Z212" s="674">
        <f t="shared" si="135"/>
        <v>0</v>
      </c>
      <c r="AA212" s="638">
        <f t="shared" si="110"/>
        <v>0</v>
      </c>
      <c r="AB212" s="638">
        <f t="shared" si="132"/>
        <v>0</v>
      </c>
      <c r="AC212" s="638">
        <f t="shared" si="133"/>
        <v>0</v>
      </c>
      <c r="AD212" s="638">
        <f t="shared" si="144"/>
        <v>0</v>
      </c>
      <c r="AE212" s="638">
        <f t="shared" si="136"/>
        <v>0</v>
      </c>
      <c r="AF212" s="638">
        <f t="shared" si="137"/>
        <v>0</v>
      </c>
      <c r="AG212" s="639">
        <f t="shared" si="138"/>
        <v>0</v>
      </c>
      <c r="AH212" s="638">
        <f t="shared" si="139"/>
        <v>0</v>
      </c>
      <c r="AI212" s="638">
        <f t="shared" si="140"/>
        <v>0</v>
      </c>
      <c r="AJ212" s="638">
        <f t="shared" si="146"/>
        <v>0</v>
      </c>
      <c r="AK212" s="638">
        <f t="shared" si="147"/>
        <v>0</v>
      </c>
      <c r="AL212" s="638">
        <f t="shared" si="148"/>
        <v>0</v>
      </c>
      <c r="AM212" s="638">
        <f t="shared" si="141"/>
        <v>0</v>
      </c>
      <c r="AN212" s="638">
        <f t="shared" si="149"/>
        <v>0</v>
      </c>
      <c r="AO212" s="638">
        <f t="shared" si="150"/>
        <v>0</v>
      </c>
      <c r="AP212" s="640">
        <f t="shared" si="142"/>
        <v>0.78787878787878785</v>
      </c>
      <c r="AQ212" s="641">
        <f t="shared" si="143"/>
        <v>30.8</v>
      </c>
      <c r="AR212" s="537">
        <v>8</v>
      </c>
      <c r="AS212" s="202">
        <f t="shared" si="129"/>
        <v>78.787878787878782</v>
      </c>
      <c r="AT212" s="197">
        <f t="shared" si="130"/>
        <v>0</v>
      </c>
      <c r="AU212" s="199">
        <f t="shared" si="131"/>
        <v>0</v>
      </c>
      <c r="AV212" s="110"/>
      <c r="AW212" s="138" t="e">
        <f>VLOOKUP(AX212,Sup!#REF!,8,0)</f>
        <v>#REF!</v>
      </c>
      <c r="AX212" s="1009" t="s">
        <v>199</v>
      </c>
      <c r="AY212" s="556">
        <v>0</v>
      </c>
      <c r="AZ212" s="35"/>
      <c r="BA212" s="35"/>
      <c r="BB212" s="35"/>
      <c r="BC212" s="35">
        <f t="shared" si="123"/>
        <v>0</v>
      </c>
      <c r="BD212" s="35" t="str">
        <f t="shared" si="134"/>
        <v/>
      </c>
      <c r="BE212" s="45">
        <f t="shared" si="145"/>
        <v>0</v>
      </c>
      <c r="BF212" s="971"/>
      <c r="BG212" s="236"/>
      <c r="BH212" s="12"/>
      <c r="BI212" s="12"/>
      <c r="BJ212" s="12"/>
      <c r="BK212" s="12"/>
      <c r="BL212" s="12"/>
      <c r="BM212" s="980">
        <f t="shared" si="107"/>
        <v>1224</v>
      </c>
      <c r="BN212" s="367"/>
      <c r="BO212" s="981"/>
      <c r="BP212" s="12"/>
      <c r="BQ212" s="12"/>
      <c r="BR212" s="12"/>
      <c r="BS212" s="973"/>
      <c r="BT212" s="12"/>
      <c r="BU212" s="12"/>
      <c r="BV212" s="12"/>
      <c r="BW212" s="982" t="s">
        <v>392</v>
      </c>
      <c r="BX212" s="983">
        <f t="shared" si="100"/>
        <v>0</v>
      </c>
      <c r="BY212" s="12" t="e">
        <f>VLOOKUP(B212,#REF!,13,0)</f>
        <v>#REF!</v>
      </c>
      <c r="BZ212" s="1056">
        <v>58.9</v>
      </c>
      <c r="CA212" s="1181" t="e">
        <f>VLOOKUP(B212,Pedido!$B$16:$L$292,22,0)</f>
        <v>#N/A</v>
      </c>
    </row>
    <row r="213" spans="1:85" s="572" customFormat="1" ht="33" customHeight="1">
      <c r="A213" s="524"/>
      <c r="B213" s="140" t="s">
        <v>258</v>
      </c>
      <c r="C213" s="140" t="s">
        <v>253</v>
      </c>
      <c r="D213" s="588" t="s">
        <v>122</v>
      </c>
      <c r="E213" s="589" t="s">
        <v>80</v>
      </c>
      <c r="F213" s="590" t="s">
        <v>123</v>
      </c>
      <c r="G213" s="591">
        <v>25</v>
      </c>
      <c r="H213" s="1160">
        <v>23.1</v>
      </c>
      <c r="I213" s="592">
        <v>119</v>
      </c>
      <c r="J213" s="593" t="str">
        <f t="shared" si="125"/>
        <v/>
      </c>
      <c r="K213" s="594" t="str">
        <f t="shared" si="114"/>
        <v/>
      </c>
      <c r="L213" s="595">
        <v>108.9</v>
      </c>
      <c r="M213" s="480">
        <f t="shared" si="126"/>
        <v>98.9</v>
      </c>
      <c r="N213" s="480">
        <f t="shared" si="127"/>
        <v>98.9</v>
      </c>
      <c r="O213" s="480">
        <f t="shared" si="128"/>
        <v>98.9</v>
      </c>
      <c r="P213" s="278">
        <v>98.9</v>
      </c>
      <c r="Q213" s="278">
        <v>88.9</v>
      </c>
      <c r="R213" s="278">
        <v>78.900000000000006</v>
      </c>
      <c r="S213" s="321">
        <v>68.900000000000006</v>
      </c>
      <c r="T213" s="274" t="str">
        <f t="shared" si="108"/>
        <v/>
      </c>
      <c r="U213" s="152" t="str">
        <f t="shared" si="109"/>
        <v/>
      </c>
      <c r="V213" s="695"/>
      <c r="W213" s="696"/>
      <c r="X213" s="171"/>
      <c r="Y213" s="103" t="str">
        <f t="shared" si="116"/>
        <v/>
      </c>
      <c r="Z213" s="225">
        <f t="shared" si="135"/>
        <v>0</v>
      </c>
      <c r="AA213" s="275">
        <f t="shared" si="110"/>
        <v>0</v>
      </c>
      <c r="AB213" s="275">
        <f t="shared" si="132"/>
        <v>0</v>
      </c>
      <c r="AC213" s="275">
        <f t="shared" si="133"/>
        <v>0</v>
      </c>
      <c r="AD213" s="275">
        <f t="shared" si="144"/>
        <v>0</v>
      </c>
      <c r="AE213" s="275">
        <f t="shared" si="136"/>
        <v>0</v>
      </c>
      <c r="AF213" s="275">
        <f t="shared" si="137"/>
        <v>0</v>
      </c>
      <c r="AG213" s="290">
        <f t="shared" si="138"/>
        <v>0</v>
      </c>
      <c r="AH213" s="275">
        <f t="shared" si="139"/>
        <v>0</v>
      </c>
      <c r="AI213" s="275">
        <f t="shared" si="140"/>
        <v>0</v>
      </c>
      <c r="AJ213" s="275">
        <f t="shared" si="146"/>
        <v>0</v>
      </c>
      <c r="AK213" s="275">
        <f t="shared" si="147"/>
        <v>0</v>
      </c>
      <c r="AL213" s="275">
        <f t="shared" si="148"/>
        <v>0</v>
      </c>
      <c r="AM213" s="275">
        <f t="shared" si="141"/>
        <v>0</v>
      </c>
      <c r="AN213" s="275">
        <f t="shared" si="149"/>
        <v>0</v>
      </c>
      <c r="AO213" s="275">
        <f t="shared" si="150"/>
        <v>0</v>
      </c>
      <c r="AP213" s="276">
        <f t="shared" si="142"/>
        <v>0.78787878787878785</v>
      </c>
      <c r="AQ213" s="291">
        <f t="shared" si="143"/>
        <v>30.8</v>
      </c>
      <c r="AR213" s="542">
        <v>8</v>
      </c>
      <c r="AS213" s="596">
        <f t="shared" si="129"/>
        <v>78.787878787878782</v>
      </c>
      <c r="AT213" s="318">
        <f t="shared" si="130"/>
        <v>0</v>
      </c>
      <c r="AU213" s="597">
        <f t="shared" si="131"/>
        <v>0</v>
      </c>
      <c r="AV213" s="277"/>
      <c r="AW213" s="276" t="e">
        <f>VLOOKUP(AX213,Sup!#REF!,8,0)</f>
        <v>#REF!</v>
      </c>
      <c r="AX213" s="1010" t="s">
        <v>199</v>
      </c>
      <c r="AY213" s="1134">
        <v>0</v>
      </c>
      <c r="AZ213" s="568"/>
      <c r="BA213" s="568"/>
      <c r="BB213" s="568"/>
      <c r="BC213" s="568">
        <f t="shared" si="123"/>
        <v>0</v>
      </c>
      <c r="BD213" s="568" t="str">
        <f t="shared" si="134"/>
        <v/>
      </c>
      <c r="BE213" s="569">
        <f t="shared" si="145"/>
        <v>0</v>
      </c>
      <c r="BF213" s="1011"/>
      <c r="BG213" s="570"/>
      <c r="BH213" s="571"/>
      <c r="BI213" s="571"/>
      <c r="BJ213" s="571"/>
      <c r="BK213" s="571"/>
      <c r="BL213" s="571"/>
      <c r="BM213" s="980">
        <f t="shared" si="107"/>
        <v>1248</v>
      </c>
      <c r="BN213" s="573"/>
      <c r="BO213" s="1012"/>
      <c r="BP213" s="571"/>
      <c r="BQ213" s="571"/>
      <c r="BR213" s="571"/>
      <c r="BS213" s="1013"/>
      <c r="BT213" s="571"/>
      <c r="BU213" s="571"/>
      <c r="BV213" s="571"/>
      <c r="BW213" s="1014" t="s">
        <v>392</v>
      </c>
      <c r="BX213" s="1015">
        <f t="shared" si="100"/>
        <v>0</v>
      </c>
      <c r="BY213" s="571" t="e">
        <f>VLOOKUP(B213,#REF!,13,0)</f>
        <v>#REF!</v>
      </c>
      <c r="BZ213" s="1062">
        <v>58.9</v>
      </c>
      <c r="CA213" s="1181" t="e">
        <f>VLOOKUP(B213,Pedido!$B$16:$L$292,22,0)</f>
        <v>#N/A</v>
      </c>
      <c r="CB213" s="1181"/>
      <c r="CC213" s="1179"/>
      <c r="CD213" s="1179"/>
      <c r="CE213" s="1179"/>
      <c r="CF213" s="1179"/>
      <c r="CG213" s="1176"/>
    </row>
    <row r="214" spans="1:85" ht="33" customHeight="1" thickBot="1">
      <c r="A214" s="524"/>
      <c r="B214" s="140">
        <v>410709008</v>
      </c>
      <c r="C214" s="279" t="s">
        <v>301</v>
      </c>
      <c r="D214" s="369" t="s">
        <v>128</v>
      </c>
      <c r="E214" s="370" t="s">
        <v>376</v>
      </c>
      <c r="F214" s="371" t="s">
        <v>61</v>
      </c>
      <c r="G214" s="373">
        <v>450</v>
      </c>
      <c r="H214" s="1153">
        <v>30.97</v>
      </c>
      <c r="I214" s="129">
        <v>139.9</v>
      </c>
      <c r="J214" s="130" t="str">
        <f t="shared" si="125"/>
        <v/>
      </c>
      <c r="K214" s="131" t="str">
        <f t="shared" si="114"/>
        <v/>
      </c>
      <c r="L214" s="241">
        <v>103.9</v>
      </c>
      <c r="M214" s="473">
        <f t="shared" si="126"/>
        <v>91.9</v>
      </c>
      <c r="N214" s="473">
        <f t="shared" si="127"/>
        <v>91.9</v>
      </c>
      <c r="O214" s="473">
        <f t="shared" si="128"/>
        <v>91.9</v>
      </c>
      <c r="P214" s="132">
        <v>91.9</v>
      </c>
      <c r="Q214" s="132">
        <v>84.9</v>
      </c>
      <c r="R214" s="132">
        <v>82.9</v>
      </c>
      <c r="S214" s="133">
        <v>79.900000000000006</v>
      </c>
      <c r="T214" s="134" t="str">
        <f t="shared" si="108"/>
        <v/>
      </c>
      <c r="U214" s="135" t="str">
        <f t="shared" si="109"/>
        <v/>
      </c>
      <c r="V214" s="575"/>
      <c r="W214" s="694"/>
      <c r="X214" s="170"/>
      <c r="Y214" s="122" t="str">
        <f t="shared" si="116"/>
        <v/>
      </c>
      <c r="Z214" s="224">
        <f t="shared" si="135"/>
        <v>0</v>
      </c>
      <c r="AA214" s="136">
        <f t="shared" si="110"/>
        <v>0</v>
      </c>
      <c r="AB214" s="136">
        <f>IFERROR(IF(OR($AA$373&gt;=$S$26,SUMIF($C:$C,C214,$W:$W)&gt;=$S$27),S214,IF(OR($AA$373&gt;=$R$26,SUMIF($C:$C,C214,$W:$W)&gt;=$R$27),Q214,IF(OR($AA$373&gt;=$Q$26,SUMIF($C:$C,C214,$W:$W)&gt;=$Q$27),#REF!,IF(OR($AA$373&gt;=$P$26,SUMIF($C:$C,C214,$W:$W)&gt;=$P$27),P214,IF(OR($AA$373&gt;=$O$26,SUMIF($C:$C,C214,$W:$W)&gt;=$O$27),O214,IF(OR($AA$373&gt;=$N$26,SUMIF($C:$C,C214,$W:$W)&gt;=$N$27),N214,IF($AA$373&gt;=$M$26,M214,L214)))))))*W214,0)</f>
        <v>0</v>
      </c>
      <c r="AC214" s="136">
        <f>IFERROR(IF(V214="",0,(IF(AND(W214="",X214=""),"",IF(OR($AA$373&gt;=$S$26,SUMIF($C:$C,C214,$W:$W)&gt;=$S$27),S214*$E$13,IF(OR($AA$373&gt;=$R$26,SUMIF($C:$C,C214,$W:$W)&gt;=$R$27),Q214*$E$13,IF(OR($AA$373&gt;=$Q$26,SUMIF($C:$C,C214,$W:$W)&gt;=$Q$27),#REF!*$E$13,IF(OR($AA$373&gt;=$P$26,SUMIF($C:$C,C214,$W:$W)&gt;=$P$27),P214*$E$13,IF(OR($AA$373&gt;=$O$26,SUMIF($C:$C,C214,$W:$W)&gt;=$O$27),O214*$E$13,IF(OR($AA$373&gt;=$N$26,SUMIF($C:$C,C214,$W:$W)&gt;=$N$27),N214*$E$13,IF($AA$373&gt;=$M$26,M214*$E$13,L214))))))))-V214)*W214),0)</f>
        <v>0</v>
      </c>
      <c r="AD214" s="136">
        <f t="shared" si="144"/>
        <v>0</v>
      </c>
      <c r="AE214" s="136">
        <f t="shared" si="136"/>
        <v>0</v>
      </c>
      <c r="AF214" s="136">
        <f t="shared" si="137"/>
        <v>0</v>
      </c>
      <c r="AG214" s="137">
        <f t="shared" si="138"/>
        <v>0</v>
      </c>
      <c r="AH214" s="136">
        <f t="shared" si="139"/>
        <v>0</v>
      </c>
      <c r="AI214" s="136">
        <f t="shared" si="140"/>
        <v>0</v>
      </c>
      <c r="AJ214" s="136">
        <f t="shared" si="146"/>
        <v>0</v>
      </c>
      <c r="AK214" s="136">
        <f t="shared" si="147"/>
        <v>0</v>
      </c>
      <c r="AL214" s="136">
        <f t="shared" si="148"/>
        <v>0</v>
      </c>
      <c r="AM214" s="136">
        <f t="shared" si="141"/>
        <v>0</v>
      </c>
      <c r="AN214" s="136">
        <f t="shared" si="149"/>
        <v>0</v>
      </c>
      <c r="AO214" s="136">
        <f t="shared" si="150"/>
        <v>0</v>
      </c>
      <c r="AP214" s="138">
        <f t="shared" si="142"/>
        <v>0.70192492781520688</v>
      </c>
      <c r="AQ214" s="139">
        <f t="shared" si="143"/>
        <v>41.293333333333329</v>
      </c>
      <c r="AR214" s="537">
        <v>4</v>
      </c>
      <c r="AS214" s="519">
        <f t="shared" si="129"/>
        <v>70.192492781520684</v>
      </c>
      <c r="AT214" s="106">
        <f t="shared" si="130"/>
        <v>0</v>
      </c>
      <c r="AU214" s="109">
        <f t="shared" si="131"/>
        <v>0</v>
      </c>
      <c r="AV214" s="110"/>
      <c r="AW214" s="138" t="e">
        <f>VLOOKUP(AX214,Sup!#REF!,8,0)</f>
        <v>#REF!</v>
      </c>
      <c r="AX214" s="1008" t="s">
        <v>199</v>
      </c>
      <c r="AY214" s="556">
        <v>0</v>
      </c>
      <c r="AZ214" s="35"/>
      <c r="BA214" s="35"/>
      <c r="BB214" s="35"/>
      <c r="BC214" s="35">
        <f t="shared" si="123"/>
        <v>0</v>
      </c>
      <c r="BD214" s="35" t="str">
        <f t="shared" si="134"/>
        <v/>
      </c>
      <c r="BE214" s="45">
        <f t="shared" si="145"/>
        <v>0</v>
      </c>
      <c r="BF214" s="971"/>
      <c r="BG214" s="236"/>
      <c r="BH214" s="12"/>
      <c r="BI214" s="12"/>
      <c r="BJ214" s="12"/>
      <c r="BK214" s="12"/>
      <c r="BL214" s="12"/>
      <c r="BM214" s="980">
        <f t="shared" si="107"/>
        <v>1272</v>
      </c>
      <c r="BN214" s="367"/>
      <c r="BO214" s="981"/>
      <c r="BP214" s="12"/>
      <c r="BQ214" s="12"/>
      <c r="BR214" s="12"/>
      <c r="BS214" s="973"/>
      <c r="BT214" s="12"/>
      <c r="BU214" s="12"/>
      <c r="BV214" s="12"/>
      <c r="BW214" s="982" t="s">
        <v>392</v>
      </c>
      <c r="BX214" s="983">
        <f t="shared" si="100"/>
        <v>0</v>
      </c>
      <c r="BY214" s="12" t="e">
        <f>VLOOKUP(B214,#REF!,13,0)</f>
        <v>#REF!</v>
      </c>
      <c r="BZ214" s="1056">
        <v>69.900000000000006</v>
      </c>
      <c r="CA214" s="1181" t="e">
        <f>VLOOKUP(B214,Pedido!$B$16:$L$292,22,0)</f>
        <v>#N/A</v>
      </c>
    </row>
    <row r="215" spans="1:85" ht="33" customHeight="1" thickBot="1">
      <c r="A215" s="524"/>
      <c r="B215" s="140" t="s">
        <v>297</v>
      </c>
      <c r="C215" s="279" t="s">
        <v>301</v>
      </c>
      <c r="D215" s="369" t="s">
        <v>128</v>
      </c>
      <c r="E215" s="370" t="s">
        <v>70</v>
      </c>
      <c r="F215" s="371" t="s">
        <v>61</v>
      </c>
      <c r="G215" s="373">
        <v>450</v>
      </c>
      <c r="H215" s="1153">
        <v>30.97</v>
      </c>
      <c r="I215" s="129">
        <v>139.9</v>
      </c>
      <c r="J215" s="130" t="str">
        <f t="shared" si="125"/>
        <v/>
      </c>
      <c r="K215" s="131" t="str">
        <f t="shared" si="114"/>
        <v/>
      </c>
      <c r="L215" s="241">
        <v>103.9</v>
      </c>
      <c r="M215" s="473">
        <f t="shared" si="126"/>
        <v>91.9</v>
      </c>
      <c r="N215" s="473">
        <f t="shared" si="127"/>
        <v>91.9</v>
      </c>
      <c r="O215" s="473">
        <f t="shared" si="128"/>
        <v>91.9</v>
      </c>
      <c r="P215" s="132">
        <v>91.9</v>
      </c>
      <c r="Q215" s="132">
        <v>84.9</v>
      </c>
      <c r="R215" s="132">
        <v>82.9</v>
      </c>
      <c r="S215" s="133">
        <v>79.900000000000006</v>
      </c>
      <c r="T215" s="134" t="str">
        <f t="shared" si="108"/>
        <v/>
      </c>
      <c r="U215" s="135" t="str">
        <f t="shared" si="109"/>
        <v/>
      </c>
      <c r="V215" s="575"/>
      <c r="W215" s="694"/>
      <c r="X215" s="170"/>
      <c r="Y215" s="122" t="str">
        <f t="shared" si="116"/>
        <v/>
      </c>
      <c r="Z215" s="224">
        <f t="shared" si="135"/>
        <v>0</v>
      </c>
      <c r="AA215" s="136">
        <f t="shared" si="110"/>
        <v>0</v>
      </c>
      <c r="AB215" s="136">
        <f>IFERROR(IF(OR($AA$373&gt;=$S$26,SUMIF($C:$C,C215,$W:$W)&gt;=$S$27),S215,IF(OR($AA$373&gt;=$R$26,SUMIF($C:$C,C215,$W:$W)&gt;=$R$27),R215,IF(OR($AA$373&gt;=$Q$26,SUMIF($C:$C,C215,$W:$W)&gt;=$Q$27),Q215,IF(OR($AA$373&gt;=$P$26,SUMIF($C:$C,C215,$W:$W)&gt;=$P$27),P215,IF(OR($AA$373&gt;=$O$26,SUMIF($C:$C,C215,$W:$W)&gt;=$O$27),O215,IF(OR($AA$373&gt;=$N$26,SUMIF($C:$C,C215,$W:$W)&gt;=$N$27),N215,IF($AA$373&gt;=$M$26,M215,L215)))))))*W215,0)</f>
        <v>0</v>
      </c>
      <c r="AC215" s="136">
        <f>IFERROR(IF(V215="",0,(IF(AND(W215="",X215=""),"",IF(OR($AA$373&gt;=$S$26,SUMIF($C:$C,C215,$W:$W)&gt;=$S$27),S215*$E$13,IF(OR($AA$373&gt;=$R$26,SUMIF($C:$C,C215,$W:$W)&gt;=$R$27),R215*$E$13,IF(OR($AA$373&gt;=$Q$26,SUMIF($C:$C,C215,$W:$W)&gt;=$Q$27),Q215*$E$13,IF(OR($AA$373&gt;=$P$26,SUMIF($C:$C,C215,$W:$W)&gt;=$P$27),P215*$E$13,IF(OR($AA$373&gt;=$O$26,SUMIF($C:$C,C215,$W:$W)&gt;=$O$27),O215*$E$13,IF(OR($AA$373&gt;=$N$26,SUMIF($C:$C,C215,$W:$W)&gt;=$N$27),N215*$E$13,IF($AA$373&gt;=$M$26,M215*$E$13,L215))))))))-V215)*W215),0)</f>
        <v>0</v>
      </c>
      <c r="AD215" s="136">
        <f t="shared" si="144"/>
        <v>0</v>
      </c>
      <c r="AE215" s="136">
        <f t="shared" si="136"/>
        <v>0</v>
      </c>
      <c r="AF215" s="136">
        <f t="shared" si="137"/>
        <v>0</v>
      </c>
      <c r="AG215" s="137">
        <f t="shared" si="138"/>
        <v>0</v>
      </c>
      <c r="AH215" s="136">
        <f t="shared" si="139"/>
        <v>0</v>
      </c>
      <c r="AI215" s="136">
        <f t="shared" si="140"/>
        <v>0</v>
      </c>
      <c r="AJ215" s="136">
        <f t="shared" si="146"/>
        <v>0</v>
      </c>
      <c r="AK215" s="136">
        <f t="shared" si="147"/>
        <v>0</v>
      </c>
      <c r="AL215" s="136">
        <f t="shared" si="148"/>
        <v>0</v>
      </c>
      <c r="AM215" s="136">
        <f t="shared" si="141"/>
        <v>0</v>
      </c>
      <c r="AN215" s="136">
        <f t="shared" si="149"/>
        <v>0</v>
      </c>
      <c r="AO215" s="136">
        <f t="shared" si="150"/>
        <v>0</v>
      </c>
      <c r="AP215" s="138">
        <f t="shared" si="142"/>
        <v>0.70192492781520688</v>
      </c>
      <c r="AQ215" s="139">
        <f t="shared" si="143"/>
        <v>41.293333333333329</v>
      </c>
      <c r="AR215" s="537">
        <v>4</v>
      </c>
      <c r="AS215" s="202">
        <f t="shared" si="129"/>
        <v>70.192492781520684</v>
      </c>
      <c r="AT215" s="197">
        <f t="shared" si="130"/>
        <v>0</v>
      </c>
      <c r="AU215" s="199">
        <f t="shared" si="131"/>
        <v>0</v>
      </c>
      <c r="AV215" s="110"/>
      <c r="AW215" s="138" t="e">
        <f>VLOOKUP(AX215,Sup!#REF!,8,0)</f>
        <v>#REF!</v>
      </c>
      <c r="AX215" s="1008" t="s">
        <v>199</v>
      </c>
      <c r="AY215" s="556">
        <v>0</v>
      </c>
      <c r="AZ215" s="35"/>
      <c r="BA215" s="35"/>
      <c r="BB215" s="35"/>
      <c r="BC215" s="35">
        <f t="shared" si="123"/>
        <v>0</v>
      </c>
      <c r="BD215" s="35" t="str">
        <f t="shared" si="134"/>
        <v/>
      </c>
      <c r="BE215" s="45">
        <f t="shared" si="145"/>
        <v>0</v>
      </c>
      <c r="BF215" s="971"/>
      <c r="BG215" s="236"/>
      <c r="BH215" s="12"/>
      <c r="BI215" s="12"/>
      <c r="BJ215" s="12"/>
      <c r="BK215" s="12"/>
      <c r="BL215" s="12"/>
      <c r="BM215" s="980">
        <f t="shared" si="107"/>
        <v>1296</v>
      </c>
      <c r="BN215" s="367"/>
      <c r="BO215" s="981"/>
      <c r="BP215" s="12"/>
      <c r="BQ215" s="12"/>
      <c r="BR215" s="12"/>
      <c r="BS215" s="973"/>
      <c r="BT215" s="12"/>
      <c r="BU215" s="12"/>
      <c r="BV215" s="12"/>
      <c r="BW215" s="982" t="s">
        <v>392</v>
      </c>
      <c r="BX215" s="983">
        <f t="shared" si="100"/>
        <v>0</v>
      </c>
      <c r="BY215" s="12" t="e">
        <f>VLOOKUP(B215,#REF!,13,0)</f>
        <v>#REF!</v>
      </c>
      <c r="BZ215" s="1056">
        <v>69.900000000000006</v>
      </c>
      <c r="CA215" s="1181" t="e">
        <f>VLOOKUP(B215,Pedido!$B$16:$L$292,22,0)</f>
        <v>#N/A</v>
      </c>
    </row>
    <row r="216" spans="1:85" ht="33" customHeight="1" thickBot="1">
      <c r="A216" s="524"/>
      <c r="B216" s="140" t="s">
        <v>310</v>
      </c>
      <c r="C216" s="279" t="s">
        <v>301</v>
      </c>
      <c r="D216" s="369" t="s">
        <v>128</v>
      </c>
      <c r="E216" s="370" t="s">
        <v>312</v>
      </c>
      <c r="F216" s="371" t="s">
        <v>61</v>
      </c>
      <c r="G216" s="373">
        <v>450</v>
      </c>
      <c r="H216" s="1153">
        <v>30.97</v>
      </c>
      <c r="I216" s="129">
        <v>139.9</v>
      </c>
      <c r="J216" s="130" t="str">
        <f t="shared" si="125"/>
        <v/>
      </c>
      <c r="K216" s="131" t="str">
        <f t="shared" si="114"/>
        <v/>
      </c>
      <c r="L216" s="241">
        <v>103.9</v>
      </c>
      <c r="M216" s="473">
        <f t="shared" si="126"/>
        <v>91.9</v>
      </c>
      <c r="N216" s="473">
        <f t="shared" si="127"/>
        <v>91.9</v>
      </c>
      <c r="O216" s="473">
        <f t="shared" si="128"/>
        <v>91.9</v>
      </c>
      <c r="P216" s="132">
        <v>91.9</v>
      </c>
      <c r="Q216" s="132">
        <v>84.9</v>
      </c>
      <c r="R216" s="132">
        <v>82.9</v>
      </c>
      <c r="S216" s="133">
        <v>79.900000000000006</v>
      </c>
      <c r="T216" s="134" t="str">
        <f t="shared" si="108"/>
        <v/>
      </c>
      <c r="U216" s="135" t="str">
        <f t="shared" si="109"/>
        <v/>
      </c>
      <c r="V216" s="575"/>
      <c r="W216" s="694"/>
      <c r="X216" s="170"/>
      <c r="Y216" s="122" t="str">
        <f t="shared" si="116"/>
        <v/>
      </c>
      <c r="Z216" s="224">
        <f t="shared" si="135"/>
        <v>0</v>
      </c>
      <c r="AA216" s="136">
        <f t="shared" si="110"/>
        <v>0</v>
      </c>
      <c r="AB216" s="136">
        <f>IFERROR(IF(OR($AA$373&gt;=$S$26,SUMIF($C:$C,C216,$W:$W)&gt;=$S$27),S216,IF(OR($AA$373&gt;=$R$26,SUMIF($C:$C,C216,$W:$W)&gt;=$R$27),Q216,IF(OR($AA$373&gt;=$Q$26,SUMIF($C:$C,C216,$W:$W)&gt;=$Q$27),#REF!,IF(OR($AA$373&gt;=$P$26,SUMIF($C:$C,C216,$W:$W)&gt;=$P$27),P216,IF(OR($AA$373&gt;=$O$26,SUMIF($C:$C,C216,$W:$W)&gt;=$O$27),O216,IF(OR($AA$373&gt;=$N$26,SUMIF($C:$C,C216,$W:$W)&gt;=$N$27),N216,IF($AA$373&gt;=$M$26,M216,L216)))))))*W216,0)</f>
        <v>0</v>
      </c>
      <c r="AC216" s="136">
        <f>IFERROR(IF(V216="",0,(IF(AND(W216="",X216=""),"",IF(OR($AA$373&gt;=$S$26,SUMIF($C:$C,C216,$W:$W)&gt;=$S$27),S216*$E$13,IF(OR($AA$373&gt;=$R$26,SUMIF($C:$C,C216,$W:$W)&gt;=$R$27),Q216*$E$13,IF(OR($AA$373&gt;=$Q$26,SUMIF($C:$C,C216,$W:$W)&gt;=$Q$27),#REF!*$E$13,IF(OR($AA$373&gt;=$P$26,SUMIF($C:$C,C216,$W:$W)&gt;=$P$27),P216*$E$13,IF(OR($AA$373&gt;=$O$26,SUMIF($C:$C,C216,$W:$W)&gt;=$O$27),O216*$E$13,IF(OR($AA$373&gt;=$N$26,SUMIF($C:$C,C216,$W:$W)&gt;=$N$27),N216*$E$13,IF($AA$373&gt;=$M$26,M216*$E$13,L216))))))))-V216)*W216),0)</f>
        <v>0</v>
      </c>
      <c r="AD216" s="136">
        <f t="shared" si="144"/>
        <v>0</v>
      </c>
      <c r="AE216" s="136">
        <f t="shared" si="136"/>
        <v>0</v>
      </c>
      <c r="AF216" s="136">
        <f t="shared" si="137"/>
        <v>0</v>
      </c>
      <c r="AG216" s="137">
        <f t="shared" si="138"/>
        <v>0</v>
      </c>
      <c r="AH216" s="136">
        <f t="shared" si="139"/>
        <v>0</v>
      </c>
      <c r="AI216" s="136">
        <f t="shared" si="140"/>
        <v>0</v>
      </c>
      <c r="AJ216" s="136">
        <f t="shared" si="146"/>
        <v>0</v>
      </c>
      <c r="AK216" s="136">
        <f t="shared" si="147"/>
        <v>0</v>
      </c>
      <c r="AL216" s="136">
        <f t="shared" si="148"/>
        <v>0</v>
      </c>
      <c r="AM216" s="136">
        <f t="shared" si="141"/>
        <v>0</v>
      </c>
      <c r="AN216" s="136">
        <f t="shared" si="149"/>
        <v>0</v>
      </c>
      <c r="AO216" s="136">
        <f t="shared" si="150"/>
        <v>0</v>
      </c>
      <c r="AP216" s="138">
        <f t="shared" si="142"/>
        <v>0.70192492781520688</v>
      </c>
      <c r="AQ216" s="139">
        <f t="shared" si="143"/>
        <v>41.293333333333329</v>
      </c>
      <c r="AR216" s="537">
        <v>4</v>
      </c>
      <c r="AS216" s="202">
        <f t="shared" si="129"/>
        <v>70.192492781520684</v>
      </c>
      <c r="AT216" s="197">
        <f t="shared" si="130"/>
        <v>0</v>
      </c>
      <c r="AU216" s="199">
        <f t="shared" si="131"/>
        <v>0</v>
      </c>
      <c r="AV216" s="110"/>
      <c r="AW216" s="138" t="e">
        <f>VLOOKUP(AX216,Sup!#REF!,8,0)</f>
        <v>#REF!</v>
      </c>
      <c r="AX216" s="1008" t="s">
        <v>199</v>
      </c>
      <c r="AY216" s="556">
        <v>0</v>
      </c>
      <c r="AZ216" s="35"/>
      <c r="BA216" s="35"/>
      <c r="BB216" s="35"/>
      <c r="BC216" s="35">
        <f t="shared" si="123"/>
        <v>0</v>
      </c>
      <c r="BD216" s="35" t="str">
        <f t="shared" si="134"/>
        <v/>
      </c>
      <c r="BE216" s="45">
        <f t="shared" si="145"/>
        <v>0</v>
      </c>
      <c r="BF216" s="971"/>
      <c r="BG216" s="236"/>
      <c r="BH216" s="12"/>
      <c r="BI216" s="12"/>
      <c r="BJ216" s="12"/>
      <c r="BK216" s="12"/>
      <c r="BL216" s="12"/>
      <c r="BM216" s="980">
        <f t="shared" si="107"/>
        <v>1320</v>
      </c>
      <c r="BN216" s="367"/>
      <c r="BO216" s="981"/>
      <c r="BP216" s="12"/>
      <c r="BQ216" s="12"/>
      <c r="BR216" s="12"/>
      <c r="BS216" s="973"/>
      <c r="BT216" s="12"/>
      <c r="BU216" s="12"/>
      <c r="BV216" s="12"/>
      <c r="BW216" s="982" t="s">
        <v>392</v>
      </c>
      <c r="BX216" s="983">
        <f t="shared" si="100"/>
        <v>0</v>
      </c>
      <c r="BY216" s="12" t="e">
        <f>VLOOKUP(B216,#REF!,13,0)</f>
        <v>#REF!</v>
      </c>
      <c r="BZ216" s="1056">
        <v>69.900000000000006</v>
      </c>
      <c r="CA216" s="1181" t="e">
        <f>VLOOKUP(B216,Pedido!$B$16:$L$292,22,0)</f>
        <v>#N/A</v>
      </c>
    </row>
    <row r="217" spans="1:85" ht="33" customHeight="1" thickBot="1">
      <c r="A217" s="524"/>
      <c r="B217" s="140" t="s">
        <v>593</v>
      </c>
      <c r="C217" s="279" t="s">
        <v>301</v>
      </c>
      <c r="D217" s="369" t="s">
        <v>128</v>
      </c>
      <c r="E217" s="370" t="s">
        <v>591</v>
      </c>
      <c r="F217" s="371" t="s">
        <v>61</v>
      </c>
      <c r="G217" s="373">
        <v>450</v>
      </c>
      <c r="H217" s="1153">
        <v>30.97</v>
      </c>
      <c r="I217" s="129">
        <v>139.9</v>
      </c>
      <c r="J217" s="130" t="str">
        <f>IFERROR(IF(T217&lt;&gt;"",I217/T217,IF(AND(Y217="",V217=""),"",IF(V217="",I217/Y217,I217/V217))),"")</f>
        <v/>
      </c>
      <c r="K217" s="131" t="str">
        <f>IF(T217="","",IFERROR(1-(T217/I217),0))</f>
        <v/>
      </c>
      <c r="L217" s="241">
        <v>103.9</v>
      </c>
      <c r="M217" s="473">
        <f>P217</f>
        <v>91.9</v>
      </c>
      <c r="N217" s="473">
        <f>P217</f>
        <v>91.9</v>
      </c>
      <c r="O217" s="473">
        <f>P217</f>
        <v>91.9</v>
      </c>
      <c r="P217" s="132">
        <v>91.9</v>
      </c>
      <c r="Q217" s="132">
        <v>84.9</v>
      </c>
      <c r="R217" s="132">
        <v>82.9</v>
      </c>
      <c r="S217" s="133">
        <v>79.900000000000006</v>
      </c>
      <c r="T217" s="134" t="str">
        <f>IF(V217&gt;0,V217,IFERROR(IF(AND(W217&lt;&gt;"",X217&lt;&gt;""),AH217/W217,Y217),""))</f>
        <v/>
      </c>
      <c r="U217" s="135" t="str">
        <f>IFERROR((T217*W217)/(W217+X217),"")</f>
        <v/>
      </c>
      <c r="V217" s="575"/>
      <c r="W217" s="694"/>
      <c r="X217" s="170"/>
      <c r="Y217" s="122" t="str">
        <f t="shared" si="116"/>
        <v/>
      </c>
      <c r="Z217" s="224">
        <f>IF(X217&gt;W217,-1,IF(W217=0,0,IF(U217&lt;(H217/0.75),-1,IF(W217&lt;=3,0,0.0001))))</f>
        <v>0</v>
      </c>
      <c r="AA217" s="136">
        <f>IFERROR(L217*W217,0)</f>
        <v>0</v>
      </c>
      <c r="AB217" s="136">
        <f>IFERROR(IF(OR($AA$373&gt;=$S$26,SUMIF($C:$C,C217,$W:$W)&gt;=$S$27),S217,IF(OR($AA$373&gt;=$R$26,SUMIF($C:$C,C217,$W:$W)&gt;=$R$27),Q217,IF(OR($AA$373&gt;=$Q$26,SUMIF($C:$C,C217,$W:$W)&gt;=$Q$27),#REF!,IF(OR($AA$373&gt;=$P$26,SUMIF($C:$C,C217,$W:$W)&gt;=$P$27),P217,IF(OR($AA$373&gt;=$O$26,SUMIF($C:$C,C217,$W:$W)&gt;=$O$27),O217,IF(OR($AA$373&gt;=$N$26,SUMIF($C:$C,C217,$W:$W)&gt;=$N$27),N217,IF($AA$373&gt;=$M$26,M217,L217)))))))*W217,0)</f>
        <v>0</v>
      </c>
      <c r="AC217" s="136">
        <f>IFERROR(IF(V217="",0,(IF(AND(W217="",X217=""),"",IF(OR($AA$373&gt;=$S$26,SUMIF($C:$C,C217,$W:$W)&gt;=$S$27),S217*$E$13,IF(OR($AA$373&gt;=$R$26,SUMIF($C:$C,C217,$W:$W)&gt;=$R$27),Q217*$E$13,IF(OR($AA$373&gt;=$Q$26,SUMIF($C:$C,C217,$W:$W)&gt;=$Q$27),#REF!*$E$13,IF(OR($AA$373&gt;=$P$26,SUMIF($C:$C,C217,$W:$W)&gt;=$P$27),P217*$E$13,IF(OR($AA$373&gt;=$O$26,SUMIF($C:$C,C217,$W:$W)&gt;=$O$27),O217*$E$13,IF(OR($AA$373&gt;=$N$26,SUMIF($C:$C,C217,$W:$W)&gt;=$N$27),N217*$E$13,IF($AA$373&gt;=$M$26,M217*$E$13,L217))))))))-V217)*W217),0)</f>
        <v>0</v>
      </c>
      <c r="AD217" s="136">
        <f>IFERROR(X217*T217,0)</f>
        <v>0</v>
      </c>
      <c r="AE217" s="136">
        <f>IFERROR(W217*H217,0)</f>
        <v>0</v>
      </c>
      <c r="AF217" s="136">
        <f>IFERROR(1-(AE217/AB217),0)</f>
        <v>0</v>
      </c>
      <c r="AG217" s="137">
        <f>IFERROR(SUM(W217:X217)*I217,0)</f>
        <v>0</v>
      </c>
      <c r="AH217" s="136">
        <f>IFERROR(IF(V217&gt;0,V217*W217,(Y217*W217)),0)</f>
        <v>0</v>
      </c>
      <c r="AI217" s="136">
        <f>IFERROR(SUM(W217)*H217,0)</f>
        <v>0</v>
      </c>
      <c r="AJ217" s="136">
        <f>AH217*$AJ$25</f>
        <v>0</v>
      </c>
      <c r="AK217" s="136">
        <f>AH217*AK$25</f>
        <v>0</v>
      </c>
      <c r="AL217" s="136">
        <f>AH217*AL$25</f>
        <v>0</v>
      </c>
      <c r="AM217" s="136">
        <f>SUM(AJ217:AL217)</f>
        <v>0</v>
      </c>
      <c r="AN217" s="136">
        <f>AH217-AM217</f>
        <v>0</v>
      </c>
      <c r="AO217" s="136">
        <f>AN217-AI217</f>
        <v>0</v>
      </c>
      <c r="AP217" s="138">
        <f>IFERROR(IF(V217&lt;&gt;"",1-(H217/V217),IF(Y217&lt;&gt;"",1-(H217/Y217),1-(H217/L217))),0)</f>
        <v>0.70192492781520688</v>
      </c>
      <c r="AQ217" s="139">
        <f>H217/0.75</f>
        <v>41.293333333333329</v>
      </c>
      <c r="AR217" s="537">
        <v>4</v>
      </c>
      <c r="AS217" s="202">
        <f t="shared" si="129"/>
        <v>70.192492781520684</v>
      </c>
      <c r="AT217" s="197">
        <f>IFERROR(1-(AI217/AH217),0)</f>
        <v>0</v>
      </c>
      <c r="AU217" s="199">
        <f>IFERROR(AO217/AH217,0)</f>
        <v>0</v>
      </c>
      <c r="AV217" s="110"/>
      <c r="AW217" s="138" t="e">
        <f>VLOOKUP(AX217,Sup!#REF!,8,0)</f>
        <v>#REF!</v>
      </c>
      <c r="AX217" s="1008" t="s">
        <v>199</v>
      </c>
      <c r="AY217" s="556">
        <v>0</v>
      </c>
      <c r="AZ217" s="35"/>
      <c r="BA217" s="35"/>
      <c r="BB217" s="35"/>
      <c r="BC217" s="35">
        <f>IF(BE217&lt;0,BE217,0)</f>
        <v>0</v>
      </c>
      <c r="BD217" s="35" t="str">
        <f t="shared" si="134"/>
        <v/>
      </c>
      <c r="BE217" s="45">
        <f>IF(V217="",0,(V217*W217)-(BD217*W217))</f>
        <v>0</v>
      </c>
      <c r="BF217" s="971"/>
      <c r="BG217" s="236"/>
      <c r="BH217" s="12"/>
      <c r="BI217" s="12"/>
      <c r="BJ217" s="12"/>
      <c r="BK217" s="12"/>
      <c r="BL217" s="12"/>
      <c r="BM217" s="980">
        <f t="shared" si="107"/>
        <v>1344</v>
      </c>
      <c r="BN217" s="367"/>
      <c r="BO217" s="981"/>
      <c r="BP217" s="12"/>
      <c r="BQ217" s="12"/>
      <c r="BR217" s="12"/>
      <c r="BS217" s="973"/>
      <c r="BT217" s="12"/>
      <c r="BU217" s="12"/>
      <c r="BV217" s="12"/>
      <c r="BW217" s="982" t="s">
        <v>392</v>
      </c>
      <c r="BX217" s="983">
        <f>IFERROR(W217*U217,0)</f>
        <v>0</v>
      </c>
      <c r="BY217" s="12" t="e">
        <f>VLOOKUP(B217,#REF!,13,0)</f>
        <v>#REF!</v>
      </c>
      <c r="BZ217" s="1056">
        <v>69.900000000000006</v>
      </c>
      <c r="CA217" s="1181" t="e">
        <f>VLOOKUP(B217,Pedido!$B$16:$L$292,22,0)</f>
        <v>#N/A</v>
      </c>
    </row>
    <row r="218" spans="1:85" ht="33" customHeight="1" thickBot="1">
      <c r="A218" s="524"/>
      <c r="B218" s="140" t="s">
        <v>298</v>
      </c>
      <c r="C218" s="279" t="s">
        <v>301</v>
      </c>
      <c r="D218" s="369" t="s">
        <v>128</v>
      </c>
      <c r="E218" s="370" t="s">
        <v>125</v>
      </c>
      <c r="F218" s="371" t="s">
        <v>61</v>
      </c>
      <c r="G218" s="373">
        <v>450</v>
      </c>
      <c r="H218" s="1153">
        <v>30.97</v>
      </c>
      <c r="I218" s="129">
        <v>139.9</v>
      </c>
      <c r="J218" s="130" t="str">
        <f t="shared" si="125"/>
        <v/>
      </c>
      <c r="K218" s="131" t="str">
        <f t="shared" si="114"/>
        <v/>
      </c>
      <c r="L218" s="241">
        <v>103.9</v>
      </c>
      <c r="M218" s="473">
        <f t="shared" si="126"/>
        <v>91.9</v>
      </c>
      <c r="N218" s="473">
        <f t="shared" si="127"/>
        <v>91.9</v>
      </c>
      <c r="O218" s="473">
        <f t="shared" si="128"/>
        <v>91.9</v>
      </c>
      <c r="P218" s="132">
        <v>91.9</v>
      </c>
      <c r="Q218" s="132">
        <v>84.9</v>
      </c>
      <c r="R218" s="132">
        <v>82.9</v>
      </c>
      <c r="S218" s="133">
        <v>79.900000000000006</v>
      </c>
      <c r="T218" s="134" t="str">
        <f t="shared" si="108"/>
        <v/>
      </c>
      <c r="U218" s="135" t="str">
        <f t="shared" si="109"/>
        <v/>
      </c>
      <c r="V218" s="575"/>
      <c r="W218" s="694"/>
      <c r="X218" s="170"/>
      <c r="Y218" s="122" t="str">
        <f t="shared" si="116"/>
        <v/>
      </c>
      <c r="Z218" s="224">
        <f t="shared" si="135"/>
        <v>0</v>
      </c>
      <c r="AA218" s="136">
        <f t="shared" si="110"/>
        <v>0</v>
      </c>
      <c r="AB218" s="136">
        <f>IFERROR(IF(OR($AA$373&gt;=$S$26,SUMIF($C:$C,C218,$W:$W)&gt;=$S$27),S218,IF(OR($AA$373&gt;=$R$26,SUMIF($C:$C,C218,$W:$W)&gt;=$R$27),R218,IF(OR($AA$373&gt;=$Q$26,SUMIF($C:$C,C218,$W:$W)&gt;=$Q$27),Q218,IF(OR($AA$373&gt;=$P$26,SUMIF($C:$C,C218,$W:$W)&gt;=$P$27),P218,IF(OR($AA$373&gt;=$O$26,SUMIF($C:$C,C218,$W:$W)&gt;=$O$27),O218,IF(OR($AA$373&gt;=$N$26,SUMIF($C:$C,C218,$W:$W)&gt;=$N$27),N218,IF($AA$373&gt;=$M$26,M218,L218)))))))*W218,0)</f>
        <v>0</v>
      </c>
      <c r="AC218" s="136">
        <f>IFERROR(IF(V218="",0,(IF(AND(W218="",X218=""),"",IF(OR($AA$373&gt;=$S$26,SUMIF($C:$C,C218,$W:$W)&gt;=$S$27),S218*$E$13,IF(OR($AA$373&gt;=$R$26,SUMIF($C:$C,C218,$W:$W)&gt;=$R$27),R218*$E$13,IF(OR($AA$373&gt;=$Q$26,SUMIF($C:$C,C218,$W:$W)&gt;=$Q$27),Q218*$E$13,IF(OR($AA$373&gt;=$P$26,SUMIF($C:$C,C218,$W:$W)&gt;=$P$27),P218*$E$13,IF(OR($AA$373&gt;=$O$26,SUMIF($C:$C,C218,$W:$W)&gt;=$O$27),O218*$E$13,IF(OR($AA$373&gt;=$N$26,SUMIF($C:$C,C218,$W:$W)&gt;=$N$27),N218*$E$13,IF($AA$373&gt;=$M$26,M218*$E$13,L218))))))))-V218)*W218),0)</f>
        <v>0</v>
      </c>
      <c r="AD218" s="136">
        <f t="shared" si="144"/>
        <v>0</v>
      </c>
      <c r="AE218" s="136">
        <f t="shared" si="136"/>
        <v>0</v>
      </c>
      <c r="AF218" s="136">
        <f t="shared" si="137"/>
        <v>0</v>
      </c>
      <c r="AG218" s="137">
        <f t="shared" si="138"/>
        <v>0</v>
      </c>
      <c r="AH218" s="136">
        <f t="shared" si="139"/>
        <v>0</v>
      </c>
      <c r="AI218" s="136">
        <f t="shared" si="140"/>
        <v>0</v>
      </c>
      <c r="AJ218" s="136">
        <f t="shared" si="146"/>
        <v>0</v>
      </c>
      <c r="AK218" s="136">
        <f t="shared" si="147"/>
        <v>0</v>
      </c>
      <c r="AL218" s="136">
        <f t="shared" si="148"/>
        <v>0</v>
      </c>
      <c r="AM218" s="136">
        <f t="shared" si="141"/>
        <v>0</v>
      </c>
      <c r="AN218" s="136">
        <f t="shared" si="149"/>
        <v>0</v>
      </c>
      <c r="AO218" s="136">
        <f t="shared" si="150"/>
        <v>0</v>
      </c>
      <c r="AP218" s="138">
        <f t="shared" si="142"/>
        <v>0.70192492781520688</v>
      </c>
      <c r="AQ218" s="139">
        <f t="shared" si="143"/>
        <v>41.293333333333329</v>
      </c>
      <c r="AR218" s="537">
        <v>4</v>
      </c>
      <c r="AS218" s="202">
        <f t="shared" si="129"/>
        <v>70.192492781520684</v>
      </c>
      <c r="AT218" s="197">
        <f t="shared" si="130"/>
        <v>0</v>
      </c>
      <c r="AU218" s="199">
        <f t="shared" si="131"/>
        <v>0</v>
      </c>
      <c r="AV218" s="110"/>
      <c r="AW218" s="138" t="e">
        <f>VLOOKUP(AX218,Sup!#REF!,8,0)</f>
        <v>#REF!</v>
      </c>
      <c r="AX218" s="1008" t="s">
        <v>199</v>
      </c>
      <c r="AY218" s="556">
        <v>0</v>
      </c>
      <c r="AZ218" s="35"/>
      <c r="BA218" s="35"/>
      <c r="BB218" s="35"/>
      <c r="BC218" s="35">
        <f t="shared" si="123"/>
        <v>0</v>
      </c>
      <c r="BD218" s="35" t="str">
        <f t="shared" si="134"/>
        <v/>
      </c>
      <c r="BE218" s="45">
        <f t="shared" si="145"/>
        <v>0</v>
      </c>
      <c r="BF218" s="971"/>
      <c r="BG218" s="236"/>
      <c r="BH218" s="12"/>
      <c r="BI218" s="12"/>
      <c r="BJ218" s="12"/>
      <c r="BK218" s="12"/>
      <c r="BL218" s="12"/>
      <c r="BM218" s="980">
        <f>BM216+24</f>
        <v>1344</v>
      </c>
      <c r="BN218" s="367"/>
      <c r="BO218" s="981"/>
      <c r="BP218" s="12"/>
      <c r="BQ218" s="12"/>
      <c r="BR218" s="12"/>
      <c r="BS218" s="973"/>
      <c r="BT218" s="12"/>
      <c r="BU218" s="12"/>
      <c r="BV218" s="12"/>
      <c r="BW218" s="982" t="s">
        <v>392</v>
      </c>
      <c r="BX218" s="983">
        <f t="shared" si="100"/>
        <v>0</v>
      </c>
      <c r="BY218" s="12" t="e">
        <f>VLOOKUP(B218,#REF!,13,0)</f>
        <v>#REF!</v>
      </c>
      <c r="BZ218" s="1056">
        <v>69.900000000000006</v>
      </c>
      <c r="CA218" s="1181" t="e">
        <f>VLOOKUP(B218,Pedido!$B$16:$L$292,22,0)</f>
        <v>#N/A</v>
      </c>
    </row>
    <row r="219" spans="1:85" ht="33" customHeight="1" thickBot="1">
      <c r="A219" s="524"/>
      <c r="B219" s="140" t="s">
        <v>419</v>
      </c>
      <c r="C219" s="279" t="s">
        <v>301</v>
      </c>
      <c r="D219" s="369" t="s">
        <v>128</v>
      </c>
      <c r="E219" s="370" t="s">
        <v>274</v>
      </c>
      <c r="F219" s="371" t="s">
        <v>61</v>
      </c>
      <c r="G219" s="373">
        <v>450</v>
      </c>
      <c r="H219" s="1153">
        <v>30.97</v>
      </c>
      <c r="I219" s="129">
        <v>139.9</v>
      </c>
      <c r="J219" s="130" t="str">
        <f t="shared" si="125"/>
        <v/>
      </c>
      <c r="K219" s="131" t="str">
        <f t="shared" si="114"/>
        <v/>
      </c>
      <c r="L219" s="241">
        <v>103.9</v>
      </c>
      <c r="M219" s="473">
        <f t="shared" si="126"/>
        <v>91.9</v>
      </c>
      <c r="N219" s="473">
        <f t="shared" si="127"/>
        <v>91.9</v>
      </c>
      <c r="O219" s="473">
        <f t="shared" si="128"/>
        <v>91.9</v>
      </c>
      <c r="P219" s="132">
        <v>91.9</v>
      </c>
      <c r="Q219" s="132">
        <v>84.9</v>
      </c>
      <c r="R219" s="132">
        <v>82.9</v>
      </c>
      <c r="S219" s="133">
        <v>79.900000000000006</v>
      </c>
      <c r="T219" s="134" t="str">
        <f t="shared" si="108"/>
        <v/>
      </c>
      <c r="U219" s="135" t="str">
        <f t="shared" si="109"/>
        <v/>
      </c>
      <c r="V219" s="575"/>
      <c r="W219" s="694"/>
      <c r="X219" s="170"/>
      <c r="Y219" s="122" t="str">
        <f t="shared" si="116"/>
        <v/>
      </c>
      <c r="Z219" s="224">
        <f t="shared" si="135"/>
        <v>0</v>
      </c>
      <c r="AA219" s="136">
        <f t="shared" si="110"/>
        <v>0</v>
      </c>
      <c r="AB219" s="136">
        <f>IFERROR(IF(OR($AA$373&gt;=$S$26,SUMIF($C:$C,C219,$W:$W)&gt;=$S$27),S219,IF(OR($AA$373&gt;=$R$26,SUMIF($C:$C,C219,$W:$W)&gt;=$R$27),Q219,IF(OR($AA$373&gt;=$Q$26,SUMIF($C:$C,C219,$W:$W)&gt;=$Q$27),#REF!,IF(OR($AA$373&gt;=$P$26,SUMIF($C:$C,C219,$W:$W)&gt;=$P$27),P219,IF(OR($AA$373&gt;=$O$26,SUMIF($C:$C,C219,$W:$W)&gt;=$O$27),O219,IF(OR($AA$373&gt;=$N$26,SUMIF($C:$C,C219,$W:$W)&gt;=$N$27),N219,IF($AA$373&gt;=$M$26,M219,L219)))))))*W219,0)</f>
        <v>0</v>
      </c>
      <c r="AC219" s="136">
        <f>IFERROR(IF(V219="",0,(IF(AND(W219="",X219=""),"",IF(OR($AA$373&gt;=$S$26,SUMIF($C:$C,C219,$W:$W)&gt;=$S$27),S219*$E$13,IF(OR($AA$373&gt;=$R$26,SUMIF($C:$C,C219,$W:$W)&gt;=$R$27),Q219*$E$13,IF(OR($AA$373&gt;=$Q$26,SUMIF($C:$C,C219,$W:$W)&gt;=$Q$27),#REF!*$E$13,IF(OR($AA$373&gt;=$P$26,SUMIF($C:$C,C219,$W:$W)&gt;=$P$27),P219*$E$13,IF(OR($AA$373&gt;=$O$26,SUMIF($C:$C,C219,$W:$W)&gt;=$O$27),O219*$E$13,IF(OR($AA$373&gt;=$N$26,SUMIF($C:$C,C219,$W:$W)&gt;=$N$27),N219*$E$13,IF($AA$373&gt;=$M$26,M219*$E$13,L219))))))))-V219)*W219),0)</f>
        <v>0</v>
      </c>
      <c r="AD219" s="136">
        <f t="shared" si="144"/>
        <v>0</v>
      </c>
      <c r="AE219" s="136">
        <f t="shared" si="136"/>
        <v>0</v>
      </c>
      <c r="AF219" s="136">
        <f t="shared" si="137"/>
        <v>0</v>
      </c>
      <c r="AG219" s="137">
        <f t="shared" si="138"/>
        <v>0</v>
      </c>
      <c r="AH219" s="136">
        <f t="shared" si="139"/>
        <v>0</v>
      </c>
      <c r="AI219" s="136">
        <f t="shared" si="140"/>
        <v>0</v>
      </c>
      <c r="AJ219" s="136">
        <f t="shared" si="146"/>
        <v>0</v>
      </c>
      <c r="AK219" s="136">
        <f t="shared" si="147"/>
        <v>0</v>
      </c>
      <c r="AL219" s="136">
        <f t="shared" si="148"/>
        <v>0</v>
      </c>
      <c r="AM219" s="136">
        <f t="shared" si="141"/>
        <v>0</v>
      </c>
      <c r="AN219" s="136">
        <f t="shared" si="149"/>
        <v>0</v>
      </c>
      <c r="AO219" s="136">
        <f t="shared" si="150"/>
        <v>0</v>
      </c>
      <c r="AP219" s="138">
        <f t="shared" si="142"/>
        <v>0.70192492781520688</v>
      </c>
      <c r="AQ219" s="139">
        <f t="shared" si="143"/>
        <v>41.293333333333329</v>
      </c>
      <c r="AR219" s="537">
        <v>4</v>
      </c>
      <c r="AS219" s="202">
        <f t="shared" si="129"/>
        <v>70.192492781520684</v>
      </c>
      <c r="AT219" s="197">
        <f t="shared" si="130"/>
        <v>0</v>
      </c>
      <c r="AU219" s="199">
        <f t="shared" si="131"/>
        <v>0</v>
      </c>
      <c r="AV219" s="110"/>
      <c r="AW219" s="138" t="e">
        <f>VLOOKUP(AX219,Sup!#REF!,8,0)</f>
        <v>#REF!</v>
      </c>
      <c r="AX219" s="1008" t="s">
        <v>199</v>
      </c>
      <c r="AY219" s="556">
        <v>0</v>
      </c>
      <c r="AZ219" s="35"/>
      <c r="BA219" s="35"/>
      <c r="BB219" s="35"/>
      <c r="BC219" s="35">
        <f t="shared" si="123"/>
        <v>0</v>
      </c>
      <c r="BD219" s="35" t="str">
        <f>IFERROR(IF(AND(W219="",X219=""),"",IF(OR($AA$373&gt;=$S$26,SUMIF($C:$C,C219,$W:$W)&gt;=$S$27),S219,IF(OR($AA$373&gt;=$R$26,SUMIF($C:$C,C219,$W:$W)&gt;=$R$27),Q219,IF(OR($AA$373&gt;=$Q$26,SUMIF($C:$C,C219,$W:$W)&gt;=$Q$27),#REF!,IF(OR($AA$373&gt;=$P$26,SUMIF($C:$C,C219,$W:$W)&gt;=$P$27),P219,IF(OR($AA$373&gt;=$O$26,SUMIF($C:$C,C219,$W:$W)&gt;=$O$27),O219,IF(OR($AA$373&gt;=$N$26,SUMIF($C:$C,C219,$W:$W)&gt;=$N$27),N219,IF($AA$373&gt;=$M$26,M219,L219)))))))*$E$13),0)</f>
        <v/>
      </c>
      <c r="BE219" s="45">
        <f t="shared" si="145"/>
        <v>0</v>
      </c>
      <c r="BF219" s="971"/>
      <c r="BG219" s="236"/>
      <c r="BH219" s="12"/>
      <c r="BI219" s="12"/>
      <c r="BJ219" s="12"/>
      <c r="BK219" s="12"/>
      <c r="BL219" s="12"/>
      <c r="BM219" s="980">
        <f t="shared" si="107"/>
        <v>1368</v>
      </c>
      <c r="BN219" s="367"/>
      <c r="BO219" s="981"/>
      <c r="BP219" s="12"/>
      <c r="BQ219" s="12"/>
      <c r="BR219" s="12"/>
      <c r="BS219" s="973"/>
      <c r="BT219" s="12"/>
      <c r="BU219" s="12"/>
      <c r="BV219" s="12"/>
      <c r="BW219" s="982" t="s">
        <v>392</v>
      </c>
      <c r="BX219" s="983">
        <f t="shared" si="100"/>
        <v>0</v>
      </c>
      <c r="BY219" s="12" t="e">
        <f>VLOOKUP(B219,#REF!,13,0)</f>
        <v>#REF!</v>
      </c>
      <c r="BZ219" s="1056">
        <v>69.900000000000006</v>
      </c>
      <c r="CA219" s="1181" t="e">
        <f>VLOOKUP(B219,Pedido!$B$16:$L$292,22,0)</f>
        <v>#N/A</v>
      </c>
    </row>
    <row r="220" spans="1:85" ht="33" customHeight="1" thickBot="1">
      <c r="A220" s="524"/>
      <c r="B220" s="140" t="s">
        <v>299</v>
      </c>
      <c r="C220" s="279" t="s">
        <v>301</v>
      </c>
      <c r="D220" s="369" t="s">
        <v>128</v>
      </c>
      <c r="E220" s="370" t="s">
        <v>118</v>
      </c>
      <c r="F220" s="371" t="s">
        <v>61</v>
      </c>
      <c r="G220" s="373">
        <v>450</v>
      </c>
      <c r="H220" s="1153">
        <v>30.97</v>
      </c>
      <c r="I220" s="129">
        <v>139.9</v>
      </c>
      <c r="J220" s="130" t="str">
        <f t="shared" si="125"/>
        <v/>
      </c>
      <c r="K220" s="131" t="str">
        <f t="shared" si="114"/>
        <v/>
      </c>
      <c r="L220" s="241">
        <v>103.9</v>
      </c>
      <c r="M220" s="473">
        <f t="shared" si="126"/>
        <v>91.9</v>
      </c>
      <c r="N220" s="473">
        <f t="shared" si="127"/>
        <v>91.9</v>
      </c>
      <c r="O220" s="473">
        <f t="shared" si="128"/>
        <v>91.9</v>
      </c>
      <c r="P220" s="132">
        <v>91.9</v>
      </c>
      <c r="Q220" s="132">
        <v>84.9</v>
      </c>
      <c r="R220" s="132">
        <v>82.9</v>
      </c>
      <c r="S220" s="133">
        <v>79.900000000000006</v>
      </c>
      <c r="T220" s="134" t="str">
        <f t="shared" si="108"/>
        <v/>
      </c>
      <c r="U220" s="135" t="str">
        <f t="shared" si="109"/>
        <v/>
      </c>
      <c r="V220" s="575"/>
      <c r="W220" s="694"/>
      <c r="X220" s="170"/>
      <c r="Y220" s="122" t="str">
        <f t="shared" si="116"/>
        <v/>
      </c>
      <c r="Z220" s="224">
        <f t="shared" si="135"/>
        <v>0</v>
      </c>
      <c r="AA220" s="136">
        <f t="shared" si="110"/>
        <v>0</v>
      </c>
      <c r="AB220" s="136">
        <f>IFERROR(IF(OR($AA$373&gt;=$S$26,SUMIF($C:$C,C220,$W:$W)&gt;=$S$27),S220,IF(OR($AA$373&gt;=$R$26,SUMIF($C:$C,C220,$W:$W)&gt;=$R$27),R220,IF(OR($AA$373&gt;=$Q$26,SUMIF($C:$C,C220,$W:$W)&gt;=$Q$27),Q220,IF(OR($AA$373&gt;=$P$26,SUMIF($C:$C,C220,$W:$W)&gt;=$P$27),P220,IF(OR($AA$373&gt;=$O$26,SUMIF($C:$C,C220,$W:$W)&gt;=$O$27),O220,IF(OR($AA$373&gt;=$N$26,SUMIF($C:$C,C220,$W:$W)&gt;=$N$27),N220,IF($AA$373&gt;=$M$26,M220,L220)))))))*W220,0)</f>
        <v>0</v>
      </c>
      <c r="AC220" s="136">
        <f>IFERROR(IF(V220="",0,(IF(AND(W220="",X220=""),"",IF(OR($AA$373&gt;=$S$26,SUMIF($C:$C,C220,$W:$W)&gt;=$S$27),S220*$E$13,IF(OR($AA$373&gt;=$R$26,SUMIF($C:$C,C220,$W:$W)&gt;=$R$27),R220*$E$13,IF(OR($AA$373&gt;=$Q$26,SUMIF($C:$C,C220,$W:$W)&gt;=$Q$27),Q220*$E$13,IF(OR($AA$373&gt;=$P$26,SUMIF($C:$C,C220,$W:$W)&gt;=$P$27),P220*$E$13,IF(OR($AA$373&gt;=$O$26,SUMIF($C:$C,C220,$W:$W)&gt;=$O$27),O220*$E$13,IF(OR($AA$373&gt;=$N$26,SUMIF($C:$C,C220,$W:$W)&gt;=$N$27),N220*$E$13,IF($AA$373&gt;=$M$26,M220*$E$13,L220))))))))-V220)*W220),0)</f>
        <v>0</v>
      </c>
      <c r="AD220" s="136">
        <f t="shared" si="144"/>
        <v>0</v>
      </c>
      <c r="AE220" s="136">
        <f t="shared" si="136"/>
        <v>0</v>
      </c>
      <c r="AF220" s="136">
        <f t="shared" si="137"/>
        <v>0</v>
      </c>
      <c r="AG220" s="137">
        <f t="shared" si="138"/>
        <v>0</v>
      </c>
      <c r="AH220" s="136">
        <f t="shared" si="139"/>
        <v>0</v>
      </c>
      <c r="AI220" s="136">
        <f t="shared" si="140"/>
        <v>0</v>
      </c>
      <c r="AJ220" s="136">
        <f t="shared" si="146"/>
        <v>0</v>
      </c>
      <c r="AK220" s="136">
        <f t="shared" si="147"/>
        <v>0</v>
      </c>
      <c r="AL220" s="136">
        <f t="shared" si="148"/>
        <v>0</v>
      </c>
      <c r="AM220" s="136">
        <f t="shared" si="141"/>
        <v>0</v>
      </c>
      <c r="AN220" s="136">
        <f t="shared" si="149"/>
        <v>0</v>
      </c>
      <c r="AO220" s="136">
        <f t="shared" si="150"/>
        <v>0</v>
      </c>
      <c r="AP220" s="138">
        <f t="shared" si="142"/>
        <v>0.70192492781520688</v>
      </c>
      <c r="AQ220" s="139">
        <f t="shared" si="143"/>
        <v>41.293333333333329</v>
      </c>
      <c r="AR220" s="537">
        <v>4</v>
      </c>
      <c r="AS220" s="202">
        <f t="shared" si="129"/>
        <v>70.192492781520684</v>
      </c>
      <c r="AT220" s="197">
        <f t="shared" si="130"/>
        <v>0</v>
      </c>
      <c r="AU220" s="199">
        <f t="shared" si="131"/>
        <v>0</v>
      </c>
      <c r="AV220" s="110"/>
      <c r="AW220" s="138" t="e">
        <f>VLOOKUP(AX220,Sup!#REF!,8,0)</f>
        <v>#REF!</v>
      </c>
      <c r="AX220" s="1008" t="s">
        <v>199</v>
      </c>
      <c r="AY220" s="556">
        <v>0</v>
      </c>
      <c r="AZ220" s="35"/>
      <c r="BA220" s="35"/>
      <c r="BB220" s="35"/>
      <c r="BC220" s="35">
        <f t="shared" si="123"/>
        <v>0</v>
      </c>
      <c r="BD220" s="35" t="str">
        <f>IFERROR(IF(AND(W220="",X220=""),"",IF(OR($AA$373&gt;=$S$26,SUMIF($C:$C,C220,$W:$W)&gt;=$S$27),S220,IF(OR($AA$373&gt;=$R$26,SUMIF($C:$C,C220,$W:$W)&gt;=$R$27),Q220,IF(OR($AA$373&gt;=$Q$26,SUMIF($C:$C,C220,$W:$W)&gt;=$Q$27),#REF!,IF(OR($AA$373&gt;=$P$26,SUMIF($C:$C,C220,$W:$W)&gt;=$P$27),P220,IF(OR($AA$373&gt;=$O$26,SUMIF($C:$C,C220,$W:$W)&gt;=$O$27),O220,IF(OR($AA$373&gt;=$N$26,SUMIF($C:$C,C220,$W:$W)&gt;=$N$27),N220,IF($AA$373&gt;=$M$26,M220,L220)))))))*$E$13),0)</f>
        <v/>
      </c>
      <c r="BE220" s="45">
        <f t="shared" si="145"/>
        <v>0</v>
      </c>
      <c r="BF220" s="971"/>
      <c r="BG220" s="236"/>
      <c r="BH220" s="12"/>
      <c r="BI220" s="12"/>
      <c r="BJ220" s="12"/>
      <c r="BK220" s="12"/>
      <c r="BL220" s="12"/>
      <c r="BM220" s="980">
        <f t="shared" si="107"/>
        <v>1392</v>
      </c>
      <c r="BN220" s="367"/>
      <c r="BO220" s="981"/>
      <c r="BP220" s="12"/>
      <c r="BQ220" s="12"/>
      <c r="BR220" s="12"/>
      <c r="BS220" s="973"/>
      <c r="BT220" s="12"/>
      <c r="BU220" s="12"/>
      <c r="BV220" s="12"/>
      <c r="BW220" s="982" t="s">
        <v>392</v>
      </c>
      <c r="BX220" s="983">
        <f t="shared" si="100"/>
        <v>0</v>
      </c>
      <c r="BY220" s="12" t="e">
        <f>VLOOKUP(B220,#REF!,13,0)</f>
        <v>#REF!</v>
      </c>
      <c r="BZ220" s="1056">
        <v>69.900000000000006</v>
      </c>
      <c r="CA220" s="1181" t="e">
        <f>VLOOKUP(B220,Pedido!$B$16:$L$292,22,0)</f>
        <v>#N/A</v>
      </c>
    </row>
    <row r="221" spans="1:85" ht="33" customHeight="1" thickBot="1">
      <c r="A221" s="524"/>
      <c r="B221" s="140" t="s">
        <v>300</v>
      </c>
      <c r="C221" s="279" t="s">
        <v>301</v>
      </c>
      <c r="D221" s="369" t="s">
        <v>128</v>
      </c>
      <c r="E221" s="370" t="s">
        <v>126</v>
      </c>
      <c r="F221" s="371" t="s">
        <v>61</v>
      </c>
      <c r="G221" s="373">
        <v>450</v>
      </c>
      <c r="H221" s="1153">
        <v>30.97</v>
      </c>
      <c r="I221" s="129">
        <v>139.9</v>
      </c>
      <c r="J221" s="130" t="str">
        <f t="shared" si="125"/>
        <v/>
      </c>
      <c r="K221" s="131" t="str">
        <f t="shared" si="114"/>
        <v/>
      </c>
      <c r="L221" s="241">
        <v>103.9</v>
      </c>
      <c r="M221" s="473">
        <f t="shared" si="126"/>
        <v>91.9</v>
      </c>
      <c r="N221" s="473">
        <f t="shared" si="127"/>
        <v>91.9</v>
      </c>
      <c r="O221" s="473">
        <f t="shared" si="128"/>
        <v>91.9</v>
      </c>
      <c r="P221" s="132">
        <v>91.9</v>
      </c>
      <c r="Q221" s="132">
        <v>84.9</v>
      </c>
      <c r="R221" s="132">
        <v>82.9</v>
      </c>
      <c r="S221" s="133">
        <v>79.900000000000006</v>
      </c>
      <c r="T221" s="134" t="str">
        <f t="shared" si="108"/>
        <v/>
      </c>
      <c r="U221" s="135" t="str">
        <f t="shared" si="109"/>
        <v/>
      </c>
      <c r="V221" s="575"/>
      <c r="W221" s="694"/>
      <c r="X221" s="170"/>
      <c r="Y221" s="122" t="str">
        <f t="shared" si="116"/>
        <v/>
      </c>
      <c r="Z221" s="224">
        <f t="shared" si="135"/>
        <v>0</v>
      </c>
      <c r="AA221" s="136">
        <f t="shared" si="110"/>
        <v>0</v>
      </c>
      <c r="AB221" s="136">
        <f>IFERROR(IF(OR($AA$373&gt;=$S$26,SUMIF($C:$C,C221,$W:$W)&gt;=$S$27),S221,IF(OR($AA$373&gt;=$R$26,SUMIF($C:$C,C221,$W:$W)&gt;=$R$27),R221,IF(OR($AA$373&gt;=$Q$26,SUMIF($C:$C,C221,$W:$W)&gt;=$Q$27),Q221,IF(OR($AA$373&gt;=$P$26,SUMIF($C:$C,C221,$W:$W)&gt;=$P$27),P221,IF(OR($AA$373&gt;=$O$26,SUMIF($C:$C,C221,$W:$W)&gt;=$O$27),O221,IF(OR($AA$373&gt;=$N$26,SUMIF($C:$C,C221,$W:$W)&gt;=$N$27),N221,IF($AA$373&gt;=$M$26,M221,L221)))))))*W221,0)</f>
        <v>0</v>
      </c>
      <c r="AC221" s="136">
        <f>IFERROR(IF(V221="",0,(IF(AND(W221="",X221=""),"",IF(OR($AA$373&gt;=$S$26,SUMIF($C:$C,C221,$W:$W)&gt;=$S$27),S221*$E$13,IF(OR($AA$373&gt;=$R$26,SUMIF($C:$C,C221,$W:$W)&gt;=$R$27),R221*$E$13,IF(OR($AA$373&gt;=$Q$26,SUMIF($C:$C,C221,$W:$W)&gt;=$Q$27),Q221*$E$13,IF(OR($AA$373&gt;=$P$26,SUMIF($C:$C,C221,$W:$W)&gt;=$P$27),P221*$E$13,IF(OR($AA$373&gt;=$O$26,SUMIF($C:$C,C221,$W:$W)&gt;=$O$27),O221*$E$13,IF(OR($AA$373&gt;=$N$26,SUMIF($C:$C,C221,$W:$W)&gt;=$N$27),N221*$E$13,IF($AA$373&gt;=$M$26,M221*$E$13,L221))))))))-V221)*W221),0)</f>
        <v>0</v>
      </c>
      <c r="AD221" s="136">
        <f t="shared" si="144"/>
        <v>0</v>
      </c>
      <c r="AE221" s="136">
        <f t="shared" si="136"/>
        <v>0</v>
      </c>
      <c r="AF221" s="136">
        <f t="shared" si="137"/>
        <v>0</v>
      </c>
      <c r="AG221" s="137">
        <f t="shared" si="138"/>
        <v>0</v>
      </c>
      <c r="AH221" s="136">
        <f t="shared" si="139"/>
        <v>0</v>
      </c>
      <c r="AI221" s="136">
        <f t="shared" si="140"/>
        <v>0</v>
      </c>
      <c r="AJ221" s="136">
        <f t="shared" si="146"/>
        <v>0</v>
      </c>
      <c r="AK221" s="136">
        <f t="shared" si="147"/>
        <v>0</v>
      </c>
      <c r="AL221" s="136">
        <f t="shared" si="148"/>
        <v>0</v>
      </c>
      <c r="AM221" s="136">
        <f t="shared" si="141"/>
        <v>0</v>
      </c>
      <c r="AN221" s="136">
        <f t="shared" si="149"/>
        <v>0</v>
      </c>
      <c r="AO221" s="136">
        <f t="shared" si="150"/>
        <v>0</v>
      </c>
      <c r="AP221" s="138">
        <f t="shared" si="142"/>
        <v>0.70192492781520688</v>
      </c>
      <c r="AQ221" s="139">
        <f t="shared" si="143"/>
        <v>41.293333333333329</v>
      </c>
      <c r="AR221" s="537">
        <v>4</v>
      </c>
      <c r="AS221" s="202">
        <f t="shared" si="129"/>
        <v>70.192492781520684</v>
      </c>
      <c r="AT221" s="197">
        <f t="shared" si="130"/>
        <v>0</v>
      </c>
      <c r="AU221" s="199">
        <f t="shared" si="131"/>
        <v>0</v>
      </c>
      <c r="AV221" s="110"/>
      <c r="AW221" s="138" t="e">
        <f>VLOOKUP(AX221,Sup!#REF!,8,0)</f>
        <v>#REF!</v>
      </c>
      <c r="AX221" s="1008" t="s">
        <v>199</v>
      </c>
      <c r="AY221" s="556">
        <v>0</v>
      </c>
      <c r="AZ221" s="35"/>
      <c r="BA221" s="35"/>
      <c r="BB221" s="35"/>
      <c r="BC221" s="35">
        <f t="shared" si="123"/>
        <v>0</v>
      </c>
      <c r="BD221" s="35" t="str">
        <f>IFERROR(IF(AND(W221="",X221=""),"",IF(OR($AA$373&gt;=$S$26,SUMIF($C:$C,C221,$W:$W)&gt;=$S$27),S221,IF(OR($AA$373&gt;=$R$26,SUMIF($C:$C,C221,$W:$W)&gt;=$R$27),Q221,IF(OR($AA$373&gt;=$Q$26,SUMIF($C:$C,C221,$W:$W)&gt;=$Q$27),#REF!,IF(OR($AA$373&gt;=$P$26,SUMIF($C:$C,C221,$W:$W)&gt;=$P$27),P221,IF(OR($AA$373&gt;=$O$26,SUMIF($C:$C,C221,$W:$W)&gt;=$O$27),O221,IF(OR($AA$373&gt;=$N$26,SUMIF($C:$C,C221,$W:$W)&gt;=$N$27),N221,IF($AA$373&gt;=$M$26,M221,L221)))))))*$E$13),0)</f>
        <v/>
      </c>
      <c r="BE221" s="45">
        <f t="shared" si="145"/>
        <v>0</v>
      </c>
      <c r="BF221" s="971"/>
      <c r="BG221" s="236"/>
      <c r="BH221" s="12"/>
      <c r="BI221" s="12"/>
      <c r="BJ221" s="12"/>
      <c r="BK221" s="12"/>
      <c r="BL221" s="12"/>
      <c r="BM221" s="980">
        <f t="shared" si="107"/>
        <v>1416</v>
      </c>
      <c r="BN221" s="367"/>
      <c r="BO221" s="981"/>
      <c r="BP221" s="12"/>
      <c r="BQ221" s="12"/>
      <c r="BR221" s="12"/>
      <c r="BS221" s="973"/>
      <c r="BT221" s="12"/>
      <c r="BU221" s="12"/>
      <c r="BV221" s="12"/>
      <c r="BW221" s="982" t="s">
        <v>392</v>
      </c>
      <c r="BX221" s="983">
        <f t="shared" si="100"/>
        <v>0</v>
      </c>
      <c r="BY221" s="12" t="e">
        <f>VLOOKUP(B221,#REF!,13,0)</f>
        <v>#REF!</v>
      </c>
      <c r="BZ221" s="1056">
        <v>69.900000000000006</v>
      </c>
      <c r="CA221" s="1181" t="e">
        <f>VLOOKUP(B221,Pedido!$B$16:$L$292,22,0)</f>
        <v>#N/A</v>
      </c>
    </row>
    <row r="222" spans="1:85" s="572" customFormat="1" ht="33" customHeight="1" thickBot="1">
      <c r="A222" s="524"/>
      <c r="B222" s="140" t="s">
        <v>420</v>
      </c>
      <c r="C222" s="279" t="s">
        <v>301</v>
      </c>
      <c r="D222" s="369" t="s">
        <v>128</v>
      </c>
      <c r="E222" s="370" t="s">
        <v>271</v>
      </c>
      <c r="F222" s="371" t="s">
        <v>61</v>
      </c>
      <c r="G222" s="373">
        <v>450</v>
      </c>
      <c r="H222" s="1153">
        <v>30.97</v>
      </c>
      <c r="I222" s="129">
        <v>139.9</v>
      </c>
      <c r="J222" s="130" t="str">
        <f t="shared" si="125"/>
        <v/>
      </c>
      <c r="K222" s="131" t="str">
        <f t="shared" si="114"/>
        <v/>
      </c>
      <c r="L222" s="241">
        <v>103.9</v>
      </c>
      <c r="M222" s="132">
        <f t="shared" si="126"/>
        <v>91.9</v>
      </c>
      <c r="N222" s="132">
        <f t="shared" si="127"/>
        <v>91.9</v>
      </c>
      <c r="O222" s="132">
        <f t="shared" si="128"/>
        <v>91.9</v>
      </c>
      <c r="P222" s="132">
        <v>91.9</v>
      </c>
      <c r="Q222" s="132">
        <v>84.9</v>
      </c>
      <c r="R222" s="132">
        <v>82.9</v>
      </c>
      <c r="S222" s="133">
        <v>79.900000000000006</v>
      </c>
      <c r="T222" s="644" t="str">
        <f t="shared" si="108"/>
        <v/>
      </c>
      <c r="U222" s="645" t="str">
        <f t="shared" si="109"/>
        <v/>
      </c>
      <c r="V222" s="1135"/>
      <c r="W222" s="1136"/>
      <c r="X222" s="1137"/>
      <c r="Y222" s="636" t="str">
        <f t="shared" si="116"/>
        <v/>
      </c>
      <c r="Z222" s="637">
        <f t="shared" si="135"/>
        <v>0</v>
      </c>
      <c r="AA222" s="638">
        <f t="shared" si="110"/>
        <v>0</v>
      </c>
      <c r="AB222" s="638">
        <f>IFERROR(IF(OR($AA$373&gt;=$S$26,SUMIF($C:$C,C222,$W:$W)&gt;=$S$27),S222,IF(OR($AA$373&gt;=$R$26,SUMIF($C:$C,C222,$W:$W)&gt;=$R$27),Q222,IF(OR($AA$373&gt;=$Q$26,SUMIF($C:$C,C222,$W:$W)&gt;=$Q$27),#REF!,IF(OR($AA$373&gt;=$P$26,SUMIF($C:$C,C222,$W:$W)&gt;=$P$27),P222,IF(OR($AA$373&gt;=$O$26,SUMIF($C:$C,C222,$W:$W)&gt;=$O$27),O222,IF(OR($AA$373&gt;=$N$26,SUMIF($C:$C,C222,$W:$W)&gt;=$N$27),N222,IF($AA$373&gt;=$M$26,M222,L222)))))))*W222,0)</f>
        <v>0</v>
      </c>
      <c r="AC222" s="638">
        <f>IFERROR(IF(V222="",0,(IF(AND(W222="",X222=""),"",IF(OR($AA$373&gt;=$S$26,SUMIF($C:$C,C222,$W:$W)&gt;=$S$27),S222*$E$13,IF(OR($AA$373&gt;=$R$26,SUMIF($C:$C,C222,$W:$W)&gt;=$R$27),Q222*$E$13,IF(OR($AA$373&gt;=$Q$26,SUMIF($C:$C,C222,$W:$W)&gt;=$Q$27),#REF!*$E$13,IF(OR($AA$373&gt;=$P$26,SUMIF($C:$C,C222,$W:$W)&gt;=$P$27),P222*$E$13,IF(OR($AA$373&gt;=$O$26,SUMIF($C:$C,C222,$W:$W)&gt;=$O$27),O222*$E$13,IF(OR($AA$373&gt;=$N$26,SUMIF($C:$C,C222,$W:$W)&gt;=$N$27),N222*$E$13,IF($AA$373&gt;=$M$26,M222*$E$13,L222))))))))-V222)*W222),0)</f>
        <v>0</v>
      </c>
      <c r="AD222" s="638">
        <f t="shared" si="144"/>
        <v>0</v>
      </c>
      <c r="AE222" s="638">
        <f t="shared" si="136"/>
        <v>0</v>
      </c>
      <c r="AF222" s="638">
        <f t="shared" si="137"/>
        <v>0</v>
      </c>
      <c r="AG222" s="639">
        <f t="shared" si="138"/>
        <v>0</v>
      </c>
      <c r="AH222" s="638">
        <f t="shared" si="139"/>
        <v>0</v>
      </c>
      <c r="AI222" s="638">
        <f t="shared" si="140"/>
        <v>0</v>
      </c>
      <c r="AJ222" s="638">
        <f t="shared" si="146"/>
        <v>0</v>
      </c>
      <c r="AK222" s="638">
        <f t="shared" si="147"/>
        <v>0</v>
      </c>
      <c r="AL222" s="638">
        <f t="shared" si="148"/>
        <v>0</v>
      </c>
      <c r="AM222" s="638">
        <f t="shared" si="141"/>
        <v>0</v>
      </c>
      <c r="AN222" s="638">
        <f t="shared" si="149"/>
        <v>0</v>
      </c>
      <c r="AO222" s="638">
        <f t="shared" si="150"/>
        <v>0</v>
      </c>
      <c r="AP222" s="640">
        <f t="shared" si="142"/>
        <v>0.70192492781520688</v>
      </c>
      <c r="AQ222" s="641">
        <f t="shared" si="143"/>
        <v>41.293333333333329</v>
      </c>
      <c r="AR222" s="537">
        <v>4</v>
      </c>
      <c r="AS222" s="202">
        <f t="shared" si="129"/>
        <v>70.192492781520684</v>
      </c>
      <c r="AT222" s="197">
        <f t="shared" si="130"/>
        <v>0</v>
      </c>
      <c r="AU222" s="199">
        <f t="shared" si="131"/>
        <v>0</v>
      </c>
      <c r="AV222" s="110"/>
      <c r="AW222" s="138" t="e">
        <f>VLOOKUP(AX222,Sup!#REF!,8,0)</f>
        <v>#REF!</v>
      </c>
      <c r="AX222" s="1009" t="s">
        <v>199</v>
      </c>
      <c r="AY222" s="1134">
        <v>0</v>
      </c>
      <c r="AZ222" s="568"/>
      <c r="BA222" s="568"/>
      <c r="BB222" s="568"/>
      <c r="BC222" s="568">
        <f t="shared" si="123"/>
        <v>0</v>
      </c>
      <c r="BD222" s="568" t="str">
        <f>IFERROR(IF(AND(W222="",X222=""),"",IF(OR($AA$373&gt;=$S$26,SUMIF($C:$C,C222,$W:$W)&gt;=$S$27),S222,IF(OR($AA$373&gt;=$R$26,SUMIF($C:$C,C222,$W:$W)&gt;=$R$27),Q222,IF(OR($AA$373&gt;=$Q$26,SUMIF($C:$C,C222,$W:$W)&gt;=$Q$27),#REF!,IF(OR($AA$373&gt;=$P$26,SUMIF($C:$C,C222,$W:$W)&gt;=$P$27),P222,IF(OR($AA$373&gt;=$O$26,SUMIF($C:$C,C222,$W:$W)&gt;=$O$27),O222,IF(OR($AA$373&gt;=$N$26,SUMIF($C:$C,C222,$W:$W)&gt;=$N$27),N222,IF($AA$373&gt;=$M$26,M222,L222)))))))*$E$13),0)</f>
        <v/>
      </c>
      <c r="BE222" s="569">
        <f t="shared" si="145"/>
        <v>0</v>
      </c>
      <c r="BF222" s="1011"/>
      <c r="BG222" s="570"/>
      <c r="BH222" s="571"/>
      <c r="BI222" s="571"/>
      <c r="BJ222" s="571"/>
      <c r="BK222" s="571"/>
      <c r="BL222" s="571"/>
      <c r="BM222" s="980">
        <f t="shared" si="107"/>
        <v>1440</v>
      </c>
      <c r="BN222" s="573"/>
      <c r="BO222" s="1012"/>
      <c r="BP222" s="571"/>
      <c r="BQ222" s="571"/>
      <c r="BR222" s="571"/>
      <c r="BS222" s="1013"/>
      <c r="BT222" s="571"/>
      <c r="BU222" s="571"/>
      <c r="BV222" s="571"/>
      <c r="BW222" s="1014" t="s">
        <v>392</v>
      </c>
      <c r="BX222" s="1015">
        <f t="shared" si="100"/>
        <v>0</v>
      </c>
      <c r="BY222" s="571" t="e">
        <f>VLOOKUP(B222,#REF!,13,0)</f>
        <v>#REF!</v>
      </c>
      <c r="BZ222" s="1056">
        <v>69.900000000000006</v>
      </c>
      <c r="CA222" s="1181" t="e">
        <f>VLOOKUP(B222,Pedido!$B$16:$L$292,22,0)</f>
        <v>#N/A</v>
      </c>
      <c r="CB222" s="1181"/>
      <c r="CC222" s="1179"/>
      <c r="CD222" s="1179"/>
      <c r="CE222" s="1179"/>
      <c r="CF222" s="1179"/>
      <c r="CG222" s="1176"/>
    </row>
    <row r="223" spans="1:85" ht="27" customHeight="1" thickBot="1">
      <c r="A223" s="524"/>
      <c r="B223" s="114">
        <v>410713008</v>
      </c>
      <c r="C223" s="114" t="s">
        <v>223</v>
      </c>
      <c r="D223" s="378" t="s">
        <v>128</v>
      </c>
      <c r="E223" s="379" t="s">
        <v>376</v>
      </c>
      <c r="F223" s="380" t="s">
        <v>61</v>
      </c>
      <c r="G223" s="381">
        <v>900</v>
      </c>
      <c r="H223" s="1152">
        <v>58</v>
      </c>
      <c r="I223" s="115">
        <v>244.9</v>
      </c>
      <c r="J223" s="116" t="str">
        <f t="shared" si="125"/>
        <v/>
      </c>
      <c r="K223" s="117" t="str">
        <f t="shared" si="114"/>
        <v/>
      </c>
      <c r="L223" s="239">
        <v>175.9</v>
      </c>
      <c r="M223" s="472">
        <f t="shared" si="126"/>
        <v>154.9</v>
      </c>
      <c r="N223" s="472">
        <f t="shared" si="127"/>
        <v>154.9</v>
      </c>
      <c r="O223" s="472">
        <f t="shared" si="128"/>
        <v>154.9</v>
      </c>
      <c r="P223" s="118">
        <v>154.9</v>
      </c>
      <c r="Q223" s="118">
        <v>142.9</v>
      </c>
      <c r="R223" s="118">
        <v>139.9</v>
      </c>
      <c r="S223" s="119">
        <v>134.9</v>
      </c>
      <c r="T223" s="134" t="str">
        <f t="shared" si="108"/>
        <v/>
      </c>
      <c r="U223" s="135" t="str">
        <f t="shared" si="109"/>
        <v/>
      </c>
      <c r="V223" s="575"/>
      <c r="W223" s="694"/>
      <c r="X223" s="170"/>
      <c r="Y223" s="122" t="str">
        <f t="shared" si="116"/>
        <v/>
      </c>
      <c r="Z223" s="224">
        <f t="shared" si="135"/>
        <v>0</v>
      </c>
      <c r="AA223" s="123">
        <f t="shared" si="110"/>
        <v>0</v>
      </c>
      <c r="AB223" s="123">
        <f t="shared" ref="AB223:AB254" si="151">IFERROR(IF(OR($AA$373&gt;=$S$26,SUMIF($C:$C,C223,$W:$W)&gt;=$S$27),S223,IF(OR($AA$373&gt;=$R$26,SUMIF($C:$C,C223,$W:$W)&gt;=$R$27),R223,IF(OR($AA$373&gt;=$Q$26,SUMIF($C:$C,C223,$W:$W)&gt;=$Q$27),Q223,IF(OR($AA$373&gt;=$P$26,SUMIF($C:$C,C223,$W:$W)&gt;=$P$27),P223,IF(OR($AA$373&gt;=$O$26,SUMIF($C:$C,C223,$W:$W)&gt;=$O$27),O223,IF(OR($AA$373&gt;=$N$26,SUMIF($C:$C,C223,$W:$W)&gt;=$N$27),N223,IF($AA$373&gt;=$M$26,M223,L223)))))))*W223,0)</f>
        <v>0</v>
      </c>
      <c r="AC223" s="123">
        <f t="shared" ref="AC223:AC254" si="152">IFERROR(IF(V223="",0,(IF(AND(W223="",X223=""),"",IF(OR($AA$373&gt;=$S$26,SUMIF($C:$C,C223,$W:$W)&gt;=$S$27),S223*$E$13,IF(OR($AA$373&gt;=$R$26,SUMIF($C:$C,C223,$W:$W)&gt;=$R$27),R223*$E$13,IF(OR($AA$373&gt;=$Q$26,SUMIF($C:$C,C223,$W:$W)&gt;=$Q$27),Q223*$E$13,IF(OR($AA$373&gt;=$P$26,SUMIF($C:$C,C223,$W:$W)&gt;=$P$27),P223*$E$13,IF(OR($AA$373&gt;=$O$26,SUMIF($C:$C,C223,$W:$W)&gt;=$O$27),O223*$E$13,IF(OR($AA$373&gt;=$N$26,SUMIF($C:$C,C223,$W:$W)&gt;=$N$27),N223*$E$13,IF($AA$373&gt;=$M$26,M223*$E$13,L223))))))))-V223)*W223),0)</f>
        <v>0</v>
      </c>
      <c r="AD223" s="123">
        <f t="shared" si="144"/>
        <v>0</v>
      </c>
      <c r="AE223" s="123">
        <f t="shared" si="136"/>
        <v>0</v>
      </c>
      <c r="AF223" s="123">
        <f t="shared" si="137"/>
        <v>0</v>
      </c>
      <c r="AG223" s="124">
        <f t="shared" si="138"/>
        <v>0</v>
      </c>
      <c r="AH223" s="123">
        <f t="shared" si="139"/>
        <v>0</v>
      </c>
      <c r="AI223" s="123">
        <f t="shared" si="140"/>
        <v>0</v>
      </c>
      <c r="AJ223" s="123">
        <f t="shared" si="146"/>
        <v>0</v>
      </c>
      <c r="AK223" s="123">
        <f t="shared" si="147"/>
        <v>0</v>
      </c>
      <c r="AL223" s="123">
        <f t="shared" si="148"/>
        <v>0</v>
      </c>
      <c r="AM223" s="123">
        <f t="shared" si="141"/>
        <v>0</v>
      </c>
      <c r="AN223" s="123">
        <f t="shared" si="149"/>
        <v>0</v>
      </c>
      <c r="AO223" s="123">
        <f t="shared" si="150"/>
        <v>0</v>
      </c>
      <c r="AP223" s="125">
        <f t="shared" si="142"/>
        <v>0.6702671972711769</v>
      </c>
      <c r="AQ223" s="126">
        <f t="shared" si="143"/>
        <v>77.333333333333329</v>
      </c>
      <c r="AR223" s="535">
        <v>4</v>
      </c>
      <c r="AS223" s="202">
        <f t="shared" si="129"/>
        <v>67.026719727117694</v>
      </c>
      <c r="AT223" s="197">
        <f t="shared" si="130"/>
        <v>0</v>
      </c>
      <c r="AU223" s="199">
        <f t="shared" si="131"/>
        <v>0</v>
      </c>
      <c r="AV223" s="110"/>
      <c r="AW223" s="125" t="e">
        <f>VLOOKUP(AX223,Sup!#REF!,8,0)</f>
        <v>#REF!</v>
      </c>
      <c r="AX223" s="1016" t="s">
        <v>199</v>
      </c>
      <c r="AY223" s="556">
        <v>0</v>
      </c>
      <c r="AZ223" s="41"/>
      <c r="BA223" s="41"/>
      <c r="BB223" s="41"/>
      <c r="BC223" s="41">
        <f t="shared" si="123"/>
        <v>0</v>
      </c>
      <c r="BD223" s="41" t="str">
        <f t="shared" ref="BD223:BD254" si="153">IFERROR(IF(AND(W223="",X223=""),"",IF(OR($AA$373&gt;=$S$26,SUMIF($C:$C,C223,$W:$W)&gt;=$S$27),S223,IF(OR($AA$373&gt;=$R$26,SUMIF($C:$C,C223,$W:$W)&gt;=$R$27),R223,IF(OR($AA$373&gt;=$Q$26,SUMIF($C:$C,C223,$W:$W)&gt;=$Q$27),Q223,IF(OR($AA$373&gt;=$P$26,SUMIF($C:$C,C223,$W:$W)&gt;=$P$27),P223,IF(OR($AA$373&gt;=$O$26,SUMIF($C:$C,C223,$W:$W)&gt;=$O$27),O223,IF(OR($AA$373&gt;=$N$26,SUMIF($C:$C,C223,$W:$W)&gt;=$N$27),N223,IF($AA$373&gt;=$M$26,M223,L223)))))))*$E$13),0)</f>
        <v/>
      </c>
      <c r="BE223" s="42">
        <f t="shared" si="145"/>
        <v>0</v>
      </c>
      <c r="BF223" s="971"/>
      <c r="BG223" s="236"/>
      <c r="BH223" s="12"/>
      <c r="BI223" s="12"/>
      <c r="BJ223" s="12"/>
      <c r="BK223" s="12"/>
      <c r="BL223" s="12"/>
      <c r="BM223" s="980">
        <f t="shared" si="107"/>
        <v>1464</v>
      </c>
      <c r="BN223" s="367"/>
      <c r="BO223" s="981"/>
      <c r="BP223" s="12"/>
      <c r="BQ223" s="12"/>
      <c r="BR223" s="12"/>
      <c r="BS223" s="973"/>
      <c r="BT223" s="12"/>
      <c r="BU223" s="12"/>
      <c r="BV223" s="12"/>
      <c r="BW223" s="982" t="s">
        <v>392</v>
      </c>
      <c r="BX223" s="983">
        <f t="shared" ref="BX223:BX243" si="154">IFERROR(W223*U223,0)</f>
        <v>0</v>
      </c>
      <c r="BY223" s="12" t="e">
        <f>VLOOKUP(B223,#REF!,13,0)</f>
        <v>#REF!</v>
      </c>
      <c r="BZ223" s="1055">
        <v>124.9</v>
      </c>
      <c r="CA223" s="1181" t="e">
        <f>VLOOKUP(B223,Pedido!$B$16:$L$292,22,0)</f>
        <v>#N/A</v>
      </c>
      <c r="CC223" s="1185" t="e">
        <f>SUM(CA223:CA234)</f>
        <v>#N/A</v>
      </c>
      <c r="CD223" s="1185"/>
      <c r="CE223" s="1186"/>
      <c r="CF223" s="1186"/>
    </row>
    <row r="224" spans="1:85" ht="27" customHeight="1" thickBot="1">
      <c r="A224" s="524"/>
      <c r="B224" s="140" t="s">
        <v>127</v>
      </c>
      <c r="C224" s="140" t="str">
        <f>LEFT(B224,6)</f>
        <v>PPOWPC</v>
      </c>
      <c r="D224" s="369" t="s">
        <v>128</v>
      </c>
      <c r="E224" s="370" t="s">
        <v>70</v>
      </c>
      <c r="F224" s="371" t="s">
        <v>61</v>
      </c>
      <c r="G224" s="373">
        <v>900</v>
      </c>
      <c r="H224" s="1152">
        <v>58</v>
      </c>
      <c r="I224" s="129">
        <v>244.9</v>
      </c>
      <c r="J224" s="130" t="str">
        <f t="shared" si="125"/>
        <v/>
      </c>
      <c r="K224" s="131" t="str">
        <f t="shared" si="114"/>
        <v/>
      </c>
      <c r="L224" s="241">
        <v>175.9</v>
      </c>
      <c r="M224" s="473">
        <f t="shared" si="126"/>
        <v>154.9</v>
      </c>
      <c r="N224" s="473">
        <f t="shared" si="127"/>
        <v>154.9</v>
      </c>
      <c r="O224" s="473">
        <f t="shared" si="128"/>
        <v>154.9</v>
      </c>
      <c r="P224" s="132">
        <v>154.9</v>
      </c>
      <c r="Q224" s="132">
        <v>142.9</v>
      </c>
      <c r="R224" s="132">
        <v>139.9</v>
      </c>
      <c r="S224" s="133">
        <v>134.9</v>
      </c>
      <c r="T224" s="134" t="str">
        <f t="shared" si="108"/>
        <v/>
      </c>
      <c r="U224" s="135" t="str">
        <f t="shared" si="109"/>
        <v/>
      </c>
      <c r="V224" s="575"/>
      <c r="W224" s="694"/>
      <c r="X224" s="170"/>
      <c r="Y224" s="122" t="str">
        <f t="shared" si="116"/>
        <v/>
      </c>
      <c r="Z224" s="224">
        <f t="shared" si="135"/>
        <v>0</v>
      </c>
      <c r="AA224" s="136">
        <f t="shared" si="110"/>
        <v>0</v>
      </c>
      <c r="AB224" s="136">
        <f t="shared" si="151"/>
        <v>0</v>
      </c>
      <c r="AC224" s="136">
        <f t="shared" si="152"/>
        <v>0</v>
      </c>
      <c r="AD224" s="136">
        <f t="shared" si="144"/>
        <v>0</v>
      </c>
      <c r="AE224" s="136">
        <f t="shared" si="136"/>
        <v>0</v>
      </c>
      <c r="AF224" s="136">
        <f t="shared" si="137"/>
        <v>0</v>
      </c>
      <c r="AG224" s="137">
        <f t="shared" si="138"/>
        <v>0</v>
      </c>
      <c r="AH224" s="136">
        <f t="shared" si="139"/>
        <v>0</v>
      </c>
      <c r="AI224" s="136">
        <f t="shared" si="140"/>
        <v>0</v>
      </c>
      <c r="AJ224" s="136">
        <f t="shared" si="146"/>
        <v>0</v>
      </c>
      <c r="AK224" s="136">
        <f t="shared" si="147"/>
        <v>0</v>
      </c>
      <c r="AL224" s="136">
        <f t="shared" si="148"/>
        <v>0</v>
      </c>
      <c r="AM224" s="136">
        <f t="shared" si="141"/>
        <v>0</v>
      </c>
      <c r="AN224" s="136">
        <f t="shared" si="149"/>
        <v>0</v>
      </c>
      <c r="AO224" s="136">
        <f t="shared" si="150"/>
        <v>0</v>
      </c>
      <c r="AP224" s="138">
        <f t="shared" si="142"/>
        <v>0.6702671972711769</v>
      </c>
      <c r="AQ224" s="139">
        <f t="shared" si="143"/>
        <v>77.333333333333329</v>
      </c>
      <c r="AR224" s="537">
        <v>4</v>
      </c>
      <c r="AS224" s="202">
        <f t="shared" si="129"/>
        <v>67.026719727117694</v>
      </c>
      <c r="AT224" s="197">
        <f t="shared" si="130"/>
        <v>0</v>
      </c>
      <c r="AU224" s="199">
        <f t="shared" si="131"/>
        <v>0</v>
      </c>
      <c r="AV224" s="110"/>
      <c r="AW224" s="138" t="e">
        <f>VLOOKUP(AX224,Sup!#REF!,8,0)</f>
        <v>#REF!</v>
      </c>
      <c r="AX224" s="1008" t="s">
        <v>199</v>
      </c>
      <c r="AY224" s="556">
        <v>0</v>
      </c>
      <c r="AZ224" s="35"/>
      <c r="BA224" s="35"/>
      <c r="BB224" s="35"/>
      <c r="BC224" s="35">
        <f t="shared" si="123"/>
        <v>0</v>
      </c>
      <c r="BD224" s="35" t="str">
        <f t="shared" si="153"/>
        <v/>
      </c>
      <c r="BE224" s="45">
        <f t="shared" si="145"/>
        <v>0</v>
      </c>
      <c r="BF224" s="971"/>
      <c r="BG224" s="236"/>
      <c r="BH224" s="12"/>
      <c r="BI224" s="12"/>
      <c r="BJ224" s="12"/>
      <c r="BK224" s="12"/>
      <c r="BL224" s="12"/>
      <c r="BM224" s="980">
        <f t="shared" si="107"/>
        <v>1488</v>
      </c>
      <c r="BN224" s="367"/>
      <c r="BO224" s="981"/>
      <c r="BP224" s="12"/>
      <c r="BQ224" s="12"/>
      <c r="BR224" s="12"/>
      <c r="BS224" s="973"/>
      <c r="BT224" s="12"/>
      <c r="BU224" s="12"/>
      <c r="BV224" s="12"/>
      <c r="BW224" s="982" t="s">
        <v>392</v>
      </c>
      <c r="BX224" s="983">
        <f t="shared" si="154"/>
        <v>0</v>
      </c>
      <c r="BY224" s="12" t="e">
        <f>VLOOKUP(B224,#REF!,13,0)</f>
        <v>#REF!</v>
      </c>
      <c r="BZ224" s="1056">
        <v>124.9</v>
      </c>
      <c r="CA224" s="1181" t="e">
        <f>VLOOKUP(B224,Pedido!$B$16:$L$292,22,0)</f>
        <v>#N/A</v>
      </c>
      <c r="CC224" s="1186" t="e">
        <f>ROUNDDOWN(CC223/12,0)</f>
        <v>#N/A</v>
      </c>
      <c r="CD224" s="1186"/>
      <c r="CE224" s="1186"/>
      <c r="CF224" s="1187">
        <f>IFERROR(CC224*AVERAGE(Pedido!K224:K234),0)</f>
        <v>0</v>
      </c>
    </row>
    <row r="225" spans="1:85" ht="27" customHeight="1" thickBot="1">
      <c r="A225" s="524"/>
      <c r="B225" s="140" t="s">
        <v>311</v>
      </c>
      <c r="C225" s="140" t="s">
        <v>223</v>
      </c>
      <c r="D225" s="369" t="s">
        <v>128</v>
      </c>
      <c r="E225" s="370" t="s">
        <v>312</v>
      </c>
      <c r="F225" s="371" t="s">
        <v>61</v>
      </c>
      <c r="G225" s="373">
        <v>900</v>
      </c>
      <c r="H225" s="1152">
        <v>58</v>
      </c>
      <c r="I225" s="129">
        <v>244.9</v>
      </c>
      <c r="J225" s="130" t="str">
        <f t="shared" si="125"/>
        <v/>
      </c>
      <c r="K225" s="131" t="str">
        <f t="shared" si="114"/>
        <v/>
      </c>
      <c r="L225" s="241">
        <v>175.9</v>
      </c>
      <c r="M225" s="473">
        <f t="shared" si="126"/>
        <v>154.9</v>
      </c>
      <c r="N225" s="473">
        <f t="shared" si="127"/>
        <v>154.9</v>
      </c>
      <c r="O225" s="473">
        <f t="shared" si="128"/>
        <v>154.9</v>
      </c>
      <c r="P225" s="132">
        <v>154.9</v>
      </c>
      <c r="Q225" s="132">
        <v>142.9</v>
      </c>
      <c r="R225" s="132">
        <v>139.9</v>
      </c>
      <c r="S225" s="133">
        <v>134.9</v>
      </c>
      <c r="T225" s="134" t="str">
        <f t="shared" si="108"/>
        <v/>
      </c>
      <c r="U225" s="135" t="str">
        <f t="shared" si="109"/>
        <v/>
      </c>
      <c r="V225" s="575"/>
      <c r="W225" s="694"/>
      <c r="X225" s="170"/>
      <c r="Y225" s="122" t="str">
        <f t="shared" si="116"/>
        <v/>
      </c>
      <c r="Z225" s="224">
        <f t="shared" si="135"/>
        <v>0</v>
      </c>
      <c r="AA225" s="136">
        <f t="shared" si="110"/>
        <v>0</v>
      </c>
      <c r="AB225" s="136">
        <f t="shared" si="151"/>
        <v>0</v>
      </c>
      <c r="AC225" s="136">
        <f t="shared" si="152"/>
        <v>0</v>
      </c>
      <c r="AD225" s="136">
        <f t="shared" si="144"/>
        <v>0</v>
      </c>
      <c r="AE225" s="136">
        <f t="shared" si="136"/>
        <v>0</v>
      </c>
      <c r="AF225" s="136">
        <f t="shared" si="137"/>
        <v>0</v>
      </c>
      <c r="AG225" s="137">
        <f t="shared" si="138"/>
        <v>0</v>
      </c>
      <c r="AH225" s="136">
        <f t="shared" si="139"/>
        <v>0</v>
      </c>
      <c r="AI225" s="136">
        <f t="shared" si="140"/>
        <v>0</v>
      </c>
      <c r="AJ225" s="136">
        <f t="shared" si="146"/>
        <v>0</v>
      </c>
      <c r="AK225" s="136">
        <f t="shared" si="147"/>
        <v>0</v>
      </c>
      <c r="AL225" s="136">
        <f t="shared" si="148"/>
        <v>0</v>
      </c>
      <c r="AM225" s="136">
        <f t="shared" si="141"/>
        <v>0</v>
      </c>
      <c r="AN225" s="136">
        <f t="shared" si="149"/>
        <v>0</v>
      </c>
      <c r="AO225" s="136">
        <f t="shared" si="150"/>
        <v>0</v>
      </c>
      <c r="AP225" s="138">
        <f t="shared" si="142"/>
        <v>0.6702671972711769</v>
      </c>
      <c r="AQ225" s="139">
        <f t="shared" si="143"/>
        <v>77.333333333333329</v>
      </c>
      <c r="AR225" s="537">
        <v>4</v>
      </c>
      <c r="AS225" s="202">
        <f t="shared" si="129"/>
        <v>67.026719727117694</v>
      </c>
      <c r="AT225" s="197">
        <f t="shared" si="130"/>
        <v>0</v>
      </c>
      <c r="AU225" s="199">
        <f t="shared" si="131"/>
        <v>0</v>
      </c>
      <c r="AV225" s="110"/>
      <c r="AW225" s="138" t="e">
        <f>VLOOKUP(AX225,Sup!#REF!,8,0)</f>
        <v>#REF!</v>
      </c>
      <c r="AX225" s="1008" t="s">
        <v>199</v>
      </c>
      <c r="AY225" s="556">
        <v>0</v>
      </c>
      <c r="AZ225" s="35"/>
      <c r="BA225" s="35"/>
      <c r="BB225" s="35"/>
      <c r="BC225" s="35">
        <f t="shared" si="123"/>
        <v>0</v>
      </c>
      <c r="BD225" s="35" t="str">
        <f t="shared" si="153"/>
        <v/>
      </c>
      <c r="BE225" s="45">
        <f t="shared" si="145"/>
        <v>0</v>
      </c>
      <c r="BF225" s="971"/>
      <c r="BG225" s="236"/>
      <c r="BH225" s="12"/>
      <c r="BI225" s="12"/>
      <c r="BJ225" s="12"/>
      <c r="BK225" s="12"/>
      <c r="BL225" s="12"/>
      <c r="BM225" s="980">
        <f t="shared" si="107"/>
        <v>1512</v>
      </c>
      <c r="BN225" s="367"/>
      <c r="BO225" s="981"/>
      <c r="BP225" s="12"/>
      <c r="BQ225" s="12"/>
      <c r="BR225" s="12"/>
      <c r="BS225" s="973"/>
      <c r="BT225" s="12"/>
      <c r="BU225" s="12"/>
      <c r="BV225" s="12"/>
      <c r="BW225" s="982" t="s">
        <v>392</v>
      </c>
      <c r="BX225" s="983">
        <f t="shared" si="154"/>
        <v>0</v>
      </c>
      <c r="BY225" s="12" t="e">
        <f>VLOOKUP(B225,#REF!,13,0)</f>
        <v>#REF!</v>
      </c>
      <c r="BZ225" s="1056">
        <v>124.9</v>
      </c>
      <c r="CA225" s="1181" t="e">
        <f>VLOOKUP(B225,Pedido!$B$16:$L$292,22,0)</f>
        <v>#N/A</v>
      </c>
    </row>
    <row r="226" spans="1:85" ht="27" customHeight="1" thickBot="1">
      <c r="A226" s="524"/>
      <c r="B226" s="140" t="s">
        <v>133</v>
      </c>
      <c r="C226" s="140" t="str">
        <f>LEFT(B226,6)</f>
        <v>PPOWPC</v>
      </c>
      <c r="D226" s="369" t="s">
        <v>128</v>
      </c>
      <c r="E226" s="370" t="s">
        <v>124</v>
      </c>
      <c r="F226" s="371" t="s">
        <v>61</v>
      </c>
      <c r="G226" s="373">
        <v>900</v>
      </c>
      <c r="H226" s="1152">
        <v>58</v>
      </c>
      <c r="I226" s="129">
        <v>244.9</v>
      </c>
      <c r="J226" s="130" t="str">
        <f t="shared" si="125"/>
        <v/>
      </c>
      <c r="K226" s="131" t="str">
        <f t="shared" si="114"/>
        <v/>
      </c>
      <c r="L226" s="241">
        <v>175.9</v>
      </c>
      <c r="M226" s="473">
        <f t="shared" si="126"/>
        <v>154.9</v>
      </c>
      <c r="N226" s="473">
        <f t="shared" si="127"/>
        <v>154.9</v>
      </c>
      <c r="O226" s="473">
        <f t="shared" si="128"/>
        <v>154.9</v>
      </c>
      <c r="P226" s="132">
        <v>154.9</v>
      </c>
      <c r="Q226" s="132">
        <v>142.9</v>
      </c>
      <c r="R226" s="132">
        <v>139.9</v>
      </c>
      <c r="S226" s="133">
        <v>134.9</v>
      </c>
      <c r="T226" s="134" t="str">
        <f t="shared" si="108"/>
        <v/>
      </c>
      <c r="U226" s="135" t="str">
        <f t="shared" si="109"/>
        <v/>
      </c>
      <c r="V226" s="575"/>
      <c r="W226" s="694"/>
      <c r="X226" s="170"/>
      <c r="Y226" s="122" t="str">
        <f t="shared" si="116"/>
        <v/>
      </c>
      <c r="Z226" s="224">
        <f t="shared" si="135"/>
        <v>0</v>
      </c>
      <c r="AA226" s="136">
        <f t="shared" si="110"/>
        <v>0</v>
      </c>
      <c r="AB226" s="136">
        <f t="shared" si="151"/>
        <v>0</v>
      </c>
      <c r="AC226" s="136">
        <f t="shared" si="152"/>
        <v>0</v>
      </c>
      <c r="AD226" s="136">
        <f t="shared" si="144"/>
        <v>0</v>
      </c>
      <c r="AE226" s="136">
        <f t="shared" si="136"/>
        <v>0</v>
      </c>
      <c r="AF226" s="136">
        <f t="shared" si="137"/>
        <v>0</v>
      </c>
      <c r="AG226" s="137">
        <f t="shared" si="138"/>
        <v>0</v>
      </c>
      <c r="AH226" s="136">
        <f t="shared" si="139"/>
        <v>0</v>
      </c>
      <c r="AI226" s="136">
        <f t="shared" si="140"/>
        <v>0</v>
      </c>
      <c r="AJ226" s="136">
        <f t="shared" si="146"/>
        <v>0</v>
      </c>
      <c r="AK226" s="136">
        <f t="shared" si="147"/>
        <v>0</v>
      </c>
      <c r="AL226" s="136">
        <f t="shared" si="148"/>
        <v>0</v>
      </c>
      <c r="AM226" s="136">
        <f t="shared" si="141"/>
        <v>0</v>
      </c>
      <c r="AN226" s="136">
        <f t="shared" si="149"/>
        <v>0</v>
      </c>
      <c r="AO226" s="136">
        <f t="shared" si="150"/>
        <v>0</v>
      </c>
      <c r="AP226" s="138">
        <f t="shared" si="142"/>
        <v>0.6702671972711769</v>
      </c>
      <c r="AQ226" s="139">
        <f t="shared" si="143"/>
        <v>77.333333333333329</v>
      </c>
      <c r="AR226" s="537">
        <v>4</v>
      </c>
      <c r="AS226" s="202">
        <f t="shared" si="129"/>
        <v>67.026719727117694</v>
      </c>
      <c r="AT226" s="197">
        <f t="shared" si="130"/>
        <v>0</v>
      </c>
      <c r="AU226" s="199">
        <f t="shared" si="131"/>
        <v>0</v>
      </c>
      <c r="AV226" s="110"/>
      <c r="AW226" s="138" t="e">
        <f>VLOOKUP(AX226,Sup!#REF!,8,0)</f>
        <v>#REF!</v>
      </c>
      <c r="AX226" s="1008" t="s">
        <v>199</v>
      </c>
      <c r="AY226" s="556">
        <v>0</v>
      </c>
      <c r="AZ226" s="35"/>
      <c r="BA226" s="35"/>
      <c r="BB226" s="35"/>
      <c r="BC226" s="35">
        <f t="shared" si="123"/>
        <v>0</v>
      </c>
      <c r="BD226" s="35" t="str">
        <f t="shared" si="153"/>
        <v/>
      </c>
      <c r="BE226" s="45">
        <f t="shared" si="145"/>
        <v>0</v>
      </c>
      <c r="BF226" s="971"/>
      <c r="BG226" s="236"/>
      <c r="BH226" s="12"/>
      <c r="BI226" s="12"/>
      <c r="BJ226" s="12"/>
      <c r="BK226" s="12"/>
      <c r="BL226" s="12"/>
      <c r="BM226" s="980">
        <f t="shared" si="107"/>
        <v>1536</v>
      </c>
      <c r="BN226" s="367"/>
      <c r="BO226" s="981"/>
      <c r="BP226" s="12"/>
      <c r="BQ226" s="12"/>
      <c r="BR226" s="12"/>
      <c r="BS226" s="973"/>
      <c r="BT226" s="12"/>
      <c r="BU226" s="12"/>
      <c r="BV226" s="12"/>
      <c r="BW226" s="982" t="s">
        <v>392</v>
      </c>
      <c r="BX226" s="983">
        <f t="shared" si="154"/>
        <v>0</v>
      </c>
      <c r="BY226" s="12" t="e">
        <f>VLOOKUP(B226,#REF!,13,0)</f>
        <v>#REF!</v>
      </c>
      <c r="BZ226" s="1056">
        <v>124.9</v>
      </c>
      <c r="CA226" s="1181" t="e">
        <f>VLOOKUP(B226,Pedido!$B$16:$L$292,22,0)</f>
        <v>#N/A</v>
      </c>
    </row>
    <row r="227" spans="1:85" ht="27" customHeight="1" thickBot="1">
      <c r="A227" s="524"/>
      <c r="B227" s="140" t="s">
        <v>594</v>
      </c>
      <c r="C227" s="140" t="str">
        <f>LEFT(B227,6)</f>
        <v>410713</v>
      </c>
      <c r="D227" s="369" t="s">
        <v>128</v>
      </c>
      <c r="E227" s="370" t="s">
        <v>591</v>
      </c>
      <c r="F227" s="371" t="s">
        <v>61</v>
      </c>
      <c r="G227" s="373">
        <v>900</v>
      </c>
      <c r="H227" s="1152">
        <v>58</v>
      </c>
      <c r="I227" s="129">
        <v>244.9</v>
      </c>
      <c r="J227" s="130" t="str">
        <f>IFERROR(IF(T227&lt;&gt;"",I227/T227,IF(AND(Y227="",V227=""),"",IF(V227="",I227/Y227,I227/V227))),"")</f>
        <v/>
      </c>
      <c r="K227" s="131" t="str">
        <f>IF(T227="","",IFERROR(1-(T227/I227),0))</f>
        <v/>
      </c>
      <c r="L227" s="241">
        <v>175.9</v>
      </c>
      <c r="M227" s="473">
        <f>P227</f>
        <v>154.9</v>
      </c>
      <c r="N227" s="473">
        <f>P227</f>
        <v>154.9</v>
      </c>
      <c r="O227" s="473">
        <f>P227</f>
        <v>154.9</v>
      </c>
      <c r="P227" s="132">
        <v>154.9</v>
      </c>
      <c r="Q227" s="132">
        <v>142.9</v>
      </c>
      <c r="R227" s="132">
        <v>139.9</v>
      </c>
      <c r="S227" s="133">
        <v>134.9</v>
      </c>
      <c r="T227" s="134" t="str">
        <f>IF(V227&gt;0,V227,IFERROR(IF(AND(W227&lt;&gt;"",X227&lt;&gt;""),AH227/W227,Y227),""))</f>
        <v/>
      </c>
      <c r="U227" s="135" t="str">
        <f>IFERROR((T227*W227)/(W227+X227),"")</f>
        <v/>
      </c>
      <c r="V227" s="575"/>
      <c r="W227" s="694"/>
      <c r="X227" s="170"/>
      <c r="Y227" s="122" t="str">
        <f t="shared" si="116"/>
        <v/>
      </c>
      <c r="Z227" s="224">
        <f>IF(X227&gt;W227,-1,IF(W227=0,0,IF(U227&lt;(H227/0.75),-1,IF(W227&lt;=3,0,0.0001))))</f>
        <v>0</v>
      </c>
      <c r="AA227" s="136">
        <f>IFERROR(L227*W227,0)</f>
        <v>0</v>
      </c>
      <c r="AB227" s="136">
        <f t="shared" si="151"/>
        <v>0</v>
      </c>
      <c r="AC227" s="136">
        <f t="shared" si="152"/>
        <v>0</v>
      </c>
      <c r="AD227" s="136">
        <f>IFERROR(X227*T227,0)</f>
        <v>0</v>
      </c>
      <c r="AE227" s="136">
        <f>IFERROR(W227*H227,0)</f>
        <v>0</v>
      </c>
      <c r="AF227" s="136">
        <f>IFERROR(1-(AE227/AB227),0)</f>
        <v>0</v>
      </c>
      <c r="AG227" s="137">
        <f>IFERROR(SUM(W227:X227)*I227,0)</f>
        <v>0</v>
      </c>
      <c r="AH227" s="136">
        <f>IFERROR(IF(V227&gt;0,V227*W227,(Y227*W227)),0)</f>
        <v>0</v>
      </c>
      <c r="AI227" s="136">
        <f>IFERROR(SUM(W227)*H227,0)</f>
        <v>0</v>
      </c>
      <c r="AJ227" s="136">
        <f>AH227*$AJ$25</f>
        <v>0</v>
      </c>
      <c r="AK227" s="136">
        <f>AH227*AK$25</f>
        <v>0</v>
      </c>
      <c r="AL227" s="136">
        <f>AH227*AL$25</f>
        <v>0</v>
      </c>
      <c r="AM227" s="136">
        <f>SUM(AJ227:AL227)</f>
        <v>0</v>
      </c>
      <c r="AN227" s="136">
        <f>AH227-AM227</f>
        <v>0</v>
      </c>
      <c r="AO227" s="136">
        <f>AN227-AI227</f>
        <v>0</v>
      </c>
      <c r="AP227" s="138">
        <f>IFERROR(IF(V227&lt;&gt;"",1-(H227/V227),IF(Y227&lt;&gt;"",1-(H227/Y227),1-(H227/L227))),0)</f>
        <v>0.6702671972711769</v>
      </c>
      <c r="AQ227" s="139">
        <f>H227/0.75</f>
        <v>77.333333333333329</v>
      </c>
      <c r="AR227" s="537">
        <v>4</v>
      </c>
      <c r="AS227" s="202">
        <f t="shared" si="129"/>
        <v>67.026719727117694</v>
      </c>
      <c r="AT227" s="197">
        <f>IFERROR(1-(AI227/AH227),0)</f>
        <v>0</v>
      </c>
      <c r="AU227" s="199">
        <f>IFERROR(AO227/AH227,0)</f>
        <v>0</v>
      </c>
      <c r="AV227" s="110"/>
      <c r="AW227" s="138" t="e">
        <f>VLOOKUP(AX227,Sup!#REF!,8,0)</f>
        <v>#REF!</v>
      </c>
      <c r="AX227" s="1008" t="s">
        <v>199</v>
      </c>
      <c r="AY227" s="556">
        <v>0</v>
      </c>
      <c r="AZ227" s="35"/>
      <c r="BA227" s="35"/>
      <c r="BB227" s="35"/>
      <c r="BC227" s="35">
        <f>IF(BE227&lt;0,BE227,0)</f>
        <v>0</v>
      </c>
      <c r="BD227" s="35" t="str">
        <f t="shared" si="153"/>
        <v/>
      </c>
      <c r="BE227" s="45">
        <f>IF(V227="",0,(V227*W227)-(BD227*W227))</f>
        <v>0</v>
      </c>
      <c r="BF227" s="971"/>
      <c r="BG227" s="236"/>
      <c r="BH227" s="12"/>
      <c r="BI227" s="12"/>
      <c r="BJ227" s="12"/>
      <c r="BK227" s="12"/>
      <c r="BL227" s="12"/>
      <c r="BM227" s="980">
        <f t="shared" si="107"/>
        <v>1560</v>
      </c>
      <c r="BN227" s="367"/>
      <c r="BO227" s="981"/>
      <c r="BP227" s="12"/>
      <c r="BQ227" s="12"/>
      <c r="BR227" s="12"/>
      <c r="BS227" s="973"/>
      <c r="BT227" s="12"/>
      <c r="BU227" s="12"/>
      <c r="BV227" s="12"/>
      <c r="BW227" s="982" t="s">
        <v>392</v>
      </c>
      <c r="BX227" s="983">
        <f>IFERROR(W227*U227,0)</f>
        <v>0</v>
      </c>
      <c r="BY227" s="12" t="e">
        <f>VLOOKUP(B227,#REF!,13,0)</f>
        <v>#REF!</v>
      </c>
      <c r="BZ227" s="1056">
        <v>124.9</v>
      </c>
      <c r="CA227" s="1181" t="e">
        <f>VLOOKUP(B227,Pedido!$B$16:$L$292,22,0)</f>
        <v>#N/A</v>
      </c>
    </row>
    <row r="228" spans="1:85" ht="27" customHeight="1" thickBot="1">
      <c r="A228" s="524"/>
      <c r="B228" s="140" t="s">
        <v>129</v>
      </c>
      <c r="C228" s="140" t="str">
        <f>LEFT(B228,6)</f>
        <v>PPOWPC</v>
      </c>
      <c r="D228" s="369" t="s">
        <v>128</v>
      </c>
      <c r="E228" s="370" t="s">
        <v>125</v>
      </c>
      <c r="F228" s="371" t="s">
        <v>61</v>
      </c>
      <c r="G228" s="373">
        <v>900</v>
      </c>
      <c r="H228" s="1152">
        <v>58</v>
      </c>
      <c r="I228" s="129">
        <v>244.9</v>
      </c>
      <c r="J228" s="130" t="str">
        <f t="shared" si="125"/>
        <v/>
      </c>
      <c r="K228" s="131" t="str">
        <f t="shared" si="114"/>
        <v/>
      </c>
      <c r="L228" s="241">
        <v>175.9</v>
      </c>
      <c r="M228" s="473">
        <f t="shared" si="126"/>
        <v>154.9</v>
      </c>
      <c r="N228" s="473">
        <f t="shared" si="127"/>
        <v>154.9</v>
      </c>
      <c r="O228" s="473">
        <f t="shared" si="128"/>
        <v>154.9</v>
      </c>
      <c r="P228" s="132">
        <v>154.9</v>
      </c>
      <c r="Q228" s="132">
        <v>142.9</v>
      </c>
      <c r="R228" s="132">
        <v>139.9</v>
      </c>
      <c r="S228" s="133">
        <v>134.9</v>
      </c>
      <c r="T228" s="134" t="str">
        <f t="shared" si="108"/>
        <v/>
      </c>
      <c r="U228" s="135" t="str">
        <f t="shared" si="109"/>
        <v/>
      </c>
      <c r="V228" s="575"/>
      <c r="W228" s="694"/>
      <c r="X228" s="170"/>
      <c r="Y228" s="122" t="str">
        <f t="shared" ref="Y228:Y291" si="155">IF(AND(W228="",X228=""),"",$E$13*IF(V228&lt;&gt;"",V228,IF(SUMIF($C:$C,C228,$W:$W)&gt;=$S$27,S228,IF(OR($AA$373&gt;=$R$26,SUMIF($C:$C,C228,$W:$W)&gt;=$R$27),R228,IF(OR($AA$373&gt;=$Q$26,SUMIF($C:$C,C228,$W:$W)&gt;=$Q$27),Q228,IF(OR($AA$373&gt;=$P$26,SUMIF($C:$C,C228,$W:$W)&gt;=$P$27),P228,IF(OR($AA$373&gt;=$O$26,SUMIF($C:$C,C228,$W:$W)&gt;=$O$27),O228,IF(OR($AA$373&gt;=$N$26,SUMIF($C:$C,C228,$W:$W)&gt;=$N$27),N228,IF($AA$373&gt;=$M$26,M228,L228)))))))))</f>
        <v/>
      </c>
      <c r="Z228" s="224">
        <f t="shared" si="135"/>
        <v>0</v>
      </c>
      <c r="AA228" s="136">
        <f t="shared" si="110"/>
        <v>0</v>
      </c>
      <c r="AB228" s="136">
        <f t="shared" si="151"/>
        <v>0</v>
      </c>
      <c r="AC228" s="136">
        <f t="shared" si="152"/>
        <v>0</v>
      </c>
      <c r="AD228" s="136">
        <f t="shared" si="144"/>
        <v>0</v>
      </c>
      <c r="AE228" s="136">
        <f t="shared" si="136"/>
        <v>0</v>
      </c>
      <c r="AF228" s="136">
        <f t="shared" si="137"/>
        <v>0</v>
      </c>
      <c r="AG228" s="137">
        <f t="shared" si="138"/>
        <v>0</v>
      </c>
      <c r="AH228" s="136">
        <f t="shared" si="139"/>
        <v>0</v>
      </c>
      <c r="AI228" s="136">
        <f t="shared" si="140"/>
        <v>0</v>
      </c>
      <c r="AJ228" s="136">
        <f t="shared" si="146"/>
        <v>0</v>
      </c>
      <c r="AK228" s="136">
        <f t="shared" si="147"/>
        <v>0</v>
      </c>
      <c r="AL228" s="136">
        <f t="shared" si="148"/>
        <v>0</v>
      </c>
      <c r="AM228" s="136">
        <f t="shared" si="141"/>
        <v>0</v>
      </c>
      <c r="AN228" s="136">
        <f t="shared" si="149"/>
        <v>0</v>
      </c>
      <c r="AO228" s="136">
        <f t="shared" si="150"/>
        <v>0</v>
      </c>
      <c r="AP228" s="138">
        <f t="shared" si="142"/>
        <v>0.6702671972711769</v>
      </c>
      <c r="AQ228" s="139">
        <f t="shared" si="143"/>
        <v>77.333333333333329</v>
      </c>
      <c r="AR228" s="537">
        <v>4</v>
      </c>
      <c r="AS228" s="202">
        <f t="shared" si="129"/>
        <v>67.026719727117694</v>
      </c>
      <c r="AT228" s="197">
        <f t="shared" si="130"/>
        <v>0</v>
      </c>
      <c r="AU228" s="199">
        <f t="shared" si="131"/>
        <v>0</v>
      </c>
      <c r="AV228" s="110"/>
      <c r="AW228" s="138" t="e">
        <f>VLOOKUP(AX228,Sup!#REF!,8,0)</f>
        <v>#REF!</v>
      </c>
      <c r="AX228" s="1008" t="s">
        <v>199</v>
      </c>
      <c r="AY228" s="556">
        <v>0</v>
      </c>
      <c r="AZ228" s="35"/>
      <c r="BA228" s="35"/>
      <c r="BB228" s="35"/>
      <c r="BC228" s="35">
        <f t="shared" si="123"/>
        <v>0</v>
      </c>
      <c r="BD228" s="35" t="str">
        <f t="shared" si="153"/>
        <v/>
      </c>
      <c r="BE228" s="45">
        <f t="shared" si="145"/>
        <v>0</v>
      </c>
      <c r="BF228" s="971"/>
      <c r="BG228" s="236"/>
      <c r="BH228" s="12"/>
      <c r="BI228" s="12"/>
      <c r="BJ228" s="12"/>
      <c r="BK228" s="12"/>
      <c r="BL228" s="12"/>
      <c r="BM228" s="980">
        <f>BM226+24</f>
        <v>1560</v>
      </c>
      <c r="BN228" s="367"/>
      <c r="BO228" s="981"/>
      <c r="BP228" s="12"/>
      <c r="BQ228" s="12"/>
      <c r="BR228" s="12"/>
      <c r="BS228" s="973"/>
      <c r="BT228" s="12"/>
      <c r="BU228" s="12"/>
      <c r="BV228" s="12"/>
      <c r="BW228" s="982" t="s">
        <v>392</v>
      </c>
      <c r="BX228" s="983">
        <f t="shared" si="154"/>
        <v>0</v>
      </c>
      <c r="BY228" s="12" t="e">
        <f>VLOOKUP(B228,#REF!,13,0)</f>
        <v>#REF!</v>
      </c>
      <c r="BZ228" s="1056">
        <v>124.9</v>
      </c>
      <c r="CA228" s="1181" t="e">
        <f>VLOOKUP(B228,Pedido!$B$16:$L$292,22,0)</f>
        <v>#N/A</v>
      </c>
    </row>
    <row r="229" spans="1:85" ht="27" customHeight="1" thickBot="1">
      <c r="A229" s="524"/>
      <c r="B229" s="140" t="s">
        <v>421</v>
      </c>
      <c r="C229" s="140" t="s">
        <v>223</v>
      </c>
      <c r="D229" s="369" t="s">
        <v>128</v>
      </c>
      <c r="E229" s="370" t="s">
        <v>274</v>
      </c>
      <c r="F229" s="371" t="s">
        <v>61</v>
      </c>
      <c r="G229" s="373">
        <v>900</v>
      </c>
      <c r="H229" s="1152">
        <v>58</v>
      </c>
      <c r="I229" s="129">
        <v>244.9</v>
      </c>
      <c r="J229" s="130" t="str">
        <f t="shared" si="125"/>
        <v/>
      </c>
      <c r="K229" s="131" t="str">
        <f t="shared" si="114"/>
        <v/>
      </c>
      <c r="L229" s="241">
        <v>175.9</v>
      </c>
      <c r="M229" s="473">
        <f t="shared" si="126"/>
        <v>154.9</v>
      </c>
      <c r="N229" s="473">
        <f t="shared" si="127"/>
        <v>154.9</v>
      </c>
      <c r="O229" s="473">
        <f t="shared" si="128"/>
        <v>154.9</v>
      </c>
      <c r="P229" s="132">
        <v>154.9</v>
      </c>
      <c r="Q229" s="132">
        <v>142.9</v>
      </c>
      <c r="R229" s="132">
        <v>139.9</v>
      </c>
      <c r="S229" s="133">
        <v>134.9</v>
      </c>
      <c r="T229" s="134" t="str">
        <f t="shared" si="108"/>
        <v/>
      </c>
      <c r="U229" s="135" t="str">
        <f t="shared" si="109"/>
        <v/>
      </c>
      <c r="V229" s="575"/>
      <c r="W229" s="694"/>
      <c r="X229" s="170"/>
      <c r="Y229" s="122" t="str">
        <f t="shared" si="155"/>
        <v/>
      </c>
      <c r="Z229" s="224">
        <f t="shared" si="135"/>
        <v>0</v>
      </c>
      <c r="AA229" s="136">
        <f t="shared" si="110"/>
        <v>0</v>
      </c>
      <c r="AB229" s="136">
        <f t="shared" si="151"/>
        <v>0</v>
      </c>
      <c r="AC229" s="136">
        <f t="shared" si="152"/>
        <v>0</v>
      </c>
      <c r="AD229" s="136">
        <f t="shared" si="144"/>
        <v>0</v>
      </c>
      <c r="AE229" s="136">
        <f t="shared" si="136"/>
        <v>0</v>
      </c>
      <c r="AF229" s="136">
        <f t="shared" si="137"/>
        <v>0</v>
      </c>
      <c r="AG229" s="137">
        <f t="shared" si="138"/>
        <v>0</v>
      </c>
      <c r="AH229" s="136">
        <f t="shared" si="139"/>
        <v>0</v>
      </c>
      <c r="AI229" s="136">
        <f t="shared" si="140"/>
        <v>0</v>
      </c>
      <c r="AJ229" s="136">
        <f t="shared" si="146"/>
        <v>0</v>
      </c>
      <c r="AK229" s="136">
        <f t="shared" si="147"/>
        <v>0</v>
      </c>
      <c r="AL229" s="136">
        <f t="shared" si="148"/>
        <v>0</v>
      </c>
      <c r="AM229" s="136">
        <f t="shared" si="141"/>
        <v>0</v>
      </c>
      <c r="AN229" s="136">
        <f t="shared" si="149"/>
        <v>0</v>
      </c>
      <c r="AO229" s="136">
        <f t="shared" si="150"/>
        <v>0</v>
      </c>
      <c r="AP229" s="138">
        <f t="shared" si="142"/>
        <v>0.6702671972711769</v>
      </c>
      <c r="AQ229" s="139">
        <f t="shared" si="143"/>
        <v>77.333333333333329</v>
      </c>
      <c r="AR229" s="537">
        <v>4</v>
      </c>
      <c r="AS229" s="202">
        <f t="shared" si="129"/>
        <v>67.026719727117694</v>
      </c>
      <c r="AT229" s="197">
        <f t="shared" si="130"/>
        <v>0</v>
      </c>
      <c r="AU229" s="199">
        <f t="shared" si="131"/>
        <v>0</v>
      </c>
      <c r="AV229" s="110"/>
      <c r="AW229" s="138" t="e">
        <f>VLOOKUP(AX229,Sup!#REF!,8,0)</f>
        <v>#REF!</v>
      </c>
      <c r="AX229" s="1008" t="s">
        <v>199</v>
      </c>
      <c r="AY229" s="556">
        <v>0</v>
      </c>
      <c r="AZ229" s="35"/>
      <c r="BA229" s="35"/>
      <c r="BB229" s="35"/>
      <c r="BC229" s="35">
        <f t="shared" si="123"/>
        <v>0</v>
      </c>
      <c r="BD229" s="35" t="str">
        <f t="shared" si="153"/>
        <v/>
      </c>
      <c r="BE229" s="45">
        <f t="shared" si="145"/>
        <v>0</v>
      </c>
      <c r="BF229" s="971"/>
      <c r="BG229" s="236"/>
      <c r="BH229" s="12"/>
      <c r="BI229" s="12"/>
      <c r="BJ229" s="12"/>
      <c r="BK229" s="12"/>
      <c r="BL229" s="12"/>
      <c r="BM229" s="980">
        <f t="shared" si="107"/>
        <v>1584</v>
      </c>
      <c r="BN229" s="367"/>
      <c r="BO229" s="981"/>
      <c r="BP229" s="12"/>
      <c r="BQ229" s="12"/>
      <c r="BR229" s="12"/>
      <c r="BS229" s="973"/>
      <c r="BT229" s="12"/>
      <c r="BU229" s="12"/>
      <c r="BV229" s="12"/>
      <c r="BW229" s="982" t="s">
        <v>392</v>
      </c>
      <c r="BX229" s="983">
        <f t="shared" si="154"/>
        <v>0</v>
      </c>
      <c r="BY229" s="12" t="e">
        <f>VLOOKUP(B229,#REF!,13,0)</f>
        <v>#REF!</v>
      </c>
      <c r="BZ229" s="1056">
        <v>124.9</v>
      </c>
    </row>
    <row r="230" spans="1:85" ht="27" customHeight="1" thickBot="1">
      <c r="A230" s="524"/>
      <c r="B230" s="140" t="s">
        <v>132</v>
      </c>
      <c r="C230" s="140" t="str">
        <f>LEFT(B230,6)</f>
        <v>PPOWPC</v>
      </c>
      <c r="D230" s="369" t="s">
        <v>128</v>
      </c>
      <c r="E230" s="370" t="s">
        <v>118</v>
      </c>
      <c r="F230" s="371" t="s">
        <v>61</v>
      </c>
      <c r="G230" s="373">
        <v>900</v>
      </c>
      <c r="H230" s="1152">
        <v>58</v>
      </c>
      <c r="I230" s="129">
        <v>244.9</v>
      </c>
      <c r="J230" s="130" t="str">
        <f t="shared" si="125"/>
        <v/>
      </c>
      <c r="K230" s="131" t="str">
        <f t="shared" si="114"/>
        <v/>
      </c>
      <c r="L230" s="241">
        <v>175.9</v>
      </c>
      <c r="M230" s="473">
        <f t="shared" si="126"/>
        <v>154.9</v>
      </c>
      <c r="N230" s="473">
        <f t="shared" si="127"/>
        <v>154.9</v>
      </c>
      <c r="O230" s="473">
        <f t="shared" si="128"/>
        <v>154.9</v>
      </c>
      <c r="P230" s="132">
        <v>154.9</v>
      </c>
      <c r="Q230" s="132">
        <v>142.9</v>
      </c>
      <c r="R230" s="132">
        <v>139.9</v>
      </c>
      <c r="S230" s="133">
        <v>134.9</v>
      </c>
      <c r="T230" s="134" t="str">
        <f t="shared" si="108"/>
        <v/>
      </c>
      <c r="U230" s="135" t="str">
        <f t="shared" si="109"/>
        <v/>
      </c>
      <c r="V230" s="575"/>
      <c r="W230" s="694"/>
      <c r="X230" s="170"/>
      <c r="Y230" s="122" t="str">
        <f t="shared" si="155"/>
        <v/>
      </c>
      <c r="Z230" s="224">
        <f t="shared" si="135"/>
        <v>0</v>
      </c>
      <c r="AA230" s="136">
        <f t="shared" si="110"/>
        <v>0</v>
      </c>
      <c r="AB230" s="136">
        <f t="shared" si="151"/>
        <v>0</v>
      </c>
      <c r="AC230" s="136">
        <f t="shared" si="152"/>
        <v>0</v>
      </c>
      <c r="AD230" s="136">
        <f t="shared" si="144"/>
        <v>0</v>
      </c>
      <c r="AE230" s="136">
        <f t="shared" si="136"/>
        <v>0</v>
      </c>
      <c r="AF230" s="136">
        <f t="shared" si="137"/>
        <v>0</v>
      </c>
      <c r="AG230" s="137">
        <f t="shared" si="138"/>
        <v>0</v>
      </c>
      <c r="AH230" s="136">
        <f t="shared" si="139"/>
        <v>0</v>
      </c>
      <c r="AI230" s="136">
        <f t="shared" si="140"/>
        <v>0</v>
      </c>
      <c r="AJ230" s="136">
        <f t="shared" si="146"/>
        <v>0</v>
      </c>
      <c r="AK230" s="136">
        <f t="shared" si="147"/>
        <v>0</v>
      </c>
      <c r="AL230" s="136">
        <f t="shared" si="148"/>
        <v>0</v>
      </c>
      <c r="AM230" s="136">
        <f t="shared" si="141"/>
        <v>0</v>
      </c>
      <c r="AN230" s="136">
        <f t="shared" si="149"/>
        <v>0</v>
      </c>
      <c r="AO230" s="136">
        <f t="shared" si="150"/>
        <v>0</v>
      </c>
      <c r="AP230" s="138">
        <f t="shared" si="142"/>
        <v>0.6702671972711769</v>
      </c>
      <c r="AQ230" s="139">
        <f t="shared" si="143"/>
        <v>77.333333333333329</v>
      </c>
      <c r="AR230" s="537">
        <v>4</v>
      </c>
      <c r="AS230" s="202">
        <f t="shared" si="129"/>
        <v>67.026719727117694</v>
      </c>
      <c r="AT230" s="197">
        <f t="shared" si="130"/>
        <v>0</v>
      </c>
      <c r="AU230" s="199">
        <f t="shared" si="131"/>
        <v>0</v>
      </c>
      <c r="AV230" s="110"/>
      <c r="AW230" s="138" t="e">
        <f>VLOOKUP(AX230,Sup!#REF!,8,0)</f>
        <v>#REF!</v>
      </c>
      <c r="AX230" s="1008" t="s">
        <v>199</v>
      </c>
      <c r="AY230" s="556">
        <v>0</v>
      </c>
      <c r="AZ230" s="35"/>
      <c r="BA230" s="35"/>
      <c r="BB230" s="35"/>
      <c r="BC230" s="35">
        <f t="shared" si="123"/>
        <v>0</v>
      </c>
      <c r="BD230" s="35" t="str">
        <f t="shared" si="153"/>
        <v/>
      </c>
      <c r="BE230" s="45">
        <f t="shared" si="145"/>
        <v>0</v>
      </c>
      <c r="BF230" s="971"/>
      <c r="BG230" s="236"/>
      <c r="BH230" s="12"/>
      <c r="BI230" s="12"/>
      <c r="BJ230" s="12"/>
      <c r="BK230" s="12"/>
      <c r="BL230" s="12"/>
      <c r="BM230" s="980">
        <f t="shared" ref="BM230:BM275" si="156">BM229+24</f>
        <v>1608</v>
      </c>
      <c r="BN230" s="367"/>
      <c r="BO230" s="981"/>
      <c r="BP230" s="12"/>
      <c r="BQ230" s="12"/>
      <c r="BR230" s="12"/>
      <c r="BS230" s="973"/>
      <c r="BT230" s="12"/>
      <c r="BU230" s="12"/>
      <c r="BV230" s="12"/>
      <c r="BW230" s="982" t="s">
        <v>392</v>
      </c>
      <c r="BX230" s="983">
        <f t="shared" si="154"/>
        <v>0</v>
      </c>
      <c r="BY230" s="12" t="e">
        <f>VLOOKUP(B230,#REF!,13,0)</f>
        <v>#REF!</v>
      </c>
      <c r="BZ230" s="1056">
        <v>124.9</v>
      </c>
      <c r="CA230" s="1181" t="e">
        <f>VLOOKUP(B230,Pedido!$B$16:$L$292,22,0)</f>
        <v>#N/A</v>
      </c>
    </row>
    <row r="231" spans="1:85" ht="27" customHeight="1" thickBot="1">
      <c r="A231" s="524"/>
      <c r="B231" s="140" t="s">
        <v>131</v>
      </c>
      <c r="C231" s="140" t="str">
        <f>LEFT(B231,6)</f>
        <v>PPOWPC</v>
      </c>
      <c r="D231" s="369" t="s">
        <v>128</v>
      </c>
      <c r="E231" s="370" t="s">
        <v>126</v>
      </c>
      <c r="F231" s="371" t="s">
        <v>61</v>
      </c>
      <c r="G231" s="373">
        <v>900</v>
      </c>
      <c r="H231" s="1152">
        <v>58</v>
      </c>
      <c r="I231" s="129">
        <v>244.9</v>
      </c>
      <c r="J231" s="130" t="str">
        <f t="shared" si="125"/>
        <v/>
      </c>
      <c r="K231" s="131" t="str">
        <f t="shared" si="114"/>
        <v/>
      </c>
      <c r="L231" s="241">
        <v>175.9</v>
      </c>
      <c r="M231" s="473">
        <f t="shared" si="126"/>
        <v>154.9</v>
      </c>
      <c r="N231" s="473">
        <f t="shared" si="127"/>
        <v>154.9</v>
      </c>
      <c r="O231" s="473">
        <f t="shared" si="128"/>
        <v>154.9</v>
      </c>
      <c r="P231" s="132">
        <v>154.9</v>
      </c>
      <c r="Q231" s="132">
        <v>142.9</v>
      </c>
      <c r="R231" s="132">
        <v>139.9</v>
      </c>
      <c r="S231" s="133">
        <v>134.9</v>
      </c>
      <c r="T231" s="134" t="str">
        <f t="shared" ref="T231:T279" si="157">IF(V231&gt;0,V231,IFERROR(IF(AND(W231&lt;&gt;"",X231&lt;&gt;""),AH231/W231,Y231),""))</f>
        <v/>
      </c>
      <c r="U231" s="135" t="str">
        <f t="shared" ref="U231:U279" si="158">IFERROR((T231*W231)/(W231+X231),"")</f>
        <v/>
      </c>
      <c r="V231" s="575"/>
      <c r="W231" s="694"/>
      <c r="X231" s="170"/>
      <c r="Y231" s="122" t="str">
        <f t="shared" si="155"/>
        <v/>
      </c>
      <c r="Z231" s="224">
        <f t="shared" si="135"/>
        <v>0</v>
      </c>
      <c r="AA231" s="136">
        <f t="shared" ref="AA231:AA279" si="159">IFERROR(L231*W231,0)</f>
        <v>0</v>
      </c>
      <c r="AB231" s="136">
        <f t="shared" si="151"/>
        <v>0</v>
      </c>
      <c r="AC231" s="136">
        <f t="shared" si="152"/>
        <v>0</v>
      </c>
      <c r="AD231" s="136">
        <f t="shared" si="144"/>
        <v>0</v>
      </c>
      <c r="AE231" s="136">
        <f t="shared" si="136"/>
        <v>0</v>
      </c>
      <c r="AF231" s="136">
        <f t="shared" si="137"/>
        <v>0</v>
      </c>
      <c r="AG231" s="137">
        <f t="shared" si="138"/>
        <v>0</v>
      </c>
      <c r="AH231" s="136">
        <f t="shared" si="139"/>
        <v>0</v>
      </c>
      <c r="AI231" s="136">
        <f t="shared" si="140"/>
        <v>0</v>
      </c>
      <c r="AJ231" s="136">
        <f t="shared" si="146"/>
        <v>0</v>
      </c>
      <c r="AK231" s="136">
        <f t="shared" si="147"/>
        <v>0</v>
      </c>
      <c r="AL231" s="136">
        <f t="shared" si="148"/>
        <v>0</v>
      </c>
      <c r="AM231" s="136">
        <f t="shared" si="141"/>
        <v>0</v>
      </c>
      <c r="AN231" s="136">
        <f t="shared" si="149"/>
        <v>0</v>
      </c>
      <c r="AO231" s="136">
        <f t="shared" si="150"/>
        <v>0</v>
      </c>
      <c r="AP231" s="138">
        <f t="shared" si="142"/>
        <v>0.6702671972711769</v>
      </c>
      <c r="AQ231" s="139">
        <f t="shared" si="143"/>
        <v>77.333333333333329</v>
      </c>
      <c r="AR231" s="537">
        <v>4</v>
      </c>
      <c r="AS231" s="202">
        <f t="shared" si="129"/>
        <v>67.026719727117694</v>
      </c>
      <c r="AT231" s="197">
        <f t="shared" si="130"/>
        <v>0</v>
      </c>
      <c r="AU231" s="199">
        <f t="shared" si="131"/>
        <v>0</v>
      </c>
      <c r="AV231" s="110"/>
      <c r="AW231" s="138" t="e">
        <f>VLOOKUP(AX231,Sup!#REF!,8,0)</f>
        <v>#REF!</v>
      </c>
      <c r="AX231" s="1008" t="s">
        <v>199</v>
      </c>
      <c r="AY231" s="556">
        <v>0</v>
      </c>
      <c r="AZ231" s="35"/>
      <c r="BA231" s="35"/>
      <c r="BB231" s="35"/>
      <c r="BC231" s="35">
        <f t="shared" si="123"/>
        <v>0</v>
      </c>
      <c r="BD231" s="35" t="str">
        <f t="shared" si="153"/>
        <v/>
      </c>
      <c r="BE231" s="45">
        <f t="shared" si="145"/>
        <v>0</v>
      </c>
      <c r="BF231" s="971"/>
      <c r="BG231" s="236"/>
      <c r="BH231" s="12"/>
      <c r="BI231" s="12"/>
      <c r="BJ231" s="12"/>
      <c r="BK231" s="12"/>
      <c r="BL231" s="12"/>
      <c r="BM231" s="980">
        <f t="shared" si="156"/>
        <v>1632</v>
      </c>
      <c r="BN231" s="367"/>
      <c r="BO231" s="981"/>
      <c r="BP231" s="12"/>
      <c r="BQ231" s="12"/>
      <c r="BR231" s="12"/>
      <c r="BS231" s="973"/>
      <c r="BT231" s="12"/>
      <c r="BU231" s="12"/>
      <c r="BV231" s="12"/>
      <c r="BW231" s="982" t="s">
        <v>392</v>
      </c>
      <c r="BX231" s="983">
        <f t="shared" si="154"/>
        <v>0</v>
      </c>
      <c r="BY231" s="12" t="e">
        <f>VLOOKUP(B231,#REF!,13,0)</f>
        <v>#REF!</v>
      </c>
      <c r="BZ231" s="1056">
        <v>124.9</v>
      </c>
      <c r="CA231" s="1181" t="e">
        <f>VLOOKUP(B231,Pedido!$B$16:$L$292,22,0)</f>
        <v>#N/A</v>
      </c>
    </row>
    <row r="232" spans="1:85" ht="27" customHeight="1" thickBot="1">
      <c r="A232" s="524"/>
      <c r="B232" s="140" t="s">
        <v>422</v>
      </c>
      <c r="C232" s="140" t="s">
        <v>223</v>
      </c>
      <c r="D232" s="369" t="s">
        <v>128</v>
      </c>
      <c r="E232" s="370" t="s">
        <v>271</v>
      </c>
      <c r="F232" s="371" t="s">
        <v>61</v>
      </c>
      <c r="G232" s="373">
        <v>900</v>
      </c>
      <c r="H232" s="1152">
        <v>58</v>
      </c>
      <c r="I232" s="129">
        <v>244.9</v>
      </c>
      <c r="J232" s="130" t="str">
        <f t="shared" si="125"/>
        <v/>
      </c>
      <c r="K232" s="131" t="str">
        <f t="shared" ref="K232:K279" si="160">IF(T232="","",IFERROR(1-(T232/I232),0))</f>
        <v/>
      </c>
      <c r="L232" s="241">
        <v>175.9</v>
      </c>
      <c r="M232" s="132">
        <f t="shared" si="126"/>
        <v>154.9</v>
      </c>
      <c r="N232" s="132">
        <f t="shared" si="127"/>
        <v>154.9</v>
      </c>
      <c r="O232" s="132">
        <f t="shared" si="128"/>
        <v>154.9</v>
      </c>
      <c r="P232" s="132">
        <v>154.9</v>
      </c>
      <c r="Q232" s="132">
        <v>142.9</v>
      </c>
      <c r="R232" s="132">
        <v>139.9</v>
      </c>
      <c r="S232" s="133">
        <v>134.9</v>
      </c>
      <c r="T232" s="134" t="str">
        <f t="shared" si="157"/>
        <v/>
      </c>
      <c r="U232" s="135" t="str">
        <f t="shared" si="158"/>
        <v/>
      </c>
      <c r="V232" s="575"/>
      <c r="W232" s="694"/>
      <c r="X232" s="1133"/>
      <c r="Y232" s="673" t="str">
        <f t="shared" si="155"/>
        <v/>
      </c>
      <c r="Z232" s="674">
        <f t="shared" si="135"/>
        <v>0</v>
      </c>
      <c r="AA232" s="638">
        <f t="shared" si="159"/>
        <v>0</v>
      </c>
      <c r="AB232" s="638">
        <f t="shared" si="151"/>
        <v>0</v>
      </c>
      <c r="AC232" s="638">
        <f t="shared" si="152"/>
        <v>0</v>
      </c>
      <c r="AD232" s="638">
        <f t="shared" si="144"/>
        <v>0</v>
      </c>
      <c r="AE232" s="638">
        <f t="shared" si="136"/>
        <v>0</v>
      </c>
      <c r="AF232" s="638">
        <f t="shared" si="137"/>
        <v>0</v>
      </c>
      <c r="AG232" s="639">
        <f t="shared" si="138"/>
        <v>0</v>
      </c>
      <c r="AH232" s="638">
        <f t="shared" si="139"/>
        <v>0</v>
      </c>
      <c r="AI232" s="638">
        <f t="shared" si="140"/>
        <v>0</v>
      </c>
      <c r="AJ232" s="638">
        <f t="shared" si="146"/>
        <v>0</v>
      </c>
      <c r="AK232" s="638">
        <f t="shared" si="147"/>
        <v>0</v>
      </c>
      <c r="AL232" s="638">
        <f t="shared" si="148"/>
        <v>0</v>
      </c>
      <c r="AM232" s="638">
        <f t="shared" si="141"/>
        <v>0</v>
      </c>
      <c r="AN232" s="638">
        <f t="shared" si="149"/>
        <v>0</v>
      </c>
      <c r="AO232" s="638">
        <f t="shared" si="150"/>
        <v>0</v>
      </c>
      <c r="AP232" s="640">
        <f t="shared" si="142"/>
        <v>0.6702671972711769</v>
      </c>
      <c r="AQ232" s="641">
        <f t="shared" si="143"/>
        <v>77.333333333333329</v>
      </c>
      <c r="AR232" s="537">
        <v>4</v>
      </c>
      <c r="AS232" s="202">
        <f t="shared" si="129"/>
        <v>67.026719727117694</v>
      </c>
      <c r="AT232" s="197">
        <f t="shared" si="130"/>
        <v>0</v>
      </c>
      <c r="AU232" s="199">
        <f t="shared" si="131"/>
        <v>0</v>
      </c>
      <c r="AV232" s="110"/>
      <c r="AW232" s="138" t="e">
        <f>VLOOKUP(AX232,Sup!#REF!,8,0)</f>
        <v>#REF!</v>
      </c>
      <c r="AX232" s="1009" t="s">
        <v>199</v>
      </c>
      <c r="AY232" s="556">
        <v>0</v>
      </c>
      <c r="AZ232" s="35"/>
      <c r="BA232" s="35"/>
      <c r="BB232" s="35"/>
      <c r="BC232" s="35">
        <f t="shared" si="123"/>
        <v>0</v>
      </c>
      <c r="BD232" s="35" t="str">
        <f t="shared" si="153"/>
        <v/>
      </c>
      <c r="BE232" s="45">
        <f t="shared" si="145"/>
        <v>0</v>
      </c>
      <c r="BF232" s="971"/>
      <c r="BG232" s="236"/>
      <c r="BH232" s="12"/>
      <c r="BI232" s="12"/>
      <c r="BJ232" s="12"/>
      <c r="BK232" s="12"/>
      <c r="BL232" s="12"/>
      <c r="BM232" s="980">
        <f t="shared" si="156"/>
        <v>1656</v>
      </c>
      <c r="BN232" s="367"/>
      <c r="BO232" s="981"/>
      <c r="BP232" s="12"/>
      <c r="BQ232" s="12"/>
      <c r="BR232" s="12"/>
      <c r="BS232" s="973"/>
      <c r="BT232" s="12"/>
      <c r="BU232" s="12"/>
      <c r="BV232" s="12"/>
      <c r="BW232" s="982" t="s">
        <v>392</v>
      </c>
      <c r="BX232" s="983">
        <f t="shared" si="154"/>
        <v>0</v>
      </c>
      <c r="BY232" s="12" t="e">
        <f>VLOOKUP(B232,#REF!,13,0)</f>
        <v>#REF!</v>
      </c>
      <c r="BZ232" s="1056">
        <v>124.9</v>
      </c>
      <c r="CA232" s="1181" t="e">
        <f>VLOOKUP(B232,Pedido!$B$16:$L$292,22,0)</f>
        <v>#N/A</v>
      </c>
    </row>
    <row r="233" spans="1:85" ht="27" customHeight="1" thickBot="1">
      <c r="A233" s="524"/>
      <c r="B233" s="140" t="s">
        <v>130</v>
      </c>
      <c r="C233" s="140" t="str">
        <f>LEFT(B233,6)</f>
        <v>PPOWPC</v>
      </c>
      <c r="D233" s="369" t="s">
        <v>128</v>
      </c>
      <c r="E233" s="370" t="s">
        <v>74</v>
      </c>
      <c r="F233" s="371" t="s">
        <v>61</v>
      </c>
      <c r="G233" s="373">
        <v>900</v>
      </c>
      <c r="H233" s="1152">
        <v>58</v>
      </c>
      <c r="I233" s="129">
        <v>244.9</v>
      </c>
      <c r="J233" s="130" t="str">
        <f t="shared" si="125"/>
        <v/>
      </c>
      <c r="K233" s="131" t="str">
        <f t="shared" si="160"/>
        <v/>
      </c>
      <c r="L233" s="241">
        <v>175.9</v>
      </c>
      <c r="M233" s="473">
        <f t="shared" si="126"/>
        <v>154.9</v>
      </c>
      <c r="N233" s="473">
        <f t="shared" si="127"/>
        <v>154.9</v>
      </c>
      <c r="O233" s="473">
        <f t="shared" si="128"/>
        <v>154.9</v>
      </c>
      <c r="P233" s="132">
        <v>154.9</v>
      </c>
      <c r="Q233" s="132">
        <v>142.9</v>
      </c>
      <c r="R233" s="132">
        <v>139.9</v>
      </c>
      <c r="S233" s="133">
        <v>134.9</v>
      </c>
      <c r="T233" s="134" t="str">
        <f t="shared" si="157"/>
        <v/>
      </c>
      <c r="U233" s="135" t="str">
        <f t="shared" si="158"/>
        <v/>
      </c>
      <c r="V233" s="575"/>
      <c r="W233" s="694"/>
      <c r="X233" s="170"/>
      <c r="Y233" s="122" t="str">
        <f t="shared" si="155"/>
        <v/>
      </c>
      <c r="Z233" s="224">
        <f t="shared" si="135"/>
        <v>0</v>
      </c>
      <c r="AA233" s="136">
        <f t="shared" si="159"/>
        <v>0</v>
      </c>
      <c r="AB233" s="136">
        <f t="shared" si="151"/>
        <v>0</v>
      </c>
      <c r="AC233" s="136">
        <f t="shared" si="152"/>
        <v>0</v>
      </c>
      <c r="AD233" s="136">
        <f t="shared" si="144"/>
        <v>0</v>
      </c>
      <c r="AE233" s="136">
        <f t="shared" si="136"/>
        <v>0</v>
      </c>
      <c r="AF233" s="136">
        <f t="shared" si="137"/>
        <v>0</v>
      </c>
      <c r="AG233" s="137">
        <f t="shared" si="138"/>
        <v>0</v>
      </c>
      <c r="AH233" s="136">
        <f t="shared" si="139"/>
        <v>0</v>
      </c>
      <c r="AI233" s="136">
        <f t="shared" si="140"/>
        <v>0</v>
      </c>
      <c r="AJ233" s="136">
        <f t="shared" si="146"/>
        <v>0</v>
      </c>
      <c r="AK233" s="136">
        <f t="shared" si="147"/>
        <v>0</v>
      </c>
      <c r="AL233" s="136">
        <f t="shared" si="148"/>
        <v>0</v>
      </c>
      <c r="AM233" s="136">
        <f t="shared" si="141"/>
        <v>0</v>
      </c>
      <c r="AN233" s="136">
        <f t="shared" si="149"/>
        <v>0</v>
      </c>
      <c r="AO233" s="136">
        <f t="shared" si="150"/>
        <v>0</v>
      </c>
      <c r="AP233" s="138">
        <f t="shared" si="142"/>
        <v>0.6702671972711769</v>
      </c>
      <c r="AQ233" s="139">
        <f t="shared" si="143"/>
        <v>77.333333333333329</v>
      </c>
      <c r="AR233" s="537">
        <v>4</v>
      </c>
      <c r="AS233" s="202">
        <f t="shared" si="129"/>
        <v>67.026719727117694</v>
      </c>
      <c r="AT233" s="197">
        <f t="shared" si="130"/>
        <v>0</v>
      </c>
      <c r="AU233" s="199">
        <f t="shared" si="131"/>
        <v>0</v>
      </c>
      <c r="AV233" s="110"/>
      <c r="AW233" s="138" t="e">
        <f>VLOOKUP(AX233,Sup!#REF!,8,0)</f>
        <v>#REF!</v>
      </c>
      <c r="AX233" s="1008" t="s">
        <v>199</v>
      </c>
      <c r="AY233" s="556">
        <v>0</v>
      </c>
      <c r="AZ233" s="35"/>
      <c r="BA233" s="35"/>
      <c r="BB233" s="35"/>
      <c r="BC233" s="35">
        <f t="shared" si="123"/>
        <v>0</v>
      </c>
      <c r="BD233" s="35" t="str">
        <f t="shared" si="153"/>
        <v/>
      </c>
      <c r="BE233" s="45">
        <f t="shared" si="145"/>
        <v>0</v>
      </c>
      <c r="BF233" s="971"/>
      <c r="BG233" s="236"/>
      <c r="BH233" s="12"/>
      <c r="BI233" s="12"/>
      <c r="BJ233" s="12"/>
      <c r="BK233" s="12"/>
      <c r="BL233" s="12"/>
      <c r="BM233" s="980">
        <f t="shared" si="156"/>
        <v>1680</v>
      </c>
      <c r="BN233" s="367"/>
      <c r="BO233" s="981"/>
      <c r="BP233" s="12"/>
      <c r="BQ233" s="12"/>
      <c r="BR233" s="12"/>
      <c r="BS233" s="973"/>
      <c r="BT233" s="12"/>
      <c r="BU233" s="12"/>
      <c r="BV233" s="12"/>
      <c r="BW233" s="982" t="s">
        <v>392</v>
      </c>
      <c r="BX233" s="983">
        <f t="shared" si="154"/>
        <v>0</v>
      </c>
      <c r="BY233" s="12" t="e">
        <f>VLOOKUP(B233,#REF!,13,0)</f>
        <v>#REF!</v>
      </c>
      <c r="BZ233" s="1056">
        <v>124.9</v>
      </c>
      <c r="CA233" s="1181" t="e">
        <f>VLOOKUP(B233,Pedido!$B$16:$L$292,22,0)</f>
        <v>#N/A</v>
      </c>
    </row>
    <row r="234" spans="1:85" s="572" customFormat="1" ht="27" customHeight="1">
      <c r="A234" s="524"/>
      <c r="B234" s="95" t="s">
        <v>222</v>
      </c>
      <c r="C234" s="140" t="s">
        <v>223</v>
      </c>
      <c r="D234" s="588" t="s">
        <v>128</v>
      </c>
      <c r="E234" s="589" t="s">
        <v>80</v>
      </c>
      <c r="F234" s="590" t="s">
        <v>61</v>
      </c>
      <c r="G234" s="591">
        <v>900</v>
      </c>
      <c r="H234" s="1161">
        <v>58</v>
      </c>
      <c r="I234" s="592">
        <v>244.9</v>
      </c>
      <c r="J234" s="593" t="str">
        <f t="shared" si="125"/>
        <v/>
      </c>
      <c r="K234" s="594" t="str">
        <f t="shared" si="160"/>
        <v/>
      </c>
      <c r="L234" s="595">
        <v>175.9</v>
      </c>
      <c r="M234" s="480">
        <f t="shared" si="126"/>
        <v>154.9</v>
      </c>
      <c r="N234" s="480">
        <f t="shared" si="127"/>
        <v>154.9</v>
      </c>
      <c r="O234" s="480">
        <f t="shared" si="128"/>
        <v>154.9</v>
      </c>
      <c r="P234" s="278">
        <v>154.9</v>
      </c>
      <c r="Q234" s="278">
        <v>142.9</v>
      </c>
      <c r="R234" s="278">
        <v>139.9</v>
      </c>
      <c r="S234" s="321">
        <v>134.9</v>
      </c>
      <c r="T234" s="274" t="str">
        <f t="shared" si="157"/>
        <v/>
      </c>
      <c r="U234" s="152" t="str">
        <f t="shared" si="158"/>
        <v/>
      </c>
      <c r="V234" s="695"/>
      <c r="W234" s="696"/>
      <c r="X234" s="171"/>
      <c r="Y234" s="103" t="str">
        <f t="shared" si="155"/>
        <v/>
      </c>
      <c r="Z234" s="225">
        <f t="shared" si="135"/>
        <v>0</v>
      </c>
      <c r="AA234" s="275">
        <f t="shared" si="159"/>
        <v>0</v>
      </c>
      <c r="AB234" s="275">
        <f t="shared" si="151"/>
        <v>0</v>
      </c>
      <c r="AC234" s="275">
        <f t="shared" si="152"/>
        <v>0</v>
      </c>
      <c r="AD234" s="275">
        <f t="shared" si="144"/>
        <v>0</v>
      </c>
      <c r="AE234" s="275">
        <f t="shared" si="136"/>
        <v>0</v>
      </c>
      <c r="AF234" s="275">
        <f t="shared" si="137"/>
        <v>0</v>
      </c>
      <c r="AG234" s="290">
        <f t="shared" si="138"/>
        <v>0</v>
      </c>
      <c r="AH234" s="275">
        <f t="shared" si="139"/>
        <v>0</v>
      </c>
      <c r="AI234" s="275">
        <f t="shared" si="140"/>
        <v>0</v>
      </c>
      <c r="AJ234" s="275">
        <f t="shared" si="146"/>
        <v>0</v>
      </c>
      <c r="AK234" s="275">
        <f t="shared" si="147"/>
        <v>0</v>
      </c>
      <c r="AL234" s="275">
        <f t="shared" si="148"/>
        <v>0</v>
      </c>
      <c r="AM234" s="275">
        <f t="shared" si="141"/>
        <v>0</v>
      </c>
      <c r="AN234" s="275">
        <f t="shared" si="149"/>
        <v>0</v>
      </c>
      <c r="AO234" s="275">
        <f t="shared" si="150"/>
        <v>0</v>
      </c>
      <c r="AP234" s="276">
        <f t="shared" si="142"/>
        <v>0.6702671972711769</v>
      </c>
      <c r="AQ234" s="291">
        <f t="shared" si="143"/>
        <v>77.333333333333329</v>
      </c>
      <c r="AR234" s="542">
        <v>4</v>
      </c>
      <c r="AS234" s="596">
        <f t="shared" si="129"/>
        <v>67.026719727117694</v>
      </c>
      <c r="AT234" s="318">
        <f t="shared" si="130"/>
        <v>0</v>
      </c>
      <c r="AU234" s="597">
        <f t="shared" si="131"/>
        <v>0</v>
      </c>
      <c r="AV234" s="277"/>
      <c r="AW234" s="276" t="e">
        <f>VLOOKUP(AX234,Sup!#REF!,8,0)</f>
        <v>#REF!</v>
      </c>
      <c r="AX234" s="1010" t="s">
        <v>199</v>
      </c>
      <c r="AY234" s="1134">
        <v>0</v>
      </c>
      <c r="AZ234" s="568"/>
      <c r="BA234" s="568"/>
      <c r="BB234" s="568"/>
      <c r="BC234" s="568">
        <f t="shared" si="123"/>
        <v>0</v>
      </c>
      <c r="BD234" s="568" t="str">
        <f t="shared" si="153"/>
        <v/>
      </c>
      <c r="BE234" s="569">
        <f t="shared" si="145"/>
        <v>0</v>
      </c>
      <c r="BF234" s="1011"/>
      <c r="BG234" s="570"/>
      <c r="BH234" s="571"/>
      <c r="BI234" s="571"/>
      <c r="BJ234" s="571"/>
      <c r="BK234" s="571"/>
      <c r="BL234" s="571"/>
      <c r="BM234" s="980">
        <f t="shared" si="156"/>
        <v>1704</v>
      </c>
      <c r="BN234" s="573"/>
      <c r="BO234" s="1012"/>
      <c r="BP234" s="571"/>
      <c r="BQ234" s="571"/>
      <c r="BR234" s="571"/>
      <c r="BS234" s="1013"/>
      <c r="BT234" s="571"/>
      <c r="BU234" s="571"/>
      <c r="BV234" s="571"/>
      <c r="BW234" s="1014" t="s">
        <v>392</v>
      </c>
      <c r="BX234" s="1015">
        <f t="shared" si="154"/>
        <v>0</v>
      </c>
      <c r="BY234" s="571" t="e">
        <f>VLOOKUP(B234,#REF!,13,0)</f>
        <v>#REF!</v>
      </c>
      <c r="BZ234" s="1062">
        <v>124.9</v>
      </c>
      <c r="CA234" s="1181"/>
      <c r="CB234" s="1181"/>
      <c r="CC234" s="1179"/>
      <c r="CD234" s="1179"/>
      <c r="CE234" s="1179"/>
      <c r="CF234" s="1179"/>
      <c r="CG234" s="1176"/>
    </row>
    <row r="235" spans="1:85" ht="27" customHeight="1" thickBot="1">
      <c r="A235" s="524"/>
      <c r="B235" s="140">
        <v>410722008</v>
      </c>
      <c r="C235" s="140" t="s">
        <v>231</v>
      </c>
      <c r="D235" s="369" t="s">
        <v>128</v>
      </c>
      <c r="E235" s="370" t="s">
        <v>376</v>
      </c>
      <c r="F235" s="371" t="s">
        <v>135</v>
      </c>
      <c r="G235" s="373">
        <v>1800</v>
      </c>
      <c r="H235" s="1153">
        <v>105.01</v>
      </c>
      <c r="I235" s="129">
        <v>429.9</v>
      </c>
      <c r="J235" s="130" t="str">
        <f t="shared" si="125"/>
        <v/>
      </c>
      <c r="K235" s="131" t="str">
        <f t="shared" si="160"/>
        <v/>
      </c>
      <c r="L235" s="241">
        <v>309.89999999999998</v>
      </c>
      <c r="M235" s="473">
        <f t="shared" si="126"/>
        <v>273.89999999999998</v>
      </c>
      <c r="N235" s="473">
        <f t="shared" si="127"/>
        <v>273.89999999999998</v>
      </c>
      <c r="O235" s="473">
        <f t="shared" si="128"/>
        <v>273.89999999999998</v>
      </c>
      <c r="P235" s="132">
        <v>273.89999999999998</v>
      </c>
      <c r="Q235" s="132">
        <v>252.9</v>
      </c>
      <c r="R235" s="132">
        <v>248.9</v>
      </c>
      <c r="S235" s="133">
        <v>239.9</v>
      </c>
      <c r="T235" s="134" t="str">
        <f t="shared" si="157"/>
        <v/>
      </c>
      <c r="U235" s="135" t="str">
        <f t="shared" si="158"/>
        <v/>
      </c>
      <c r="V235" s="575"/>
      <c r="W235" s="694"/>
      <c r="X235" s="170"/>
      <c r="Y235" s="122" t="str">
        <f t="shared" si="155"/>
        <v/>
      </c>
      <c r="Z235" s="224">
        <f t="shared" si="135"/>
        <v>0</v>
      </c>
      <c r="AA235" s="136">
        <f t="shared" si="159"/>
        <v>0</v>
      </c>
      <c r="AB235" s="136">
        <f t="shared" si="151"/>
        <v>0</v>
      </c>
      <c r="AC235" s="136">
        <f t="shared" si="152"/>
        <v>0</v>
      </c>
      <c r="AD235" s="136">
        <f t="shared" si="144"/>
        <v>0</v>
      </c>
      <c r="AE235" s="136">
        <f t="shared" si="136"/>
        <v>0</v>
      </c>
      <c r="AF235" s="136">
        <f t="shared" si="137"/>
        <v>0</v>
      </c>
      <c r="AG235" s="137">
        <f t="shared" si="138"/>
        <v>0</v>
      </c>
      <c r="AH235" s="136">
        <f t="shared" si="139"/>
        <v>0</v>
      </c>
      <c r="AI235" s="136">
        <f t="shared" si="140"/>
        <v>0</v>
      </c>
      <c r="AJ235" s="136">
        <f t="shared" si="146"/>
        <v>0</v>
      </c>
      <c r="AK235" s="136">
        <f t="shared" si="147"/>
        <v>0</v>
      </c>
      <c r="AL235" s="136">
        <f t="shared" si="148"/>
        <v>0</v>
      </c>
      <c r="AM235" s="136">
        <f t="shared" si="141"/>
        <v>0</v>
      </c>
      <c r="AN235" s="136">
        <f t="shared" si="149"/>
        <v>0</v>
      </c>
      <c r="AO235" s="136">
        <f t="shared" si="150"/>
        <v>0</v>
      </c>
      <c r="AP235" s="138">
        <f t="shared" si="142"/>
        <v>0.66114875766376247</v>
      </c>
      <c r="AQ235" s="139">
        <f t="shared" si="143"/>
        <v>140.01333333333335</v>
      </c>
      <c r="AR235" s="537">
        <v>3</v>
      </c>
      <c r="AS235" s="519">
        <f t="shared" si="129"/>
        <v>66.114875766376244</v>
      </c>
      <c r="AT235" s="106">
        <f t="shared" si="130"/>
        <v>0</v>
      </c>
      <c r="AU235" s="109">
        <f t="shared" si="131"/>
        <v>0</v>
      </c>
      <c r="AV235" s="110"/>
      <c r="AW235" s="138" t="e">
        <f>VLOOKUP(AX235,Sup!#REF!,8,0)</f>
        <v>#REF!</v>
      </c>
      <c r="AX235" s="1008" t="s">
        <v>199</v>
      </c>
      <c r="AY235" s="556">
        <v>0</v>
      </c>
      <c r="AZ235" s="35"/>
      <c r="BA235" s="35"/>
      <c r="BB235" s="35"/>
      <c r="BC235" s="35">
        <f t="shared" si="123"/>
        <v>0</v>
      </c>
      <c r="BD235" s="35" t="str">
        <f t="shared" si="153"/>
        <v/>
      </c>
      <c r="BE235" s="45">
        <f t="shared" si="145"/>
        <v>0</v>
      </c>
      <c r="BF235" s="971"/>
      <c r="BG235" s="236"/>
      <c r="BH235" s="12"/>
      <c r="BI235" s="12"/>
      <c r="BJ235" s="12"/>
      <c r="BK235" s="12"/>
      <c r="BL235" s="12"/>
      <c r="BM235" s="980">
        <f t="shared" si="156"/>
        <v>1728</v>
      </c>
      <c r="BN235" s="367"/>
      <c r="BO235" s="981"/>
      <c r="BP235" s="12"/>
      <c r="BQ235" s="12"/>
      <c r="BR235" s="12"/>
      <c r="BS235" s="973"/>
      <c r="BT235" s="12"/>
      <c r="BU235" s="12"/>
      <c r="BV235" s="12"/>
      <c r="BW235" s="982" t="s">
        <v>392</v>
      </c>
      <c r="BX235" s="983">
        <f t="shared" si="154"/>
        <v>0</v>
      </c>
      <c r="BY235" s="12" t="e">
        <f>VLOOKUP(B235,#REF!,13,0)</f>
        <v>#REF!</v>
      </c>
      <c r="BZ235" s="1056">
        <v>229.9</v>
      </c>
      <c r="CA235" s="1181" t="e">
        <f>VLOOKUP(B235,Pedido!$B$16:$L$292,22,0)</f>
        <v>#N/A</v>
      </c>
    </row>
    <row r="236" spans="1:85" ht="27" customHeight="1" thickBot="1">
      <c r="A236" s="524"/>
      <c r="B236" s="140" t="s">
        <v>134</v>
      </c>
      <c r="C236" s="140" t="str">
        <f>LEFT(B236,6)</f>
        <v>RPOWPC</v>
      </c>
      <c r="D236" s="369" t="s">
        <v>128</v>
      </c>
      <c r="E236" s="370" t="s">
        <v>70</v>
      </c>
      <c r="F236" s="371" t="s">
        <v>135</v>
      </c>
      <c r="G236" s="373">
        <v>1800</v>
      </c>
      <c r="H236" s="1153">
        <v>105.01</v>
      </c>
      <c r="I236" s="129">
        <v>429.9</v>
      </c>
      <c r="J236" s="130" t="str">
        <f t="shared" si="125"/>
        <v/>
      </c>
      <c r="K236" s="131" t="str">
        <f t="shared" si="160"/>
        <v/>
      </c>
      <c r="L236" s="241">
        <v>309.89999999999998</v>
      </c>
      <c r="M236" s="473">
        <f t="shared" si="126"/>
        <v>273.89999999999998</v>
      </c>
      <c r="N236" s="473">
        <f t="shared" si="127"/>
        <v>273.89999999999998</v>
      </c>
      <c r="O236" s="473">
        <f t="shared" si="128"/>
        <v>273.89999999999998</v>
      </c>
      <c r="P236" s="132">
        <v>273.89999999999998</v>
      </c>
      <c r="Q236" s="132">
        <v>252.9</v>
      </c>
      <c r="R236" s="132">
        <v>248.9</v>
      </c>
      <c r="S236" s="133">
        <v>239.9</v>
      </c>
      <c r="T236" s="134" t="str">
        <f t="shared" si="157"/>
        <v/>
      </c>
      <c r="U236" s="135" t="str">
        <f t="shared" si="158"/>
        <v/>
      </c>
      <c r="V236" s="575"/>
      <c r="W236" s="694"/>
      <c r="X236" s="170"/>
      <c r="Y236" s="122" t="str">
        <f t="shared" si="155"/>
        <v/>
      </c>
      <c r="Z236" s="224">
        <f t="shared" si="135"/>
        <v>0</v>
      </c>
      <c r="AA236" s="136">
        <f t="shared" si="159"/>
        <v>0</v>
      </c>
      <c r="AB236" s="136">
        <f t="shared" si="151"/>
        <v>0</v>
      </c>
      <c r="AC236" s="136">
        <f t="shared" si="152"/>
        <v>0</v>
      </c>
      <c r="AD236" s="136">
        <f t="shared" si="144"/>
        <v>0</v>
      </c>
      <c r="AE236" s="136">
        <f t="shared" si="136"/>
        <v>0</v>
      </c>
      <c r="AF236" s="136">
        <f t="shared" si="137"/>
        <v>0</v>
      </c>
      <c r="AG236" s="137">
        <f t="shared" si="138"/>
        <v>0</v>
      </c>
      <c r="AH236" s="136">
        <f t="shared" si="139"/>
        <v>0</v>
      </c>
      <c r="AI236" s="136">
        <f t="shared" si="140"/>
        <v>0</v>
      </c>
      <c r="AJ236" s="136">
        <f t="shared" si="146"/>
        <v>0</v>
      </c>
      <c r="AK236" s="136">
        <f t="shared" si="147"/>
        <v>0</v>
      </c>
      <c r="AL236" s="136">
        <f t="shared" si="148"/>
        <v>0</v>
      </c>
      <c r="AM236" s="136">
        <f t="shared" si="141"/>
        <v>0</v>
      </c>
      <c r="AN236" s="136">
        <f t="shared" si="149"/>
        <v>0</v>
      </c>
      <c r="AO236" s="136">
        <f t="shared" si="150"/>
        <v>0</v>
      </c>
      <c r="AP236" s="138">
        <f t="shared" si="142"/>
        <v>0.66114875766376247</v>
      </c>
      <c r="AQ236" s="139">
        <f t="shared" si="143"/>
        <v>140.01333333333335</v>
      </c>
      <c r="AR236" s="537">
        <v>3</v>
      </c>
      <c r="AS236" s="202">
        <f t="shared" si="129"/>
        <v>66.114875766376244</v>
      </c>
      <c r="AT236" s="197">
        <f t="shared" si="130"/>
        <v>0</v>
      </c>
      <c r="AU236" s="199">
        <f t="shared" si="131"/>
        <v>0</v>
      </c>
      <c r="AV236" s="110"/>
      <c r="AW236" s="138" t="e">
        <f>VLOOKUP(AX236,Sup!#REF!,8,0)</f>
        <v>#REF!</v>
      </c>
      <c r="AX236" s="1008" t="s">
        <v>199</v>
      </c>
      <c r="AY236" s="556">
        <v>0</v>
      </c>
      <c r="AZ236" s="35"/>
      <c r="BA236" s="35"/>
      <c r="BB236" s="35"/>
      <c r="BC236" s="35">
        <f t="shared" si="123"/>
        <v>0</v>
      </c>
      <c r="BD236" s="35" t="str">
        <f t="shared" si="153"/>
        <v/>
      </c>
      <c r="BE236" s="45">
        <f t="shared" si="145"/>
        <v>0</v>
      </c>
      <c r="BF236" s="971"/>
      <c r="BG236" s="236"/>
      <c r="BH236" s="12"/>
      <c r="BI236" s="12"/>
      <c r="BJ236" s="12"/>
      <c r="BK236" s="12"/>
      <c r="BL236" s="12"/>
      <c r="BM236" s="980">
        <f t="shared" si="156"/>
        <v>1752</v>
      </c>
      <c r="BN236" s="367"/>
      <c r="BO236" s="981"/>
      <c r="BP236" s="12"/>
      <c r="BQ236" s="12"/>
      <c r="BR236" s="12"/>
      <c r="BS236" s="973"/>
      <c r="BT236" s="12"/>
      <c r="BU236" s="12"/>
      <c r="BV236" s="12"/>
      <c r="BW236" s="982" t="s">
        <v>392</v>
      </c>
      <c r="BX236" s="983">
        <f t="shared" si="154"/>
        <v>0</v>
      </c>
      <c r="BY236" s="12" t="e">
        <f>VLOOKUP(B236,#REF!,13,0)</f>
        <v>#REF!</v>
      </c>
      <c r="BZ236" s="1056">
        <v>229.9</v>
      </c>
      <c r="CA236" s="1181" t="e">
        <f>VLOOKUP(B236,Pedido!$B$16:$L$292,22,0)</f>
        <v>#N/A</v>
      </c>
    </row>
    <row r="237" spans="1:85" ht="27" customHeight="1" thickBot="1">
      <c r="A237" s="524"/>
      <c r="B237" s="140" t="s">
        <v>140</v>
      </c>
      <c r="C237" s="140" t="str">
        <f>LEFT(B237,6)</f>
        <v>RPOWPC</v>
      </c>
      <c r="D237" s="369" t="s">
        <v>128</v>
      </c>
      <c r="E237" s="370" t="s">
        <v>124</v>
      </c>
      <c r="F237" s="371" t="s">
        <v>135</v>
      </c>
      <c r="G237" s="373">
        <v>1800</v>
      </c>
      <c r="H237" s="1153">
        <v>105.01</v>
      </c>
      <c r="I237" s="129">
        <v>429.9</v>
      </c>
      <c r="J237" s="130" t="str">
        <f t="shared" si="125"/>
        <v/>
      </c>
      <c r="K237" s="131" t="str">
        <f t="shared" si="160"/>
        <v/>
      </c>
      <c r="L237" s="241">
        <v>309.89999999999998</v>
      </c>
      <c r="M237" s="473">
        <f t="shared" si="126"/>
        <v>273.89999999999998</v>
      </c>
      <c r="N237" s="473">
        <f t="shared" si="127"/>
        <v>273.89999999999998</v>
      </c>
      <c r="O237" s="473">
        <f t="shared" si="128"/>
        <v>273.89999999999998</v>
      </c>
      <c r="P237" s="132">
        <v>273.89999999999998</v>
      </c>
      <c r="Q237" s="132">
        <v>252.9</v>
      </c>
      <c r="R237" s="132">
        <v>248.9</v>
      </c>
      <c r="S237" s="133">
        <v>239.9</v>
      </c>
      <c r="T237" s="134" t="str">
        <f t="shared" si="157"/>
        <v/>
      </c>
      <c r="U237" s="135" t="str">
        <f t="shared" si="158"/>
        <v/>
      </c>
      <c r="V237" s="575"/>
      <c r="W237" s="694"/>
      <c r="X237" s="170"/>
      <c r="Y237" s="122" t="str">
        <f t="shared" si="155"/>
        <v/>
      </c>
      <c r="Z237" s="224">
        <f t="shared" si="135"/>
        <v>0</v>
      </c>
      <c r="AA237" s="136">
        <f t="shared" si="159"/>
        <v>0</v>
      </c>
      <c r="AB237" s="136">
        <f t="shared" si="151"/>
        <v>0</v>
      </c>
      <c r="AC237" s="136">
        <f t="shared" si="152"/>
        <v>0</v>
      </c>
      <c r="AD237" s="136">
        <f t="shared" si="144"/>
        <v>0</v>
      </c>
      <c r="AE237" s="136">
        <f t="shared" si="136"/>
        <v>0</v>
      </c>
      <c r="AF237" s="136">
        <f t="shared" si="137"/>
        <v>0</v>
      </c>
      <c r="AG237" s="137">
        <f t="shared" si="138"/>
        <v>0</v>
      </c>
      <c r="AH237" s="136">
        <f t="shared" si="139"/>
        <v>0</v>
      </c>
      <c r="AI237" s="136">
        <f t="shared" si="140"/>
        <v>0</v>
      </c>
      <c r="AJ237" s="136">
        <f t="shared" si="146"/>
        <v>0</v>
      </c>
      <c r="AK237" s="136">
        <f t="shared" si="147"/>
        <v>0</v>
      </c>
      <c r="AL237" s="136">
        <f t="shared" si="148"/>
        <v>0</v>
      </c>
      <c r="AM237" s="136">
        <f t="shared" si="141"/>
        <v>0</v>
      </c>
      <c r="AN237" s="136">
        <f t="shared" si="149"/>
        <v>0</v>
      </c>
      <c r="AO237" s="136">
        <f t="shared" si="150"/>
        <v>0</v>
      </c>
      <c r="AP237" s="138">
        <f t="shared" si="142"/>
        <v>0.66114875766376247</v>
      </c>
      <c r="AQ237" s="139">
        <f t="shared" si="143"/>
        <v>140.01333333333335</v>
      </c>
      <c r="AR237" s="537">
        <v>3</v>
      </c>
      <c r="AS237" s="202">
        <f t="shared" si="129"/>
        <v>66.114875766376244</v>
      </c>
      <c r="AT237" s="197">
        <f t="shared" si="130"/>
        <v>0</v>
      </c>
      <c r="AU237" s="199">
        <f t="shared" si="131"/>
        <v>0</v>
      </c>
      <c r="AV237" s="110"/>
      <c r="AW237" s="138" t="e">
        <f>VLOOKUP(AX237,Sup!#REF!,8,0)</f>
        <v>#REF!</v>
      </c>
      <c r="AX237" s="1008" t="s">
        <v>199</v>
      </c>
      <c r="AY237" s="556">
        <v>0</v>
      </c>
      <c r="AZ237" s="35"/>
      <c r="BA237" s="35"/>
      <c r="BB237" s="35"/>
      <c r="BC237" s="35">
        <f t="shared" si="123"/>
        <v>0</v>
      </c>
      <c r="BD237" s="35" t="str">
        <f t="shared" si="153"/>
        <v/>
      </c>
      <c r="BE237" s="45">
        <f t="shared" si="145"/>
        <v>0</v>
      </c>
      <c r="BF237" s="971"/>
      <c r="BG237" s="236"/>
      <c r="BH237" s="12"/>
      <c r="BI237" s="12"/>
      <c r="BJ237" s="12"/>
      <c r="BK237" s="12"/>
      <c r="BL237" s="12"/>
      <c r="BM237" s="980">
        <f t="shared" si="156"/>
        <v>1776</v>
      </c>
      <c r="BN237" s="367"/>
      <c r="BO237" s="981"/>
      <c r="BP237" s="12"/>
      <c r="BQ237" s="12"/>
      <c r="BR237" s="12"/>
      <c r="BS237" s="973"/>
      <c r="BT237" s="12"/>
      <c r="BU237" s="12"/>
      <c r="BV237" s="12"/>
      <c r="BW237" s="982" t="s">
        <v>392</v>
      </c>
      <c r="BX237" s="983">
        <f t="shared" si="154"/>
        <v>0</v>
      </c>
      <c r="BY237" s="12" t="e">
        <f>VLOOKUP(B237,#REF!,13,0)</f>
        <v>#REF!</v>
      </c>
      <c r="BZ237" s="1056">
        <v>229.9</v>
      </c>
      <c r="CA237" s="1181" t="e">
        <f>VLOOKUP(B237,Pedido!$B$16:$L$292,22,0)</f>
        <v>#N/A</v>
      </c>
    </row>
    <row r="238" spans="1:85" ht="27" customHeight="1" thickBot="1">
      <c r="A238" s="524"/>
      <c r="B238" s="140" t="s">
        <v>136</v>
      </c>
      <c r="C238" s="140" t="str">
        <f>LEFT(B238,6)</f>
        <v>RPOWPC</v>
      </c>
      <c r="D238" s="369" t="s">
        <v>128</v>
      </c>
      <c r="E238" s="370" t="s">
        <v>125</v>
      </c>
      <c r="F238" s="371" t="s">
        <v>135</v>
      </c>
      <c r="G238" s="373">
        <v>1800</v>
      </c>
      <c r="H238" s="1153">
        <v>105.01</v>
      </c>
      <c r="I238" s="129">
        <v>429.9</v>
      </c>
      <c r="J238" s="130" t="str">
        <f t="shared" si="125"/>
        <v/>
      </c>
      <c r="K238" s="131" t="str">
        <f t="shared" si="160"/>
        <v/>
      </c>
      <c r="L238" s="241">
        <v>309.89999999999998</v>
      </c>
      <c r="M238" s="473">
        <f t="shared" si="126"/>
        <v>273.89999999999998</v>
      </c>
      <c r="N238" s="473">
        <f t="shared" si="127"/>
        <v>273.89999999999998</v>
      </c>
      <c r="O238" s="473">
        <f t="shared" si="128"/>
        <v>273.89999999999998</v>
      </c>
      <c r="P238" s="132">
        <v>273.89999999999998</v>
      </c>
      <c r="Q238" s="132">
        <v>252.9</v>
      </c>
      <c r="R238" s="132">
        <v>248.9</v>
      </c>
      <c r="S238" s="133">
        <v>239.9</v>
      </c>
      <c r="T238" s="134" t="str">
        <f t="shared" si="157"/>
        <v/>
      </c>
      <c r="U238" s="135" t="str">
        <f t="shared" si="158"/>
        <v/>
      </c>
      <c r="V238" s="575"/>
      <c r="W238" s="694"/>
      <c r="X238" s="170"/>
      <c r="Y238" s="122" t="str">
        <f t="shared" si="155"/>
        <v/>
      </c>
      <c r="Z238" s="224">
        <f t="shared" si="135"/>
        <v>0</v>
      </c>
      <c r="AA238" s="136">
        <f t="shared" si="159"/>
        <v>0</v>
      </c>
      <c r="AB238" s="136">
        <f t="shared" si="151"/>
        <v>0</v>
      </c>
      <c r="AC238" s="136">
        <f t="shared" si="152"/>
        <v>0</v>
      </c>
      <c r="AD238" s="136">
        <f t="shared" si="144"/>
        <v>0</v>
      </c>
      <c r="AE238" s="136">
        <f t="shared" si="136"/>
        <v>0</v>
      </c>
      <c r="AF238" s="136">
        <f t="shared" si="137"/>
        <v>0</v>
      </c>
      <c r="AG238" s="137">
        <f t="shared" si="138"/>
        <v>0</v>
      </c>
      <c r="AH238" s="136">
        <f t="shared" si="139"/>
        <v>0</v>
      </c>
      <c r="AI238" s="136">
        <f t="shared" si="140"/>
        <v>0</v>
      </c>
      <c r="AJ238" s="136">
        <f t="shared" si="146"/>
        <v>0</v>
      </c>
      <c r="AK238" s="136">
        <f t="shared" si="147"/>
        <v>0</v>
      </c>
      <c r="AL238" s="136">
        <f t="shared" si="148"/>
        <v>0</v>
      </c>
      <c r="AM238" s="136">
        <f t="shared" si="141"/>
        <v>0</v>
      </c>
      <c r="AN238" s="136">
        <f t="shared" si="149"/>
        <v>0</v>
      </c>
      <c r="AO238" s="136">
        <f t="shared" si="150"/>
        <v>0</v>
      </c>
      <c r="AP238" s="138">
        <f t="shared" si="142"/>
        <v>0.66114875766376247</v>
      </c>
      <c r="AQ238" s="139">
        <f t="shared" si="143"/>
        <v>140.01333333333335</v>
      </c>
      <c r="AR238" s="537">
        <v>3</v>
      </c>
      <c r="AS238" s="202">
        <f t="shared" si="129"/>
        <v>66.114875766376244</v>
      </c>
      <c r="AT238" s="197">
        <f t="shared" si="130"/>
        <v>0</v>
      </c>
      <c r="AU238" s="199">
        <f t="shared" si="131"/>
        <v>0</v>
      </c>
      <c r="AV238" s="110"/>
      <c r="AW238" s="138" t="e">
        <f>VLOOKUP(AX238,Sup!#REF!,8,0)</f>
        <v>#REF!</v>
      </c>
      <c r="AX238" s="1008" t="s">
        <v>199</v>
      </c>
      <c r="AY238" s="556">
        <v>0</v>
      </c>
      <c r="AZ238" s="35"/>
      <c r="BA238" s="35"/>
      <c r="BB238" s="35"/>
      <c r="BC238" s="35">
        <f t="shared" si="123"/>
        <v>0</v>
      </c>
      <c r="BD238" s="35" t="str">
        <f t="shared" si="153"/>
        <v/>
      </c>
      <c r="BE238" s="45">
        <f t="shared" si="145"/>
        <v>0</v>
      </c>
      <c r="BF238" s="971"/>
      <c r="BG238" s="236"/>
      <c r="BH238" s="12"/>
      <c r="BI238" s="12"/>
      <c r="BJ238" s="12"/>
      <c r="BK238" s="12"/>
      <c r="BL238" s="12"/>
      <c r="BM238" s="980">
        <f t="shared" si="156"/>
        <v>1800</v>
      </c>
      <c r="BN238" s="367"/>
      <c r="BO238" s="981"/>
      <c r="BP238" s="12"/>
      <c r="BQ238" s="12"/>
      <c r="BR238" s="12"/>
      <c r="BS238" s="973"/>
      <c r="BT238" s="12"/>
      <c r="BU238" s="12"/>
      <c r="BV238" s="12"/>
      <c r="BW238" s="982" t="s">
        <v>392</v>
      </c>
      <c r="BX238" s="983">
        <f t="shared" si="154"/>
        <v>0</v>
      </c>
      <c r="BY238" s="12" t="e">
        <f>VLOOKUP(B238,#REF!,13,0)</f>
        <v>#REF!</v>
      </c>
      <c r="BZ238" s="1056">
        <v>229.9</v>
      </c>
      <c r="CA238" s="1181" t="e">
        <f>VLOOKUP(B238,Pedido!$B$16:$L$292,22,0)</f>
        <v>#N/A</v>
      </c>
    </row>
    <row r="239" spans="1:85" ht="27" customHeight="1" thickBot="1">
      <c r="A239" s="524"/>
      <c r="B239" s="140" t="s">
        <v>423</v>
      </c>
      <c r="C239" s="140" t="s">
        <v>231</v>
      </c>
      <c r="D239" s="369" t="s">
        <v>128</v>
      </c>
      <c r="E239" s="370" t="s">
        <v>274</v>
      </c>
      <c r="F239" s="371" t="s">
        <v>135</v>
      </c>
      <c r="G239" s="373">
        <v>1800</v>
      </c>
      <c r="H239" s="1153">
        <v>105.01</v>
      </c>
      <c r="I239" s="129">
        <v>429.9</v>
      </c>
      <c r="J239" s="130" t="str">
        <f t="shared" si="125"/>
        <v/>
      </c>
      <c r="K239" s="131" t="str">
        <f t="shared" si="160"/>
        <v/>
      </c>
      <c r="L239" s="241">
        <v>309.89999999999998</v>
      </c>
      <c r="M239" s="473">
        <f t="shared" si="126"/>
        <v>273.89999999999998</v>
      </c>
      <c r="N239" s="473">
        <f t="shared" si="127"/>
        <v>273.89999999999998</v>
      </c>
      <c r="O239" s="473">
        <f t="shared" si="128"/>
        <v>273.89999999999998</v>
      </c>
      <c r="P239" s="132">
        <v>273.89999999999998</v>
      </c>
      <c r="Q239" s="132">
        <v>252.9</v>
      </c>
      <c r="R239" s="132">
        <v>248.9</v>
      </c>
      <c r="S239" s="133">
        <v>239.9</v>
      </c>
      <c r="T239" s="134" t="str">
        <f t="shared" si="157"/>
        <v/>
      </c>
      <c r="U239" s="135" t="str">
        <f t="shared" si="158"/>
        <v/>
      </c>
      <c r="V239" s="575"/>
      <c r="W239" s="694"/>
      <c r="X239" s="170"/>
      <c r="Y239" s="122" t="str">
        <f t="shared" si="155"/>
        <v/>
      </c>
      <c r="Z239" s="224">
        <f t="shared" si="135"/>
        <v>0</v>
      </c>
      <c r="AA239" s="136">
        <f t="shared" si="159"/>
        <v>0</v>
      </c>
      <c r="AB239" s="136">
        <f t="shared" si="151"/>
        <v>0</v>
      </c>
      <c r="AC239" s="136">
        <f t="shared" si="152"/>
        <v>0</v>
      </c>
      <c r="AD239" s="136">
        <f t="shared" si="144"/>
        <v>0</v>
      </c>
      <c r="AE239" s="136">
        <f t="shared" si="136"/>
        <v>0</v>
      </c>
      <c r="AF239" s="136">
        <f t="shared" si="137"/>
        <v>0</v>
      </c>
      <c r="AG239" s="137">
        <f t="shared" si="138"/>
        <v>0</v>
      </c>
      <c r="AH239" s="136">
        <f t="shared" si="139"/>
        <v>0</v>
      </c>
      <c r="AI239" s="136">
        <f t="shared" si="140"/>
        <v>0</v>
      </c>
      <c r="AJ239" s="136">
        <f t="shared" si="146"/>
        <v>0</v>
      </c>
      <c r="AK239" s="136">
        <f t="shared" si="147"/>
        <v>0</v>
      </c>
      <c r="AL239" s="136">
        <f t="shared" si="148"/>
        <v>0</v>
      </c>
      <c r="AM239" s="136">
        <f t="shared" si="141"/>
        <v>0</v>
      </c>
      <c r="AN239" s="136">
        <f t="shared" si="149"/>
        <v>0</v>
      </c>
      <c r="AO239" s="136">
        <f t="shared" si="150"/>
        <v>0</v>
      </c>
      <c r="AP239" s="138">
        <f t="shared" si="142"/>
        <v>0.66114875766376247</v>
      </c>
      <c r="AQ239" s="139">
        <f t="shared" si="143"/>
        <v>140.01333333333335</v>
      </c>
      <c r="AR239" s="537">
        <v>3</v>
      </c>
      <c r="AS239" s="202">
        <f t="shared" si="129"/>
        <v>66.114875766376244</v>
      </c>
      <c r="AT239" s="197">
        <f t="shared" si="130"/>
        <v>0</v>
      </c>
      <c r="AU239" s="199">
        <f t="shared" si="131"/>
        <v>0</v>
      </c>
      <c r="AV239" s="110"/>
      <c r="AW239" s="138" t="e">
        <f>VLOOKUP(AX239,Sup!#REF!,8,0)</f>
        <v>#REF!</v>
      </c>
      <c r="AX239" s="1008" t="s">
        <v>199</v>
      </c>
      <c r="AY239" s="556">
        <v>0</v>
      </c>
      <c r="AZ239" s="35"/>
      <c r="BA239" s="35"/>
      <c r="BB239" s="35"/>
      <c r="BC239" s="35">
        <f t="shared" si="123"/>
        <v>0</v>
      </c>
      <c r="BD239" s="35" t="str">
        <f t="shared" si="153"/>
        <v/>
      </c>
      <c r="BE239" s="45">
        <f t="shared" si="145"/>
        <v>0</v>
      </c>
      <c r="BF239" s="971"/>
      <c r="BG239" s="236"/>
      <c r="BH239" s="12"/>
      <c r="BI239" s="12"/>
      <c r="BJ239" s="12"/>
      <c r="BK239" s="12"/>
      <c r="BL239" s="12"/>
      <c r="BM239" s="980">
        <f t="shared" si="156"/>
        <v>1824</v>
      </c>
      <c r="BN239" s="367"/>
      <c r="BO239" s="981"/>
      <c r="BP239" s="12"/>
      <c r="BQ239" s="12"/>
      <c r="BR239" s="12"/>
      <c r="BS239" s="973"/>
      <c r="BT239" s="12"/>
      <c r="BU239" s="12"/>
      <c r="BV239" s="12"/>
      <c r="BW239" s="982" t="s">
        <v>392</v>
      </c>
      <c r="BX239" s="983">
        <f t="shared" si="154"/>
        <v>0</v>
      </c>
      <c r="BY239" s="12" t="e">
        <f>VLOOKUP(B239,#REF!,13,0)</f>
        <v>#REF!</v>
      </c>
      <c r="BZ239" s="1056">
        <v>229.9</v>
      </c>
      <c r="CA239" s="1181" t="e">
        <f>VLOOKUP(B239,Pedido!$B$16:$L$292,22,0)</f>
        <v>#N/A</v>
      </c>
    </row>
    <row r="240" spans="1:85" ht="27" customHeight="1" thickBot="1">
      <c r="A240" s="524"/>
      <c r="B240" s="140" t="s">
        <v>139</v>
      </c>
      <c r="C240" s="140" t="str">
        <f>LEFT(B240,6)</f>
        <v>RPOWPC</v>
      </c>
      <c r="D240" s="369" t="s">
        <v>128</v>
      </c>
      <c r="E240" s="370" t="s">
        <v>118</v>
      </c>
      <c r="F240" s="371" t="s">
        <v>135</v>
      </c>
      <c r="G240" s="373">
        <v>1800</v>
      </c>
      <c r="H240" s="1153">
        <v>105.01</v>
      </c>
      <c r="I240" s="129">
        <v>429.9</v>
      </c>
      <c r="J240" s="130" t="str">
        <f t="shared" si="125"/>
        <v/>
      </c>
      <c r="K240" s="131" t="str">
        <f t="shared" si="160"/>
        <v/>
      </c>
      <c r="L240" s="241">
        <v>309.89999999999998</v>
      </c>
      <c r="M240" s="473">
        <f t="shared" si="126"/>
        <v>273.89999999999998</v>
      </c>
      <c r="N240" s="473">
        <f t="shared" si="127"/>
        <v>273.89999999999998</v>
      </c>
      <c r="O240" s="473">
        <f t="shared" si="128"/>
        <v>273.89999999999998</v>
      </c>
      <c r="P240" s="132">
        <v>273.89999999999998</v>
      </c>
      <c r="Q240" s="132">
        <v>252.9</v>
      </c>
      <c r="R240" s="132">
        <v>248.9</v>
      </c>
      <c r="S240" s="133">
        <v>239.9</v>
      </c>
      <c r="T240" s="134" t="str">
        <f t="shared" si="157"/>
        <v/>
      </c>
      <c r="U240" s="135" t="str">
        <f t="shared" si="158"/>
        <v/>
      </c>
      <c r="V240" s="575"/>
      <c r="W240" s="694"/>
      <c r="X240" s="170"/>
      <c r="Y240" s="122" t="str">
        <f t="shared" si="155"/>
        <v/>
      </c>
      <c r="Z240" s="224">
        <f t="shared" si="135"/>
        <v>0</v>
      </c>
      <c r="AA240" s="136">
        <f t="shared" si="159"/>
        <v>0</v>
      </c>
      <c r="AB240" s="136">
        <f t="shared" si="151"/>
        <v>0</v>
      </c>
      <c r="AC240" s="136">
        <f t="shared" si="152"/>
        <v>0</v>
      </c>
      <c r="AD240" s="136">
        <f t="shared" si="144"/>
        <v>0</v>
      </c>
      <c r="AE240" s="136">
        <f t="shared" si="136"/>
        <v>0</v>
      </c>
      <c r="AF240" s="136">
        <f t="shared" si="137"/>
        <v>0</v>
      </c>
      <c r="AG240" s="137">
        <f t="shared" si="138"/>
        <v>0</v>
      </c>
      <c r="AH240" s="136">
        <f t="shared" si="139"/>
        <v>0</v>
      </c>
      <c r="AI240" s="136">
        <f t="shared" si="140"/>
        <v>0</v>
      </c>
      <c r="AJ240" s="136">
        <f t="shared" si="146"/>
        <v>0</v>
      </c>
      <c r="AK240" s="136">
        <f t="shared" si="147"/>
        <v>0</v>
      </c>
      <c r="AL240" s="136">
        <f t="shared" si="148"/>
        <v>0</v>
      </c>
      <c r="AM240" s="136">
        <f t="shared" si="141"/>
        <v>0</v>
      </c>
      <c r="AN240" s="136">
        <f t="shared" si="149"/>
        <v>0</v>
      </c>
      <c r="AO240" s="136">
        <f t="shared" si="150"/>
        <v>0</v>
      </c>
      <c r="AP240" s="138">
        <f t="shared" si="142"/>
        <v>0.66114875766376247</v>
      </c>
      <c r="AQ240" s="139">
        <f t="shared" si="143"/>
        <v>140.01333333333335</v>
      </c>
      <c r="AR240" s="537">
        <v>3</v>
      </c>
      <c r="AS240" s="202">
        <f t="shared" si="129"/>
        <v>66.114875766376244</v>
      </c>
      <c r="AT240" s="197">
        <f t="shared" si="130"/>
        <v>0</v>
      </c>
      <c r="AU240" s="199">
        <f t="shared" si="131"/>
        <v>0</v>
      </c>
      <c r="AV240" s="110"/>
      <c r="AW240" s="138" t="e">
        <f>VLOOKUP(AX240,Sup!#REF!,8,0)</f>
        <v>#REF!</v>
      </c>
      <c r="AX240" s="1008" t="s">
        <v>199</v>
      </c>
      <c r="AY240" s="556">
        <v>0</v>
      </c>
      <c r="AZ240" s="35"/>
      <c r="BA240" s="35"/>
      <c r="BB240" s="35"/>
      <c r="BC240" s="35">
        <f t="shared" si="123"/>
        <v>0</v>
      </c>
      <c r="BD240" s="35" t="str">
        <f t="shared" si="153"/>
        <v/>
      </c>
      <c r="BE240" s="45">
        <f t="shared" si="145"/>
        <v>0</v>
      </c>
      <c r="BF240" s="971"/>
      <c r="BG240" s="236"/>
      <c r="BH240" s="12"/>
      <c r="BI240" s="12"/>
      <c r="BJ240" s="12"/>
      <c r="BK240" s="12"/>
      <c r="BL240" s="12"/>
      <c r="BM240" s="980">
        <f t="shared" si="156"/>
        <v>1848</v>
      </c>
      <c r="BN240" s="367"/>
      <c r="BO240" s="981"/>
      <c r="BP240" s="12"/>
      <c r="BQ240" s="12"/>
      <c r="BR240" s="12"/>
      <c r="BS240" s="973"/>
      <c r="BT240" s="12"/>
      <c r="BU240" s="12"/>
      <c r="BV240" s="12"/>
      <c r="BW240" s="982" t="s">
        <v>392</v>
      </c>
      <c r="BX240" s="983">
        <f t="shared" si="154"/>
        <v>0</v>
      </c>
      <c r="BY240" s="12" t="e">
        <f>VLOOKUP(B240,#REF!,13,0)</f>
        <v>#REF!</v>
      </c>
      <c r="BZ240" s="1056">
        <v>229.9</v>
      </c>
      <c r="CA240" s="1181" t="e">
        <f>VLOOKUP(B240,Pedido!$B$16:$L$292,22,0)</f>
        <v>#N/A</v>
      </c>
    </row>
    <row r="241" spans="1:79" ht="27" customHeight="1" thickBot="1">
      <c r="A241" s="524"/>
      <c r="B241" s="95" t="s">
        <v>138</v>
      </c>
      <c r="C241" s="140" t="str">
        <f>LEFT(B241,6)</f>
        <v>RPOWPC</v>
      </c>
      <c r="D241" s="369" t="s">
        <v>128</v>
      </c>
      <c r="E241" s="370" t="s">
        <v>126</v>
      </c>
      <c r="F241" s="371" t="s">
        <v>135</v>
      </c>
      <c r="G241" s="373">
        <v>1800</v>
      </c>
      <c r="H241" s="1153">
        <v>105.01</v>
      </c>
      <c r="I241" s="129">
        <v>429.9</v>
      </c>
      <c r="J241" s="130" t="str">
        <f t="shared" si="125"/>
        <v/>
      </c>
      <c r="K241" s="131" t="str">
        <f t="shared" si="160"/>
        <v/>
      </c>
      <c r="L241" s="241">
        <v>309.89999999999998</v>
      </c>
      <c r="M241" s="473">
        <f t="shared" si="126"/>
        <v>273.89999999999998</v>
      </c>
      <c r="N241" s="473">
        <f t="shared" si="127"/>
        <v>273.89999999999998</v>
      </c>
      <c r="O241" s="473">
        <f t="shared" si="128"/>
        <v>273.89999999999998</v>
      </c>
      <c r="P241" s="132">
        <v>273.89999999999998</v>
      </c>
      <c r="Q241" s="132">
        <v>252.9</v>
      </c>
      <c r="R241" s="132">
        <v>248.9</v>
      </c>
      <c r="S241" s="133">
        <v>239.9</v>
      </c>
      <c r="T241" s="134" t="str">
        <f t="shared" si="157"/>
        <v/>
      </c>
      <c r="U241" s="135" t="str">
        <f t="shared" si="158"/>
        <v/>
      </c>
      <c r="V241" s="575"/>
      <c r="W241" s="694"/>
      <c r="X241" s="170"/>
      <c r="Y241" s="122" t="str">
        <f t="shared" si="155"/>
        <v/>
      </c>
      <c r="Z241" s="224">
        <f t="shared" si="135"/>
        <v>0</v>
      </c>
      <c r="AA241" s="136">
        <f t="shared" si="159"/>
        <v>0</v>
      </c>
      <c r="AB241" s="136">
        <f t="shared" si="151"/>
        <v>0</v>
      </c>
      <c r="AC241" s="136">
        <f t="shared" si="152"/>
        <v>0</v>
      </c>
      <c r="AD241" s="136">
        <f t="shared" si="144"/>
        <v>0</v>
      </c>
      <c r="AE241" s="136">
        <f t="shared" si="136"/>
        <v>0</v>
      </c>
      <c r="AF241" s="136">
        <f t="shared" si="137"/>
        <v>0</v>
      </c>
      <c r="AG241" s="137">
        <f t="shared" si="138"/>
        <v>0</v>
      </c>
      <c r="AH241" s="136">
        <f t="shared" si="139"/>
        <v>0</v>
      </c>
      <c r="AI241" s="136">
        <f t="shared" si="140"/>
        <v>0</v>
      </c>
      <c r="AJ241" s="136">
        <f t="shared" si="146"/>
        <v>0</v>
      </c>
      <c r="AK241" s="136">
        <f t="shared" si="147"/>
        <v>0</v>
      </c>
      <c r="AL241" s="136">
        <f t="shared" si="148"/>
        <v>0</v>
      </c>
      <c r="AM241" s="136">
        <f t="shared" si="141"/>
        <v>0</v>
      </c>
      <c r="AN241" s="136">
        <f t="shared" si="149"/>
        <v>0</v>
      </c>
      <c r="AO241" s="136">
        <f t="shared" si="150"/>
        <v>0</v>
      </c>
      <c r="AP241" s="138">
        <f t="shared" si="142"/>
        <v>0.66114875766376247</v>
      </c>
      <c r="AQ241" s="139">
        <f t="shared" si="143"/>
        <v>140.01333333333335</v>
      </c>
      <c r="AR241" s="537">
        <v>3</v>
      </c>
      <c r="AS241" s="202">
        <f t="shared" si="129"/>
        <v>66.114875766376244</v>
      </c>
      <c r="AT241" s="197">
        <f t="shared" si="130"/>
        <v>0</v>
      </c>
      <c r="AU241" s="199">
        <f t="shared" si="131"/>
        <v>0</v>
      </c>
      <c r="AV241" s="110"/>
      <c r="AW241" s="138" t="e">
        <f>VLOOKUP(AX241,Sup!#REF!,8,0)</f>
        <v>#REF!</v>
      </c>
      <c r="AX241" s="1008" t="s">
        <v>199</v>
      </c>
      <c r="AY241" s="556">
        <v>0</v>
      </c>
      <c r="AZ241" s="35"/>
      <c r="BA241" s="35"/>
      <c r="BB241" s="35"/>
      <c r="BC241" s="35">
        <f t="shared" si="123"/>
        <v>0</v>
      </c>
      <c r="BD241" s="35" t="str">
        <f t="shared" si="153"/>
        <v/>
      </c>
      <c r="BE241" s="45">
        <f t="shared" si="145"/>
        <v>0</v>
      </c>
      <c r="BF241" s="971"/>
      <c r="BG241" s="236"/>
      <c r="BH241" s="12"/>
      <c r="BI241" s="12"/>
      <c r="BJ241" s="12"/>
      <c r="BK241" s="12"/>
      <c r="BL241" s="12"/>
      <c r="BM241" s="980">
        <f t="shared" si="156"/>
        <v>1872</v>
      </c>
      <c r="BN241" s="367"/>
      <c r="BO241" s="981"/>
      <c r="BP241" s="12"/>
      <c r="BQ241" s="12"/>
      <c r="BR241" s="12"/>
      <c r="BS241" s="973"/>
      <c r="BT241" s="12"/>
      <c r="BU241" s="12"/>
      <c r="BV241" s="12"/>
      <c r="BW241" s="982" t="s">
        <v>392</v>
      </c>
      <c r="BX241" s="983">
        <f t="shared" si="154"/>
        <v>0</v>
      </c>
      <c r="BY241" s="12" t="e">
        <f>VLOOKUP(B241,#REF!,13,0)</f>
        <v>#REF!</v>
      </c>
      <c r="BZ241" s="1056">
        <v>229.9</v>
      </c>
      <c r="CA241" s="1181" t="e">
        <f>VLOOKUP(B241,Pedido!$B$16:$L$292,22,0)</f>
        <v>#N/A</v>
      </c>
    </row>
    <row r="242" spans="1:79" ht="27" customHeight="1" thickBot="1">
      <c r="A242" s="524"/>
      <c r="B242" s="140" t="s">
        <v>424</v>
      </c>
      <c r="C242" s="140" t="s">
        <v>231</v>
      </c>
      <c r="D242" s="369" t="s">
        <v>128</v>
      </c>
      <c r="E242" s="370" t="s">
        <v>271</v>
      </c>
      <c r="F242" s="371" t="s">
        <v>135</v>
      </c>
      <c r="G242" s="373">
        <v>1800</v>
      </c>
      <c r="H242" s="1153">
        <v>105.01</v>
      </c>
      <c r="I242" s="129">
        <v>429.9</v>
      </c>
      <c r="J242" s="130" t="str">
        <f t="shared" si="125"/>
        <v/>
      </c>
      <c r="K242" s="131" t="str">
        <f t="shared" si="160"/>
        <v/>
      </c>
      <c r="L242" s="241">
        <v>309.89999999999998</v>
      </c>
      <c r="M242" s="473">
        <f t="shared" si="126"/>
        <v>273.89999999999998</v>
      </c>
      <c r="N242" s="473">
        <f t="shared" si="127"/>
        <v>273.89999999999998</v>
      </c>
      <c r="O242" s="473">
        <f t="shared" si="128"/>
        <v>273.89999999999998</v>
      </c>
      <c r="P242" s="132">
        <v>273.89999999999998</v>
      </c>
      <c r="Q242" s="132">
        <v>252.9</v>
      </c>
      <c r="R242" s="132">
        <v>248.9</v>
      </c>
      <c r="S242" s="133">
        <v>239.9</v>
      </c>
      <c r="T242" s="134" t="str">
        <f t="shared" si="157"/>
        <v/>
      </c>
      <c r="U242" s="135" t="str">
        <f t="shared" si="158"/>
        <v/>
      </c>
      <c r="V242" s="575"/>
      <c r="W242" s="694"/>
      <c r="X242" s="170"/>
      <c r="Y242" s="122" t="str">
        <f t="shared" si="155"/>
        <v/>
      </c>
      <c r="Z242" s="224">
        <f t="shared" si="135"/>
        <v>0</v>
      </c>
      <c r="AA242" s="136">
        <f t="shared" si="159"/>
        <v>0</v>
      </c>
      <c r="AB242" s="136">
        <f t="shared" si="151"/>
        <v>0</v>
      </c>
      <c r="AC242" s="136">
        <f t="shared" si="152"/>
        <v>0</v>
      </c>
      <c r="AD242" s="136">
        <f t="shared" si="144"/>
        <v>0</v>
      </c>
      <c r="AE242" s="136">
        <f t="shared" si="136"/>
        <v>0</v>
      </c>
      <c r="AF242" s="136">
        <f t="shared" si="137"/>
        <v>0</v>
      </c>
      <c r="AG242" s="137">
        <f t="shared" si="138"/>
        <v>0</v>
      </c>
      <c r="AH242" s="136">
        <f t="shared" si="139"/>
        <v>0</v>
      </c>
      <c r="AI242" s="136">
        <f t="shared" si="140"/>
        <v>0</v>
      </c>
      <c r="AJ242" s="136">
        <f t="shared" si="146"/>
        <v>0</v>
      </c>
      <c r="AK242" s="136">
        <f t="shared" si="147"/>
        <v>0</v>
      </c>
      <c r="AL242" s="136">
        <f t="shared" si="148"/>
        <v>0</v>
      </c>
      <c r="AM242" s="136">
        <f t="shared" si="141"/>
        <v>0</v>
      </c>
      <c r="AN242" s="136">
        <f t="shared" si="149"/>
        <v>0</v>
      </c>
      <c r="AO242" s="136">
        <f t="shared" si="150"/>
        <v>0</v>
      </c>
      <c r="AP242" s="138">
        <f t="shared" si="142"/>
        <v>0.66114875766376247</v>
      </c>
      <c r="AQ242" s="139">
        <f t="shared" si="143"/>
        <v>140.01333333333335</v>
      </c>
      <c r="AR242" s="537">
        <v>3</v>
      </c>
      <c r="AS242" s="202">
        <f t="shared" si="129"/>
        <v>66.114875766376244</v>
      </c>
      <c r="AT242" s="197">
        <f t="shared" si="130"/>
        <v>0</v>
      </c>
      <c r="AU242" s="199">
        <f t="shared" si="131"/>
        <v>0</v>
      </c>
      <c r="AV242" s="110"/>
      <c r="AW242" s="138" t="e">
        <f>VLOOKUP(AX242,Sup!#REF!,8,0)</f>
        <v>#REF!</v>
      </c>
      <c r="AX242" s="1008" t="s">
        <v>199</v>
      </c>
      <c r="AY242" s="556">
        <v>0</v>
      </c>
      <c r="AZ242" s="35"/>
      <c r="BA242" s="35"/>
      <c r="BB242" s="35"/>
      <c r="BC242" s="35">
        <f t="shared" si="123"/>
        <v>0</v>
      </c>
      <c r="BD242" s="35" t="str">
        <f t="shared" si="153"/>
        <v/>
      </c>
      <c r="BE242" s="45">
        <f t="shared" si="145"/>
        <v>0</v>
      </c>
      <c r="BF242" s="971"/>
      <c r="BG242" s="236"/>
      <c r="BH242" s="12"/>
      <c r="BI242" s="12"/>
      <c r="BJ242" s="12"/>
      <c r="BK242" s="12"/>
      <c r="BL242" s="12"/>
      <c r="BM242" s="980">
        <f t="shared" si="156"/>
        <v>1896</v>
      </c>
      <c r="BN242" s="367"/>
      <c r="BO242" s="981"/>
      <c r="BP242" s="12"/>
      <c r="BQ242" s="12"/>
      <c r="BR242" s="12"/>
      <c r="BS242" s="973"/>
      <c r="BT242" s="12"/>
      <c r="BU242" s="12"/>
      <c r="BV242" s="12"/>
      <c r="BW242" s="982" t="s">
        <v>392</v>
      </c>
      <c r="BX242" s="983">
        <f t="shared" si="154"/>
        <v>0</v>
      </c>
      <c r="BY242" s="12" t="e">
        <f>VLOOKUP(B242,#REF!,13,0)</f>
        <v>#REF!</v>
      </c>
      <c r="BZ242" s="1056">
        <v>229.9</v>
      </c>
      <c r="CA242" s="1181" t="e">
        <f>VLOOKUP(B242,Pedido!$B$16:$L$292,22,0)</f>
        <v>#N/A</v>
      </c>
    </row>
    <row r="243" spans="1:79" ht="27" customHeight="1" thickBot="1">
      <c r="A243" s="524"/>
      <c r="B243" s="140" t="s">
        <v>137</v>
      </c>
      <c r="C243" s="140" t="str">
        <f>LEFT(B243,6)</f>
        <v>RPOWPC</v>
      </c>
      <c r="D243" s="369" t="s">
        <v>128</v>
      </c>
      <c r="E243" s="370" t="s">
        <v>74</v>
      </c>
      <c r="F243" s="371" t="s">
        <v>135</v>
      </c>
      <c r="G243" s="373">
        <v>1800</v>
      </c>
      <c r="H243" s="1153">
        <v>105.01</v>
      </c>
      <c r="I243" s="129">
        <v>429.9</v>
      </c>
      <c r="J243" s="130" t="str">
        <f t="shared" si="125"/>
        <v/>
      </c>
      <c r="K243" s="131" t="str">
        <f t="shared" si="160"/>
        <v/>
      </c>
      <c r="L243" s="241">
        <v>309.89999999999998</v>
      </c>
      <c r="M243" s="473">
        <f t="shared" si="126"/>
        <v>273.89999999999998</v>
      </c>
      <c r="N243" s="473">
        <f t="shared" si="127"/>
        <v>273.89999999999998</v>
      </c>
      <c r="O243" s="473">
        <f t="shared" si="128"/>
        <v>273.89999999999998</v>
      </c>
      <c r="P243" s="132">
        <v>273.89999999999998</v>
      </c>
      <c r="Q243" s="132">
        <v>252.9</v>
      </c>
      <c r="R243" s="132">
        <v>248.9</v>
      </c>
      <c r="S243" s="133">
        <v>239.9</v>
      </c>
      <c r="T243" s="134" t="str">
        <f t="shared" si="157"/>
        <v/>
      </c>
      <c r="U243" s="135" t="str">
        <f t="shared" si="158"/>
        <v/>
      </c>
      <c r="V243" s="575"/>
      <c r="W243" s="694"/>
      <c r="X243" s="170"/>
      <c r="Y243" s="122" t="str">
        <f t="shared" si="155"/>
        <v/>
      </c>
      <c r="Z243" s="224">
        <f t="shared" si="135"/>
        <v>0</v>
      </c>
      <c r="AA243" s="136">
        <f t="shared" si="159"/>
        <v>0</v>
      </c>
      <c r="AB243" s="136">
        <f t="shared" si="151"/>
        <v>0</v>
      </c>
      <c r="AC243" s="136">
        <f t="shared" si="152"/>
        <v>0</v>
      </c>
      <c r="AD243" s="136">
        <f t="shared" si="144"/>
        <v>0</v>
      </c>
      <c r="AE243" s="136">
        <f t="shared" si="136"/>
        <v>0</v>
      </c>
      <c r="AF243" s="136">
        <f t="shared" si="137"/>
        <v>0</v>
      </c>
      <c r="AG243" s="137">
        <f t="shared" si="138"/>
        <v>0</v>
      </c>
      <c r="AH243" s="136">
        <f t="shared" si="139"/>
        <v>0</v>
      </c>
      <c r="AI243" s="136">
        <f t="shared" si="140"/>
        <v>0</v>
      </c>
      <c r="AJ243" s="136">
        <f t="shared" si="146"/>
        <v>0</v>
      </c>
      <c r="AK243" s="136">
        <f t="shared" si="147"/>
        <v>0</v>
      </c>
      <c r="AL243" s="136">
        <f t="shared" si="148"/>
        <v>0</v>
      </c>
      <c r="AM243" s="136">
        <f t="shared" si="141"/>
        <v>0</v>
      </c>
      <c r="AN243" s="136">
        <f t="shared" si="149"/>
        <v>0</v>
      </c>
      <c r="AO243" s="136">
        <f t="shared" si="150"/>
        <v>0</v>
      </c>
      <c r="AP243" s="138">
        <f t="shared" si="142"/>
        <v>0.66114875766376247</v>
      </c>
      <c r="AQ243" s="139">
        <f t="shared" si="143"/>
        <v>140.01333333333335</v>
      </c>
      <c r="AR243" s="537">
        <v>3</v>
      </c>
      <c r="AS243" s="202">
        <f t="shared" si="129"/>
        <v>66.114875766376244</v>
      </c>
      <c r="AT243" s="197">
        <f t="shared" si="130"/>
        <v>0</v>
      </c>
      <c r="AU243" s="199">
        <f t="shared" si="131"/>
        <v>0</v>
      </c>
      <c r="AV243" s="110"/>
      <c r="AW243" s="138" t="e">
        <f>VLOOKUP(AX243,Sup!#REF!,8,0)</f>
        <v>#REF!</v>
      </c>
      <c r="AX243" s="1008" t="s">
        <v>199</v>
      </c>
      <c r="AY243" s="556">
        <v>0</v>
      </c>
      <c r="AZ243" s="35"/>
      <c r="BA243" s="35"/>
      <c r="BB243" s="35"/>
      <c r="BC243" s="35">
        <f t="shared" si="123"/>
        <v>0</v>
      </c>
      <c r="BD243" s="35" t="str">
        <f t="shared" si="153"/>
        <v/>
      </c>
      <c r="BE243" s="45">
        <f t="shared" si="145"/>
        <v>0</v>
      </c>
      <c r="BF243" s="971"/>
      <c r="BG243" s="236"/>
      <c r="BH243" s="12"/>
      <c r="BI243" s="12"/>
      <c r="BJ243" s="12"/>
      <c r="BK243" s="12"/>
      <c r="BL243" s="12"/>
      <c r="BM243" s="980">
        <f t="shared" si="156"/>
        <v>1920</v>
      </c>
      <c r="BN243" s="367"/>
      <c r="BO243" s="981"/>
      <c r="BP243" s="12"/>
      <c r="BQ243" s="12"/>
      <c r="BR243" s="12"/>
      <c r="BS243" s="973"/>
      <c r="BT243" s="12"/>
      <c r="BU243" s="12"/>
      <c r="BV243" s="12"/>
      <c r="BW243" s="982" t="s">
        <v>392</v>
      </c>
      <c r="BX243" s="983">
        <f t="shared" si="154"/>
        <v>0</v>
      </c>
      <c r="BY243" s="12" t="e">
        <f>VLOOKUP(B243,#REF!,13,0)</f>
        <v>#REF!</v>
      </c>
      <c r="BZ243" s="1056">
        <v>229.9</v>
      </c>
      <c r="CA243" s="1181" t="e">
        <f>VLOOKUP(B243,Pedido!$B$16:$L$292,22,0)</f>
        <v>#N/A</v>
      </c>
    </row>
    <row r="244" spans="1:79" ht="27" customHeight="1" thickBot="1">
      <c r="A244" s="524"/>
      <c r="B244" s="95" t="s">
        <v>230</v>
      </c>
      <c r="C244" s="95" t="s">
        <v>231</v>
      </c>
      <c r="D244" s="374" t="s">
        <v>128</v>
      </c>
      <c r="E244" s="375" t="s">
        <v>80</v>
      </c>
      <c r="F244" s="376" t="s">
        <v>135</v>
      </c>
      <c r="G244" s="377">
        <v>1800</v>
      </c>
      <c r="H244" s="1153">
        <v>105.01</v>
      </c>
      <c r="I244" s="96">
        <v>429.9</v>
      </c>
      <c r="J244" s="97" t="str">
        <f t="shared" si="125"/>
        <v/>
      </c>
      <c r="K244" s="98" t="str">
        <f t="shared" si="160"/>
        <v/>
      </c>
      <c r="L244" s="238">
        <v>309.89999999999998</v>
      </c>
      <c r="M244" s="471">
        <f t="shared" si="126"/>
        <v>273.89999999999998</v>
      </c>
      <c r="N244" s="471">
        <f t="shared" si="127"/>
        <v>273.89999999999998</v>
      </c>
      <c r="O244" s="471">
        <f t="shared" si="128"/>
        <v>273.89999999999998</v>
      </c>
      <c r="P244" s="99">
        <v>273.89999999999998</v>
      </c>
      <c r="Q244" s="99">
        <v>252.9</v>
      </c>
      <c r="R244" s="99">
        <v>248.9</v>
      </c>
      <c r="S244" s="100">
        <v>239.9</v>
      </c>
      <c r="T244" s="101" t="str">
        <f t="shared" si="157"/>
        <v/>
      </c>
      <c r="U244" s="102" t="str">
        <f t="shared" si="158"/>
        <v/>
      </c>
      <c r="V244" s="695"/>
      <c r="W244" s="696"/>
      <c r="X244" s="171"/>
      <c r="Y244" s="103" t="str">
        <f t="shared" si="155"/>
        <v/>
      </c>
      <c r="Z244" s="225">
        <f t="shared" si="135"/>
        <v>0</v>
      </c>
      <c r="AA244" s="136">
        <f t="shared" si="159"/>
        <v>0</v>
      </c>
      <c r="AB244" s="136">
        <f t="shared" si="151"/>
        <v>0</v>
      </c>
      <c r="AC244" s="136">
        <f t="shared" si="152"/>
        <v>0</v>
      </c>
      <c r="AD244" s="136">
        <f t="shared" si="144"/>
        <v>0</v>
      </c>
      <c r="AE244" s="136">
        <f t="shared" si="136"/>
        <v>0</v>
      </c>
      <c r="AF244" s="136">
        <f t="shared" si="137"/>
        <v>0</v>
      </c>
      <c r="AG244" s="137">
        <f t="shared" si="138"/>
        <v>0</v>
      </c>
      <c r="AH244" s="136">
        <f t="shared" si="139"/>
        <v>0</v>
      </c>
      <c r="AI244" s="136">
        <f t="shared" si="140"/>
        <v>0</v>
      </c>
      <c r="AJ244" s="136">
        <f t="shared" si="146"/>
        <v>0</v>
      </c>
      <c r="AK244" s="136">
        <f t="shared" si="147"/>
        <v>0</v>
      </c>
      <c r="AL244" s="136">
        <f t="shared" si="148"/>
        <v>0</v>
      </c>
      <c r="AM244" s="136">
        <f t="shared" si="141"/>
        <v>0</v>
      </c>
      <c r="AN244" s="136">
        <f t="shared" si="149"/>
        <v>0</v>
      </c>
      <c r="AO244" s="136">
        <f t="shared" si="150"/>
        <v>0</v>
      </c>
      <c r="AP244" s="138">
        <f t="shared" si="142"/>
        <v>0.66114875766376247</v>
      </c>
      <c r="AQ244" s="139">
        <f t="shared" si="143"/>
        <v>140.01333333333335</v>
      </c>
      <c r="AR244" s="542">
        <v>3</v>
      </c>
      <c r="AS244" s="202">
        <f t="shared" si="129"/>
        <v>66.114875766376244</v>
      </c>
      <c r="AT244" s="197">
        <f t="shared" si="130"/>
        <v>0</v>
      </c>
      <c r="AU244" s="199">
        <f t="shared" si="131"/>
        <v>0</v>
      </c>
      <c r="AV244" s="110"/>
      <c r="AW244" s="276" t="e">
        <f>VLOOKUP(AX244,Sup!#REF!,8,0)</f>
        <v>#REF!</v>
      </c>
      <c r="AX244" s="1008" t="s">
        <v>199</v>
      </c>
      <c r="AY244" s="556">
        <v>0</v>
      </c>
      <c r="AZ244" s="35"/>
      <c r="BA244" s="35"/>
      <c r="BB244" s="35"/>
      <c r="BC244" s="35">
        <f t="shared" si="123"/>
        <v>0</v>
      </c>
      <c r="BD244" s="35" t="str">
        <f t="shared" si="153"/>
        <v/>
      </c>
      <c r="BE244" s="45">
        <f t="shared" si="145"/>
        <v>0</v>
      </c>
      <c r="BF244" s="971"/>
      <c r="BG244" s="236"/>
      <c r="BH244" s="12"/>
      <c r="BI244" s="12"/>
      <c r="BJ244" s="12"/>
      <c r="BK244" s="12"/>
      <c r="BL244" s="12"/>
      <c r="BM244" s="980">
        <f t="shared" si="156"/>
        <v>1944</v>
      </c>
      <c r="BN244" s="367"/>
      <c r="BO244" s="981"/>
      <c r="BP244" s="12"/>
      <c r="BQ244" s="12"/>
      <c r="BR244" s="12"/>
      <c r="BS244" s="973"/>
      <c r="BT244" s="12"/>
      <c r="BU244" s="12"/>
      <c r="BV244" s="12"/>
      <c r="BW244" s="982" t="s">
        <v>392</v>
      </c>
      <c r="BX244" s="983">
        <f t="shared" ref="BX244:BX279" si="161">IFERROR(W244*U244,0)</f>
        <v>0</v>
      </c>
      <c r="BY244" s="12" t="e">
        <f>VLOOKUP(B244,#REF!,13,0)</f>
        <v>#REF!</v>
      </c>
      <c r="BZ244" s="1054">
        <v>229.9</v>
      </c>
      <c r="CA244" s="1181" t="e">
        <f>VLOOKUP(B244,Pedido!$B$16:$L$292,22,0)</f>
        <v>#N/A</v>
      </c>
    </row>
    <row r="245" spans="1:79" ht="27" customHeight="1" thickBot="1">
      <c r="A245" s="524"/>
      <c r="B245" s="140" t="s">
        <v>260</v>
      </c>
      <c r="C245" s="140" t="s">
        <v>259</v>
      </c>
      <c r="D245" s="369" t="s">
        <v>226</v>
      </c>
      <c r="E245" s="370" t="s">
        <v>70</v>
      </c>
      <c r="F245" s="371" t="s">
        <v>123</v>
      </c>
      <c r="G245" s="373">
        <v>30</v>
      </c>
      <c r="H245" s="1153">
        <v>29.6</v>
      </c>
      <c r="I245" s="129">
        <v>169</v>
      </c>
      <c r="J245" s="130" t="str">
        <f t="shared" si="125"/>
        <v/>
      </c>
      <c r="K245" s="131" t="str">
        <f t="shared" si="160"/>
        <v/>
      </c>
      <c r="L245" s="241">
        <v>148.9</v>
      </c>
      <c r="M245" s="473">
        <f t="shared" si="126"/>
        <v>128.9</v>
      </c>
      <c r="N245" s="473">
        <f t="shared" si="127"/>
        <v>128.9</v>
      </c>
      <c r="O245" s="473">
        <f t="shared" si="128"/>
        <v>128.9</v>
      </c>
      <c r="P245" s="132">
        <v>128.9</v>
      </c>
      <c r="Q245" s="132">
        <v>118.9</v>
      </c>
      <c r="R245" s="132">
        <v>108.9</v>
      </c>
      <c r="S245" s="133">
        <v>98.8</v>
      </c>
      <c r="T245" s="120" t="str">
        <f t="shared" si="157"/>
        <v/>
      </c>
      <c r="U245" s="121" t="str">
        <f t="shared" si="158"/>
        <v/>
      </c>
      <c r="V245" s="575"/>
      <c r="W245" s="694"/>
      <c r="X245" s="170"/>
      <c r="Y245" s="122" t="str">
        <f t="shared" si="155"/>
        <v/>
      </c>
      <c r="Z245" s="230">
        <f t="shared" si="135"/>
        <v>0</v>
      </c>
      <c r="AA245" s="136">
        <f t="shared" si="159"/>
        <v>0</v>
      </c>
      <c r="AB245" s="136">
        <f t="shared" si="151"/>
        <v>0</v>
      </c>
      <c r="AC245" s="136">
        <f t="shared" si="152"/>
        <v>0</v>
      </c>
      <c r="AD245" s="136">
        <f t="shared" si="144"/>
        <v>0</v>
      </c>
      <c r="AE245" s="136">
        <f t="shared" si="136"/>
        <v>0</v>
      </c>
      <c r="AF245" s="136">
        <f t="shared" si="137"/>
        <v>0</v>
      </c>
      <c r="AG245" s="137">
        <f t="shared" si="138"/>
        <v>0</v>
      </c>
      <c r="AH245" s="136">
        <f t="shared" si="139"/>
        <v>0</v>
      </c>
      <c r="AI245" s="136">
        <f t="shared" si="140"/>
        <v>0</v>
      </c>
      <c r="AJ245" s="136">
        <f t="shared" si="146"/>
        <v>0</v>
      </c>
      <c r="AK245" s="136">
        <f t="shared" si="147"/>
        <v>0</v>
      </c>
      <c r="AL245" s="136">
        <f t="shared" si="148"/>
        <v>0</v>
      </c>
      <c r="AM245" s="136">
        <f t="shared" si="141"/>
        <v>0</v>
      </c>
      <c r="AN245" s="136">
        <f t="shared" si="149"/>
        <v>0</v>
      </c>
      <c r="AO245" s="136">
        <f t="shared" si="150"/>
        <v>0</v>
      </c>
      <c r="AP245" s="138">
        <f t="shared" si="142"/>
        <v>0.80120886501007393</v>
      </c>
      <c r="AQ245" s="139">
        <f t="shared" si="143"/>
        <v>39.466666666666669</v>
      </c>
      <c r="AR245" s="537">
        <v>8</v>
      </c>
      <c r="AS245" s="202">
        <f t="shared" si="129"/>
        <v>80.120886501007391</v>
      </c>
      <c r="AT245" s="197">
        <f t="shared" si="130"/>
        <v>0</v>
      </c>
      <c r="AU245" s="199">
        <f t="shared" si="131"/>
        <v>0</v>
      </c>
      <c r="AV245" s="110"/>
      <c r="AW245" s="138" t="e">
        <f>VLOOKUP(AX245,Sup!#REF!,8,0)</f>
        <v>#REF!</v>
      </c>
      <c r="AX245" s="1008" t="s">
        <v>199</v>
      </c>
      <c r="AY245" s="556">
        <v>0</v>
      </c>
      <c r="AZ245" s="35"/>
      <c r="BA245" s="35"/>
      <c r="BB245" s="35"/>
      <c r="BC245" s="35">
        <f t="shared" si="123"/>
        <v>0</v>
      </c>
      <c r="BD245" s="35" t="str">
        <f t="shared" si="153"/>
        <v/>
      </c>
      <c r="BE245" s="45">
        <f t="shared" si="145"/>
        <v>0</v>
      </c>
      <c r="BF245" s="971"/>
      <c r="BG245" s="236"/>
      <c r="BH245" s="12"/>
      <c r="BI245" s="12"/>
      <c r="BJ245" s="12"/>
      <c r="BK245" s="12"/>
      <c r="BL245" s="12"/>
      <c r="BM245" s="980">
        <f t="shared" si="156"/>
        <v>1968</v>
      </c>
      <c r="BN245" s="367"/>
      <c r="BO245" s="981"/>
      <c r="BP245" s="12"/>
      <c r="BQ245" s="12"/>
      <c r="BR245" s="12"/>
      <c r="BS245" s="973"/>
      <c r="BT245" s="12"/>
      <c r="BU245" s="12"/>
      <c r="BV245" s="12"/>
      <c r="BW245" s="982" t="s">
        <v>392</v>
      </c>
      <c r="BX245" s="983">
        <f t="shared" si="161"/>
        <v>0</v>
      </c>
      <c r="BY245" s="12" t="e">
        <f>VLOOKUP(B245,#REF!,13,0)</f>
        <v>#REF!</v>
      </c>
      <c r="BZ245" s="1056">
        <v>88.9</v>
      </c>
      <c r="CA245" s="1181" t="e">
        <f>VLOOKUP(B245,Pedido!$B$16:$L$292,22,0)</f>
        <v>#N/A</v>
      </c>
    </row>
    <row r="246" spans="1:79" ht="27" customHeight="1" thickBot="1">
      <c r="A246" s="524"/>
      <c r="B246" s="140" t="s">
        <v>261</v>
      </c>
      <c r="C246" s="140" t="s">
        <v>259</v>
      </c>
      <c r="D246" s="369" t="s">
        <v>226</v>
      </c>
      <c r="E246" s="370" t="s">
        <v>124</v>
      </c>
      <c r="F246" s="371" t="s">
        <v>123</v>
      </c>
      <c r="G246" s="373">
        <v>30</v>
      </c>
      <c r="H246" s="1153">
        <v>29.6</v>
      </c>
      <c r="I246" s="129">
        <v>169</v>
      </c>
      <c r="J246" s="130" t="str">
        <f t="shared" si="125"/>
        <v/>
      </c>
      <c r="K246" s="131" t="str">
        <f t="shared" si="160"/>
        <v/>
      </c>
      <c r="L246" s="241">
        <v>148.9</v>
      </c>
      <c r="M246" s="473">
        <f t="shared" si="126"/>
        <v>128.9</v>
      </c>
      <c r="N246" s="473">
        <f t="shared" si="127"/>
        <v>128.9</v>
      </c>
      <c r="O246" s="473">
        <f t="shared" si="128"/>
        <v>128.9</v>
      </c>
      <c r="P246" s="132">
        <v>128.9</v>
      </c>
      <c r="Q246" s="132">
        <v>118.9</v>
      </c>
      <c r="R246" s="132">
        <v>108.9</v>
      </c>
      <c r="S246" s="133">
        <v>98.8</v>
      </c>
      <c r="T246" s="134" t="str">
        <f t="shared" si="157"/>
        <v/>
      </c>
      <c r="U246" s="135" t="str">
        <f t="shared" si="158"/>
        <v/>
      </c>
      <c r="V246" s="575"/>
      <c r="W246" s="694"/>
      <c r="X246" s="170"/>
      <c r="Y246" s="122" t="str">
        <f t="shared" si="155"/>
        <v/>
      </c>
      <c r="Z246" s="224">
        <f t="shared" si="135"/>
        <v>0</v>
      </c>
      <c r="AA246" s="136">
        <f t="shared" si="159"/>
        <v>0</v>
      </c>
      <c r="AB246" s="136">
        <f t="shared" si="151"/>
        <v>0</v>
      </c>
      <c r="AC246" s="136">
        <f t="shared" si="152"/>
        <v>0</v>
      </c>
      <c r="AD246" s="136">
        <f t="shared" si="144"/>
        <v>0</v>
      </c>
      <c r="AE246" s="136">
        <f t="shared" si="136"/>
        <v>0</v>
      </c>
      <c r="AF246" s="136">
        <f t="shared" si="137"/>
        <v>0</v>
      </c>
      <c r="AG246" s="137">
        <f t="shared" si="138"/>
        <v>0</v>
      </c>
      <c r="AH246" s="136">
        <f t="shared" si="139"/>
        <v>0</v>
      </c>
      <c r="AI246" s="136">
        <f t="shared" si="140"/>
        <v>0</v>
      </c>
      <c r="AJ246" s="136">
        <f t="shared" si="146"/>
        <v>0</v>
      </c>
      <c r="AK246" s="136">
        <f t="shared" si="147"/>
        <v>0</v>
      </c>
      <c r="AL246" s="136">
        <f t="shared" si="148"/>
        <v>0</v>
      </c>
      <c r="AM246" s="136">
        <f t="shared" si="141"/>
        <v>0</v>
      </c>
      <c r="AN246" s="136">
        <f t="shared" si="149"/>
        <v>0</v>
      </c>
      <c r="AO246" s="136">
        <f t="shared" si="150"/>
        <v>0</v>
      </c>
      <c r="AP246" s="138">
        <f t="shared" si="142"/>
        <v>0.80120886501007393</v>
      </c>
      <c r="AQ246" s="139">
        <f t="shared" si="143"/>
        <v>39.466666666666669</v>
      </c>
      <c r="AR246" s="537">
        <v>8</v>
      </c>
      <c r="AS246" s="202">
        <f t="shared" si="129"/>
        <v>80.120886501007391</v>
      </c>
      <c r="AT246" s="197">
        <f t="shared" si="130"/>
        <v>0</v>
      </c>
      <c r="AU246" s="199">
        <f t="shared" si="131"/>
        <v>0</v>
      </c>
      <c r="AV246" s="110"/>
      <c r="AW246" s="138" t="e">
        <f>VLOOKUP(AX246,Sup!#REF!,8,0)</f>
        <v>#REF!</v>
      </c>
      <c r="AX246" s="1008" t="s">
        <v>199</v>
      </c>
      <c r="AY246" s="556">
        <v>0</v>
      </c>
      <c r="AZ246" s="35"/>
      <c r="BA246" s="35"/>
      <c r="BB246" s="35"/>
      <c r="BC246" s="35">
        <f t="shared" si="123"/>
        <v>0</v>
      </c>
      <c r="BD246" s="35" t="str">
        <f t="shared" si="153"/>
        <v/>
      </c>
      <c r="BE246" s="45">
        <f t="shared" si="145"/>
        <v>0</v>
      </c>
      <c r="BF246" s="971"/>
      <c r="BG246" s="236"/>
      <c r="BH246" s="12"/>
      <c r="BI246" s="12"/>
      <c r="BJ246" s="12"/>
      <c r="BK246" s="12"/>
      <c r="BL246" s="12"/>
      <c r="BM246" s="980">
        <f t="shared" si="156"/>
        <v>1992</v>
      </c>
      <c r="BN246" s="367"/>
      <c r="BO246" s="981"/>
      <c r="BP246" s="12"/>
      <c r="BQ246" s="12"/>
      <c r="BR246" s="12"/>
      <c r="BS246" s="973"/>
      <c r="BT246" s="12"/>
      <c r="BU246" s="12"/>
      <c r="BV246" s="12"/>
      <c r="BW246" s="982" t="s">
        <v>392</v>
      </c>
      <c r="BX246" s="983">
        <f t="shared" si="161"/>
        <v>0</v>
      </c>
      <c r="BY246" s="12" t="e">
        <f>VLOOKUP(B246,#REF!,13,0)</f>
        <v>#REF!</v>
      </c>
      <c r="BZ246" s="1056">
        <v>88.9</v>
      </c>
      <c r="CA246" s="1181" t="e">
        <f>VLOOKUP(B246,Pedido!$B$16:$L$292,22,0)</f>
        <v>#N/A</v>
      </c>
    </row>
    <row r="247" spans="1:79" ht="27" customHeight="1" thickBot="1">
      <c r="A247" s="524"/>
      <c r="B247" s="140" t="s">
        <v>262</v>
      </c>
      <c r="C247" s="140" t="s">
        <v>259</v>
      </c>
      <c r="D247" s="369" t="s">
        <v>226</v>
      </c>
      <c r="E247" s="370" t="s">
        <v>125</v>
      </c>
      <c r="F247" s="371" t="s">
        <v>123</v>
      </c>
      <c r="G247" s="373">
        <v>30</v>
      </c>
      <c r="H247" s="1153">
        <v>29.6</v>
      </c>
      <c r="I247" s="129">
        <v>169</v>
      </c>
      <c r="J247" s="130" t="str">
        <f t="shared" si="125"/>
        <v/>
      </c>
      <c r="K247" s="131" t="str">
        <f t="shared" si="160"/>
        <v/>
      </c>
      <c r="L247" s="241">
        <v>148.9</v>
      </c>
      <c r="M247" s="473">
        <f t="shared" si="126"/>
        <v>128.9</v>
      </c>
      <c r="N247" s="473">
        <f t="shared" si="127"/>
        <v>128.9</v>
      </c>
      <c r="O247" s="473">
        <f t="shared" si="128"/>
        <v>128.9</v>
      </c>
      <c r="P247" s="132">
        <v>128.9</v>
      </c>
      <c r="Q247" s="132">
        <v>118.9</v>
      </c>
      <c r="R247" s="132">
        <v>108.9</v>
      </c>
      <c r="S247" s="133">
        <v>98.8</v>
      </c>
      <c r="T247" s="134" t="str">
        <f t="shared" si="157"/>
        <v/>
      </c>
      <c r="U247" s="135" t="str">
        <f t="shared" si="158"/>
        <v/>
      </c>
      <c r="V247" s="575"/>
      <c r="W247" s="694"/>
      <c r="X247" s="170"/>
      <c r="Y247" s="122" t="str">
        <f t="shared" si="155"/>
        <v/>
      </c>
      <c r="Z247" s="224">
        <f t="shared" si="135"/>
        <v>0</v>
      </c>
      <c r="AA247" s="136">
        <f t="shared" si="159"/>
        <v>0</v>
      </c>
      <c r="AB247" s="136">
        <f t="shared" si="151"/>
        <v>0</v>
      </c>
      <c r="AC247" s="136">
        <f t="shared" si="152"/>
        <v>0</v>
      </c>
      <c r="AD247" s="136">
        <f t="shared" si="144"/>
        <v>0</v>
      </c>
      <c r="AE247" s="136">
        <f t="shared" si="136"/>
        <v>0</v>
      </c>
      <c r="AF247" s="136">
        <f t="shared" si="137"/>
        <v>0</v>
      </c>
      <c r="AG247" s="137">
        <f t="shared" si="138"/>
        <v>0</v>
      </c>
      <c r="AH247" s="136">
        <f t="shared" si="139"/>
        <v>0</v>
      </c>
      <c r="AI247" s="136">
        <f t="shared" si="140"/>
        <v>0</v>
      </c>
      <c r="AJ247" s="136">
        <f t="shared" si="146"/>
        <v>0</v>
      </c>
      <c r="AK247" s="136">
        <f t="shared" si="147"/>
        <v>0</v>
      </c>
      <c r="AL247" s="136">
        <f t="shared" si="148"/>
        <v>0</v>
      </c>
      <c r="AM247" s="136">
        <f t="shared" si="141"/>
        <v>0</v>
      </c>
      <c r="AN247" s="136">
        <f t="shared" si="149"/>
        <v>0</v>
      </c>
      <c r="AO247" s="136">
        <f t="shared" si="150"/>
        <v>0</v>
      </c>
      <c r="AP247" s="138">
        <f t="shared" si="142"/>
        <v>0.80120886501007393</v>
      </c>
      <c r="AQ247" s="139">
        <f t="shared" si="143"/>
        <v>39.466666666666669</v>
      </c>
      <c r="AR247" s="537">
        <v>8</v>
      </c>
      <c r="AS247" s="202">
        <f t="shared" si="129"/>
        <v>80.120886501007391</v>
      </c>
      <c r="AT247" s="197">
        <f t="shared" si="130"/>
        <v>0</v>
      </c>
      <c r="AU247" s="199">
        <f t="shared" si="131"/>
        <v>0</v>
      </c>
      <c r="AV247" s="110"/>
      <c r="AW247" s="138" t="e">
        <f>VLOOKUP(AX247,Sup!#REF!,8,0)</f>
        <v>#REF!</v>
      </c>
      <c r="AX247" s="1008" t="s">
        <v>199</v>
      </c>
      <c r="AY247" s="556">
        <v>0</v>
      </c>
      <c r="AZ247" s="35"/>
      <c r="BA247" s="35"/>
      <c r="BB247" s="35"/>
      <c r="BC247" s="35">
        <f t="shared" si="123"/>
        <v>0</v>
      </c>
      <c r="BD247" s="35" t="str">
        <f t="shared" si="153"/>
        <v/>
      </c>
      <c r="BE247" s="45">
        <f t="shared" si="145"/>
        <v>0</v>
      </c>
      <c r="BF247" s="971"/>
      <c r="BG247" s="236"/>
      <c r="BH247" s="12"/>
      <c r="BI247" s="12"/>
      <c r="BJ247" s="12"/>
      <c r="BK247" s="12"/>
      <c r="BL247" s="12"/>
      <c r="BM247" s="980">
        <f t="shared" si="156"/>
        <v>2016</v>
      </c>
      <c r="BN247" s="367"/>
      <c r="BO247" s="981"/>
      <c r="BP247" s="12"/>
      <c r="BQ247" s="12"/>
      <c r="BR247" s="12"/>
      <c r="BS247" s="973"/>
      <c r="BT247" s="12"/>
      <c r="BU247" s="12"/>
      <c r="BV247" s="12"/>
      <c r="BW247" s="982" t="s">
        <v>392</v>
      </c>
      <c r="BX247" s="983">
        <f t="shared" si="161"/>
        <v>0</v>
      </c>
      <c r="BY247" s="12" t="e">
        <f>VLOOKUP(B247,#REF!,13,0)</f>
        <v>#REF!</v>
      </c>
      <c r="BZ247" s="1056">
        <v>88.9</v>
      </c>
      <c r="CA247" s="1181" t="e">
        <f>VLOOKUP(B247,Pedido!$B$16:$L$292,22,0)</f>
        <v>#N/A</v>
      </c>
    </row>
    <row r="248" spans="1:79" ht="27" customHeight="1" thickBot="1">
      <c r="A248" s="524"/>
      <c r="B248" s="140" t="s">
        <v>514</v>
      </c>
      <c r="C248" s="140" t="s">
        <v>259</v>
      </c>
      <c r="D248" s="369" t="s">
        <v>226</v>
      </c>
      <c r="E248" s="370" t="s">
        <v>274</v>
      </c>
      <c r="F248" s="371" t="s">
        <v>123</v>
      </c>
      <c r="G248" s="373">
        <v>30</v>
      </c>
      <c r="H248" s="1153">
        <v>29.6</v>
      </c>
      <c r="I248" s="129">
        <v>169</v>
      </c>
      <c r="J248" s="130" t="str">
        <f t="shared" si="125"/>
        <v/>
      </c>
      <c r="K248" s="131" t="str">
        <f t="shared" si="160"/>
        <v/>
      </c>
      <c r="L248" s="241">
        <v>148.9</v>
      </c>
      <c r="M248" s="473">
        <f t="shared" si="126"/>
        <v>128.9</v>
      </c>
      <c r="N248" s="473">
        <f t="shared" si="127"/>
        <v>128.9</v>
      </c>
      <c r="O248" s="473">
        <f t="shared" si="128"/>
        <v>128.9</v>
      </c>
      <c r="P248" s="132">
        <v>128.9</v>
      </c>
      <c r="Q248" s="132">
        <v>118.9</v>
      </c>
      <c r="R248" s="132">
        <v>108.9</v>
      </c>
      <c r="S248" s="133">
        <v>98.8</v>
      </c>
      <c r="T248" s="134" t="str">
        <f t="shared" si="157"/>
        <v/>
      </c>
      <c r="U248" s="135" t="str">
        <f t="shared" si="158"/>
        <v/>
      </c>
      <c r="V248" s="575"/>
      <c r="W248" s="694"/>
      <c r="X248" s="170"/>
      <c r="Y248" s="122" t="str">
        <f t="shared" si="155"/>
        <v/>
      </c>
      <c r="Z248" s="224">
        <f t="shared" si="135"/>
        <v>0</v>
      </c>
      <c r="AA248" s="136">
        <f t="shared" si="159"/>
        <v>0</v>
      </c>
      <c r="AB248" s="136">
        <f t="shared" si="151"/>
        <v>0</v>
      </c>
      <c r="AC248" s="136">
        <f t="shared" si="152"/>
        <v>0</v>
      </c>
      <c r="AD248" s="136">
        <f t="shared" si="144"/>
        <v>0</v>
      </c>
      <c r="AE248" s="136">
        <f t="shared" si="136"/>
        <v>0</v>
      </c>
      <c r="AF248" s="136">
        <f t="shared" si="137"/>
        <v>0</v>
      </c>
      <c r="AG248" s="137">
        <f t="shared" si="138"/>
        <v>0</v>
      </c>
      <c r="AH248" s="136">
        <f t="shared" si="139"/>
        <v>0</v>
      </c>
      <c r="AI248" s="136">
        <f t="shared" si="140"/>
        <v>0</v>
      </c>
      <c r="AJ248" s="136">
        <f t="shared" si="146"/>
        <v>0</v>
      </c>
      <c r="AK248" s="136">
        <f t="shared" si="147"/>
        <v>0</v>
      </c>
      <c r="AL248" s="136">
        <f t="shared" si="148"/>
        <v>0</v>
      </c>
      <c r="AM248" s="136">
        <f t="shared" si="141"/>
        <v>0</v>
      </c>
      <c r="AN248" s="136">
        <f t="shared" si="149"/>
        <v>0</v>
      </c>
      <c r="AO248" s="136">
        <f t="shared" si="150"/>
        <v>0</v>
      </c>
      <c r="AP248" s="138">
        <f t="shared" si="142"/>
        <v>0.80120886501007393</v>
      </c>
      <c r="AQ248" s="139">
        <f t="shared" si="143"/>
        <v>39.466666666666669</v>
      </c>
      <c r="AR248" s="537">
        <v>8</v>
      </c>
      <c r="AS248" s="202">
        <f t="shared" si="129"/>
        <v>80.120886501007391</v>
      </c>
      <c r="AT248" s="197">
        <f t="shared" si="130"/>
        <v>0</v>
      </c>
      <c r="AU248" s="199">
        <f t="shared" si="131"/>
        <v>0</v>
      </c>
      <c r="AV248" s="110"/>
      <c r="AW248" s="138" t="e">
        <f>VLOOKUP(AX248,Sup!#REF!,8,0)</f>
        <v>#REF!</v>
      </c>
      <c r="AX248" s="1008" t="s">
        <v>199</v>
      </c>
      <c r="AY248" s="556">
        <v>0</v>
      </c>
      <c r="AZ248" s="35"/>
      <c r="BA248" s="35"/>
      <c r="BB248" s="35"/>
      <c r="BC248" s="35">
        <f t="shared" si="123"/>
        <v>0</v>
      </c>
      <c r="BD248" s="35" t="str">
        <f t="shared" si="153"/>
        <v/>
      </c>
      <c r="BE248" s="45">
        <f t="shared" si="145"/>
        <v>0</v>
      </c>
      <c r="BF248" s="971"/>
      <c r="BG248" s="236"/>
      <c r="BH248" s="12"/>
      <c r="BI248" s="12"/>
      <c r="BJ248" s="12"/>
      <c r="BK248" s="12"/>
      <c r="BL248" s="12"/>
      <c r="BM248" s="980">
        <f t="shared" si="156"/>
        <v>2040</v>
      </c>
      <c r="BN248" s="367"/>
      <c r="BO248" s="981"/>
      <c r="BP248" s="12"/>
      <c r="BQ248" s="12"/>
      <c r="BR248" s="12"/>
      <c r="BS248" s="973"/>
      <c r="BT248" s="12"/>
      <c r="BU248" s="12"/>
      <c r="BV248" s="12"/>
      <c r="BW248" s="982" t="s">
        <v>392</v>
      </c>
      <c r="BX248" s="983">
        <f t="shared" si="161"/>
        <v>0</v>
      </c>
      <c r="BY248" s="12" t="e">
        <f>VLOOKUP(B248,#REF!,13,0)</f>
        <v>#REF!</v>
      </c>
      <c r="BZ248" s="1056">
        <v>88.9</v>
      </c>
      <c r="CA248" s="1181" t="e">
        <f>VLOOKUP(B248,Pedido!$B$16:$L$292,22,0)</f>
        <v>#N/A</v>
      </c>
    </row>
    <row r="249" spans="1:79" ht="27" customHeight="1" thickBot="1">
      <c r="A249" s="524"/>
      <c r="B249" s="140" t="s">
        <v>264</v>
      </c>
      <c r="C249" s="140" t="s">
        <v>259</v>
      </c>
      <c r="D249" s="369" t="s">
        <v>226</v>
      </c>
      <c r="E249" s="370" t="s">
        <v>118</v>
      </c>
      <c r="F249" s="371" t="s">
        <v>123</v>
      </c>
      <c r="G249" s="373">
        <v>30</v>
      </c>
      <c r="H249" s="1153">
        <v>29.6</v>
      </c>
      <c r="I249" s="129">
        <v>169</v>
      </c>
      <c r="J249" s="130" t="str">
        <f t="shared" si="125"/>
        <v/>
      </c>
      <c r="K249" s="131" t="str">
        <f t="shared" si="160"/>
        <v/>
      </c>
      <c r="L249" s="241">
        <v>148.9</v>
      </c>
      <c r="M249" s="473">
        <f t="shared" si="126"/>
        <v>128.9</v>
      </c>
      <c r="N249" s="473">
        <f t="shared" si="127"/>
        <v>128.9</v>
      </c>
      <c r="O249" s="473">
        <f t="shared" si="128"/>
        <v>128.9</v>
      </c>
      <c r="P249" s="132">
        <v>128.9</v>
      </c>
      <c r="Q249" s="132">
        <v>118.9</v>
      </c>
      <c r="R249" s="132">
        <v>108.9</v>
      </c>
      <c r="S249" s="133">
        <v>98.8</v>
      </c>
      <c r="T249" s="134" t="str">
        <f t="shared" si="157"/>
        <v/>
      </c>
      <c r="U249" s="135" t="str">
        <f t="shared" si="158"/>
        <v/>
      </c>
      <c r="V249" s="575"/>
      <c r="W249" s="694"/>
      <c r="X249" s="170"/>
      <c r="Y249" s="122" t="str">
        <f t="shared" si="155"/>
        <v/>
      </c>
      <c r="Z249" s="224">
        <f t="shared" si="135"/>
        <v>0</v>
      </c>
      <c r="AA249" s="136">
        <f t="shared" si="159"/>
        <v>0</v>
      </c>
      <c r="AB249" s="136">
        <f t="shared" si="151"/>
        <v>0</v>
      </c>
      <c r="AC249" s="136">
        <f t="shared" si="152"/>
        <v>0</v>
      </c>
      <c r="AD249" s="136">
        <f t="shared" si="144"/>
        <v>0</v>
      </c>
      <c r="AE249" s="136">
        <f t="shared" si="136"/>
        <v>0</v>
      </c>
      <c r="AF249" s="136">
        <f t="shared" si="137"/>
        <v>0</v>
      </c>
      <c r="AG249" s="137">
        <f t="shared" si="138"/>
        <v>0</v>
      </c>
      <c r="AH249" s="136">
        <f t="shared" si="139"/>
        <v>0</v>
      </c>
      <c r="AI249" s="136">
        <f t="shared" si="140"/>
        <v>0</v>
      </c>
      <c r="AJ249" s="136">
        <f t="shared" si="146"/>
        <v>0</v>
      </c>
      <c r="AK249" s="136">
        <f t="shared" si="147"/>
        <v>0</v>
      </c>
      <c r="AL249" s="136">
        <f t="shared" si="148"/>
        <v>0</v>
      </c>
      <c r="AM249" s="136">
        <f t="shared" si="141"/>
        <v>0</v>
      </c>
      <c r="AN249" s="136">
        <f t="shared" si="149"/>
        <v>0</v>
      </c>
      <c r="AO249" s="136">
        <f t="shared" si="150"/>
        <v>0</v>
      </c>
      <c r="AP249" s="138">
        <f t="shared" si="142"/>
        <v>0.80120886501007393</v>
      </c>
      <c r="AQ249" s="139">
        <f t="shared" si="143"/>
        <v>39.466666666666669</v>
      </c>
      <c r="AR249" s="537">
        <v>8</v>
      </c>
      <c r="AS249" s="202">
        <f t="shared" si="129"/>
        <v>80.120886501007391</v>
      </c>
      <c r="AT249" s="197">
        <f t="shared" si="130"/>
        <v>0</v>
      </c>
      <c r="AU249" s="199">
        <f t="shared" si="131"/>
        <v>0</v>
      </c>
      <c r="AV249" s="110"/>
      <c r="AW249" s="138" t="e">
        <f>VLOOKUP(AX249,Sup!#REF!,8,0)</f>
        <v>#REF!</v>
      </c>
      <c r="AX249" s="1008" t="s">
        <v>199</v>
      </c>
      <c r="AY249" s="556">
        <v>0</v>
      </c>
      <c r="AZ249" s="35"/>
      <c r="BA249" s="35"/>
      <c r="BB249" s="35"/>
      <c r="BC249" s="35">
        <f t="shared" si="123"/>
        <v>0</v>
      </c>
      <c r="BD249" s="35" t="str">
        <f t="shared" si="153"/>
        <v/>
      </c>
      <c r="BE249" s="45">
        <f t="shared" si="145"/>
        <v>0</v>
      </c>
      <c r="BF249" s="971"/>
      <c r="BG249" s="236"/>
      <c r="BH249" s="12"/>
      <c r="BI249" s="12"/>
      <c r="BJ249" s="12"/>
      <c r="BK249" s="12"/>
      <c r="BL249" s="12"/>
      <c r="BM249" s="980">
        <f t="shared" si="156"/>
        <v>2064</v>
      </c>
      <c r="BN249" s="367"/>
      <c r="BO249" s="981"/>
      <c r="BP249" s="12"/>
      <c r="BQ249" s="12"/>
      <c r="BR249" s="12"/>
      <c r="BS249" s="973"/>
      <c r="BT249" s="12"/>
      <c r="BU249" s="12"/>
      <c r="BV249" s="12"/>
      <c r="BW249" s="982" t="s">
        <v>392</v>
      </c>
      <c r="BX249" s="983">
        <f t="shared" si="161"/>
        <v>0</v>
      </c>
      <c r="BY249" s="12" t="e">
        <f>VLOOKUP(B249,#REF!,13,0)</f>
        <v>#REF!</v>
      </c>
      <c r="BZ249" s="1056">
        <v>88.9</v>
      </c>
      <c r="CA249" s="1181" t="e">
        <f>VLOOKUP(B249,Pedido!$B$16:$L$292,22,0)</f>
        <v>#N/A</v>
      </c>
    </row>
    <row r="250" spans="1:79" ht="27" customHeight="1" thickBot="1">
      <c r="A250" s="524"/>
      <c r="B250" s="140" t="s">
        <v>263</v>
      </c>
      <c r="C250" s="140" t="s">
        <v>259</v>
      </c>
      <c r="D250" s="369" t="s">
        <v>226</v>
      </c>
      <c r="E250" s="370" t="s">
        <v>126</v>
      </c>
      <c r="F250" s="371" t="s">
        <v>123</v>
      </c>
      <c r="G250" s="373">
        <v>30</v>
      </c>
      <c r="H250" s="1153">
        <v>29.6</v>
      </c>
      <c r="I250" s="129">
        <v>169</v>
      </c>
      <c r="J250" s="130" t="str">
        <f t="shared" si="125"/>
        <v/>
      </c>
      <c r="K250" s="131" t="str">
        <f t="shared" si="160"/>
        <v/>
      </c>
      <c r="L250" s="241">
        <v>148.9</v>
      </c>
      <c r="M250" s="473">
        <f t="shared" si="126"/>
        <v>128.9</v>
      </c>
      <c r="N250" s="473">
        <f t="shared" si="127"/>
        <v>128.9</v>
      </c>
      <c r="O250" s="473">
        <f t="shared" si="128"/>
        <v>128.9</v>
      </c>
      <c r="P250" s="132">
        <v>128.9</v>
      </c>
      <c r="Q250" s="132">
        <v>118.9</v>
      </c>
      <c r="R250" s="132">
        <v>108.9</v>
      </c>
      <c r="S250" s="133">
        <v>98.8</v>
      </c>
      <c r="T250" s="134" t="str">
        <f t="shared" si="157"/>
        <v/>
      </c>
      <c r="U250" s="135" t="str">
        <f t="shared" si="158"/>
        <v/>
      </c>
      <c r="V250" s="575"/>
      <c r="W250" s="694"/>
      <c r="X250" s="170"/>
      <c r="Y250" s="122" t="str">
        <f t="shared" si="155"/>
        <v/>
      </c>
      <c r="Z250" s="224">
        <f t="shared" si="135"/>
        <v>0</v>
      </c>
      <c r="AA250" s="136">
        <f t="shared" si="159"/>
        <v>0</v>
      </c>
      <c r="AB250" s="136">
        <f t="shared" si="151"/>
        <v>0</v>
      </c>
      <c r="AC250" s="136">
        <f t="shared" si="152"/>
        <v>0</v>
      </c>
      <c r="AD250" s="136">
        <f t="shared" si="144"/>
        <v>0</v>
      </c>
      <c r="AE250" s="136">
        <f t="shared" si="136"/>
        <v>0</v>
      </c>
      <c r="AF250" s="136">
        <f t="shared" si="137"/>
        <v>0</v>
      </c>
      <c r="AG250" s="137">
        <f t="shared" si="138"/>
        <v>0</v>
      </c>
      <c r="AH250" s="136">
        <f t="shared" si="139"/>
        <v>0</v>
      </c>
      <c r="AI250" s="136">
        <f t="shared" si="140"/>
        <v>0</v>
      </c>
      <c r="AJ250" s="136">
        <f t="shared" si="146"/>
        <v>0</v>
      </c>
      <c r="AK250" s="136">
        <f t="shared" si="147"/>
        <v>0</v>
      </c>
      <c r="AL250" s="136">
        <f t="shared" si="148"/>
        <v>0</v>
      </c>
      <c r="AM250" s="136">
        <f t="shared" si="141"/>
        <v>0</v>
      </c>
      <c r="AN250" s="136">
        <f t="shared" si="149"/>
        <v>0</v>
      </c>
      <c r="AO250" s="136">
        <f t="shared" si="150"/>
        <v>0</v>
      </c>
      <c r="AP250" s="138">
        <f t="shared" si="142"/>
        <v>0.80120886501007393</v>
      </c>
      <c r="AQ250" s="139">
        <f t="shared" si="143"/>
        <v>39.466666666666669</v>
      </c>
      <c r="AR250" s="537">
        <v>8</v>
      </c>
      <c r="AS250" s="202">
        <f t="shared" si="129"/>
        <v>80.120886501007391</v>
      </c>
      <c r="AT250" s="197">
        <f t="shared" si="130"/>
        <v>0</v>
      </c>
      <c r="AU250" s="199">
        <f t="shared" si="131"/>
        <v>0</v>
      </c>
      <c r="AV250" s="110"/>
      <c r="AW250" s="138" t="e">
        <f>VLOOKUP(AX250,Sup!#REF!,8,0)</f>
        <v>#REF!</v>
      </c>
      <c r="AX250" s="1008" t="s">
        <v>199</v>
      </c>
      <c r="AY250" s="556">
        <v>0</v>
      </c>
      <c r="AZ250" s="35"/>
      <c r="BA250" s="35"/>
      <c r="BB250" s="35"/>
      <c r="BC250" s="35">
        <f t="shared" ref="BC250:BC279" si="162">IF(BE250&lt;0,BE250,0)</f>
        <v>0</v>
      </c>
      <c r="BD250" s="35" t="str">
        <f t="shared" si="153"/>
        <v/>
      </c>
      <c r="BE250" s="45">
        <f t="shared" si="145"/>
        <v>0</v>
      </c>
      <c r="BF250" s="971"/>
      <c r="BG250" s="236"/>
      <c r="BH250" s="12"/>
      <c r="BI250" s="12"/>
      <c r="BJ250" s="12"/>
      <c r="BK250" s="12"/>
      <c r="BL250" s="12"/>
      <c r="BM250" s="980">
        <f t="shared" si="156"/>
        <v>2088</v>
      </c>
      <c r="BN250" s="367"/>
      <c r="BO250" s="981"/>
      <c r="BP250" s="12"/>
      <c r="BQ250" s="12"/>
      <c r="BR250" s="12"/>
      <c r="BS250" s="973"/>
      <c r="BT250" s="12"/>
      <c r="BU250" s="12"/>
      <c r="BV250" s="12"/>
      <c r="BW250" s="982" t="s">
        <v>392</v>
      </c>
      <c r="BX250" s="983">
        <f t="shared" si="161"/>
        <v>0</v>
      </c>
      <c r="BY250" s="12" t="e">
        <f>VLOOKUP(B250,#REF!,13,0)</f>
        <v>#REF!</v>
      </c>
      <c r="BZ250" s="1056">
        <v>88.9</v>
      </c>
      <c r="CA250" s="1181" t="e">
        <f>VLOOKUP(B250,Pedido!$B$16:$L$292,22,0)</f>
        <v>#N/A</v>
      </c>
    </row>
    <row r="251" spans="1:79" ht="27" customHeight="1" thickBot="1">
      <c r="A251" s="524"/>
      <c r="B251" s="140" t="s">
        <v>515</v>
      </c>
      <c r="C251" s="140" t="s">
        <v>259</v>
      </c>
      <c r="D251" s="369" t="s">
        <v>226</v>
      </c>
      <c r="E251" s="370" t="s">
        <v>271</v>
      </c>
      <c r="F251" s="371" t="s">
        <v>123</v>
      </c>
      <c r="G251" s="373">
        <v>30</v>
      </c>
      <c r="H251" s="1153">
        <v>29.6</v>
      </c>
      <c r="I251" s="129">
        <v>169</v>
      </c>
      <c r="J251" s="130" t="str">
        <f t="shared" si="125"/>
        <v/>
      </c>
      <c r="K251" s="131" t="str">
        <f t="shared" si="160"/>
        <v/>
      </c>
      <c r="L251" s="241">
        <v>148.9</v>
      </c>
      <c r="M251" s="473">
        <f t="shared" ref="M251:M275" si="163">P251</f>
        <v>128.9</v>
      </c>
      <c r="N251" s="473">
        <f t="shared" ref="N251:N275" si="164">P251</f>
        <v>128.9</v>
      </c>
      <c r="O251" s="473">
        <f t="shared" ref="O251:O275" si="165">P251</f>
        <v>128.9</v>
      </c>
      <c r="P251" s="132">
        <v>128.9</v>
      </c>
      <c r="Q251" s="132">
        <v>118.9</v>
      </c>
      <c r="R251" s="132">
        <v>108.9</v>
      </c>
      <c r="S251" s="133">
        <v>98.8</v>
      </c>
      <c r="T251" s="134" t="str">
        <f t="shared" si="157"/>
        <v/>
      </c>
      <c r="U251" s="135" t="str">
        <f t="shared" si="158"/>
        <v/>
      </c>
      <c r="V251" s="575"/>
      <c r="W251" s="694"/>
      <c r="X251" s="170"/>
      <c r="Y251" s="122" t="str">
        <f t="shared" si="155"/>
        <v/>
      </c>
      <c r="Z251" s="224">
        <f t="shared" si="135"/>
        <v>0</v>
      </c>
      <c r="AA251" s="136">
        <f t="shared" si="159"/>
        <v>0</v>
      </c>
      <c r="AB251" s="136">
        <f t="shared" si="151"/>
        <v>0</v>
      </c>
      <c r="AC251" s="136">
        <f t="shared" si="152"/>
        <v>0</v>
      </c>
      <c r="AD251" s="136">
        <f t="shared" si="144"/>
        <v>0</v>
      </c>
      <c r="AE251" s="136">
        <f t="shared" si="136"/>
        <v>0</v>
      </c>
      <c r="AF251" s="136">
        <f t="shared" si="137"/>
        <v>0</v>
      </c>
      <c r="AG251" s="137">
        <f t="shared" si="138"/>
        <v>0</v>
      </c>
      <c r="AH251" s="136">
        <f t="shared" si="139"/>
        <v>0</v>
      </c>
      <c r="AI251" s="136">
        <f t="shared" si="140"/>
        <v>0</v>
      </c>
      <c r="AJ251" s="136">
        <f t="shared" si="146"/>
        <v>0</v>
      </c>
      <c r="AK251" s="136">
        <f t="shared" si="147"/>
        <v>0</v>
      </c>
      <c r="AL251" s="136">
        <f t="shared" si="148"/>
        <v>0</v>
      </c>
      <c r="AM251" s="136">
        <f t="shared" si="141"/>
        <v>0</v>
      </c>
      <c r="AN251" s="136">
        <f t="shared" si="149"/>
        <v>0</v>
      </c>
      <c r="AO251" s="136">
        <f t="shared" si="150"/>
        <v>0</v>
      </c>
      <c r="AP251" s="138">
        <f t="shared" si="142"/>
        <v>0.80120886501007393</v>
      </c>
      <c r="AQ251" s="139">
        <f t="shared" si="143"/>
        <v>39.466666666666669</v>
      </c>
      <c r="AR251" s="537">
        <v>8</v>
      </c>
      <c r="AS251" s="202">
        <f t="shared" si="129"/>
        <v>80.120886501007391</v>
      </c>
      <c r="AT251" s="197">
        <f t="shared" si="130"/>
        <v>0</v>
      </c>
      <c r="AU251" s="199">
        <f t="shared" si="131"/>
        <v>0</v>
      </c>
      <c r="AV251" s="110"/>
      <c r="AW251" s="138" t="e">
        <f>VLOOKUP(AX251,Sup!#REF!,8,0)</f>
        <v>#REF!</v>
      </c>
      <c r="AX251" s="1008" t="s">
        <v>199</v>
      </c>
      <c r="AY251" s="556">
        <v>0</v>
      </c>
      <c r="AZ251" s="35"/>
      <c r="BA251" s="35"/>
      <c r="BB251" s="35"/>
      <c r="BC251" s="35">
        <f t="shared" si="162"/>
        <v>0</v>
      </c>
      <c r="BD251" s="35" t="str">
        <f t="shared" si="153"/>
        <v/>
      </c>
      <c r="BE251" s="45">
        <f t="shared" si="145"/>
        <v>0</v>
      </c>
      <c r="BF251" s="971"/>
      <c r="BG251" s="236"/>
      <c r="BH251" s="12"/>
      <c r="BI251" s="12"/>
      <c r="BJ251" s="12"/>
      <c r="BK251" s="12"/>
      <c r="BL251" s="12"/>
      <c r="BM251" s="980">
        <f t="shared" si="156"/>
        <v>2112</v>
      </c>
      <c r="BN251" s="367"/>
      <c r="BO251" s="981"/>
      <c r="BP251" s="12"/>
      <c r="BQ251" s="12"/>
      <c r="BR251" s="12"/>
      <c r="BS251" s="973"/>
      <c r="BT251" s="12"/>
      <c r="BU251" s="12"/>
      <c r="BV251" s="12"/>
      <c r="BW251" s="982" t="s">
        <v>392</v>
      </c>
      <c r="BX251" s="983">
        <f t="shared" si="161"/>
        <v>0</v>
      </c>
      <c r="BY251" s="12" t="e">
        <f>VLOOKUP(B251,#REF!,13,0)</f>
        <v>#REF!</v>
      </c>
      <c r="BZ251" s="1056">
        <v>88.9</v>
      </c>
      <c r="CA251" s="1181" t="e">
        <f>VLOOKUP(B251,Pedido!$B$16:$L$292,22,0)</f>
        <v>#N/A</v>
      </c>
    </row>
    <row r="252" spans="1:79" ht="27" customHeight="1" thickBot="1">
      <c r="A252" s="524"/>
      <c r="B252" s="95" t="s">
        <v>373</v>
      </c>
      <c r="C252" s="95" t="s">
        <v>259</v>
      </c>
      <c r="D252" s="374" t="s">
        <v>226</v>
      </c>
      <c r="E252" s="375" t="s">
        <v>80</v>
      </c>
      <c r="F252" s="376" t="s">
        <v>123</v>
      </c>
      <c r="G252" s="377" t="s">
        <v>372</v>
      </c>
      <c r="H252" s="1153">
        <v>29.6</v>
      </c>
      <c r="I252" s="96">
        <v>169</v>
      </c>
      <c r="J252" s="97" t="str">
        <f t="shared" si="125"/>
        <v/>
      </c>
      <c r="K252" s="98" t="str">
        <f t="shared" si="160"/>
        <v/>
      </c>
      <c r="L252" s="238">
        <v>148.9</v>
      </c>
      <c r="M252" s="471">
        <f t="shared" si="163"/>
        <v>128.9</v>
      </c>
      <c r="N252" s="471">
        <f t="shared" si="164"/>
        <v>128.9</v>
      </c>
      <c r="O252" s="471">
        <f t="shared" si="165"/>
        <v>128.9</v>
      </c>
      <c r="P252" s="99">
        <v>128.9</v>
      </c>
      <c r="Q252" s="99">
        <v>118.9</v>
      </c>
      <c r="R252" s="99">
        <v>108.9</v>
      </c>
      <c r="S252" s="100">
        <v>98.8</v>
      </c>
      <c r="T252" s="101" t="str">
        <f t="shared" si="157"/>
        <v/>
      </c>
      <c r="U252" s="102" t="str">
        <f t="shared" si="158"/>
        <v/>
      </c>
      <c r="V252" s="695"/>
      <c r="W252" s="696"/>
      <c r="X252" s="171"/>
      <c r="Y252" s="103" t="str">
        <f t="shared" si="155"/>
        <v/>
      </c>
      <c r="Z252" s="225">
        <f t="shared" si="135"/>
        <v>0</v>
      </c>
      <c r="AA252" s="136">
        <f t="shared" si="159"/>
        <v>0</v>
      </c>
      <c r="AB252" s="136">
        <f t="shared" si="151"/>
        <v>0</v>
      </c>
      <c r="AC252" s="136">
        <f t="shared" si="152"/>
        <v>0</v>
      </c>
      <c r="AD252" s="136">
        <f t="shared" si="144"/>
        <v>0</v>
      </c>
      <c r="AE252" s="136">
        <f t="shared" si="136"/>
        <v>0</v>
      </c>
      <c r="AF252" s="136">
        <f t="shared" si="137"/>
        <v>0</v>
      </c>
      <c r="AG252" s="137">
        <f t="shared" si="138"/>
        <v>0</v>
      </c>
      <c r="AH252" s="136">
        <f t="shared" si="139"/>
        <v>0</v>
      </c>
      <c r="AI252" s="136">
        <f t="shared" si="140"/>
        <v>0</v>
      </c>
      <c r="AJ252" s="136">
        <f t="shared" si="146"/>
        <v>0</v>
      </c>
      <c r="AK252" s="136">
        <f t="shared" si="147"/>
        <v>0</v>
      </c>
      <c r="AL252" s="136">
        <f t="shared" si="148"/>
        <v>0</v>
      </c>
      <c r="AM252" s="136">
        <f t="shared" si="141"/>
        <v>0</v>
      </c>
      <c r="AN252" s="136">
        <f t="shared" si="149"/>
        <v>0</v>
      </c>
      <c r="AO252" s="136">
        <f t="shared" si="150"/>
        <v>0</v>
      </c>
      <c r="AP252" s="138">
        <f t="shared" si="142"/>
        <v>0.80120886501007393</v>
      </c>
      <c r="AQ252" s="139">
        <f t="shared" si="143"/>
        <v>39.466666666666669</v>
      </c>
      <c r="AR252" s="542">
        <v>8</v>
      </c>
      <c r="AS252" s="202">
        <f t="shared" si="129"/>
        <v>80.120886501007391</v>
      </c>
      <c r="AT252" s="197">
        <f t="shared" si="130"/>
        <v>0</v>
      </c>
      <c r="AU252" s="199">
        <f t="shared" si="131"/>
        <v>0</v>
      </c>
      <c r="AV252" s="110"/>
      <c r="AW252" s="276" t="e">
        <f>VLOOKUP(AX252,Sup!#REF!,8,0)</f>
        <v>#REF!</v>
      </c>
      <c r="AX252" s="1010" t="s">
        <v>199</v>
      </c>
      <c r="AY252" s="556">
        <v>0</v>
      </c>
      <c r="AZ252" s="35"/>
      <c r="BA252" s="35"/>
      <c r="BB252" s="35"/>
      <c r="BC252" s="35">
        <f t="shared" si="162"/>
        <v>0</v>
      </c>
      <c r="BD252" s="35" t="str">
        <f t="shared" si="153"/>
        <v/>
      </c>
      <c r="BE252" s="45">
        <f t="shared" si="145"/>
        <v>0</v>
      </c>
      <c r="BF252" s="971"/>
      <c r="BG252" s="236"/>
      <c r="BH252" s="12"/>
      <c r="BI252" s="12"/>
      <c r="BJ252" s="12"/>
      <c r="BK252" s="12"/>
      <c r="BL252" s="12"/>
      <c r="BM252" s="980">
        <f t="shared" si="156"/>
        <v>2136</v>
      </c>
      <c r="BN252" s="367"/>
      <c r="BO252" s="981"/>
      <c r="BP252" s="12"/>
      <c r="BQ252" s="12"/>
      <c r="BR252" s="12"/>
      <c r="BS252" s="973"/>
      <c r="BT252" s="12"/>
      <c r="BU252" s="12"/>
      <c r="BV252" s="12"/>
      <c r="BW252" s="982" t="s">
        <v>392</v>
      </c>
      <c r="BX252" s="983">
        <f t="shared" si="161"/>
        <v>0</v>
      </c>
      <c r="BY252" s="12" t="e">
        <f>VLOOKUP(B252,#REF!,13,0)</f>
        <v>#REF!</v>
      </c>
      <c r="BZ252" s="1054">
        <v>88.9</v>
      </c>
      <c r="CA252" s="1181" t="e">
        <f>VLOOKUP(B252,Pedido!$B$16:$L$292,22,0)</f>
        <v>#N/A</v>
      </c>
    </row>
    <row r="253" spans="1:79" ht="27" customHeight="1" thickBot="1">
      <c r="A253" s="524"/>
      <c r="B253" s="140" t="s">
        <v>302</v>
      </c>
      <c r="C253" s="140" t="s">
        <v>306</v>
      </c>
      <c r="D253" s="369" t="s">
        <v>142</v>
      </c>
      <c r="E253" s="370" t="s">
        <v>70</v>
      </c>
      <c r="F253" s="371" t="s">
        <v>61</v>
      </c>
      <c r="G253" s="373">
        <v>450</v>
      </c>
      <c r="H253" s="1153">
        <v>44.41</v>
      </c>
      <c r="I253" s="129">
        <v>209.9</v>
      </c>
      <c r="J253" s="130" t="str">
        <f t="shared" si="125"/>
        <v/>
      </c>
      <c r="K253" s="131" t="str">
        <f t="shared" si="160"/>
        <v/>
      </c>
      <c r="L253" s="241">
        <v>148.9</v>
      </c>
      <c r="M253" s="473">
        <f t="shared" si="163"/>
        <v>130.9</v>
      </c>
      <c r="N253" s="473">
        <f t="shared" si="164"/>
        <v>130.9</v>
      </c>
      <c r="O253" s="473">
        <f t="shared" si="165"/>
        <v>130.9</v>
      </c>
      <c r="P253" s="132">
        <v>130.9</v>
      </c>
      <c r="Q253" s="132">
        <v>120.9</v>
      </c>
      <c r="R253" s="132">
        <v>118.9</v>
      </c>
      <c r="S253" s="133">
        <v>114.9</v>
      </c>
      <c r="T253" s="134" t="str">
        <f t="shared" si="157"/>
        <v/>
      </c>
      <c r="U253" s="135" t="str">
        <f t="shared" si="158"/>
        <v/>
      </c>
      <c r="V253" s="575"/>
      <c r="W253" s="694"/>
      <c r="X253" s="170"/>
      <c r="Y253" s="122" t="str">
        <f t="shared" si="155"/>
        <v/>
      </c>
      <c r="Z253" s="224">
        <f t="shared" si="135"/>
        <v>0</v>
      </c>
      <c r="AA253" s="136">
        <f t="shared" si="159"/>
        <v>0</v>
      </c>
      <c r="AB253" s="136">
        <f t="shared" si="151"/>
        <v>0</v>
      </c>
      <c r="AC253" s="136">
        <f t="shared" si="152"/>
        <v>0</v>
      </c>
      <c r="AD253" s="136">
        <f t="shared" si="144"/>
        <v>0</v>
      </c>
      <c r="AE253" s="136">
        <f t="shared" si="136"/>
        <v>0</v>
      </c>
      <c r="AF253" s="136">
        <f t="shared" si="137"/>
        <v>0</v>
      </c>
      <c r="AG253" s="137">
        <f t="shared" si="138"/>
        <v>0</v>
      </c>
      <c r="AH253" s="136">
        <f t="shared" si="139"/>
        <v>0</v>
      </c>
      <c r="AI253" s="136">
        <f t="shared" si="140"/>
        <v>0</v>
      </c>
      <c r="AJ253" s="136">
        <f t="shared" si="146"/>
        <v>0</v>
      </c>
      <c r="AK253" s="136">
        <f t="shared" si="147"/>
        <v>0</v>
      </c>
      <c r="AL253" s="136">
        <f t="shared" si="148"/>
        <v>0</v>
      </c>
      <c r="AM253" s="136">
        <f t="shared" si="141"/>
        <v>0</v>
      </c>
      <c r="AN253" s="136">
        <f t="shared" si="149"/>
        <v>0</v>
      </c>
      <c r="AO253" s="136">
        <f t="shared" si="150"/>
        <v>0</v>
      </c>
      <c r="AP253" s="138">
        <f t="shared" si="142"/>
        <v>0.70174613834788446</v>
      </c>
      <c r="AQ253" s="139">
        <f t="shared" si="143"/>
        <v>59.213333333333331</v>
      </c>
      <c r="AR253" s="537">
        <v>4</v>
      </c>
      <c r="AS253" s="202">
        <f t="shared" si="129"/>
        <v>70.174613834788445</v>
      </c>
      <c r="AT253" s="197">
        <f t="shared" si="130"/>
        <v>0</v>
      </c>
      <c r="AU253" s="199">
        <f t="shared" si="131"/>
        <v>0</v>
      </c>
      <c r="AV253" s="110"/>
      <c r="AW253" s="138" t="e">
        <f>VLOOKUP(AX253,Sup!#REF!,8,0)</f>
        <v>#REF!</v>
      </c>
      <c r="AX253" s="1008" t="s">
        <v>199</v>
      </c>
      <c r="AY253" s="556">
        <v>0</v>
      </c>
      <c r="AZ253" s="35"/>
      <c r="BA253" s="35"/>
      <c r="BB253" s="35"/>
      <c r="BC253" s="35">
        <f t="shared" si="162"/>
        <v>0</v>
      </c>
      <c r="BD253" s="35" t="str">
        <f t="shared" si="153"/>
        <v/>
      </c>
      <c r="BE253" s="45">
        <f t="shared" si="145"/>
        <v>0</v>
      </c>
      <c r="BF253" s="971"/>
      <c r="BG253" s="236"/>
      <c r="BH253" s="12"/>
      <c r="BI253" s="12"/>
      <c r="BJ253" s="12"/>
      <c r="BK253" s="12"/>
      <c r="BL253" s="12"/>
      <c r="BM253" s="980">
        <f t="shared" si="156"/>
        <v>2160</v>
      </c>
      <c r="BN253" s="367"/>
      <c r="BO253" s="981"/>
      <c r="BP253" s="12"/>
      <c r="BQ253" s="12"/>
      <c r="BR253" s="12"/>
      <c r="BS253" s="973"/>
      <c r="BT253" s="12"/>
      <c r="BU253" s="12"/>
      <c r="BV253" s="12"/>
      <c r="BW253" s="982" t="s">
        <v>392</v>
      </c>
      <c r="BX253" s="983">
        <f t="shared" si="161"/>
        <v>0</v>
      </c>
      <c r="BY253" s="12" t="e">
        <f>VLOOKUP(B253,#REF!,13,0)</f>
        <v>#REF!</v>
      </c>
      <c r="BZ253" s="1056">
        <v>104.9</v>
      </c>
      <c r="CA253" s="1181" t="e">
        <f>VLOOKUP(B253,Pedido!$B$16:$L$292,22,0)</f>
        <v>#N/A</v>
      </c>
    </row>
    <row r="254" spans="1:79" ht="27" customHeight="1" thickBot="1">
      <c r="A254" s="524"/>
      <c r="B254" s="140" t="s">
        <v>303</v>
      </c>
      <c r="C254" s="140" t="s">
        <v>306</v>
      </c>
      <c r="D254" s="369" t="s">
        <v>142</v>
      </c>
      <c r="E254" s="370" t="s">
        <v>125</v>
      </c>
      <c r="F254" s="371" t="s">
        <v>61</v>
      </c>
      <c r="G254" s="373">
        <v>450</v>
      </c>
      <c r="H254" s="1153">
        <v>44.41</v>
      </c>
      <c r="I254" s="129">
        <v>209.9</v>
      </c>
      <c r="J254" s="130" t="str">
        <f t="shared" ref="J254:J279" si="166">IFERROR(IF(T254&lt;&gt;"",I254/T254,IF(AND(Y254="",V254=""),"",IF(V254="",I254/Y254,I254/V254))),"")</f>
        <v/>
      </c>
      <c r="K254" s="131" t="str">
        <f t="shared" si="160"/>
        <v/>
      </c>
      <c r="L254" s="241">
        <v>148.9</v>
      </c>
      <c r="M254" s="473">
        <f t="shared" si="163"/>
        <v>130.9</v>
      </c>
      <c r="N254" s="473">
        <f t="shared" si="164"/>
        <v>130.9</v>
      </c>
      <c r="O254" s="473">
        <f t="shared" si="165"/>
        <v>130.9</v>
      </c>
      <c r="P254" s="132">
        <v>130.9</v>
      </c>
      <c r="Q254" s="132">
        <v>120.9</v>
      </c>
      <c r="R254" s="132">
        <v>118.9</v>
      </c>
      <c r="S254" s="133">
        <v>114.9</v>
      </c>
      <c r="T254" s="134" t="str">
        <f t="shared" si="157"/>
        <v/>
      </c>
      <c r="U254" s="135" t="str">
        <f t="shared" si="158"/>
        <v/>
      </c>
      <c r="V254" s="575"/>
      <c r="W254" s="694"/>
      <c r="X254" s="170"/>
      <c r="Y254" s="122" t="str">
        <f t="shared" si="155"/>
        <v/>
      </c>
      <c r="Z254" s="224">
        <f t="shared" si="135"/>
        <v>0</v>
      </c>
      <c r="AA254" s="136">
        <f t="shared" si="159"/>
        <v>0</v>
      </c>
      <c r="AB254" s="136">
        <f t="shared" si="151"/>
        <v>0</v>
      </c>
      <c r="AC254" s="136">
        <f t="shared" si="152"/>
        <v>0</v>
      </c>
      <c r="AD254" s="136">
        <f t="shared" si="144"/>
        <v>0</v>
      </c>
      <c r="AE254" s="136">
        <f t="shared" si="136"/>
        <v>0</v>
      </c>
      <c r="AF254" s="136">
        <f t="shared" si="137"/>
        <v>0</v>
      </c>
      <c r="AG254" s="137">
        <f t="shared" si="138"/>
        <v>0</v>
      </c>
      <c r="AH254" s="136">
        <f t="shared" si="139"/>
        <v>0</v>
      </c>
      <c r="AI254" s="136">
        <f t="shared" si="140"/>
        <v>0</v>
      </c>
      <c r="AJ254" s="136">
        <f t="shared" si="146"/>
        <v>0</v>
      </c>
      <c r="AK254" s="136">
        <f t="shared" si="147"/>
        <v>0</v>
      </c>
      <c r="AL254" s="136">
        <f t="shared" si="148"/>
        <v>0</v>
      </c>
      <c r="AM254" s="136">
        <f t="shared" si="141"/>
        <v>0</v>
      </c>
      <c r="AN254" s="136">
        <f t="shared" si="149"/>
        <v>0</v>
      </c>
      <c r="AO254" s="136">
        <f t="shared" si="150"/>
        <v>0</v>
      </c>
      <c r="AP254" s="138">
        <f t="shared" si="142"/>
        <v>0.70174613834788446</v>
      </c>
      <c r="AQ254" s="139">
        <f t="shared" si="143"/>
        <v>59.213333333333331</v>
      </c>
      <c r="AR254" s="537">
        <v>4</v>
      </c>
      <c r="AS254" s="202">
        <f t="shared" si="129"/>
        <v>70.174613834788445</v>
      </c>
      <c r="AT254" s="197">
        <f t="shared" si="130"/>
        <v>0</v>
      </c>
      <c r="AU254" s="199">
        <f t="shared" si="131"/>
        <v>0</v>
      </c>
      <c r="AV254" s="110"/>
      <c r="AW254" s="138" t="e">
        <f>VLOOKUP(AX254,Sup!#REF!,8,0)</f>
        <v>#REF!</v>
      </c>
      <c r="AX254" s="1008" t="s">
        <v>199</v>
      </c>
      <c r="AY254" s="556">
        <v>0</v>
      </c>
      <c r="AZ254" s="35"/>
      <c r="BA254" s="35"/>
      <c r="BB254" s="35"/>
      <c r="BC254" s="35">
        <f t="shared" si="162"/>
        <v>0</v>
      </c>
      <c r="BD254" s="35" t="str">
        <f t="shared" si="153"/>
        <v/>
      </c>
      <c r="BE254" s="45">
        <f t="shared" si="145"/>
        <v>0</v>
      </c>
      <c r="BF254" s="971"/>
      <c r="BG254" s="236"/>
      <c r="BH254" s="12"/>
      <c r="BI254" s="12"/>
      <c r="BJ254" s="12"/>
      <c r="BK254" s="12"/>
      <c r="BL254" s="12"/>
      <c r="BM254" s="980">
        <f t="shared" si="156"/>
        <v>2184</v>
      </c>
      <c r="BN254" s="367"/>
      <c r="BO254" s="981"/>
      <c r="BP254" s="12"/>
      <c r="BQ254" s="12"/>
      <c r="BR254" s="12"/>
      <c r="BS254" s="973"/>
      <c r="BT254" s="12"/>
      <c r="BU254" s="12"/>
      <c r="BV254" s="12"/>
      <c r="BW254" s="982" t="s">
        <v>392</v>
      </c>
      <c r="BX254" s="983">
        <f t="shared" si="161"/>
        <v>0</v>
      </c>
      <c r="BY254" s="12" t="e">
        <f>VLOOKUP(B254,#REF!,13,0)</f>
        <v>#REF!</v>
      </c>
      <c r="BZ254" s="1056">
        <v>104.9</v>
      </c>
      <c r="CA254" s="1181" t="e">
        <f>VLOOKUP(B254,Pedido!$B$16:$L$292,22,0)</f>
        <v>#N/A</v>
      </c>
    </row>
    <row r="255" spans="1:79" ht="27" customHeight="1" thickBot="1">
      <c r="A255" s="524"/>
      <c r="B255" s="140" t="s">
        <v>516</v>
      </c>
      <c r="C255" s="140" t="s">
        <v>306</v>
      </c>
      <c r="D255" s="369" t="s">
        <v>142</v>
      </c>
      <c r="E255" s="370" t="s">
        <v>274</v>
      </c>
      <c r="F255" s="371" t="s">
        <v>61</v>
      </c>
      <c r="G255" s="373">
        <v>450</v>
      </c>
      <c r="H255" s="1153">
        <v>44.41</v>
      </c>
      <c r="I255" s="129">
        <v>209.9</v>
      </c>
      <c r="J255" s="130" t="str">
        <f t="shared" si="166"/>
        <v/>
      </c>
      <c r="K255" s="131" t="str">
        <f t="shared" si="160"/>
        <v/>
      </c>
      <c r="L255" s="241">
        <v>148.9</v>
      </c>
      <c r="M255" s="473">
        <f t="shared" si="163"/>
        <v>130.9</v>
      </c>
      <c r="N255" s="473">
        <f t="shared" si="164"/>
        <v>130.9</v>
      </c>
      <c r="O255" s="473">
        <f t="shared" si="165"/>
        <v>130.9</v>
      </c>
      <c r="P255" s="132">
        <v>130.9</v>
      </c>
      <c r="Q255" s="132">
        <v>120.9</v>
      </c>
      <c r="R255" s="132">
        <v>118.9</v>
      </c>
      <c r="S255" s="133">
        <v>114.9</v>
      </c>
      <c r="T255" s="134" t="str">
        <f t="shared" si="157"/>
        <v/>
      </c>
      <c r="U255" s="135" t="str">
        <f t="shared" si="158"/>
        <v/>
      </c>
      <c r="V255" s="575"/>
      <c r="W255" s="694"/>
      <c r="X255" s="170"/>
      <c r="Y255" s="122" t="str">
        <f t="shared" si="155"/>
        <v/>
      </c>
      <c r="Z255" s="224">
        <f t="shared" si="135"/>
        <v>0</v>
      </c>
      <c r="AA255" s="136">
        <f t="shared" si="159"/>
        <v>0</v>
      </c>
      <c r="AB255" s="136">
        <f t="shared" ref="AB255:AB286" si="167">IFERROR(IF(OR($AA$373&gt;=$S$26,SUMIF($C:$C,C255,$W:$W)&gt;=$S$27),S255,IF(OR($AA$373&gt;=$R$26,SUMIF($C:$C,C255,$W:$W)&gt;=$R$27),R255,IF(OR($AA$373&gt;=$Q$26,SUMIF($C:$C,C255,$W:$W)&gt;=$Q$27),Q255,IF(OR($AA$373&gt;=$P$26,SUMIF($C:$C,C255,$W:$W)&gt;=$P$27),P255,IF(OR($AA$373&gt;=$O$26,SUMIF($C:$C,C255,$W:$W)&gt;=$O$27),O255,IF(OR($AA$373&gt;=$N$26,SUMIF($C:$C,C255,$W:$W)&gt;=$N$27),N255,IF($AA$373&gt;=$M$26,M255,L255)))))))*W255,0)</f>
        <v>0</v>
      </c>
      <c r="AC255" s="136">
        <f t="shared" ref="AC255:AC286" si="168">IFERROR(IF(V255="",0,(IF(AND(W255="",X255=""),"",IF(OR($AA$373&gt;=$S$26,SUMIF($C:$C,C255,$W:$W)&gt;=$S$27),S255*$E$13,IF(OR($AA$373&gt;=$R$26,SUMIF($C:$C,C255,$W:$W)&gt;=$R$27),R255*$E$13,IF(OR($AA$373&gt;=$Q$26,SUMIF($C:$C,C255,$W:$W)&gt;=$Q$27),Q255*$E$13,IF(OR($AA$373&gt;=$P$26,SUMIF($C:$C,C255,$W:$W)&gt;=$P$27),P255*$E$13,IF(OR($AA$373&gt;=$O$26,SUMIF($C:$C,C255,$W:$W)&gt;=$O$27),O255*$E$13,IF(OR($AA$373&gt;=$N$26,SUMIF($C:$C,C255,$W:$W)&gt;=$N$27),N255*$E$13,IF($AA$373&gt;=$M$26,M255*$E$13,L255))))))))-V255)*W255),0)</f>
        <v>0</v>
      </c>
      <c r="AD255" s="136">
        <f t="shared" si="144"/>
        <v>0</v>
      </c>
      <c r="AE255" s="136">
        <f t="shared" si="136"/>
        <v>0</v>
      </c>
      <c r="AF255" s="136">
        <f t="shared" si="137"/>
        <v>0</v>
      </c>
      <c r="AG255" s="137">
        <f t="shared" si="138"/>
        <v>0</v>
      </c>
      <c r="AH255" s="136">
        <f t="shared" si="139"/>
        <v>0</v>
      </c>
      <c r="AI255" s="136">
        <f t="shared" si="140"/>
        <v>0</v>
      </c>
      <c r="AJ255" s="136">
        <f t="shared" si="146"/>
        <v>0</v>
      </c>
      <c r="AK255" s="136">
        <f t="shared" si="147"/>
        <v>0</v>
      </c>
      <c r="AL255" s="136">
        <f t="shared" si="148"/>
        <v>0</v>
      </c>
      <c r="AM255" s="136">
        <f t="shared" si="141"/>
        <v>0</v>
      </c>
      <c r="AN255" s="136">
        <f t="shared" si="149"/>
        <v>0</v>
      </c>
      <c r="AO255" s="136">
        <f t="shared" si="150"/>
        <v>0</v>
      </c>
      <c r="AP255" s="138">
        <f t="shared" si="142"/>
        <v>0.70174613834788446</v>
      </c>
      <c r="AQ255" s="139">
        <f t="shared" si="143"/>
        <v>59.213333333333331</v>
      </c>
      <c r="AR255" s="537">
        <v>4</v>
      </c>
      <c r="AS255" s="202">
        <f t="shared" si="129"/>
        <v>70.174613834788445</v>
      </c>
      <c r="AT255" s="197">
        <f t="shared" si="130"/>
        <v>0</v>
      </c>
      <c r="AU255" s="199">
        <f t="shared" si="131"/>
        <v>0</v>
      </c>
      <c r="AV255" s="110"/>
      <c r="AW255" s="138" t="e">
        <f>VLOOKUP(AX255,Sup!#REF!,8,0)</f>
        <v>#REF!</v>
      </c>
      <c r="AX255" s="1008" t="s">
        <v>199</v>
      </c>
      <c r="AY255" s="556">
        <v>0</v>
      </c>
      <c r="AZ255" s="35"/>
      <c r="BA255" s="35"/>
      <c r="BB255" s="35"/>
      <c r="BC255" s="35">
        <f t="shared" si="162"/>
        <v>0</v>
      </c>
      <c r="BD255" s="35" t="str">
        <f t="shared" ref="BD255:BD286" si="169">IFERROR(IF(AND(W255="",X255=""),"",IF(OR($AA$373&gt;=$S$26,SUMIF($C:$C,C255,$W:$W)&gt;=$S$27),S255,IF(OR($AA$373&gt;=$R$26,SUMIF($C:$C,C255,$W:$W)&gt;=$R$27),R255,IF(OR($AA$373&gt;=$Q$26,SUMIF($C:$C,C255,$W:$W)&gt;=$Q$27),Q255,IF(OR($AA$373&gt;=$P$26,SUMIF($C:$C,C255,$W:$W)&gt;=$P$27),P255,IF(OR($AA$373&gt;=$O$26,SUMIF($C:$C,C255,$W:$W)&gt;=$O$27),O255,IF(OR($AA$373&gt;=$N$26,SUMIF($C:$C,C255,$W:$W)&gt;=$N$27),N255,IF($AA$373&gt;=$M$26,M255,L255)))))))*$E$13),0)</f>
        <v/>
      </c>
      <c r="BE255" s="45">
        <f t="shared" si="145"/>
        <v>0</v>
      </c>
      <c r="BF255" s="971"/>
      <c r="BG255" s="236"/>
      <c r="BH255" s="12"/>
      <c r="BI255" s="12"/>
      <c r="BJ255" s="12"/>
      <c r="BK255" s="12"/>
      <c r="BL255" s="12"/>
      <c r="BM255" s="980">
        <f t="shared" si="156"/>
        <v>2208</v>
      </c>
      <c r="BN255" s="367"/>
      <c r="BO255" s="981"/>
      <c r="BP255" s="12"/>
      <c r="BQ255" s="12"/>
      <c r="BR255" s="12"/>
      <c r="BS255" s="973"/>
      <c r="BT255" s="12"/>
      <c r="BU255" s="12"/>
      <c r="BV255" s="12"/>
      <c r="BW255" s="982" t="s">
        <v>392</v>
      </c>
      <c r="BX255" s="983">
        <f t="shared" si="161"/>
        <v>0</v>
      </c>
      <c r="BY255" s="12" t="e">
        <f>VLOOKUP(B255,#REF!,13,0)</f>
        <v>#REF!</v>
      </c>
      <c r="BZ255" s="1056">
        <v>104.9</v>
      </c>
      <c r="CA255" s="1181" t="e">
        <f>VLOOKUP(B255,Pedido!$B$16:$L$292,22,0)</f>
        <v>#N/A</v>
      </c>
    </row>
    <row r="256" spans="1:79" ht="27" customHeight="1" thickBot="1">
      <c r="A256" s="524"/>
      <c r="B256" s="140" t="s">
        <v>304</v>
      </c>
      <c r="C256" s="140" t="s">
        <v>306</v>
      </c>
      <c r="D256" s="369" t="s">
        <v>142</v>
      </c>
      <c r="E256" s="370" t="s">
        <v>118</v>
      </c>
      <c r="F256" s="371" t="s">
        <v>61</v>
      </c>
      <c r="G256" s="373">
        <v>450</v>
      </c>
      <c r="H256" s="1153">
        <v>44.41</v>
      </c>
      <c r="I256" s="129">
        <v>209.9</v>
      </c>
      <c r="J256" s="130" t="str">
        <f t="shared" si="166"/>
        <v/>
      </c>
      <c r="K256" s="131" t="str">
        <f t="shared" si="160"/>
        <v/>
      </c>
      <c r="L256" s="241">
        <v>148.9</v>
      </c>
      <c r="M256" s="473">
        <f t="shared" si="163"/>
        <v>130.9</v>
      </c>
      <c r="N256" s="473">
        <f t="shared" si="164"/>
        <v>130.9</v>
      </c>
      <c r="O256" s="473">
        <f t="shared" si="165"/>
        <v>130.9</v>
      </c>
      <c r="P256" s="132">
        <v>130.9</v>
      </c>
      <c r="Q256" s="132">
        <v>120.9</v>
      </c>
      <c r="R256" s="132">
        <v>118.9</v>
      </c>
      <c r="S256" s="133">
        <v>114.9</v>
      </c>
      <c r="T256" s="134" t="str">
        <f t="shared" si="157"/>
        <v/>
      </c>
      <c r="U256" s="135" t="str">
        <f t="shared" si="158"/>
        <v/>
      </c>
      <c r="V256" s="575"/>
      <c r="W256" s="694"/>
      <c r="X256" s="170"/>
      <c r="Y256" s="122" t="str">
        <f t="shared" si="155"/>
        <v/>
      </c>
      <c r="Z256" s="224">
        <f t="shared" si="135"/>
        <v>0</v>
      </c>
      <c r="AA256" s="136">
        <f t="shared" si="159"/>
        <v>0</v>
      </c>
      <c r="AB256" s="136">
        <f t="shared" si="167"/>
        <v>0</v>
      </c>
      <c r="AC256" s="136">
        <f t="shared" si="168"/>
        <v>0</v>
      </c>
      <c r="AD256" s="136">
        <f t="shared" si="144"/>
        <v>0</v>
      </c>
      <c r="AE256" s="136">
        <f t="shared" si="136"/>
        <v>0</v>
      </c>
      <c r="AF256" s="136">
        <f t="shared" si="137"/>
        <v>0</v>
      </c>
      <c r="AG256" s="137">
        <f t="shared" si="138"/>
        <v>0</v>
      </c>
      <c r="AH256" s="136">
        <f t="shared" si="139"/>
        <v>0</v>
      </c>
      <c r="AI256" s="136">
        <f t="shared" si="140"/>
        <v>0</v>
      </c>
      <c r="AJ256" s="136">
        <f t="shared" si="146"/>
        <v>0</v>
      </c>
      <c r="AK256" s="136">
        <f t="shared" si="147"/>
        <v>0</v>
      </c>
      <c r="AL256" s="136">
        <f t="shared" si="148"/>
        <v>0</v>
      </c>
      <c r="AM256" s="136">
        <f t="shared" si="141"/>
        <v>0</v>
      </c>
      <c r="AN256" s="136">
        <f t="shared" si="149"/>
        <v>0</v>
      </c>
      <c r="AO256" s="136">
        <f t="shared" si="150"/>
        <v>0</v>
      </c>
      <c r="AP256" s="138">
        <f t="shared" si="142"/>
        <v>0.70174613834788446</v>
      </c>
      <c r="AQ256" s="139">
        <f t="shared" si="143"/>
        <v>59.213333333333331</v>
      </c>
      <c r="AR256" s="537">
        <v>4</v>
      </c>
      <c r="AS256" s="202">
        <f t="shared" si="129"/>
        <v>70.174613834788445</v>
      </c>
      <c r="AT256" s="197">
        <f t="shared" si="130"/>
        <v>0</v>
      </c>
      <c r="AU256" s="199">
        <f t="shared" si="131"/>
        <v>0</v>
      </c>
      <c r="AV256" s="110"/>
      <c r="AW256" s="138" t="e">
        <f>VLOOKUP(AX256,Sup!#REF!,8,0)</f>
        <v>#REF!</v>
      </c>
      <c r="AX256" s="1008" t="s">
        <v>199</v>
      </c>
      <c r="AY256" s="556">
        <v>0</v>
      </c>
      <c r="AZ256" s="35"/>
      <c r="BA256" s="35"/>
      <c r="BB256" s="35"/>
      <c r="BC256" s="35">
        <f t="shared" si="162"/>
        <v>0</v>
      </c>
      <c r="BD256" s="35" t="str">
        <f t="shared" si="169"/>
        <v/>
      </c>
      <c r="BE256" s="45">
        <f t="shared" si="145"/>
        <v>0</v>
      </c>
      <c r="BF256" s="971"/>
      <c r="BG256" s="236"/>
      <c r="BH256" s="12"/>
      <c r="BI256" s="12"/>
      <c r="BJ256" s="12"/>
      <c r="BK256" s="12"/>
      <c r="BL256" s="12"/>
      <c r="BM256" s="980">
        <f t="shared" si="156"/>
        <v>2232</v>
      </c>
      <c r="BN256" s="367"/>
      <c r="BO256" s="981"/>
      <c r="BP256" s="12"/>
      <c r="BQ256" s="12"/>
      <c r="BR256" s="12"/>
      <c r="BS256" s="973"/>
      <c r="BT256" s="12"/>
      <c r="BU256" s="12"/>
      <c r="BV256" s="12"/>
      <c r="BW256" s="982" t="s">
        <v>392</v>
      </c>
      <c r="BX256" s="983">
        <f t="shared" si="161"/>
        <v>0</v>
      </c>
      <c r="BY256" s="12" t="e">
        <f>VLOOKUP(B256,#REF!,13,0)</f>
        <v>#REF!</v>
      </c>
      <c r="BZ256" s="1056">
        <v>104.9</v>
      </c>
      <c r="CA256" s="1181" t="e">
        <f>VLOOKUP(B256,Pedido!$B$16:$L$292,22,0)</f>
        <v>#N/A</v>
      </c>
    </row>
    <row r="257" spans="1:84" ht="27" customHeight="1" thickBot="1">
      <c r="A257" s="524"/>
      <c r="B257" s="140" t="s">
        <v>305</v>
      </c>
      <c r="C257" s="140" t="s">
        <v>306</v>
      </c>
      <c r="D257" s="369" t="s">
        <v>142</v>
      </c>
      <c r="E257" s="370" t="s">
        <v>126</v>
      </c>
      <c r="F257" s="371" t="s">
        <v>61</v>
      </c>
      <c r="G257" s="373">
        <v>450</v>
      </c>
      <c r="H257" s="1153">
        <v>44.41</v>
      </c>
      <c r="I257" s="129">
        <v>209.9</v>
      </c>
      <c r="J257" s="130" t="str">
        <f t="shared" si="166"/>
        <v/>
      </c>
      <c r="K257" s="131" t="str">
        <f t="shared" si="160"/>
        <v/>
      </c>
      <c r="L257" s="241">
        <v>148.9</v>
      </c>
      <c r="M257" s="473">
        <f t="shared" si="163"/>
        <v>130.9</v>
      </c>
      <c r="N257" s="473">
        <f t="shared" si="164"/>
        <v>130.9</v>
      </c>
      <c r="O257" s="473">
        <f t="shared" si="165"/>
        <v>130.9</v>
      </c>
      <c r="P257" s="132">
        <v>130.9</v>
      </c>
      <c r="Q257" s="132">
        <v>120.9</v>
      </c>
      <c r="R257" s="132">
        <v>118.9</v>
      </c>
      <c r="S257" s="133">
        <v>114.9</v>
      </c>
      <c r="T257" s="134" t="str">
        <f t="shared" si="157"/>
        <v/>
      </c>
      <c r="U257" s="135" t="str">
        <f t="shared" si="158"/>
        <v/>
      </c>
      <c r="V257" s="575"/>
      <c r="W257" s="694"/>
      <c r="X257" s="170"/>
      <c r="Y257" s="122" t="str">
        <f t="shared" si="155"/>
        <v/>
      </c>
      <c r="Z257" s="224">
        <f t="shared" si="135"/>
        <v>0</v>
      </c>
      <c r="AA257" s="136">
        <f t="shared" si="159"/>
        <v>0</v>
      </c>
      <c r="AB257" s="136">
        <f t="shared" si="167"/>
        <v>0</v>
      </c>
      <c r="AC257" s="136">
        <f t="shared" si="168"/>
        <v>0</v>
      </c>
      <c r="AD257" s="136">
        <f t="shared" si="144"/>
        <v>0</v>
      </c>
      <c r="AE257" s="136">
        <f t="shared" si="136"/>
        <v>0</v>
      </c>
      <c r="AF257" s="136">
        <f t="shared" si="137"/>
        <v>0</v>
      </c>
      <c r="AG257" s="137">
        <f t="shared" si="138"/>
        <v>0</v>
      </c>
      <c r="AH257" s="136">
        <f t="shared" si="139"/>
        <v>0</v>
      </c>
      <c r="AI257" s="136">
        <f t="shared" si="140"/>
        <v>0</v>
      </c>
      <c r="AJ257" s="136">
        <f t="shared" si="146"/>
        <v>0</v>
      </c>
      <c r="AK257" s="136">
        <f t="shared" si="147"/>
        <v>0</v>
      </c>
      <c r="AL257" s="136">
        <f t="shared" si="148"/>
        <v>0</v>
      </c>
      <c r="AM257" s="136">
        <f t="shared" si="141"/>
        <v>0</v>
      </c>
      <c r="AN257" s="136">
        <f t="shared" si="149"/>
        <v>0</v>
      </c>
      <c r="AO257" s="136">
        <f t="shared" si="150"/>
        <v>0</v>
      </c>
      <c r="AP257" s="138">
        <f t="shared" si="142"/>
        <v>0.70174613834788446</v>
      </c>
      <c r="AQ257" s="139">
        <f t="shared" si="143"/>
        <v>59.213333333333331</v>
      </c>
      <c r="AR257" s="537">
        <v>4</v>
      </c>
      <c r="AS257" s="202">
        <f t="shared" ref="AS257:AS299" si="170">(AP257-MIN($AP$65:$AP$368))/(MAX($AP$65:$AP$368)-MIN($AP$65:$AP$368))*100</f>
        <v>70.174613834788445</v>
      </c>
      <c r="AT257" s="197">
        <f t="shared" si="130"/>
        <v>0</v>
      </c>
      <c r="AU257" s="199">
        <f t="shared" si="131"/>
        <v>0</v>
      </c>
      <c r="AV257" s="110"/>
      <c r="AW257" s="138" t="e">
        <f>VLOOKUP(AX257,Sup!#REF!,8,0)</f>
        <v>#REF!</v>
      </c>
      <c r="AX257" s="1008" t="s">
        <v>199</v>
      </c>
      <c r="AY257" s="556">
        <v>0</v>
      </c>
      <c r="AZ257" s="35"/>
      <c r="BA257" s="35"/>
      <c r="BB257" s="35"/>
      <c r="BC257" s="35">
        <f t="shared" si="162"/>
        <v>0</v>
      </c>
      <c r="BD257" s="35" t="str">
        <f t="shared" si="169"/>
        <v/>
      </c>
      <c r="BE257" s="45">
        <f t="shared" si="145"/>
        <v>0</v>
      </c>
      <c r="BF257" s="971"/>
      <c r="BG257" s="236"/>
      <c r="BH257" s="12"/>
      <c r="BI257" s="12"/>
      <c r="BJ257" s="12"/>
      <c r="BK257" s="12"/>
      <c r="BL257" s="12"/>
      <c r="BM257" s="980">
        <f t="shared" si="156"/>
        <v>2256</v>
      </c>
      <c r="BN257" s="367"/>
      <c r="BO257" s="981"/>
      <c r="BP257" s="12"/>
      <c r="BQ257" s="12"/>
      <c r="BR257" s="12"/>
      <c r="BS257" s="973"/>
      <c r="BT257" s="12"/>
      <c r="BU257" s="12"/>
      <c r="BV257" s="12"/>
      <c r="BW257" s="982" t="s">
        <v>392</v>
      </c>
      <c r="BX257" s="983">
        <f t="shared" si="161"/>
        <v>0</v>
      </c>
      <c r="BY257" s="12" t="e">
        <f>VLOOKUP(B257,#REF!,13,0)</f>
        <v>#REF!</v>
      </c>
      <c r="BZ257" s="1056">
        <v>104.9</v>
      </c>
      <c r="CA257" s="1181" t="e">
        <f>VLOOKUP(B257,Pedido!$B$16:$L$292,22,0)</f>
        <v>#N/A</v>
      </c>
    </row>
    <row r="258" spans="1:84" ht="27" customHeight="1" thickBot="1">
      <c r="A258" s="524"/>
      <c r="B258" s="140" t="s">
        <v>517</v>
      </c>
      <c r="C258" s="140" t="s">
        <v>306</v>
      </c>
      <c r="D258" s="369" t="s">
        <v>142</v>
      </c>
      <c r="E258" s="370" t="s">
        <v>271</v>
      </c>
      <c r="F258" s="371" t="s">
        <v>61</v>
      </c>
      <c r="G258" s="373">
        <v>450</v>
      </c>
      <c r="H258" s="1153">
        <v>44.41</v>
      </c>
      <c r="I258" s="129">
        <v>209.9</v>
      </c>
      <c r="J258" s="130" t="str">
        <f t="shared" si="166"/>
        <v/>
      </c>
      <c r="K258" s="131" t="str">
        <f t="shared" si="160"/>
        <v/>
      </c>
      <c r="L258" s="241">
        <v>148.9</v>
      </c>
      <c r="M258" s="473">
        <f t="shared" si="163"/>
        <v>130.9</v>
      </c>
      <c r="N258" s="473">
        <f t="shared" si="164"/>
        <v>130.9</v>
      </c>
      <c r="O258" s="473">
        <f t="shared" si="165"/>
        <v>130.9</v>
      </c>
      <c r="P258" s="132">
        <v>130.9</v>
      </c>
      <c r="Q258" s="132">
        <v>120.9</v>
      </c>
      <c r="R258" s="132">
        <v>118.9</v>
      </c>
      <c r="S258" s="133">
        <v>114.9</v>
      </c>
      <c r="T258" s="274" t="str">
        <f t="shared" si="157"/>
        <v/>
      </c>
      <c r="U258" s="152" t="str">
        <f t="shared" si="158"/>
        <v/>
      </c>
      <c r="V258" s="695"/>
      <c r="W258" s="696"/>
      <c r="X258" s="171"/>
      <c r="Y258" s="103" t="str">
        <f t="shared" si="155"/>
        <v/>
      </c>
      <c r="Z258" s="225">
        <f t="shared" si="135"/>
        <v>0</v>
      </c>
      <c r="AA258" s="136">
        <f t="shared" si="159"/>
        <v>0</v>
      </c>
      <c r="AB258" s="136">
        <f t="shared" si="167"/>
        <v>0</v>
      </c>
      <c r="AC258" s="136">
        <f t="shared" si="168"/>
        <v>0</v>
      </c>
      <c r="AD258" s="136">
        <f t="shared" si="144"/>
        <v>0</v>
      </c>
      <c r="AE258" s="136">
        <f t="shared" si="136"/>
        <v>0</v>
      </c>
      <c r="AF258" s="136">
        <f t="shared" si="137"/>
        <v>0</v>
      </c>
      <c r="AG258" s="137">
        <f t="shared" si="138"/>
        <v>0</v>
      </c>
      <c r="AH258" s="136">
        <f t="shared" si="139"/>
        <v>0</v>
      </c>
      <c r="AI258" s="136">
        <f t="shared" si="140"/>
        <v>0</v>
      </c>
      <c r="AJ258" s="136">
        <f t="shared" si="146"/>
        <v>0</v>
      </c>
      <c r="AK258" s="136">
        <f t="shared" si="147"/>
        <v>0</v>
      </c>
      <c r="AL258" s="136">
        <f t="shared" si="148"/>
        <v>0</v>
      </c>
      <c r="AM258" s="136">
        <f t="shared" si="141"/>
        <v>0</v>
      </c>
      <c r="AN258" s="136">
        <f t="shared" si="149"/>
        <v>0</v>
      </c>
      <c r="AO258" s="136">
        <f t="shared" si="150"/>
        <v>0</v>
      </c>
      <c r="AP258" s="138">
        <f t="shared" si="142"/>
        <v>0.70174613834788446</v>
      </c>
      <c r="AQ258" s="139">
        <f t="shared" si="143"/>
        <v>59.213333333333331</v>
      </c>
      <c r="AR258" s="537">
        <v>4</v>
      </c>
      <c r="AS258" s="202">
        <f t="shared" si="170"/>
        <v>70.174613834788445</v>
      </c>
      <c r="AT258" s="197">
        <f t="shared" si="130"/>
        <v>0</v>
      </c>
      <c r="AU258" s="199">
        <f t="shared" si="131"/>
        <v>0</v>
      </c>
      <c r="AV258" s="110"/>
      <c r="AW258" s="138" t="e">
        <f>VLOOKUP(AX258,Sup!#REF!,8,0)</f>
        <v>#REF!</v>
      </c>
      <c r="AX258" s="1008" t="s">
        <v>199</v>
      </c>
      <c r="AY258" s="556">
        <v>0</v>
      </c>
      <c r="AZ258" s="35"/>
      <c r="BA258" s="35"/>
      <c r="BB258" s="35"/>
      <c r="BC258" s="35">
        <f t="shared" si="162"/>
        <v>0</v>
      </c>
      <c r="BD258" s="35" t="str">
        <f t="shared" si="169"/>
        <v/>
      </c>
      <c r="BE258" s="45">
        <f t="shared" si="145"/>
        <v>0</v>
      </c>
      <c r="BF258" s="971"/>
      <c r="BG258" s="236"/>
      <c r="BH258" s="12"/>
      <c r="BI258" s="12"/>
      <c r="BJ258" s="12"/>
      <c r="BK258" s="12"/>
      <c r="BL258" s="12"/>
      <c r="BM258" s="980">
        <f t="shared" si="156"/>
        <v>2280</v>
      </c>
      <c r="BN258" s="367"/>
      <c r="BO258" s="981"/>
      <c r="BP258" s="12"/>
      <c r="BQ258" s="12"/>
      <c r="BR258" s="12"/>
      <c r="BS258" s="973"/>
      <c r="BT258" s="12"/>
      <c r="BU258" s="12"/>
      <c r="BV258" s="12"/>
      <c r="BW258" s="982" t="s">
        <v>392</v>
      </c>
      <c r="BX258" s="983">
        <f t="shared" si="161"/>
        <v>0</v>
      </c>
      <c r="BY258" s="12" t="e">
        <f>VLOOKUP(B258,#REF!,13,0)</f>
        <v>#REF!</v>
      </c>
      <c r="BZ258" s="1056">
        <v>104.9</v>
      </c>
      <c r="CA258" s="1181" t="e">
        <f>VLOOKUP(B258,Pedido!$B$16:$L$292,22,0)</f>
        <v>#N/A</v>
      </c>
    </row>
    <row r="259" spans="1:84" ht="24.75" customHeight="1" thickBot="1">
      <c r="A259" s="524"/>
      <c r="B259" s="114" t="s">
        <v>141</v>
      </c>
      <c r="C259" s="114" t="str">
        <f>LEFT(B259,6)</f>
        <v>PPOWPI</v>
      </c>
      <c r="D259" s="378" t="s">
        <v>142</v>
      </c>
      <c r="E259" s="379" t="s">
        <v>70</v>
      </c>
      <c r="F259" s="380" t="s">
        <v>61</v>
      </c>
      <c r="G259" s="381">
        <v>900</v>
      </c>
      <c r="H259" s="1152">
        <v>89</v>
      </c>
      <c r="I259" s="115">
        <v>349.9</v>
      </c>
      <c r="J259" s="116" t="str">
        <f t="shared" si="166"/>
        <v/>
      </c>
      <c r="K259" s="117" t="str">
        <f t="shared" si="160"/>
        <v/>
      </c>
      <c r="L259" s="239">
        <v>264.89999999999998</v>
      </c>
      <c r="M259" s="472">
        <f t="shared" si="163"/>
        <v>233.9</v>
      </c>
      <c r="N259" s="472">
        <f t="shared" si="164"/>
        <v>233.9</v>
      </c>
      <c r="O259" s="472">
        <f t="shared" si="165"/>
        <v>233.9</v>
      </c>
      <c r="P259" s="118">
        <v>233.9</v>
      </c>
      <c r="Q259" s="118">
        <v>215.9</v>
      </c>
      <c r="R259" s="118">
        <v>211.9</v>
      </c>
      <c r="S259" s="119">
        <v>204.9</v>
      </c>
      <c r="T259" s="134" t="str">
        <f t="shared" si="157"/>
        <v/>
      </c>
      <c r="U259" s="135" t="str">
        <f t="shared" si="158"/>
        <v/>
      </c>
      <c r="V259" s="575"/>
      <c r="W259" s="694"/>
      <c r="X259" s="170"/>
      <c r="Y259" s="122" t="str">
        <f t="shared" si="155"/>
        <v/>
      </c>
      <c r="Z259" s="224">
        <f t="shared" si="135"/>
        <v>0</v>
      </c>
      <c r="AA259" s="123">
        <f t="shared" si="159"/>
        <v>0</v>
      </c>
      <c r="AB259" s="123">
        <f t="shared" si="167"/>
        <v>0</v>
      </c>
      <c r="AC259" s="123">
        <f t="shared" si="168"/>
        <v>0</v>
      </c>
      <c r="AD259" s="123">
        <f t="shared" si="144"/>
        <v>0</v>
      </c>
      <c r="AE259" s="123">
        <f t="shared" si="136"/>
        <v>0</v>
      </c>
      <c r="AF259" s="123">
        <f t="shared" si="137"/>
        <v>0</v>
      </c>
      <c r="AG259" s="124">
        <f t="shared" si="138"/>
        <v>0</v>
      </c>
      <c r="AH259" s="123">
        <f t="shared" si="139"/>
        <v>0</v>
      </c>
      <c r="AI259" s="123">
        <f t="shared" si="140"/>
        <v>0</v>
      </c>
      <c r="AJ259" s="123">
        <f t="shared" si="146"/>
        <v>0</v>
      </c>
      <c r="AK259" s="123">
        <f t="shared" si="147"/>
        <v>0</v>
      </c>
      <c r="AL259" s="123">
        <f t="shared" si="148"/>
        <v>0</v>
      </c>
      <c r="AM259" s="123">
        <f t="shared" si="141"/>
        <v>0</v>
      </c>
      <c r="AN259" s="123">
        <f t="shared" si="149"/>
        <v>0</v>
      </c>
      <c r="AO259" s="123">
        <f t="shared" si="150"/>
        <v>0</v>
      </c>
      <c r="AP259" s="125">
        <f t="shared" si="142"/>
        <v>0.6640241600604001</v>
      </c>
      <c r="AQ259" s="126">
        <f t="shared" si="143"/>
        <v>118.66666666666667</v>
      </c>
      <c r="AR259" s="535">
        <v>4</v>
      </c>
      <c r="AS259" s="202">
        <f t="shared" si="170"/>
        <v>66.402416006040013</v>
      </c>
      <c r="AT259" s="197">
        <f t="shared" si="130"/>
        <v>0</v>
      </c>
      <c r="AU259" s="199">
        <f t="shared" si="131"/>
        <v>0</v>
      </c>
      <c r="AV259" s="110"/>
      <c r="AW259" s="125" t="e">
        <f>VLOOKUP(AX259,Sup!#REF!,8,0)</f>
        <v>#REF!</v>
      </c>
      <c r="AX259" s="1008" t="s">
        <v>199</v>
      </c>
      <c r="AY259" s="556">
        <v>0</v>
      </c>
      <c r="AZ259" s="41"/>
      <c r="BA259" s="41"/>
      <c r="BB259" s="41"/>
      <c r="BC259" s="41">
        <f t="shared" si="162"/>
        <v>0</v>
      </c>
      <c r="BD259" s="41" t="str">
        <f t="shared" si="169"/>
        <v/>
      </c>
      <c r="BE259" s="42">
        <f t="shared" si="145"/>
        <v>0</v>
      </c>
      <c r="BF259" s="971"/>
      <c r="BG259" s="236"/>
      <c r="BH259" s="12"/>
      <c r="BI259" s="12"/>
      <c r="BJ259" s="12"/>
      <c r="BK259" s="12"/>
      <c r="BL259" s="12"/>
      <c r="BM259" s="980">
        <f t="shared" si="156"/>
        <v>2304</v>
      </c>
      <c r="BN259" s="367"/>
      <c r="BO259" s="981"/>
      <c r="BP259" s="12"/>
      <c r="BQ259" s="12"/>
      <c r="BR259" s="12"/>
      <c r="BS259" s="973"/>
      <c r="BT259" s="12"/>
      <c r="BU259" s="12"/>
      <c r="BV259" s="12"/>
      <c r="BW259" s="982" t="s">
        <v>392</v>
      </c>
      <c r="BX259" s="983">
        <f t="shared" si="161"/>
        <v>0</v>
      </c>
      <c r="BY259" s="12" t="e">
        <f>VLOOKUP(B259,#REF!,13,0)</f>
        <v>#REF!</v>
      </c>
      <c r="BZ259" s="1055">
        <v>194.9</v>
      </c>
      <c r="CA259" s="1181" t="e">
        <f>VLOOKUP(B259,Pedido!$B$16:$L$292,22,0)</f>
        <v>#N/A</v>
      </c>
      <c r="CC259" s="1185" t="e">
        <f>SUM(CA259:CA267)</f>
        <v>#N/A</v>
      </c>
      <c r="CD259" s="1185"/>
      <c r="CE259" s="1186"/>
      <c r="CF259" s="1186"/>
    </row>
    <row r="260" spans="1:84" ht="24.75" customHeight="1" thickBot="1">
      <c r="A260" s="524"/>
      <c r="B260" s="140" t="s">
        <v>146</v>
      </c>
      <c r="C260" s="140" t="s">
        <v>225</v>
      </c>
      <c r="D260" s="369" t="s">
        <v>142</v>
      </c>
      <c r="E260" s="370" t="s">
        <v>124</v>
      </c>
      <c r="F260" s="371" t="s">
        <v>61</v>
      </c>
      <c r="G260" s="373">
        <v>900</v>
      </c>
      <c r="H260" s="1152">
        <v>89</v>
      </c>
      <c r="I260" s="129">
        <v>349.9</v>
      </c>
      <c r="J260" s="130" t="str">
        <f t="shared" si="166"/>
        <v/>
      </c>
      <c r="K260" s="131" t="str">
        <f t="shared" si="160"/>
        <v/>
      </c>
      <c r="L260" s="241">
        <v>264.89999999999998</v>
      </c>
      <c r="M260" s="473">
        <f t="shared" si="163"/>
        <v>233.9</v>
      </c>
      <c r="N260" s="473">
        <f t="shared" si="164"/>
        <v>233.9</v>
      </c>
      <c r="O260" s="473">
        <f t="shared" si="165"/>
        <v>233.9</v>
      </c>
      <c r="P260" s="132">
        <v>233.9</v>
      </c>
      <c r="Q260" s="132">
        <v>215.9</v>
      </c>
      <c r="R260" s="132">
        <v>211.9</v>
      </c>
      <c r="S260" s="133">
        <v>204.9</v>
      </c>
      <c r="T260" s="134" t="str">
        <f t="shared" si="157"/>
        <v/>
      </c>
      <c r="U260" s="135" t="str">
        <f t="shared" si="158"/>
        <v/>
      </c>
      <c r="V260" s="575"/>
      <c r="W260" s="694"/>
      <c r="X260" s="170"/>
      <c r="Y260" s="122" t="str">
        <f t="shared" si="155"/>
        <v/>
      </c>
      <c r="Z260" s="224">
        <f t="shared" si="135"/>
        <v>0</v>
      </c>
      <c r="AA260" s="136">
        <f t="shared" si="159"/>
        <v>0</v>
      </c>
      <c r="AB260" s="136">
        <f t="shared" si="167"/>
        <v>0</v>
      </c>
      <c r="AC260" s="136">
        <f t="shared" si="168"/>
        <v>0</v>
      </c>
      <c r="AD260" s="136">
        <f t="shared" si="144"/>
        <v>0</v>
      </c>
      <c r="AE260" s="136">
        <f t="shared" si="136"/>
        <v>0</v>
      </c>
      <c r="AF260" s="136">
        <f t="shared" si="137"/>
        <v>0</v>
      </c>
      <c r="AG260" s="137">
        <f t="shared" si="138"/>
        <v>0</v>
      </c>
      <c r="AH260" s="136">
        <f t="shared" si="139"/>
        <v>0</v>
      </c>
      <c r="AI260" s="136">
        <f t="shared" si="140"/>
        <v>0</v>
      </c>
      <c r="AJ260" s="136">
        <f t="shared" si="146"/>
        <v>0</v>
      </c>
      <c r="AK260" s="136">
        <f t="shared" si="147"/>
        <v>0</v>
      </c>
      <c r="AL260" s="136">
        <f t="shared" si="148"/>
        <v>0</v>
      </c>
      <c r="AM260" s="136">
        <f t="shared" si="141"/>
        <v>0</v>
      </c>
      <c r="AN260" s="136">
        <f t="shared" si="149"/>
        <v>0</v>
      </c>
      <c r="AO260" s="136">
        <f t="shared" si="150"/>
        <v>0</v>
      </c>
      <c r="AP260" s="138">
        <f t="shared" si="142"/>
        <v>0.6640241600604001</v>
      </c>
      <c r="AQ260" s="139">
        <f t="shared" si="143"/>
        <v>118.66666666666667</v>
      </c>
      <c r="AR260" s="537">
        <v>4</v>
      </c>
      <c r="AS260" s="202">
        <f t="shared" si="170"/>
        <v>66.402416006040013</v>
      </c>
      <c r="AT260" s="197">
        <f t="shared" ref="AT260:AT279" si="171">IFERROR(1-(AI260/AH260),0)</f>
        <v>0</v>
      </c>
      <c r="AU260" s="199">
        <f t="shared" ref="AU260:AU279" si="172">IFERROR(AO260/AH260,0)</f>
        <v>0</v>
      </c>
      <c r="AV260" s="110"/>
      <c r="AW260" s="138" t="e">
        <f>VLOOKUP(AX260,Sup!#REF!,8,0)</f>
        <v>#REF!</v>
      </c>
      <c r="AX260" s="1008" t="s">
        <v>199</v>
      </c>
      <c r="AY260" s="556">
        <v>0</v>
      </c>
      <c r="AZ260" s="35"/>
      <c r="BA260" s="35"/>
      <c r="BB260" s="35"/>
      <c r="BC260" s="35">
        <f t="shared" si="162"/>
        <v>0</v>
      </c>
      <c r="BD260" s="35" t="str">
        <f t="shared" si="169"/>
        <v/>
      </c>
      <c r="BE260" s="45">
        <f t="shared" si="145"/>
        <v>0</v>
      </c>
      <c r="BF260" s="971"/>
      <c r="BG260" s="236"/>
      <c r="BH260" s="12"/>
      <c r="BI260" s="12"/>
      <c r="BJ260" s="12"/>
      <c r="BK260" s="12"/>
      <c r="BL260" s="12"/>
      <c r="BM260" s="980">
        <f t="shared" si="156"/>
        <v>2328</v>
      </c>
      <c r="BN260" s="367"/>
      <c r="BO260" s="981"/>
      <c r="BP260" s="12"/>
      <c r="BQ260" s="12"/>
      <c r="BR260" s="12"/>
      <c r="BS260" s="973"/>
      <c r="BT260" s="12"/>
      <c r="BU260" s="12"/>
      <c r="BV260" s="12"/>
      <c r="BW260" s="982" t="s">
        <v>392</v>
      </c>
      <c r="BX260" s="983">
        <f t="shared" si="161"/>
        <v>0</v>
      </c>
      <c r="BY260" s="12" t="e">
        <f>VLOOKUP(B260,#REF!,13,0)</f>
        <v>#REF!</v>
      </c>
      <c r="BZ260" s="1056">
        <v>194.9</v>
      </c>
      <c r="CA260" s="1181" t="e">
        <f>VLOOKUP(B260,Pedido!$B$16:$L$292,22,0)</f>
        <v>#N/A</v>
      </c>
      <c r="CC260" s="1186" t="e">
        <f>ROUNDDOWN(CC259/12,0)</f>
        <v>#N/A</v>
      </c>
      <c r="CD260" s="1186"/>
      <c r="CE260" s="1186"/>
      <c r="CF260" s="1187">
        <f>IFERROR(CC260*AVERAGE(Pedido!K270:K280),0)</f>
        <v>0</v>
      </c>
    </row>
    <row r="261" spans="1:84" ht="24.75" customHeight="1" thickBot="1">
      <c r="A261" s="524"/>
      <c r="B261" s="140" t="s">
        <v>143</v>
      </c>
      <c r="C261" s="140" t="str">
        <f>LEFT(B261,6)</f>
        <v>PPOWPI</v>
      </c>
      <c r="D261" s="369" t="s">
        <v>142</v>
      </c>
      <c r="E261" s="370" t="s">
        <v>125</v>
      </c>
      <c r="F261" s="371" t="s">
        <v>61</v>
      </c>
      <c r="G261" s="373">
        <v>900</v>
      </c>
      <c r="H261" s="1152">
        <v>89</v>
      </c>
      <c r="I261" s="129">
        <v>349.9</v>
      </c>
      <c r="J261" s="130" t="str">
        <f t="shared" si="166"/>
        <v/>
      </c>
      <c r="K261" s="131" t="str">
        <f t="shared" si="160"/>
        <v/>
      </c>
      <c r="L261" s="241">
        <v>264.89999999999998</v>
      </c>
      <c r="M261" s="473">
        <f t="shared" si="163"/>
        <v>233.9</v>
      </c>
      <c r="N261" s="473">
        <f t="shared" si="164"/>
        <v>233.9</v>
      </c>
      <c r="O261" s="473">
        <f t="shared" si="165"/>
        <v>233.9</v>
      </c>
      <c r="P261" s="132">
        <v>233.9</v>
      </c>
      <c r="Q261" s="132">
        <v>215.9</v>
      </c>
      <c r="R261" s="132">
        <v>211.9</v>
      </c>
      <c r="S261" s="133">
        <v>204.9</v>
      </c>
      <c r="T261" s="134" t="str">
        <f t="shared" si="157"/>
        <v/>
      </c>
      <c r="U261" s="135" t="str">
        <f t="shared" si="158"/>
        <v/>
      </c>
      <c r="V261" s="575"/>
      <c r="W261" s="694"/>
      <c r="X261" s="170"/>
      <c r="Y261" s="122" t="str">
        <f t="shared" si="155"/>
        <v/>
      </c>
      <c r="Z261" s="224">
        <f t="shared" si="135"/>
        <v>0</v>
      </c>
      <c r="AA261" s="136">
        <f t="shared" si="159"/>
        <v>0</v>
      </c>
      <c r="AB261" s="136">
        <f t="shared" si="167"/>
        <v>0</v>
      </c>
      <c r="AC261" s="136">
        <f t="shared" si="168"/>
        <v>0</v>
      </c>
      <c r="AD261" s="136">
        <f t="shared" si="144"/>
        <v>0</v>
      </c>
      <c r="AE261" s="136">
        <f t="shared" si="136"/>
        <v>0</v>
      </c>
      <c r="AF261" s="136">
        <f t="shared" si="137"/>
        <v>0</v>
      </c>
      <c r="AG261" s="137">
        <f t="shared" si="138"/>
        <v>0</v>
      </c>
      <c r="AH261" s="136">
        <f t="shared" si="139"/>
        <v>0</v>
      </c>
      <c r="AI261" s="136">
        <f t="shared" si="140"/>
        <v>0</v>
      </c>
      <c r="AJ261" s="136">
        <f t="shared" si="146"/>
        <v>0</v>
      </c>
      <c r="AK261" s="136">
        <f t="shared" si="147"/>
        <v>0</v>
      </c>
      <c r="AL261" s="136">
        <f t="shared" si="148"/>
        <v>0</v>
      </c>
      <c r="AM261" s="136">
        <f t="shared" si="141"/>
        <v>0</v>
      </c>
      <c r="AN261" s="136">
        <f t="shared" si="149"/>
        <v>0</v>
      </c>
      <c r="AO261" s="136">
        <f t="shared" si="150"/>
        <v>0</v>
      </c>
      <c r="AP261" s="138">
        <f t="shared" si="142"/>
        <v>0.6640241600604001</v>
      </c>
      <c r="AQ261" s="139">
        <f t="shared" si="143"/>
        <v>118.66666666666667</v>
      </c>
      <c r="AR261" s="537">
        <v>4</v>
      </c>
      <c r="AS261" s="202">
        <f t="shared" si="170"/>
        <v>66.402416006040013</v>
      </c>
      <c r="AT261" s="197">
        <f t="shared" si="171"/>
        <v>0</v>
      </c>
      <c r="AU261" s="199">
        <f t="shared" si="172"/>
        <v>0</v>
      </c>
      <c r="AV261" s="110"/>
      <c r="AW261" s="138" t="e">
        <f>VLOOKUP(AX261,Sup!#REF!,8,0)</f>
        <v>#REF!</v>
      </c>
      <c r="AX261" s="1008" t="s">
        <v>199</v>
      </c>
      <c r="AY261" s="556">
        <v>0</v>
      </c>
      <c r="AZ261" s="35"/>
      <c r="BA261" s="35"/>
      <c r="BB261" s="35"/>
      <c r="BC261" s="35">
        <f t="shared" si="162"/>
        <v>0</v>
      </c>
      <c r="BD261" s="35" t="str">
        <f t="shared" si="169"/>
        <v/>
      </c>
      <c r="BE261" s="45">
        <f t="shared" si="145"/>
        <v>0</v>
      </c>
      <c r="BF261" s="971"/>
      <c r="BG261" s="236"/>
      <c r="BH261" s="12"/>
      <c r="BI261" s="12"/>
      <c r="BJ261" s="12"/>
      <c r="BK261" s="12"/>
      <c r="BL261" s="12"/>
      <c r="BM261" s="980">
        <f t="shared" si="156"/>
        <v>2352</v>
      </c>
      <c r="BN261" s="367"/>
      <c r="BO261" s="981"/>
      <c r="BP261" s="12"/>
      <c r="BQ261" s="12"/>
      <c r="BR261" s="12"/>
      <c r="BS261" s="973"/>
      <c r="BT261" s="12"/>
      <c r="BU261" s="12"/>
      <c r="BV261" s="12"/>
      <c r="BW261" s="982" t="s">
        <v>392</v>
      </c>
      <c r="BX261" s="983">
        <f t="shared" si="161"/>
        <v>0</v>
      </c>
      <c r="BY261" s="12" t="e">
        <f>VLOOKUP(B261,#REF!,13,0)</f>
        <v>#REF!</v>
      </c>
      <c r="BZ261" s="1056">
        <v>194.9</v>
      </c>
      <c r="CA261" s="1181" t="e">
        <f>VLOOKUP(B261,Pedido!$B$16:$L$292,22,0)</f>
        <v>#N/A</v>
      </c>
    </row>
    <row r="262" spans="1:84" ht="24.75" customHeight="1" thickBot="1">
      <c r="A262" s="524"/>
      <c r="B262" s="140" t="s">
        <v>518</v>
      </c>
      <c r="C262" s="140" t="str">
        <f>LEFT(B262,6)</f>
        <v>411113</v>
      </c>
      <c r="D262" s="369" t="s">
        <v>142</v>
      </c>
      <c r="E262" s="370" t="s">
        <v>274</v>
      </c>
      <c r="F262" s="371" t="s">
        <v>61</v>
      </c>
      <c r="G262" s="373">
        <v>900</v>
      </c>
      <c r="H262" s="1152">
        <v>89</v>
      </c>
      <c r="I262" s="129">
        <v>349.9</v>
      </c>
      <c r="J262" s="130" t="str">
        <f t="shared" si="166"/>
        <v/>
      </c>
      <c r="K262" s="131" t="str">
        <f t="shared" si="160"/>
        <v/>
      </c>
      <c r="L262" s="241">
        <v>264.89999999999998</v>
      </c>
      <c r="M262" s="473">
        <f t="shared" si="163"/>
        <v>233.9</v>
      </c>
      <c r="N262" s="473">
        <f t="shared" si="164"/>
        <v>233.9</v>
      </c>
      <c r="O262" s="473">
        <f t="shared" si="165"/>
        <v>233.9</v>
      </c>
      <c r="P262" s="132">
        <v>233.9</v>
      </c>
      <c r="Q262" s="132">
        <v>215.9</v>
      </c>
      <c r="R262" s="132">
        <v>211.9</v>
      </c>
      <c r="S262" s="133">
        <v>204.9</v>
      </c>
      <c r="T262" s="134" t="str">
        <f t="shared" si="157"/>
        <v/>
      </c>
      <c r="U262" s="135" t="str">
        <f t="shared" si="158"/>
        <v/>
      </c>
      <c r="V262" s="575"/>
      <c r="W262" s="694"/>
      <c r="X262" s="170"/>
      <c r="Y262" s="122" t="str">
        <f t="shared" si="155"/>
        <v/>
      </c>
      <c r="Z262" s="224">
        <f t="shared" si="135"/>
        <v>0</v>
      </c>
      <c r="AA262" s="136">
        <f t="shared" si="159"/>
        <v>0</v>
      </c>
      <c r="AB262" s="136">
        <f t="shared" si="167"/>
        <v>0</v>
      </c>
      <c r="AC262" s="136">
        <f t="shared" si="168"/>
        <v>0</v>
      </c>
      <c r="AD262" s="136">
        <f t="shared" si="144"/>
        <v>0</v>
      </c>
      <c r="AE262" s="136">
        <f t="shared" si="136"/>
        <v>0</v>
      </c>
      <c r="AF262" s="136">
        <f t="shared" si="137"/>
        <v>0</v>
      </c>
      <c r="AG262" s="137">
        <f t="shared" si="138"/>
        <v>0</v>
      </c>
      <c r="AH262" s="136">
        <f t="shared" si="139"/>
        <v>0</v>
      </c>
      <c r="AI262" s="136">
        <f t="shared" si="140"/>
        <v>0</v>
      </c>
      <c r="AJ262" s="136">
        <f t="shared" si="146"/>
        <v>0</v>
      </c>
      <c r="AK262" s="136">
        <f t="shared" si="147"/>
        <v>0</v>
      </c>
      <c r="AL262" s="136">
        <f t="shared" si="148"/>
        <v>0</v>
      </c>
      <c r="AM262" s="136">
        <f t="shared" si="141"/>
        <v>0</v>
      </c>
      <c r="AN262" s="136">
        <f t="shared" si="149"/>
        <v>0</v>
      </c>
      <c r="AO262" s="136">
        <f t="shared" si="150"/>
        <v>0</v>
      </c>
      <c r="AP262" s="138">
        <f t="shared" si="142"/>
        <v>0.6640241600604001</v>
      </c>
      <c r="AQ262" s="139">
        <f t="shared" si="143"/>
        <v>118.66666666666667</v>
      </c>
      <c r="AR262" s="537">
        <v>4</v>
      </c>
      <c r="AS262" s="202">
        <f t="shared" si="170"/>
        <v>66.402416006040013</v>
      </c>
      <c r="AT262" s="197">
        <f t="shared" si="171"/>
        <v>0</v>
      </c>
      <c r="AU262" s="199">
        <f t="shared" si="172"/>
        <v>0</v>
      </c>
      <c r="AV262" s="110"/>
      <c r="AW262" s="138" t="e">
        <f>VLOOKUP(AX262,Sup!#REF!,8,0)</f>
        <v>#REF!</v>
      </c>
      <c r="AX262" s="1008" t="s">
        <v>199</v>
      </c>
      <c r="AY262" s="556">
        <v>0</v>
      </c>
      <c r="AZ262" s="35"/>
      <c r="BA262" s="35"/>
      <c r="BB262" s="35"/>
      <c r="BC262" s="35">
        <f t="shared" si="162"/>
        <v>0</v>
      </c>
      <c r="BD262" s="35" t="str">
        <f t="shared" si="169"/>
        <v/>
      </c>
      <c r="BE262" s="45">
        <f t="shared" si="145"/>
        <v>0</v>
      </c>
      <c r="BF262" s="971"/>
      <c r="BG262" s="236"/>
      <c r="BH262" s="12"/>
      <c r="BI262" s="12"/>
      <c r="BJ262" s="12"/>
      <c r="BK262" s="12"/>
      <c r="BL262" s="12"/>
      <c r="BM262" s="980">
        <f t="shared" si="156"/>
        <v>2376</v>
      </c>
      <c r="BN262" s="367"/>
      <c r="BO262" s="981"/>
      <c r="BP262" s="12"/>
      <c r="BQ262" s="12"/>
      <c r="BR262" s="12"/>
      <c r="BS262" s="973"/>
      <c r="BT262" s="12"/>
      <c r="BU262" s="12"/>
      <c r="BV262" s="12"/>
      <c r="BW262" s="982" t="s">
        <v>392</v>
      </c>
      <c r="BX262" s="983">
        <f t="shared" si="161"/>
        <v>0</v>
      </c>
      <c r="BY262" s="12" t="e">
        <f>VLOOKUP(B262,#REF!,13,0)</f>
        <v>#REF!</v>
      </c>
      <c r="BZ262" s="1056">
        <v>194.9</v>
      </c>
      <c r="CA262" s="1181" t="e">
        <f>VLOOKUP(B262,Pedido!$B$16:$L$292,22,0)</f>
        <v>#N/A</v>
      </c>
    </row>
    <row r="263" spans="1:84" ht="24.75" customHeight="1" thickBot="1">
      <c r="A263" s="524"/>
      <c r="B263" s="140" t="s">
        <v>145</v>
      </c>
      <c r="C263" s="140" t="str">
        <f>LEFT(B263,6)</f>
        <v>PPOWPI</v>
      </c>
      <c r="D263" s="369" t="s">
        <v>142</v>
      </c>
      <c r="E263" s="370" t="s">
        <v>118</v>
      </c>
      <c r="F263" s="371" t="s">
        <v>61</v>
      </c>
      <c r="G263" s="373">
        <v>900</v>
      </c>
      <c r="H263" s="1152">
        <v>89</v>
      </c>
      <c r="I263" s="129">
        <v>349.9</v>
      </c>
      <c r="J263" s="130" t="str">
        <f t="shared" si="166"/>
        <v/>
      </c>
      <c r="K263" s="131" t="str">
        <f t="shared" si="160"/>
        <v/>
      </c>
      <c r="L263" s="241">
        <v>264.89999999999998</v>
      </c>
      <c r="M263" s="473">
        <f t="shared" si="163"/>
        <v>233.9</v>
      </c>
      <c r="N263" s="473">
        <f t="shared" si="164"/>
        <v>233.9</v>
      </c>
      <c r="O263" s="473">
        <f t="shared" si="165"/>
        <v>233.9</v>
      </c>
      <c r="P263" s="132">
        <v>233.9</v>
      </c>
      <c r="Q263" s="132">
        <v>215.9</v>
      </c>
      <c r="R263" s="132">
        <v>211.9</v>
      </c>
      <c r="S263" s="133">
        <v>204.9</v>
      </c>
      <c r="T263" s="134" t="str">
        <f t="shared" si="157"/>
        <v/>
      </c>
      <c r="U263" s="135" t="str">
        <f t="shared" si="158"/>
        <v/>
      </c>
      <c r="V263" s="575"/>
      <c r="W263" s="694"/>
      <c r="X263" s="170"/>
      <c r="Y263" s="122" t="str">
        <f t="shared" si="155"/>
        <v/>
      </c>
      <c r="Z263" s="224">
        <f t="shared" si="135"/>
        <v>0</v>
      </c>
      <c r="AA263" s="136">
        <f t="shared" si="159"/>
        <v>0</v>
      </c>
      <c r="AB263" s="136">
        <f t="shared" si="167"/>
        <v>0</v>
      </c>
      <c r="AC263" s="136">
        <f t="shared" si="168"/>
        <v>0</v>
      </c>
      <c r="AD263" s="136">
        <f t="shared" si="144"/>
        <v>0</v>
      </c>
      <c r="AE263" s="136">
        <f t="shared" si="136"/>
        <v>0</v>
      </c>
      <c r="AF263" s="136">
        <f t="shared" si="137"/>
        <v>0</v>
      </c>
      <c r="AG263" s="137">
        <f t="shared" si="138"/>
        <v>0</v>
      </c>
      <c r="AH263" s="136">
        <f t="shared" si="139"/>
        <v>0</v>
      </c>
      <c r="AI263" s="136">
        <f t="shared" si="140"/>
        <v>0</v>
      </c>
      <c r="AJ263" s="136">
        <f t="shared" si="146"/>
        <v>0</v>
      </c>
      <c r="AK263" s="136">
        <f t="shared" si="147"/>
        <v>0</v>
      </c>
      <c r="AL263" s="136">
        <f t="shared" si="148"/>
        <v>0</v>
      </c>
      <c r="AM263" s="136">
        <f t="shared" si="141"/>
        <v>0</v>
      </c>
      <c r="AN263" s="136">
        <f t="shared" si="149"/>
        <v>0</v>
      </c>
      <c r="AO263" s="136">
        <f t="shared" si="150"/>
        <v>0</v>
      </c>
      <c r="AP263" s="138">
        <f t="shared" si="142"/>
        <v>0.6640241600604001</v>
      </c>
      <c r="AQ263" s="139">
        <f t="shared" si="143"/>
        <v>118.66666666666667</v>
      </c>
      <c r="AR263" s="537">
        <v>4</v>
      </c>
      <c r="AS263" s="202">
        <f t="shared" si="170"/>
        <v>66.402416006040013</v>
      </c>
      <c r="AT263" s="197">
        <f t="shared" si="171"/>
        <v>0</v>
      </c>
      <c r="AU263" s="199">
        <f t="shared" si="172"/>
        <v>0</v>
      </c>
      <c r="AV263" s="110"/>
      <c r="AW263" s="138" t="e">
        <f>VLOOKUP(AX263,Sup!#REF!,8,0)</f>
        <v>#REF!</v>
      </c>
      <c r="AX263" s="1008" t="s">
        <v>199</v>
      </c>
      <c r="AY263" s="556">
        <v>0</v>
      </c>
      <c r="AZ263" s="35"/>
      <c r="BA263" s="35"/>
      <c r="BB263" s="35"/>
      <c r="BC263" s="35">
        <f t="shared" si="162"/>
        <v>0</v>
      </c>
      <c r="BD263" s="35" t="str">
        <f t="shared" si="169"/>
        <v/>
      </c>
      <c r="BE263" s="45">
        <f t="shared" si="145"/>
        <v>0</v>
      </c>
      <c r="BF263" s="971"/>
      <c r="BG263" s="236"/>
      <c r="BH263" s="12"/>
      <c r="BI263" s="12"/>
      <c r="BJ263" s="12"/>
      <c r="BK263" s="12"/>
      <c r="BL263" s="12"/>
      <c r="BM263" s="980">
        <f t="shared" si="156"/>
        <v>2400</v>
      </c>
      <c r="BN263" s="367"/>
      <c r="BO263" s="981"/>
      <c r="BP263" s="12"/>
      <c r="BQ263" s="12"/>
      <c r="BR263" s="12"/>
      <c r="BS263" s="973"/>
      <c r="BT263" s="12"/>
      <c r="BU263" s="12"/>
      <c r="BV263" s="12"/>
      <c r="BW263" s="982" t="s">
        <v>392</v>
      </c>
      <c r="BX263" s="983">
        <f t="shared" si="161"/>
        <v>0</v>
      </c>
      <c r="BY263" s="12" t="e">
        <f>VLOOKUP(B263,#REF!,13,0)</f>
        <v>#REF!</v>
      </c>
      <c r="BZ263" s="1056">
        <v>194.9</v>
      </c>
    </row>
    <row r="264" spans="1:84" ht="24.75" customHeight="1" thickBot="1">
      <c r="A264" s="524"/>
      <c r="B264" s="140" t="s">
        <v>224</v>
      </c>
      <c r="C264" s="140" t="s">
        <v>225</v>
      </c>
      <c r="D264" s="369" t="s">
        <v>142</v>
      </c>
      <c r="E264" s="370" t="s">
        <v>126</v>
      </c>
      <c r="F264" s="371" t="s">
        <v>61</v>
      </c>
      <c r="G264" s="373">
        <v>900</v>
      </c>
      <c r="H264" s="1152">
        <v>89</v>
      </c>
      <c r="I264" s="129">
        <v>349.9</v>
      </c>
      <c r="J264" s="130" t="str">
        <f t="shared" si="166"/>
        <v/>
      </c>
      <c r="K264" s="131" t="str">
        <f t="shared" si="160"/>
        <v/>
      </c>
      <c r="L264" s="241">
        <v>264.89999999999998</v>
      </c>
      <c r="M264" s="473">
        <f t="shared" si="163"/>
        <v>233.9</v>
      </c>
      <c r="N264" s="473">
        <f t="shared" si="164"/>
        <v>233.9</v>
      </c>
      <c r="O264" s="473">
        <f t="shared" si="165"/>
        <v>233.9</v>
      </c>
      <c r="P264" s="132">
        <v>233.9</v>
      </c>
      <c r="Q264" s="132">
        <v>215.9</v>
      </c>
      <c r="R264" s="132">
        <v>211.9</v>
      </c>
      <c r="S264" s="133">
        <v>204.9</v>
      </c>
      <c r="T264" s="134" t="str">
        <f t="shared" si="157"/>
        <v/>
      </c>
      <c r="U264" s="135" t="str">
        <f t="shared" si="158"/>
        <v/>
      </c>
      <c r="V264" s="575"/>
      <c r="W264" s="694"/>
      <c r="X264" s="170"/>
      <c r="Y264" s="122" t="str">
        <f t="shared" si="155"/>
        <v/>
      </c>
      <c r="Z264" s="224">
        <f t="shared" si="135"/>
        <v>0</v>
      </c>
      <c r="AA264" s="136">
        <f t="shared" si="159"/>
        <v>0</v>
      </c>
      <c r="AB264" s="136">
        <f t="shared" si="167"/>
        <v>0</v>
      </c>
      <c r="AC264" s="136">
        <f t="shared" si="168"/>
        <v>0</v>
      </c>
      <c r="AD264" s="136">
        <f t="shared" si="144"/>
        <v>0</v>
      </c>
      <c r="AE264" s="136">
        <f t="shared" si="136"/>
        <v>0</v>
      </c>
      <c r="AF264" s="136">
        <f t="shared" si="137"/>
        <v>0</v>
      </c>
      <c r="AG264" s="137">
        <f t="shared" si="138"/>
        <v>0</v>
      </c>
      <c r="AH264" s="136">
        <f t="shared" si="139"/>
        <v>0</v>
      </c>
      <c r="AI264" s="136">
        <f t="shared" si="140"/>
        <v>0</v>
      </c>
      <c r="AJ264" s="136">
        <f t="shared" si="146"/>
        <v>0</v>
      </c>
      <c r="AK264" s="136">
        <f t="shared" si="147"/>
        <v>0</v>
      </c>
      <c r="AL264" s="136">
        <f t="shared" si="148"/>
        <v>0</v>
      </c>
      <c r="AM264" s="136">
        <f t="shared" si="141"/>
        <v>0</v>
      </c>
      <c r="AN264" s="136">
        <f t="shared" si="149"/>
        <v>0</v>
      </c>
      <c r="AO264" s="136">
        <f t="shared" si="150"/>
        <v>0</v>
      </c>
      <c r="AP264" s="138">
        <f t="shared" si="142"/>
        <v>0.6640241600604001</v>
      </c>
      <c r="AQ264" s="139">
        <f t="shared" si="143"/>
        <v>118.66666666666667</v>
      </c>
      <c r="AR264" s="537">
        <v>4</v>
      </c>
      <c r="AS264" s="202">
        <f t="shared" si="170"/>
        <v>66.402416006040013</v>
      </c>
      <c r="AT264" s="197">
        <f t="shared" si="171"/>
        <v>0</v>
      </c>
      <c r="AU264" s="199">
        <f t="shared" si="172"/>
        <v>0</v>
      </c>
      <c r="AV264" s="110"/>
      <c r="AW264" s="138" t="e">
        <f>VLOOKUP(AX264,Sup!#REF!,8,0)</f>
        <v>#REF!</v>
      </c>
      <c r="AX264" s="1008" t="s">
        <v>199</v>
      </c>
      <c r="AY264" s="556">
        <v>0</v>
      </c>
      <c r="AZ264" s="35"/>
      <c r="BA264" s="35"/>
      <c r="BB264" s="35"/>
      <c r="BC264" s="35">
        <f t="shared" si="162"/>
        <v>0</v>
      </c>
      <c r="BD264" s="35" t="str">
        <f t="shared" si="169"/>
        <v/>
      </c>
      <c r="BE264" s="45">
        <f t="shared" si="145"/>
        <v>0</v>
      </c>
      <c r="BF264" s="971"/>
      <c r="BG264" s="236"/>
      <c r="BH264" s="12"/>
      <c r="BI264" s="12"/>
      <c r="BJ264" s="12"/>
      <c r="BK264" s="12"/>
      <c r="BL264" s="12"/>
      <c r="BM264" s="980">
        <f t="shared" si="156"/>
        <v>2424</v>
      </c>
      <c r="BN264" s="367"/>
      <c r="BO264" s="981"/>
      <c r="BP264" s="12"/>
      <c r="BQ264" s="12"/>
      <c r="BR264" s="12"/>
      <c r="BS264" s="973"/>
      <c r="BT264" s="12"/>
      <c r="BU264" s="12"/>
      <c r="BV264" s="12"/>
      <c r="BW264" s="982" t="s">
        <v>392</v>
      </c>
      <c r="BX264" s="983">
        <f t="shared" si="161"/>
        <v>0</v>
      </c>
      <c r="BY264" s="12" t="e">
        <f>VLOOKUP(B264,#REF!,13,0)</f>
        <v>#REF!</v>
      </c>
      <c r="BZ264" s="1056">
        <v>194.9</v>
      </c>
      <c r="CA264" s="1181" t="e">
        <f>VLOOKUP(B264,Pedido!$B$16:$L$292,22,0)</f>
        <v>#N/A</v>
      </c>
    </row>
    <row r="265" spans="1:84" ht="24.75" customHeight="1" thickBot="1">
      <c r="A265" s="524"/>
      <c r="B265" s="140" t="s">
        <v>519</v>
      </c>
      <c r="C265" s="140" t="s">
        <v>225</v>
      </c>
      <c r="D265" s="369" t="s">
        <v>142</v>
      </c>
      <c r="E265" s="370" t="s">
        <v>271</v>
      </c>
      <c r="F265" s="371" t="s">
        <v>61</v>
      </c>
      <c r="G265" s="373">
        <v>900</v>
      </c>
      <c r="H265" s="1152">
        <v>89</v>
      </c>
      <c r="I265" s="129">
        <v>349.9</v>
      </c>
      <c r="J265" s="130" t="str">
        <f t="shared" si="166"/>
        <v/>
      </c>
      <c r="K265" s="131" t="str">
        <f t="shared" si="160"/>
        <v/>
      </c>
      <c r="L265" s="241">
        <v>264.89999999999998</v>
      </c>
      <c r="M265" s="473">
        <f t="shared" si="163"/>
        <v>233.9</v>
      </c>
      <c r="N265" s="473">
        <f t="shared" si="164"/>
        <v>233.9</v>
      </c>
      <c r="O265" s="473">
        <f t="shared" si="165"/>
        <v>233.9</v>
      </c>
      <c r="P265" s="132">
        <v>233.9</v>
      </c>
      <c r="Q265" s="132">
        <v>215.9</v>
      </c>
      <c r="R265" s="132">
        <v>211.9</v>
      </c>
      <c r="S265" s="133">
        <v>204.9</v>
      </c>
      <c r="T265" s="134" t="str">
        <f t="shared" si="157"/>
        <v/>
      </c>
      <c r="U265" s="135" t="str">
        <f t="shared" si="158"/>
        <v/>
      </c>
      <c r="V265" s="575"/>
      <c r="W265" s="694"/>
      <c r="X265" s="170"/>
      <c r="Y265" s="122" t="str">
        <f t="shared" si="155"/>
        <v/>
      </c>
      <c r="Z265" s="224">
        <f t="shared" ref="Z265:Z275" si="173">IF(X265&gt;W265,-1,IF(W265=0,0,IF(U265&lt;(H265/0.75),-1,IF(W265&lt;=3,0,0.0001))))</f>
        <v>0</v>
      </c>
      <c r="AA265" s="136">
        <f t="shared" si="159"/>
        <v>0</v>
      </c>
      <c r="AB265" s="136">
        <f t="shared" si="167"/>
        <v>0</v>
      </c>
      <c r="AC265" s="136">
        <f t="shared" si="168"/>
        <v>0</v>
      </c>
      <c r="AD265" s="136">
        <f t="shared" si="144"/>
        <v>0</v>
      </c>
      <c r="AE265" s="136">
        <f t="shared" si="136"/>
        <v>0</v>
      </c>
      <c r="AF265" s="136">
        <f t="shared" si="137"/>
        <v>0</v>
      </c>
      <c r="AG265" s="137">
        <f t="shared" si="138"/>
        <v>0</v>
      </c>
      <c r="AH265" s="136">
        <f t="shared" si="139"/>
        <v>0</v>
      </c>
      <c r="AI265" s="136">
        <f t="shared" si="140"/>
        <v>0</v>
      </c>
      <c r="AJ265" s="136">
        <f t="shared" si="146"/>
        <v>0</v>
      </c>
      <c r="AK265" s="136">
        <f t="shared" si="147"/>
        <v>0</v>
      </c>
      <c r="AL265" s="136">
        <f t="shared" si="148"/>
        <v>0</v>
      </c>
      <c r="AM265" s="136">
        <f t="shared" si="141"/>
        <v>0</v>
      </c>
      <c r="AN265" s="136">
        <f t="shared" si="149"/>
        <v>0</v>
      </c>
      <c r="AO265" s="136">
        <f t="shared" si="150"/>
        <v>0</v>
      </c>
      <c r="AP265" s="138">
        <f t="shared" si="142"/>
        <v>0.6640241600604001</v>
      </c>
      <c r="AQ265" s="139">
        <f t="shared" si="143"/>
        <v>118.66666666666667</v>
      </c>
      <c r="AR265" s="537">
        <v>4</v>
      </c>
      <c r="AS265" s="202">
        <f t="shared" si="170"/>
        <v>66.402416006040013</v>
      </c>
      <c r="AT265" s="197">
        <f t="shared" si="171"/>
        <v>0</v>
      </c>
      <c r="AU265" s="199">
        <f t="shared" si="172"/>
        <v>0</v>
      </c>
      <c r="AV265" s="110"/>
      <c r="AW265" s="138" t="e">
        <f>VLOOKUP(AX265,Sup!#REF!,8,0)</f>
        <v>#REF!</v>
      </c>
      <c r="AX265" s="1008" t="s">
        <v>199</v>
      </c>
      <c r="AY265" s="556">
        <v>0</v>
      </c>
      <c r="AZ265" s="35"/>
      <c r="BA265" s="35"/>
      <c r="BB265" s="35"/>
      <c r="BC265" s="35">
        <f t="shared" si="162"/>
        <v>0</v>
      </c>
      <c r="BD265" s="35" t="str">
        <f t="shared" si="169"/>
        <v/>
      </c>
      <c r="BE265" s="45">
        <f t="shared" si="145"/>
        <v>0</v>
      </c>
      <c r="BF265" s="971"/>
      <c r="BG265" s="236"/>
      <c r="BH265" s="12"/>
      <c r="BI265" s="12"/>
      <c r="BJ265" s="12"/>
      <c r="BK265" s="12"/>
      <c r="BL265" s="12"/>
      <c r="BM265" s="980">
        <f t="shared" si="156"/>
        <v>2448</v>
      </c>
      <c r="BN265" s="367"/>
      <c r="BO265" s="981"/>
      <c r="BP265" s="12"/>
      <c r="BQ265" s="12"/>
      <c r="BR265" s="12"/>
      <c r="BS265" s="973"/>
      <c r="BT265" s="12"/>
      <c r="BU265" s="12"/>
      <c r="BV265" s="12"/>
      <c r="BW265" s="982" t="s">
        <v>392</v>
      </c>
      <c r="BX265" s="983">
        <f t="shared" si="161"/>
        <v>0</v>
      </c>
      <c r="BY265" s="12" t="e">
        <f>VLOOKUP(B265,#REF!,13,0)</f>
        <v>#REF!</v>
      </c>
      <c r="BZ265" s="1056">
        <v>194.9</v>
      </c>
      <c r="CA265" s="1181" t="e">
        <f>VLOOKUP(B265,Pedido!$B$16:$L$292,22,0)</f>
        <v>#N/A</v>
      </c>
    </row>
    <row r="266" spans="1:84" ht="24.75" customHeight="1" thickBot="1">
      <c r="A266" s="524"/>
      <c r="B266" s="140" t="s">
        <v>144</v>
      </c>
      <c r="C266" s="140" t="str">
        <f>LEFT(B266,6)</f>
        <v>PPOWPI</v>
      </c>
      <c r="D266" s="369" t="s">
        <v>142</v>
      </c>
      <c r="E266" s="370" t="s">
        <v>74</v>
      </c>
      <c r="F266" s="371" t="s">
        <v>61</v>
      </c>
      <c r="G266" s="373">
        <v>900</v>
      </c>
      <c r="H266" s="1152">
        <v>89</v>
      </c>
      <c r="I266" s="129">
        <v>349.9</v>
      </c>
      <c r="J266" s="130" t="str">
        <f t="shared" si="166"/>
        <v/>
      </c>
      <c r="K266" s="131" t="str">
        <f t="shared" si="160"/>
        <v/>
      </c>
      <c r="L266" s="241">
        <v>264.89999999999998</v>
      </c>
      <c r="M266" s="473">
        <f t="shared" si="163"/>
        <v>233.9</v>
      </c>
      <c r="N266" s="473">
        <f t="shared" si="164"/>
        <v>233.9</v>
      </c>
      <c r="O266" s="473">
        <f t="shared" si="165"/>
        <v>233.9</v>
      </c>
      <c r="P266" s="132">
        <v>233.9</v>
      </c>
      <c r="Q266" s="132">
        <v>215.9</v>
      </c>
      <c r="R266" s="132">
        <v>211.9</v>
      </c>
      <c r="S266" s="133">
        <v>204.9</v>
      </c>
      <c r="T266" s="134" t="str">
        <f t="shared" si="157"/>
        <v/>
      </c>
      <c r="U266" s="135" t="str">
        <f t="shared" si="158"/>
        <v/>
      </c>
      <c r="V266" s="575"/>
      <c r="W266" s="694"/>
      <c r="X266" s="170"/>
      <c r="Y266" s="122" t="str">
        <f t="shared" si="155"/>
        <v/>
      </c>
      <c r="Z266" s="224">
        <f t="shared" si="173"/>
        <v>0</v>
      </c>
      <c r="AA266" s="136">
        <f t="shared" si="159"/>
        <v>0</v>
      </c>
      <c r="AB266" s="136">
        <f t="shared" si="167"/>
        <v>0</v>
      </c>
      <c r="AC266" s="136">
        <f t="shared" si="168"/>
        <v>0</v>
      </c>
      <c r="AD266" s="136">
        <f t="shared" si="144"/>
        <v>0</v>
      </c>
      <c r="AE266" s="136">
        <f t="shared" ref="AE266:AE279" si="174">IFERROR(W266*H266,0)</f>
        <v>0</v>
      </c>
      <c r="AF266" s="136">
        <f t="shared" ref="AF266:AF279" si="175">IFERROR(1-(AE266/AB266),0)</f>
        <v>0</v>
      </c>
      <c r="AG266" s="137">
        <f t="shared" ref="AG266:AG279" si="176">IFERROR(SUM(W266:X266)*I266,0)</f>
        <v>0</v>
      </c>
      <c r="AH266" s="136">
        <f t="shared" ref="AH266:AH279" si="177">IFERROR(IF(V266&gt;0,V266*W266,(Y266*W266)),0)</f>
        <v>0</v>
      </c>
      <c r="AI266" s="136">
        <f t="shared" ref="AI266:AI279" si="178">IFERROR(SUM(W266)*H266,0)</f>
        <v>0</v>
      </c>
      <c r="AJ266" s="136">
        <f t="shared" si="146"/>
        <v>0</v>
      </c>
      <c r="AK266" s="136">
        <f t="shared" si="147"/>
        <v>0</v>
      </c>
      <c r="AL266" s="136">
        <f t="shared" si="148"/>
        <v>0</v>
      </c>
      <c r="AM266" s="136">
        <f t="shared" ref="AM266:AM279" si="179">SUM(AJ266:AL266)</f>
        <v>0</v>
      </c>
      <c r="AN266" s="136">
        <f t="shared" si="149"/>
        <v>0</v>
      </c>
      <c r="AO266" s="136">
        <f t="shared" si="150"/>
        <v>0</v>
      </c>
      <c r="AP266" s="138">
        <f t="shared" ref="AP266:AP279" si="180">IFERROR(IF(V266&lt;&gt;"",1-(H266/V266),IF(Y266&lt;&gt;"",1-(H266/Y266),1-(H266/L266))),0)</f>
        <v>0.6640241600604001</v>
      </c>
      <c r="AQ266" s="139">
        <f t="shared" ref="AQ266:AQ279" si="181">H266/0.75</f>
        <v>118.66666666666667</v>
      </c>
      <c r="AR266" s="537">
        <v>4</v>
      </c>
      <c r="AS266" s="202">
        <f t="shared" si="170"/>
        <v>66.402416006040013</v>
      </c>
      <c r="AT266" s="197">
        <f t="shared" si="171"/>
        <v>0</v>
      </c>
      <c r="AU266" s="199">
        <f t="shared" si="172"/>
        <v>0</v>
      </c>
      <c r="AV266" s="110"/>
      <c r="AW266" s="138" t="e">
        <f>VLOOKUP(AX266,Sup!#REF!,8,0)</f>
        <v>#REF!</v>
      </c>
      <c r="AX266" s="1008" t="s">
        <v>199</v>
      </c>
      <c r="AY266" s="556">
        <v>0</v>
      </c>
      <c r="AZ266" s="35"/>
      <c r="BA266" s="35"/>
      <c r="BB266" s="35"/>
      <c r="BC266" s="35">
        <f t="shared" si="162"/>
        <v>0</v>
      </c>
      <c r="BD266" s="35" t="str">
        <f t="shared" si="169"/>
        <v/>
      </c>
      <c r="BE266" s="45">
        <f t="shared" si="145"/>
        <v>0</v>
      </c>
      <c r="BF266" s="971"/>
      <c r="BG266" s="236"/>
      <c r="BH266" s="12"/>
      <c r="BI266" s="12"/>
      <c r="BJ266" s="12"/>
      <c r="BK266" s="12"/>
      <c r="BL266" s="12"/>
      <c r="BM266" s="980">
        <f t="shared" si="156"/>
        <v>2472</v>
      </c>
      <c r="BN266" s="367"/>
      <c r="BO266" s="981"/>
      <c r="BP266" s="12"/>
      <c r="BQ266" s="12"/>
      <c r="BR266" s="12"/>
      <c r="BS266" s="973"/>
      <c r="BT266" s="12"/>
      <c r="BU266" s="12"/>
      <c r="BV266" s="12"/>
      <c r="BW266" s="982" t="s">
        <v>392</v>
      </c>
      <c r="BX266" s="983">
        <f t="shared" si="161"/>
        <v>0</v>
      </c>
      <c r="BY266" s="12" t="e">
        <f>VLOOKUP(B266,#REF!,13,0)</f>
        <v>#REF!</v>
      </c>
      <c r="BZ266" s="1056">
        <v>194.9</v>
      </c>
      <c r="CA266" s="1181" t="e">
        <f>VLOOKUP(B266,Pedido!$B$16:$L$292,22,0)</f>
        <v>#N/A</v>
      </c>
    </row>
    <row r="267" spans="1:84" ht="24.75" customHeight="1" thickBot="1">
      <c r="A267" s="524"/>
      <c r="B267" s="95" t="s">
        <v>371</v>
      </c>
      <c r="C267" s="95" t="s">
        <v>225</v>
      </c>
      <c r="D267" s="374" t="s">
        <v>142</v>
      </c>
      <c r="E267" s="375" t="s">
        <v>80</v>
      </c>
      <c r="F267" s="376" t="s">
        <v>61</v>
      </c>
      <c r="G267" s="377">
        <v>900</v>
      </c>
      <c r="H267" s="1152">
        <v>89</v>
      </c>
      <c r="I267" s="96">
        <v>349.9</v>
      </c>
      <c r="J267" s="97" t="str">
        <f t="shared" si="166"/>
        <v/>
      </c>
      <c r="K267" s="98" t="str">
        <f t="shared" si="160"/>
        <v/>
      </c>
      <c r="L267" s="238">
        <v>264.89999999999998</v>
      </c>
      <c r="M267" s="471">
        <f t="shared" si="163"/>
        <v>233.9</v>
      </c>
      <c r="N267" s="471">
        <f t="shared" si="164"/>
        <v>233.9</v>
      </c>
      <c r="O267" s="471">
        <f t="shared" si="165"/>
        <v>233.9</v>
      </c>
      <c r="P267" s="99">
        <v>233.9</v>
      </c>
      <c r="Q267" s="99">
        <v>215.9</v>
      </c>
      <c r="R267" s="99">
        <v>211.9</v>
      </c>
      <c r="S267" s="100">
        <v>204.9</v>
      </c>
      <c r="T267" s="101" t="str">
        <f t="shared" si="157"/>
        <v/>
      </c>
      <c r="U267" s="102" t="str">
        <f t="shared" si="158"/>
        <v/>
      </c>
      <c r="V267" s="1107"/>
      <c r="W267" s="1138"/>
      <c r="X267" s="171"/>
      <c r="Y267" s="103" t="str">
        <f t="shared" si="155"/>
        <v/>
      </c>
      <c r="Z267" s="225">
        <f t="shared" si="173"/>
        <v>0</v>
      </c>
      <c r="AA267" s="104">
        <f t="shared" si="159"/>
        <v>0</v>
      </c>
      <c r="AB267" s="104">
        <f t="shared" si="167"/>
        <v>0</v>
      </c>
      <c r="AC267" s="104">
        <f t="shared" si="168"/>
        <v>0</v>
      </c>
      <c r="AD267" s="104">
        <f t="shared" si="144"/>
        <v>0</v>
      </c>
      <c r="AE267" s="104">
        <f t="shared" si="174"/>
        <v>0</v>
      </c>
      <c r="AF267" s="104">
        <f t="shared" si="175"/>
        <v>0</v>
      </c>
      <c r="AG267" s="105">
        <f t="shared" si="176"/>
        <v>0</v>
      </c>
      <c r="AH267" s="104">
        <f t="shared" si="177"/>
        <v>0</v>
      </c>
      <c r="AI267" s="104">
        <f t="shared" si="178"/>
        <v>0</v>
      </c>
      <c r="AJ267" s="104">
        <f t="shared" si="146"/>
        <v>0</v>
      </c>
      <c r="AK267" s="104">
        <f t="shared" si="147"/>
        <v>0</v>
      </c>
      <c r="AL267" s="104">
        <f t="shared" si="148"/>
        <v>0</v>
      </c>
      <c r="AM267" s="104">
        <f t="shared" si="179"/>
        <v>0</v>
      </c>
      <c r="AN267" s="104">
        <f t="shared" si="149"/>
        <v>0</v>
      </c>
      <c r="AO267" s="104">
        <f t="shared" si="150"/>
        <v>0</v>
      </c>
      <c r="AP267" s="106">
        <f t="shared" si="180"/>
        <v>0.6640241600604001</v>
      </c>
      <c r="AQ267" s="107">
        <f t="shared" si="181"/>
        <v>118.66666666666667</v>
      </c>
      <c r="AR267" s="534">
        <v>4</v>
      </c>
      <c r="AS267" s="202">
        <f t="shared" si="170"/>
        <v>66.402416006040013</v>
      </c>
      <c r="AT267" s="197">
        <f t="shared" si="171"/>
        <v>0</v>
      </c>
      <c r="AU267" s="199">
        <f t="shared" si="172"/>
        <v>0</v>
      </c>
      <c r="AV267" s="110"/>
      <c r="AW267" s="106" t="e">
        <f>VLOOKUP(AX267,Sup!#REF!,8,0)</f>
        <v>#REF!</v>
      </c>
      <c r="AX267" s="1008" t="s">
        <v>199</v>
      </c>
      <c r="AY267" s="556">
        <v>0</v>
      </c>
      <c r="AZ267" s="32"/>
      <c r="BA267" s="32"/>
      <c r="BB267" s="32"/>
      <c r="BC267" s="32">
        <f t="shared" si="162"/>
        <v>0</v>
      </c>
      <c r="BD267" s="32" t="str">
        <f t="shared" si="169"/>
        <v/>
      </c>
      <c r="BE267" s="40">
        <f t="shared" si="145"/>
        <v>0</v>
      </c>
      <c r="BF267" s="971"/>
      <c r="BG267" s="236"/>
      <c r="BH267" s="12"/>
      <c r="BI267" s="12"/>
      <c r="BJ267" s="12"/>
      <c r="BK267" s="12"/>
      <c r="BL267" s="12"/>
      <c r="BM267" s="980">
        <f t="shared" si="156"/>
        <v>2496</v>
      </c>
      <c r="BN267" s="367"/>
      <c r="BO267" s="981"/>
      <c r="BP267" s="12"/>
      <c r="BQ267" s="12"/>
      <c r="BR267" s="12"/>
      <c r="BS267" s="973"/>
      <c r="BT267" s="12"/>
      <c r="BU267" s="12"/>
      <c r="BV267" s="12"/>
      <c r="BW267" s="982" t="s">
        <v>392</v>
      </c>
      <c r="BX267" s="983">
        <f t="shared" si="161"/>
        <v>0</v>
      </c>
      <c r="BY267" s="12" t="e">
        <f>VLOOKUP(B267,#REF!,13,0)</f>
        <v>#REF!</v>
      </c>
      <c r="BZ267" s="1054">
        <v>194.9</v>
      </c>
    </row>
    <row r="268" spans="1:84" ht="27" customHeight="1" thickBot="1">
      <c r="A268" s="524"/>
      <c r="B268" s="140" t="s">
        <v>147</v>
      </c>
      <c r="C268" s="140" t="str">
        <f>LEFT(B268,6)</f>
        <v>RPOWPI</v>
      </c>
      <c r="D268" s="369" t="s">
        <v>142</v>
      </c>
      <c r="E268" s="370" t="s">
        <v>70</v>
      </c>
      <c r="F268" s="371" t="s">
        <v>135</v>
      </c>
      <c r="G268" s="373">
        <v>1800</v>
      </c>
      <c r="H268" s="1153">
        <v>156.78</v>
      </c>
      <c r="I268" s="129">
        <v>639.9</v>
      </c>
      <c r="J268" s="130" t="str">
        <f t="shared" si="166"/>
        <v/>
      </c>
      <c r="K268" s="131" t="str">
        <f t="shared" si="160"/>
        <v/>
      </c>
      <c r="L268" s="241">
        <v>463.9</v>
      </c>
      <c r="M268" s="473">
        <f t="shared" si="163"/>
        <v>409.9</v>
      </c>
      <c r="N268" s="473">
        <f t="shared" si="164"/>
        <v>409.9</v>
      </c>
      <c r="O268" s="473">
        <f t="shared" si="165"/>
        <v>409.9</v>
      </c>
      <c r="P268" s="132">
        <v>409.9</v>
      </c>
      <c r="Q268" s="132">
        <v>378.9</v>
      </c>
      <c r="R268" s="132">
        <v>372.9</v>
      </c>
      <c r="S268" s="133">
        <v>359.9</v>
      </c>
      <c r="T268" s="134" t="str">
        <f t="shared" si="157"/>
        <v/>
      </c>
      <c r="U268" s="135" t="str">
        <f t="shared" si="158"/>
        <v/>
      </c>
      <c r="V268" s="575"/>
      <c r="W268" s="694"/>
      <c r="X268" s="170"/>
      <c r="Y268" s="122" t="str">
        <f t="shared" si="155"/>
        <v/>
      </c>
      <c r="Z268" s="224">
        <f t="shared" si="173"/>
        <v>0</v>
      </c>
      <c r="AA268" s="136">
        <f t="shared" si="159"/>
        <v>0</v>
      </c>
      <c r="AB268" s="136">
        <f t="shared" si="167"/>
        <v>0</v>
      </c>
      <c r="AC268" s="136">
        <f t="shared" si="168"/>
        <v>0</v>
      </c>
      <c r="AD268" s="136">
        <f t="shared" si="144"/>
        <v>0</v>
      </c>
      <c r="AE268" s="136">
        <f t="shared" si="174"/>
        <v>0</v>
      </c>
      <c r="AF268" s="136">
        <f t="shared" si="175"/>
        <v>0</v>
      </c>
      <c r="AG268" s="137">
        <f t="shared" si="176"/>
        <v>0</v>
      </c>
      <c r="AH268" s="136">
        <f t="shared" si="177"/>
        <v>0</v>
      </c>
      <c r="AI268" s="136">
        <f t="shared" si="178"/>
        <v>0</v>
      </c>
      <c r="AJ268" s="136">
        <f t="shared" si="146"/>
        <v>0</v>
      </c>
      <c r="AK268" s="136">
        <f t="shared" si="147"/>
        <v>0</v>
      </c>
      <c r="AL268" s="136">
        <f t="shared" si="148"/>
        <v>0</v>
      </c>
      <c r="AM268" s="136">
        <f t="shared" si="179"/>
        <v>0</v>
      </c>
      <c r="AN268" s="136">
        <f t="shared" si="149"/>
        <v>0</v>
      </c>
      <c r="AO268" s="136">
        <f t="shared" si="150"/>
        <v>0</v>
      </c>
      <c r="AP268" s="138">
        <f t="shared" si="180"/>
        <v>0.66203923259323127</v>
      </c>
      <c r="AQ268" s="139">
        <f t="shared" si="181"/>
        <v>209.04</v>
      </c>
      <c r="AR268" s="537">
        <v>3</v>
      </c>
      <c r="AS268" s="202">
        <f t="shared" si="170"/>
        <v>66.203923259323133</v>
      </c>
      <c r="AT268" s="197">
        <f t="shared" si="171"/>
        <v>0</v>
      </c>
      <c r="AU268" s="199">
        <f t="shared" si="172"/>
        <v>0</v>
      </c>
      <c r="AV268" s="110"/>
      <c r="AW268" s="138" t="e">
        <f>VLOOKUP(AX268,Sup!#REF!,8,0)</f>
        <v>#REF!</v>
      </c>
      <c r="AX268" s="1008" t="s">
        <v>199</v>
      </c>
      <c r="AY268" s="556">
        <v>0</v>
      </c>
      <c r="AZ268" s="35"/>
      <c r="BA268" s="35"/>
      <c r="BB268" s="35"/>
      <c r="BC268" s="35">
        <f t="shared" si="162"/>
        <v>0</v>
      </c>
      <c r="BD268" s="35" t="str">
        <f t="shared" si="169"/>
        <v/>
      </c>
      <c r="BE268" s="45">
        <f t="shared" si="145"/>
        <v>0</v>
      </c>
      <c r="BF268" s="971"/>
      <c r="BG268" s="236"/>
      <c r="BH268" s="12"/>
      <c r="BI268" s="12"/>
      <c r="BJ268" s="12"/>
      <c r="BK268" s="12"/>
      <c r="BL268" s="12"/>
      <c r="BM268" s="980">
        <f t="shared" si="156"/>
        <v>2520</v>
      </c>
      <c r="BN268" s="367"/>
      <c r="BO268" s="981"/>
      <c r="BP268" s="12"/>
      <c r="BQ268" s="12"/>
      <c r="BR268" s="12"/>
      <c r="BS268" s="973"/>
      <c r="BT268" s="12"/>
      <c r="BU268" s="12"/>
      <c r="BV268" s="12"/>
      <c r="BW268" s="982" t="s">
        <v>392</v>
      </c>
      <c r="BX268" s="983">
        <f t="shared" si="161"/>
        <v>0</v>
      </c>
      <c r="BY268" s="12" t="e">
        <f>VLOOKUP(B268,#REF!,13,0)</f>
        <v>#REF!</v>
      </c>
      <c r="BZ268" s="1056">
        <v>334.9</v>
      </c>
      <c r="CA268" s="1181" t="e">
        <f>VLOOKUP(B268,Pedido!$B$16:$L$292,22,0)</f>
        <v>#N/A</v>
      </c>
    </row>
    <row r="269" spans="1:84" ht="27" customHeight="1" thickBot="1">
      <c r="A269" s="524"/>
      <c r="B269" s="140" t="s">
        <v>152</v>
      </c>
      <c r="C269" s="140" t="str">
        <f>LEFT(B269,6)</f>
        <v>RPOWPI</v>
      </c>
      <c r="D269" s="369" t="s">
        <v>142</v>
      </c>
      <c r="E269" s="370" t="s">
        <v>124</v>
      </c>
      <c r="F269" s="371" t="s">
        <v>135</v>
      </c>
      <c r="G269" s="373">
        <v>1800</v>
      </c>
      <c r="H269" s="1153">
        <v>156.78</v>
      </c>
      <c r="I269" s="129">
        <v>639.9</v>
      </c>
      <c r="J269" s="130" t="str">
        <f t="shared" si="166"/>
        <v/>
      </c>
      <c r="K269" s="131" t="str">
        <f t="shared" si="160"/>
        <v/>
      </c>
      <c r="L269" s="241">
        <v>463.9</v>
      </c>
      <c r="M269" s="473">
        <f t="shared" si="163"/>
        <v>409.9</v>
      </c>
      <c r="N269" s="473">
        <f t="shared" si="164"/>
        <v>409.9</v>
      </c>
      <c r="O269" s="473">
        <f t="shared" si="165"/>
        <v>409.9</v>
      </c>
      <c r="P269" s="132">
        <v>409.9</v>
      </c>
      <c r="Q269" s="132">
        <v>378.9</v>
      </c>
      <c r="R269" s="132">
        <v>372.9</v>
      </c>
      <c r="S269" s="133">
        <v>359.9</v>
      </c>
      <c r="T269" s="134" t="str">
        <f t="shared" si="157"/>
        <v/>
      </c>
      <c r="U269" s="135" t="str">
        <f t="shared" si="158"/>
        <v/>
      </c>
      <c r="V269" s="575"/>
      <c r="W269" s="694"/>
      <c r="X269" s="170"/>
      <c r="Y269" s="122" t="str">
        <f t="shared" si="155"/>
        <v/>
      </c>
      <c r="Z269" s="224">
        <f t="shared" si="173"/>
        <v>0</v>
      </c>
      <c r="AA269" s="136">
        <f t="shared" si="159"/>
        <v>0</v>
      </c>
      <c r="AB269" s="136">
        <f t="shared" si="167"/>
        <v>0</v>
      </c>
      <c r="AC269" s="136">
        <f t="shared" si="168"/>
        <v>0</v>
      </c>
      <c r="AD269" s="136">
        <f t="shared" si="144"/>
        <v>0</v>
      </c>
      <c r="AE269" s="136">
        <f t="shared" si="174"/>
        <v>0</v>
      </c>
      <c r="AF269" s="136">
        <f t="shared" si="175"/>
        <v>0</v>
      </c>
      <c r="AG269" s="137">
        <f t="shared" si="176"/>
        <v>0</v>
      </c>
      <c r="AH269" s="136">
        <f t="shared" si="177"/>
        <v>0</v>
      </c>
      <c r="AI269" s="136">
        <f t="shared" si="178"/>
        <v>0</v>
      </c>
      <c r="AJ269" s="136">
        <f t="shared" si="146"/>
        <v>0</v>
      </c>
      <c r="AK269" s="136">
        <f t="shared" si="147"/>
        <v>0</v>
      </c>
      <c r="AL269" s="136">
        <f t="shared" si="148"/>
        <v>0</v>
      </c>
      <c r="AM269" s="136">
        <f t="shared" si="179"/>
        <v>0</v>
      </c>
      <c r="AN269" s="136">
        <f t="shared" si="149"/>
        <v>0</v>
      </c>
      <c r="AO269" s="136">
        <f t="shared" si="150"/>
        <v>0</v>
      </c>
      <c r="AP269" s="138">
        <f t="shared" si="180"/>
        <v>0.66203923259323127</v>
      </c>
      <c r="AQ269" s="139">
        <f t="shared" si="181"/>
        <v>209.04</v>
      </c>
      <c r="AR269" s="537">
        <v>3</v>
      </c>
      <c r="AS269" s="202">
        <f t="shared" si="170"/>
        <v>66.203923259323133</v>
      </c>
      <c r="AT269" s="197">
        <f t="shared" si="171"/>
        <v>0</v>
      </c>
      <c r="AU269" s="199">
        <f t="shared" si="172"/>
        <v>0</v>
      </c>
      <c r="AV269" s="110"/>
      <c r="AW269" s="138" t="e">
        <f>VLOOKUP(AX269,Sup!#REF!,8,0)</f>
        <v>#REF!</v>
      </c>
      <c r="AX269" s="1008" t="s">
        <v>199</v>
      </c>
      <c r="AY269" s="556">
        <v>0</v>
      </c>
      <c r="AZ269" s="35"/>
      <c r="BA269" s="35"/>
      <c r="BB269" s="35"/>
      <c r="BC269" s="35">
        <f t="shared" si="162"/>
        <v>0</v>
      </c>
      <c r="BD269" s="35" t="str">
        <f t="shared" si="169"/>
        <v/>
      </c>
      <c r="BE269" s="45">
        <f t="shared" si="145"/>
        <v>0</v>
      </c>
      <c r="BF269" s="971"/>
      <c r="BG269" s="236"/>
      <c r="BH269" s="12"/>
      <c r="BI269" s="12"/>
      <c r="BJ269" s="12"/>
      <c r="BK269" s="12"/>
      <c r="BL269" s="12"/>
      <c r="BM269" s="980">
        <f t="shared" si="156"/>
        <v>2544</v>
      </c>
      <c r="BN269" s="367"/>
      <c r="BO269" s="981"/>
      <c r="BP269" s="12"/>
      <c r="BQ269" s="12"/>
      <c r="BR269" s="12"/>
      <c r="BS269" s="973"/>
      <c r="BT269" s="12"/>
      <c r="BU269" s="12"/>
      <c r="BV269" s="12"/>
      <c r="BW269" s="982" t="s">
        <v>392</v>
      </c>
      <c r="BX269" s="983">
        <f t="shared" si="161"/>
        <v>0</v>
      </c>
      <c r="BY269" s="12" t="e">
        <f>VLOOKUP(B269,#REF!,13,0)</f>
        <v>#REF!</v>
      </c>
      <c r="BZ269" s="1056">
        <v>334.9</v>
      </c>
      <c r="CA269" s="1181" t="e">
        <f>VLOOKUP(B269,Pedido!$B$16:$L$292,22,0)</f>
        <v>#N/A</v>
      </c>
    </row>
    <row r="270" spans="1:84" ht="27" customHeight="1" thickBot="1">
      <c r="A270" s="524"/>
      <c r="B270" s="140" t="s">
        <v>148</v>
      </c>
      <c r="C270" s="140" t="str">
        <f>LEFT(B270,6)</f>
        <v>RPOWPI</v>
      </c>
      <c r="D270" s="369" t="s">
        <v>142</v>
      </c>
      <c r="E270" s="370" t="s">
        <v>125</v>
      </c>
      <c r="F270" s="371" t="s">
        <v>135</v>
      </c>
      <c r="G270" s="373">
        <v>1800</v>
      </c>
      <c r="H270" s="1153">
        <v>156.78</v>
      </c>
      <c r="I270" s="129">
        <v>639.9</v>
      </c>
      <c r="J270" s="130" t="str">
        <f t="shared" si="166"/>
        <v/>
      </c>
      <c r="K270" s="131" t="str">
        <f t="shared" si="160"/>
        <v/>
      </c>
      <c r="L270" s="241">
        <v>463.9</v>
      </c>
      <c r="M270" s="473">
        <f t="shared" si="163"/>
        <v>409.9</v>
      </c>
      <c r="N270" s="473">
        <f t="shared" si="164"/>
        <v>409.9</v>
      </c>
      <c r="O270" s="473">
        <f t="shared" si="165"/>
        <v>409.9</v>
      </c>
      <c r="P270" s="132">
        <v>409.9</v>
      </c>
      <c r="Q270" s="132">
        <v>378.9</v>
      </c>
      <c r="R270" s="132">
        <v>372.9</v>
      </c>
      <c r="S270" s="133">
        <v>359.9</v>
      </c>
      <c r="T270" s="134" t="str">
        <f t="shared" si="157"/>
        <v/>
      </c>
      <c r="U270" s="135" t="str">
        <f t="shared" si="158"/>
        <v/>
      </c>
      <c r="V270" s="575"/>
      <c r="W270" s="694"/>
      <c r="X270" s="170"/>
      <c r="Y270" s="122" t="str">
        <f t="shared" si="155"/>
        <v/>
      </c>
      <c r="Z270" s="224">
        <f t="shared" si="173"/>
        <v>0</v>
      </c>
      <c r="AA270" s="136">
        <f t="shared" si="159"/>
        <v>0</v>
      </c>
      <c r="AB270" s="136">
        <f t="shared" si="167"/>
        <v>0</v>
      </c>
      <c r="AC270" s="136">
        <f t="shared" si="168"/>
        <v>0</v>
      </c>
      <c r="AD270" s="136">
        <f t="shared" ref="AD270:AD279" si="182">IFERROR(X270*T270,0)</f>
        <v>0</v>
      </c>
      <c r="AE270" s="136">
        <f t="shared" si="174"/>
        <v>0</v>
      </c>
      <c r="AF270" s="136">
        <f t="shared" si="175"/>
        <v>0</v>
      </c>
      <c r="AG270" s="137">
        <f t="shared" si="176"/>
        <v>0</v>
      </c>
      <c r="AH270" s="136">
        <f t="shared" si="177"/>
        <v>0</v>
      </c>
      <c r="AI270" s="136">
        <f t="shared" si="178"/>
        <v>0</v>
      </c>
      <c r="AJ270" s="136">
        <f t="shared" si="146"/>
        <v>0</v>
      </c>
      <c r="AK270" s="136">
        <f t="shared" si="147"/>
        <v>0</v>
      </c>
      <c r="AL270" s="136">
        <f t="shared" si="148"/>
        <v>0</v>
      </c>
      <c r="AM270" s="136">
        <f t="shared" si="179"/>
        <v>0</v>
      </c>
      <c r="AN270" s="136">
        <f t="shared" si="149"/>
        <v>0</v>
      </c>
      <c r="AO270" s="136">
        <f t="shared" si="150"/>
        <v>0</v>
      </c>
      <c r="AP270" s="138">
        <f t="shared" si="180"/>
        <v>0.66203923259323127</v>
      </c>
      <c r="AQ270" s="139">
        <f t="shared" si="181"/>
        <v>209.04</v>
      </c>
      <c r="AR270" s="537">
        <v>3</v>
      </c>
      <c r="AS270" s="202">
        <f t="shared" si="170"/>
        <v>66.203923259323133</v>
      </c>
      <c r="AT270" s="197">
        <f t="shared" si="171"/>
        <v>0</v>
      </c>
      <c r="AU270" s="199">
        <f t="shared" si="172"/>
        <v>0</v>
      </c>
      <c r="AV270" s="110"/>
      <c r="AW270" s="138" t="e">
        <f>VLOOKUP(AX270,Sup!#REF!,8,0)</f>
        <v>#REF!</v>
      </c>
      <c r="AX270" s="1008" t="s">
        <v>199</v>
      </c>
      <c r="AY270" s="556">
        <v>0</v>
      </c>
      <c r="AZ270" s="35"/>
      <c r="BA270" s="35"/>
      <c r="BB270" s="35"/>
      <c r="BC270" s="35">
        <f t="shared" si="162"/>
        <v>0</v>
      </c>
      <c r="BD270" s="35" t="str">
        <f t="shared" si="169"/>
        <v/>
      </c>
      <c r="BE270" s="45">
        <f t="shared" ref="BE270:BE279" si="183">IF(V270="",0,(V270*W270)-(BD270*W270))</f>
        <v>0</v>
      </c>
      <c r="BF270" s="971"/>
      <c r="BG270" s="236"/>
      <c r="BH270" s="12"/>
      <c r="BI270" s="12"/>
      <c r="BJ270" s="12"/>
      <c r="BK270" s="12"/>
      <c r="BL270" s="12"/>
      <c r="BM270" s="980">
        <f t="shared" si="156"/>
        <v>2568</v>
      </c>
      <c r="BN270" s="367"/>
      <c r="BO270" s="981"/>
      <c r="BP270" s="12"/>
      <c r="BQ270" s="12"/>
      <c r="BR270" s="12"/>
      <c r="BS270" s="973"/>
      <c r="BT270" s="12"/>
      <c r="BU270" s="12"/>
      <c r="BV270" s="12"/>
      <c r="BW270" s="982" t="s">
        <v>392</v>
      </c>
      <c r="BX270" s="983">
        <f t="shared" si="161"/>
        <v>0</v>
      </c>
      <c r="BY270" s="12" t="e">
        <f>VLOOKUP(B270,#REF!,13,0)</f>
        <v>#REF!</v>
      </c>
      <c r="BZ270" s="1056">
        <v>334.9</v>
      </c>
      <c r="CA270" s="1181" t="e">
        <f>VLOOKUP(B270,Pedido!$B$16:$L$292,22,0)</f>
        <v>#N/A</v>
      </c>
    </row>
    <row r="271" spans="1:84" ht="27" customHeight="1" thickBot="1">
      <c r="A271" s="524"/>
      <c r="B271" s="140" t="s">
        <v>520</v>
      </c>
      <c r="C271" s="140" t="str">
        <f>LEFT(B271,6)</f>
        <v>411122</v>
      </c>
      <c r="D271" s="369" t="s">
        <v>142</v>
      </c>
      <c r="E271" s="370" t="s">
        <v>274</v>
      </c>
      <c r="F271" s="371" t="s">
        <v>135</v>
      </c>
      <c r="G271" s="373">
        <v>1800</v>
      </c>
      <c r="H271" s="1153">
        <v>156.78</v>
      </c>
      <c r="I271" s="129">
        <v>639.9</v>
      </c>
      <c r="J271" s="130" t="str">
        <f t="shared" si="166"/>
        <v/>
      </c>
      <c r="K271" s="131" t="str">
        <f t="shared" si="160"/>
        <v/>
      </c>
      <c r="L271" s="241">
        <v>463.9</v>
      </c>
      <c r="M271" s="473">
        <f t="shared" si="163"/>
        <v>409.9</v>
      </c>
      <c r="N271" s="473">
        <f t="shared" si="164"/>
        <v>409.9</v>
      </c>
      <c r="O271" s="473">
        <f t="shared" si="165"/>
        <v>409.9</v>
      </c>
      <c r="P271" s="132">
        <v>409.9</v>
      </c>
      <c r="Q271" s="132">
        <v>378.9</v>
      </c>
      <c r="R271" s="132">
        <v>372.9</v>
      </c>
      <c r="S271" s="133">
        <v>359.9</v>
      </c>
      <c r="T271" s="134" t="str">
        <f t="shared" si="157"/>
        <v/>
      </c>
      <c r="U271" s="135" t="str">
        <f t="shared" si="158"/>
        <v/>
      </c>
      <c r="V271" s="575"/>
      <c r="W271" s="694"/>
      <c r="X271" s="170"/>
      <c r="Y271" s="122" t="str">
        <f t="shared" si="155"/>
        <v/>
      </c>
      <c r="Z271" s="224">
        <f t="shared" si="173"/>
        <v>0</v>
      </c>
      <c r="AA271" s="136">
        <f t="shared" si="159"/>
        <v>0</v>
      </c>
      <c r="AB271" s="136">
        <f t="shared" si="167"/>
        <v>0</v>
      </c>
      <c r="AC271" s="136">
        <f t="shared" si="168"/>
        <v>0</v>
      </c>
      <c r="AD271" s="136">
        <f t="shared" si="182"/>
        <v>0</v>
      </c>
      <c r="AE271" s="136">
        <f t="shared" si="174"/>
        <v>0</v>
      </c>
      <c r="AF271" s="136">
        <f t="shared" si="175"/>
        <v>0</v>
      </c>
      <c r="AG271" s="137">
        <f t="shared" si="176"/>
        <v>0</v>
      </c>
      <c r="AH271" s="136">
        <f t="shared" si="177"/>
        <v>0</v>
      </c>
      <c r="AI271" s="136">
        <f t="shared" si="178"/>
        <v>0</v>
      </c>
      <c r="AJ271" s="136">
        <f t="shared" si="146"/>
        <v>0</v>
      </c>
      <c r="AK271" s="136">
        <f t="shared" si="147"/>
        <v>0</v>
      </c>
      <c r="AL271" s="136">
        <f t="shared" si="148"/>
        <v>0</v>
      </c>
      <c r="AM271" s="136">
        <f t="shared" si="179"/>
        <v>0</v>
      </c>
      <c r="AN271" s="136">
        <f t="shared" si="149"/>
        <v>0</v>
      </c>
      <c r="AO271" s="136">
        <f t="shared" si="150"/>
        <v>0</v>
      </c>
      <c r="AP271" s="138">
        <f t="shared" si="180"/>
        <v>0.66203923259323127</v>
      </c>
      <c r="AQ271" s="139">
        <f t="shared" si="181"/>
        <v>209.04</v>
      </c>
      <c r="AR271" s="537">
        <v>3</v>
      </c>
      <c r="AS271" s="202">
        <f t="shared" si="170"/>
        <v>66.203923259323133</v>
      </c>
      <c r="AT271" s="197">
        <f t="shared" si="171"/>
        <v>0</v>
      </c>
      <c r="AU271" s="199">
        <f t="shared" si="172"/>
        <v>0</v>
      </c>
      <c r="AV271" s="110"/>
      <c r="AW271" s="138" t="e">
        <f>VLOOKUP(AX271,Sup!#REF!,8,0)</f>
        <v>#REF!</v>
      </c>
      <c r="AX271" s="1008" t="s">
        <v>199</v>
      </c>
      <c r="AY271" s="556">
        <v>0</v>
      </c>
      <c r="AZ271" s="35"/>
      <c r="BA271" s="35"/>
      <c r="BB271" s="35"/>
      <c r="BC271" s="35">
        <f t="shared" si="162"/>
        <v>0</v>
      </c>
      <c r="BD271" s="35" t="str">
        <f t="shared" si="169"/>
        <v/>
      </c>
      <c r="BE271" s="45">
        <f t="shared" si="183"/>
        <v>0</v>
      </c>
      <c r="BF271" s="971"/>
      <c r="BG271" s="236"/>
      <c r="BH271" s="12"/>
      <c r="BI271" s="12"/>
      <c r="BJ271" s="12"/>
      <c r="BK271" s="12"/>
      <c r="BL271" s="12"/>
      <c r="BM271" s="980">
        <f t="shared" si="156"/>
        <v>2592</v>
      </c>
      <c r="BN271" s="367"/>
      <c r="BO271" s="981"/>
      <c r="BP271" s="12"/>
      <c r="BQ271" s="12"/>
      <c r="BR271" s="12"/>
      <c r="BS271" s="973"/>
      <c r="BT271" s="12"/>
      <c r="BU271" s="12"/>
      <c r="BV271" s="12"/>
      <c r="BW271" s="982" t="s">
        <v>392</v>
      </c>
      <c r="BX271" s="983">
        <f t="shared" si="161"/>
        <v>0</v>
      </c>
      <c r="BY271" s="12" t="e">
        <f>VLOOKUP(B271,#REF!,13,0)</f>
        <v>#REF!</v>
      </c>
      <c r="BZ271" s="1056">
        <v>334.9</v>
      </c>
      <c r="CA271" s="1181" t="e">
        <f>VLOOKUP(B271,Pedido!$B$16:$L$292,22,0)</f>
        <v>#N/A</v>
      </c>
    </row>
    <row r="272" spans="1:84" ht="27" customHeight="1" thickBot="1">
      <c r="A272" s="524"/>
      <c r="B272" s="140" t="s">
        <v>151</v>
      </c>
      <c r="C272" s="140" t="str">
        <f>LEFT(B272,6)</f>
        <v>RPOWPI</v>
      </c>
      <c r="D272" s="369" t="s">
        <v>142</v>
      </c>
      <c r="E272" s="370" t="s">
        <v>118</v>
      </c>
      <c r="F272" s="371" t="s">
        <v>135</v>
      </c>
      <c r="G272" s="373">
        <v>1800</v>
      </c>
      <c r="H272" s="1153">
        <v>156.78</v>
      </c>
      <c r="I272" s="129">
        <v>639.9</v>
      </c>
      <c r="J272" s="130" t="str">
        <f t="shared" si="166"/>
        <v/>
      </c>
      <c r="K272" s="131" t="str">
        <f t="shared" si="160"/>
        <v/>
      </c>
      <c r="L272" s="241">
        <v>463.9</v>
      </c>
      <c r="M272" s="473">
        <f t="shared" si="163"/>
        <v>409.9</v>
      </c>
      <c r="N272" s="473">
        <f t="shared" si="164"/>
        <v>409.9</v>
      </c>
      <c r="O272" s="473">
        <f t="shared" si="165"/>
        <v>409.9</v>
      </c>
      <c r="P272" s="132">
        <v>409.9</v>
      </c>
      <c r="Q272" s="132">
        <v>378.9</v>
      </c>
      <c r="R272" s="132">
        <v>372.9</v>
      </c>
      <c r="S272" s="133">
        <v>359.9</v>
      </c>
      <c r="T272" s="134" t="str">
        <f t="shared" si="157"/>
        <v/>
      </c>
      <c r="U272" s="135" t="str">
        <f t="shared" si="158"/>
        <v/>
      </c>
      <c r="V272" s="575"/>
      <c r="W272" s="694"/>
      <c r="X272" s="170"/>
      <c r="Y272" s="122" t="str">
        <f t="shared" si="155"/>
        <v/>
      </c>
      <c r="Z272" s="224">
        <f t="shared" si="173"/>
        <v>0</v>
      </c>
      <c r="AA272" s="136">
        <f t="shared" si="159"/>
        <v>0</v>
      </c>
      <c r="AB272" s="136">
        <f t="shared" si="167"/>
        <v>0</v>
      </c>
      <c r="AC272" s="136">
        <f t="shared" si="168"/>
        <v>0</v>
      </c>
      <c r="AD272" s="136">
        <f t="shared" si="182"/>
        <v>0</v>
      </c>
      <c r="AE272" s="136">
        <f t="shared" si="174"/>
        <v>0</v>
      </c>
      <c r="AF272" s="136">
        <f t="shared" si="175"/>
        <v>0</v>
      </c>
      <c r="AG272" s="137">
        <f t="shared" si="176"/>
        <v>0</v>
      </c>
      <c r="AH272" s="136">
        <f t="shared" si="177"/>
        <v>0</v>
      </c>
      <c r="AI272" s="136">
        <f t="shared" si="178"/>
        <v>0</v>
      </c>
      <c r="AJ272" s="136">
        <f t="shared" si="146"/>
        <v>0</v>
      </c>
      <c r="AK272" s="136">
        <f t="shared" si="147"/>
        <v>0</v>
      </c>
      <c r="AL272" s="136">
        <f t="shared" si="148"/>
        <v>0</v>
      </c>
      <c r="AM272" s="136">
        <f t="shared" si="179"/>
        <v>0</v>
      </c>
      <c r="AN272" s="136">
        <f t="shared" si="149"/>
        <v>0</v>
      </c>
      <c r="AO272" s="136">
        <f t="shared" si="150"/>
        <v>0</v>
      </c>
      <c r="AP272" s="138">
        <f t="shared" si="180"/>
        <v>0.66203923259323127</v>
      </c>
      <c r="AQ272" s="139">
        <f t="shared" si="181"/>
        <v>209.04</v>
      </c>
      <c r="AR272" s="537">
        <v>3</v>
      </c>
      <c r="AS272" s="202">
        <f t="shared" si="170"/>
        <v>66.203923259323133</v>
      </c>
      <c r="AT272" s="197">
        <f t="shared" si="171"/>
        <v>0</v>
      </c>
      <c r="AU272" s="199">
        <f t="shared" si="172"/>
        <v>0</v>
      </c>
      <c r="AV272" s="110"/>
      <c r="AW272" s="138" t="e">
        <f>VLOOKUP(AX272,Sup!#REF!,8,0)</f>
        <v>#REF!</v>
      </c>
      <c r="AX272" s="1008" t="s">
        <v>199</v>
      </c>
      <c r="AY272" s="556">
        <v>0</v>
      </c>
      <c r="AZ272" s="35"/>
      <c r="BA272" s="35"/>
      <c r="BB272" s="35"/>
      <c r="BC272" s="35">
        <f t="shared" si="162"/>
        <v>0</v>
      </c>
      <c r="BD272" s="35" t="str">
        <f t="shared" si="169"/>
        <v/>
      </c>
      <c r="BE272" s="45">
        <f t="shared" si="183"/>
        <v>0</v>
      </c>
      <c r="BF272" s="971"/>
      <c r="BG272" s="236"/>
      <c r="BH272" s="12"/>
      <c r="BI272" s="12"/>
      <c r="BJ272" s="12"/>
      <c r="BK272" s="12"/>
      <c r="BL272" s="12"/>
      <c r="BM272" s="980">
        <f t="shared" si="156"/>
        <v>2616</v>
      </c>
      <c r="BN272" s="367"/>
      <c r="BO272" s="981"/>
      <c r="BP272" s="12"/>
      <c r="BQ272" s="12"/>
      <c r="BR272" s="12"/>
      <c r="BS272" s="973"/>
      <c r="BT272" s="12"/>
      <c r="BU272" s="1017" t="s">
        <v>529</v>
      </c>
      <c r="BV272" s="1017"/>
      <c r="BW272" s="982" t="s">
        <v>392</v>
      </c>
      <c r="BX272" s="983">
        <f t="shared" si="161"/>
        <v>0</v>
      </c>
      <c r="BY272" s="12" t="e">
        <f>VLOOKUP(B272,#REF!,13,0)</f>
        <v>#REF!</v>
      </c>
      <c r="BZ272" s="1056">
        <v>334.9</v>
      </c>
      <c r="CA272" s="1181" t="e">
        <f>VLOOKUP(B272,Pedido!$B$16:$L$292,22,0)</f>
        <v>#N/A</v>
      </c>
    </row>
    <row r="273" spans="1:85" ht="27" customHeight="1" thickBot="1">
      <c r="A273" s="524"/>
      <c r="B273" s="140" t="s">
        <v>232</v>
      </c>
      <c r="C273" s="140" t="s">
        <v>150</v>
      </c>
      <c r="D273" s="369" t="s">
        <v>142</v>
      </c>
      <c r="E273" s="370" t="s">
        <v>126</v>
      </c>
      <c r="F273" s="371" t="s">
        <v>135</v>
      </c>
      <c r="G273" s="373">
        <v>1800</v>
      </c>
      <c r="H273" s="1153">
        <v>156.78</v>
      </c>
      <c r="I273" s="129">
        <v>639.9</v>
      </c>
      <c r="J273" s="130" t="str">
        <f t="shared" si="166"/>
        <v/>
      </c>
      <c r="K273" s="131" t="str">
        <f t="shared" si="160"/>
        <v/>
      </c>
      <c r="L273" s="241">
        <v>463.9</v>
      </c>
      <c r="M273" s="473">
        <f t="shared" si="163"/>
        <v>409.9</v>
      </c>
      <c r="N273" s="473">
        <f t="shared" si="164"/>
        <v>409.9</v>
      </c>
      <c r="O273" s="473">
        <f t="shared" si="165"/>
        <v>409.9</v>
      </c>
      <c r="P273" s="132">
        <v>409.9</v>
      </c>
      <c r="Q273" s="132">
        <v>378.9</v>
      </c>
      <c r="R273" s="132">
        <v>372.9</v>
      </c>
      <c r="S273" s="133">
        <v>359.9</v>
      </c>
      <c r="T273" s="134" t="str">
        <f t="shared" si="157"/>
        <v/>
      </c>
      <c r="U273" s="135" t="str">
        <f t="shared" si="158"/>
        <v/>
      </c>
      <c r="V273" s="575"/>
      <c r="W273" s="694"/>
      <c r="X273" s="170"/>
      <c r="Y273" s="122" t="str">
        <f t="shared" si="155"/>
        <v/>
      </c>
      <c r="Z273" s="224">
        <f t="shared" si="173"/>
        <v>0</v>
      </c>
      <c r="AA273" s="136">
        <f t="shared" si="159"/>
        <v>0</v>
      </c>
      <c r="AB273" s="136">
        <f t="shared" si="167"/>
        <v>0</v>
      </c>
      <c r="AC273" s="136">
        <f t="shared" si="168"/>
        <v>0</v>
      </c>
      <c r="AD273" s="136">
        <f t="shared" si="182"/>
        <v>0</v>
      </c>
      <c r="AE273" s="136">
        <f t="shared" si="174"/>
        <v>0</v>
      </c>
      <c r="AF273" s="136">
        <f t="shared" si="175"/>
        <v>0</v>
      </c>
      <c r="AG273" s="137">
        <f t="shared" si="176"/>
        <v>0</v>
      </c>
      <c r="AH273" s="136">
        <f t="shared" si="177"/>
        <v>0</v>
      </c>
      <c r="AI273" s="136">
        <f t="shared" si="178"/>
        <v>0</v>
      </c>
      <c r="AJ273" s="136">
        <f t="shared" si="146"/>
        <v>0</v>
      </c>
      <c r="AK273" s="136">
        <f t="shared" si="147"/>
        <v>0</v>
      </c>
      <c r="AL273" s="136">
        <f t="shared" si="148"/>
        <v>0</v>
      </c>
      <c r="AM273" s="136">
        <f t="shared" si="179"/>
        <v>0</v>
      </c>
      <c r="AN273" s="136">
        <f t="shared" si="149"/>
        <v>0</v>
      </c>
      <c r="AO273" s="136">
        <f t="shared" si="150"/>
        <v>0</v>
      </c>
      <c r="AP273" s="138">
        <f t="shared" si="180"/>
        <v>0.66203923259323127</v>
      </c>
      <c r="AQ273" s="139">
        <f t="shared" si="181"/>
        <v>209.04</v>
      </c>
      <c r="AR273" s="537">
        <v>3</v>
      </c>
      <c r="AS273" s="202">
        <f t="shared" si="170"/>
        <v>66.203923259323133</v>
      </c>
      <c r="AT273" s="197">
        <f t="shared" si="171"/>
        <v>0</v>
      </c>
      <c r="AU273" s="199">
        <f t="shared" si="172"/>
        <v>0</v>
      </c>
      <c r="AV273" s="110"/>
      <c r="AW273" s="138" t="e">
        <f>VLOOKUP(AX273,Sup!#REF!,8,0)</f>
        <v>#REF!</v>
      </c>
      <c r="AX273" s="1008" t="s">
        <v>199</v>
      </c>
      <c r="AY273" s="556">
        <v>0</v>
      </c>
      <c r="AZ273" s="35"/>
      <c r="BA273" s="35"/>
      <c r="BB273" s="35"/>
      <c r="BC273" s="35">
        <f t="shared" si="162"/>
        <v>0</v>
      </c>
      <c r="BD273" s="35" t="str">
        <f t="shared" si="169"/>
        <v/>
      </c>
      <c r="BE273" s="45">
        <f t="shared" si="183"/>
        <v>0</v>
      </c>
      <c r="BF273" s="971"/>
      <c r="BG273" s="236"/>
      <c r="BH273" s="12"/>
      <c r="BI273" s="12"/>
      <c r="BJ273" s="12"/>
      <c r="BK273" s="12"/>
      <c r="BL273" s="12"/>
      <c r="BM273" s="980">
        <f t="shared" si="156"/>
        <v>2640</v>
      </c>
      <c r="BN273" s="367"/>
      <c r="BO273" s="981"/>
      <c r="BP273" s="12"/>
      <c r="BQ273" s="12"/>
      <c r="BR273" s="12"/>
      <c r="BS273" s="973"/>
      <c r="BT273" s="12"/>
      <c r="BU273" s="973" t="s">
        <v>454</v>
      </c>
      <c r="BV273" s="983" t="s">
        <v>530</v>
      </c>
      <c r="BW273" s="982" t="s">
        <v>392</v>
      </c>
      <c r="BX273" s="983">
        <f t="shared" si="161"/>
        <v>0</v>
      </c>
      <c r="BY273" s="12" t="e">
        <f>VLOOKUP(B273,#REF!,13,0)</f>
        <v>#REF!</v>
      </c>
      <c r="BZ273" s="1056">
        <v>334.9</v>
      </c>
      <c r="CA273" s="1181" t="e">
        <f>VLOOKUP(B273,Pedido!$B$16:$L$292,22,0)</f>
        <v>#N/A</v>
      </c>
    </row>
    <row r="274" spans="1:85" ht="27" customHeight="1" thickBot="1">
      <c r="A274" s="524"/>
      <c r="B274" s="140" t="s">
        <v>521</v>
      </c>
      <c r="C274" s="140" t="str">
        <f>LEFT(B274,6)</f>
        <v>411122</v>
      </c>
      <c r="D274" s="369" t="s">
        <v>142</v>
      </c>
      <c r="E274" s="370" t="s">
        <v>271</v>
      </c>
      <c r="F274" s="371" t="s">
        <v>135</v>
      </c>
      <c r="G274" s="373">
        <v>1800</v>
      </c>
      <c r="H274" s="1153">
        <v>156.78</v>
      </c>
      <c r="I274" s="129">
        <v>639.9</v>
      </c>
      <c r="J274" s="130" t="str">
        <f t="shared" si="166"/>
        <v/>
      </c>
      <c r="K274" s="131" t="str">
        <f t="shared" si="160"/>
        <v/>
      </c>
      <c r="L274" s="241">
        <v>463.9</v>
      </c>
      <c r="M274" s="473">
        <f t="shared" si="163"/>
        <v>409.9</v>
      </c>
      <c r="N274" s="473">
        <f t="shared" si="164"/>
        <v>409.9</v>
      </c>
      <c r="O274" s="473">
        <f t="shared" si="165"/>
        <v>409.9</v>
      </c>
      <c r="P274" s="132">
        <v>409.9</v>
      </c>
      <c r="Q274" s="132">
        <v>378.9</v>
      </c>
      <c r="R274" s="132">
        <v>372.9</v>
      </c>
      <c r="S274" s="133">
        <v>359.9</v>
      </c>
      <c r="T274" s="134" t="str">
        <f t="shared" si="157"/>
        <v/>
      </c>
      <c r="U274" s="135" t="str">
        <f t="shared" si="158"/>
        <v/>
      </c>
      <c r="V274" s="575"/>
      <c r="W274" s="694"/>
      <c r="X274" s="170"/>
      <c r="Y274" s="122" t="str">
        <f t="shared" si="155"/>
        <v/>
      </c>
      <c r="Z274" s="224">
        <f t="shared" si="173"/>
        <v>0</v>
      </c>
      <c r="AA274" s="136">
        <f t="shared" si="159"/>
        <v>0</v>
      </c>
      <c r="AB274" s="136">
        <f t="shared" si="167"/>
        <v>0</v>
      </c>
      <c r="AC274" s="136">
        <f t="shared" si="168"/>
        <v>0</v>
      </c>
      <c r="AD274" s="136">
        <f t="shared" si="182"/>
        <v>0</v>
      </c>
      <c r="AE274" s="136">
        <f t="shared" si="174"/>
        <v>0</v>
      </c>
      <c r="AF274" s="136">
        <f t="shared" si="175"/>
        <v>0</v>
      </c>
      <c r="AG274" s="137">
        <f t="shared" si="176"/>
        <v>0</v>
      </c>
      <c r="AH274" s="136">
        <f t="shared" si="177"/>
        <v>0</v>
      </c>
      <c r="AI274" s="136">
        <f t="shared" si="178"/>
        <v>0</v>
      </c>
      <c r="AJ274" s="136">
        <f t="shared" ref="AJ274:AJ279" si="184">AH274*$AJ$25</f>
        <v>0</v>
      </c>
      <c r="AK274" s="136">
        <f t="shared" ref="AK274:AK279" si="185">AH274*AK$25</f>
        <v>0</v>
      </c>
      <c r="AL274" s="136">
        <f t="shared" ref="AL274:AL279" si="186">AH274*AL$25</f>
        <v>0</v>
      </c>
      <c r="AM274" s="136">
        <f t="shared" si="179"/>
        <v>0</v>
      </c>
      <c r="AN274" s="136">
        <f t="shared" ref="AN274:AN279" si="187">AH274-AM274</f>
        <v>0</v>
      </c>
      <c r="AO274" s="136">
        <f t="shared" ref="AO274:AO279" si="188">AN274-AI274</f>
        <v>0</v>
      </c>
      <c r="AP274" s="138">
        <f t="shared" si="180"/>
        <v>0.66203923259323127</v>
      </c>
      <c r="AQ274" s="139">
        <f t="shared" si="181"/>
        <v>209.04</v>
      </c>
      <c r="AR274" s="537">
        <v>3</v>
      </c>
      <c r="AS274" s="202">
        <f t="shared" si="170"/>
        <v>66.203923259323133</v>
      </c>
      <c r="AT274" s="197">
        <f t="shared" si="171"/>
        <v>0</v>
      </c>
      <c r="AU274" s="199">
        <f t="shared" si="172"/>
        <v>0</v>
      </c>
      <c r="AV274" s="110"/>
      <c r="AW274" s="138" t="e">
        <f>VLOOKUP(AX274,Sup!#REF!,8,0)</f>
        <v>#REF!</v>
      </c>
      <c r="AX274" s="1008" t="s">
        <v>199</v>
      </c>
      <c r="AY274" s="556">
        <v>0</v>
      </c>
      <c r="AZ274" s="35"/>
      <c r="BA274" s="35"/>
      <c r="BB274" s="35"/>
      <c r="BC274" s="35">
        <f t="shared" si="162"/>
        <v>0</v>
      </c>
      <c r="BD274" s="35" t="str">
        <f t="shared" si="169"/>
        <v/>
      </c>
      <c r="BE274" s="45">
        <f t="shared" si="183"/>
        <v>0</v>
      </c>
      <c r="BF274" s="971"/>
      <c r="BG274" s="236"/>
      <c r="BH274" s="12"/>
      <c r="BI274" s="12"/>
      <c r="BJ274" s="12"/>
      <c r="BK274" s="12"/>
      <c r="BL274" s="12"/>
      <c r="BM274" s="980">
        <f t="shared" si="156"/>
        <v>2664</v>
      </c>
      <c r="BN274" s="367"/>
      <c r="BO274" s="981"/>
      <c r="BP274" s="12"/>
      <c r="BQ274" s="12"/>
      <c r="BR274" s="12"/>
      <c r="BS274" s="973"/>
      <c r="BT274" s="12"/>
      <c r="BU274" s="973" t="s">
        <v>455</v>
      </c>
      <c r="BV274" s="983" t="s">
        <v>531</v>
      </c>
      <c r="BW274" s="982" t="s">
        <v>392</v>
      </c>
      <c r="BX274" s="983">
        <f t="shared" si="161"/>
        <v>0</v>
      </c>
      <c r="BY274" s="12" t="e">
        <f>VLOOKUP(B274,#REF!,13,0)</f>
        <v>#REF!</v>
      </c>
      <c r="BZ274" s="1056">
        <v>334.9</v>
      </c>
      <c r="CA274" s="1181" t="e">
        <f>VLOOKUP(B274,Pedido!$B$16:$L$292,22,0)</f>
        <v>#N/A</v>
      </c>
    </row>
    <row r="275" spans="1:85" ht="27" customHeight="1" thickBot="1">
      <c r="A275" s="524"/>
      <c r="B275" s="140" t="s">
        <v>149</v>
      </c>
      <c r="C275" s="140" t="s">
        <v>150</v>
      </c>
      <c r="D275" s="369" t="s">
        <v>142</v>
      </c>
      <c r="E275" s="370" t="s">
        <v>74</v>
      </c>
      <c r="F275" s="371" t="s">
        <v>135</v>
      </c>
      <c r="G275" s="373">
        <v>1800</v>
      </c>
      <c r="H275" s="1153">
        <v>156.78</v>
      </c>
      <c r="I275" s="129">
        <v>639.9</v>
      </c>
      <c r="J275" s="130" t="str">
        <f t="shared" si="166"/>
        <v/>
      </c>
      <c r="K275" s="131" t="str">
        <f t="shared" si="160"/>
        <v/>
      </c>
      <c r="L275" s="241">
        <v>463.9</v>
      </c>
      <c r="M275" s="473">
        <f t="shared" si="163"/>
        <v>409.9</v>
      </c>
      <c r="N275" s="473">
        <f t="shared" si="164"/>
        <v>409.9</v>
      </c>
      <c r="O275" s="473">
        <f t="shared" si="165"/>
        <v>409.9</v>
      </c>
      <c r="P275" s="132">
        <v>409.9</v>
      </c>
      <c r="Q275" s="132">
        <v>378.9</v>
      </c>
      <c r="R275" s="132">
        <v>372.9</v>
      </c>
      <c r="S275" s="133">
        <v>359.9</v>
      </c>
      <c r="T275" s="274" t="str">
        <f t="shared" si="157"/>
        <v/>
      </c>
      <c r="U275" s="152" t="str">
        <f t="shared" si="158"/>
        <v/>
      </c>
      <c r="V275" s="695"/>
      <c r="W275" s="696"/>
      <c r="X275" s="171"/>
      <c r="Y275" s="103" t="str">
        <f t="shared" si="155"/>
        <v/>
      </c>
      <c r="Z275" s="225">
        <f t="shared" si="173"/>
        <v>0</v>
      </c>
      <c r="AA275" s="275">
        <f t="shared" si="159"/>
        <v>0</v>
      </c>
      <c r="AB275" s="275">
        <f t="shared" si="167"/>
        <v>0</v>
      </c>
      <c r="AC275" s="275">
        <f t="shared" si="168"/>
        <v>0</v>
      </c>
      <c r="AD275" s="275">
        <f t="shared" si="182"/>
        <v>0</v>
      </c>
      <c r="AE275" s="275">
        <f t="shared" si="174"/>
        <v>0</v>
      </c>
      <c r="AF275" s="275">
        <f t="shared" si="175"/>
        <v>0</v>
      </c>
      <c r="AG275" s="290">
        <f t="shared" si="176"/>
        <v>0</v>
      </c>
      <c r="AH275" s="275">
        <f t="shared" si="177"/>
        <v>0</v>
      </c>
      <c r="AI275" s="275">
        <f t="shared" si="178"/>
        <v>0</v>
      </c>
      <c r="AJ275" s="275">
        <f t="shared" si="184"/>
        <v>0</v>
      </c>
      <c r="AK275" s="275">
        <f t="shared" si="185"/>
        <v>0</v>
      </c>
      <c r="AL275" s="275">
        <f t="shared" si="186"/>
        <v>0</v>
      </c>
      <c r="AM275" s="275">
        <f t="shared" si="179"/>
        <v>0</v>
      </c>
      <c r="AN275" s="275">
        <f t="shared" si="187"/>
        <v>0</v>
      </c>
      <c r="AO275" s="275">
        <f t="shared" si="188"/>
        <v>0</v>
      </c>
      <c r="AP275" s="276">
        <f t="shared" si="180"/>
        <v>0.66203923259323127</v>
      </c>
      <c r="AQ275" s="291">
        <f t="shared" si="181"/>
        <v>209.04</v>
      </c>
      <c r="AR275" s="542">
        <v>3</v>
      </c>
      <c r="AS275" s="596">
        <f t="shared" si="170"/>
        <v>66.203923259323133</v>
      </c>
      <c r="AT275" s="318">
        <f t="shared" si="171"/>
        <v>0</v>
      </c>
      <c r="AU275" s="597">
        <f t="shared" si="172"/>
        <v>0</v>
      </c>
      <c r="AV275" s="277"/>
      <c r="AW275" s="276" t="e">
        <f>VLOOKUP(AX275,Sup!#REF!,8,0)</f>
        <v>#REF!</v>
      </c>
      <c r="AX275" s="1010" t="s">
        <v>199</v>
      </c>
      <c r="AY275" s="556">
        <v>0</v>
      </c>
      <c r="AZ275" s="35"/>
      <c r="BA275" s="35"/>
      <c r="BB275" s="35"/>
      <c r="BC275" s="35">
        <f t="shared" si="162"/>
        <v>0</v>
      </c>
      <c r="BD275" s="35" t="str">
        <f t="shared" si="169"/>
        <v/>
      </c>
      <c r="BE275" s="45">
        <f t="shared" si="183"/>
        <v>0</v>
      </c>
      <c r="BF275" s="971"/>
      <c r="BG275" s="236"/>
      <c r="BH275" s="12"/>
      <c r="BI275" s="12"/>
      <c r="BJ275" s="12"/>
      <c r="BK275" s="12"/>
      <c r="BL275" s="12"/>
      <c r="BM275" s="980">
        <f t="shared" si="156"/>
        <v>2688</v>
      </c>
      <c r="BN275" s="367"/>
      <c r="BO275" s="981"/>
      <c r="BP275" s="12"/>
      <c r="BQ275" s="12"/>
      <c r="BR275" s="12"/>
      <c r="BS275" s="973"/>
      <c r="BT275" s="12"/>
      <c r="BU275" s="973" t="s">
        <v>275</v>
      </c>
      <c r="BV275" s="983" t="s">
        <v>528</v>
      </c>
      <c r="BW275" s="982" t="s">
        <v>392</v>
      </c>
      <c r="BX275" s="983">
        <f t="shared" si="161"/>
        <v>0</v>
      </c>
      <c r="BY275" s="12" t="e">
        <f>VLOOKUP(B275,#REF!,13,0)</f>
        <v>#REF!</v>
      </c>
      <c r="BZ275" s="1062">
        <v>334.9</v>
      </c>
      <c r="CA275" s="1181" t="e">
        <f>VLOOKUP(B275,Pedido!$B$16:$L$292,22,0)</f>
        <v>#N/A</v>
      </c>
    </row>
    <row r="276" spans="1:85" s="622" customFormat="1" ht="27" customHeight="1" thickBot="1">
      <c r="A276" s="1239"/>
      <c r="B276" s="1241" t="s">
        <v>616</v>
      </c>
      <c r="C276" s="1269" t="s">
        <v>554</v>
      </c>
      <c r="D276" s="1243" t="s">
        <v>615</v>
      </c>
      <c r="E276" s="1244" t="s">
        <v>70</v>
      </c>
      <c r="F276" s="1245" t="s">
        <v>61</v>
      </c>
      <c r="G276" s="1246">
        <v>900</v>
      </c>
      <c r="H276" s="1166"/>
      <c r="I276" s="1247">
        <v>294.89999999999998</v>
      </c>
      <c r="J276" s="1248" t="str">
        <f t="shared" si="166"/>
        <v/>
      </c>
      <c r="K276" s="1249" t="str">
        <f t="shared" si="160"/>
        <v/>
      </c>
      <c r="L276" s="1250">
        <f>IF(Pedido!$G$7&gt;14,149.9,214.8)</f>
        <v>214.8</v>
      </c>
      <c r="M276" s="1251">
        <f>IF(Pedido!$G$7&gt;14,149.9,214.8)</f>
        <v>214.8</v>
      </c>
      <c r="N276" s="1251">
        <f>IF(Pedido!$G$7&gt;14,149.9,214.8)</f>
        <v>214.8</v>
      </c>
      <c r="O276" s="1251">
        <f>IF(Pedido!$G$7&gt;14,149.9,214.8)</f>
        <v>214.8</v>
      </c>
      <c r="P276" s="1251">
        <f>IF(Pedido!$G$7&gt;14,149.9,214.8)</f>
        <v>214.8</v>
      </c>
      <c r="Q276" s="1251">
        <f>IF(Pedido!$G$7&gt;14,149.9,214.8)</f>
        <v>214.8</v>
      </c>
      <c r="R276" s="1251">
        <f>IF(Pedido!$G$7&gt;14,149.9,214.8)</f>
        <v>214.8</v>
      </c>
      <c r="S276" s="1252">
        <f>IF(Pedido!$G$7&gt;14,149.9,214.8)</f>
        <v>214.8</v>
      </c>
      <c r="T276" s="1240" t="str">
        <f t="shared" si="157"/>
        <v/>
      </c>
      <c r="U276" s="608" t="str">
        <f t="shared" si="158"/>
        <v/>
      </c>
      <c r="V276" s="1041"/>
      <c r="W276" s="1139"/>
      <c r="X276" s="676"/>
      <c r="Y276" s="628" t="str">
        <f t="shared" si="155"/>
        <v/>
      </c>
      <c r="Z276" s="629"/>
      <c r="AA276" s="609">
        <f t="shared" si="159"/>
        <v>0</v>
      </c>
      <c r="AB276" s="609">
        <f t="shared" si="167"/>
        <v>0</v>
      </c>
      <c r="AC276" s="609">
        <f t="shared" si="168"/>
        <v>0</v>
      </c>
      <c r="AD276" s="609">
        <f t="shared" si="182"/>
        <v>0</v>
      </c>
      <c r="AE276" s="609">
        <f t="shared" si="174"/>
        <v>0</v>
      </c>
      <c r="AF276" s="609">
        <f t="shared" si="175"/>
        <v>0</v>
      </c>
      <c r="AG276" s="610">
        <f t="shared" si="176"/>
        <v>0</v>
      </c>
      <c r="AH276" s="609">
        <f t="shared" si="177"/>
        <v>0</v>
      </c>
      <c r="AI276" s="609">
        <f t="shared" si="178"/>
        <v>0</v>
      </c>
      <c r="AJ276" s="609">
        <f t="shared" si="184"/>
        <v>0</v>
      </c>
      <c r="AK276" s="609">
        <f t="shared" si="185"/>
        <v>0</v>
      </c>
      <c r="AL276" s="609">
        <f t="shared" si="186"/>
        <v>0</v>
      </c>
      <c r="AM276" s="609">
        <f t="shared" si="179"/>
        <v>0</v>
      </c>
      <c r="AN276" s="609">
        <f t="shared" si="187"/>
        <v>0</v>
      </c>
      <c r="AO276" s="609">
        <f t="shared" si="188"/>
        <v>0</v>
      </c>
      <c r="AP276" s="611">
        <f t="shared" si="180"/>
        <v>1</v>
      </c>
      <c r="AQ276" s="612">
        <f t="shared" si="181"/>
        <v>0</v>
      </c>
      <c r="AR276" s="613" t="s">
        <v>158</v>
      </c>
      <c r="AS276" s="614">
        <f t="shared" si="170"/>
        <v>100</v>
      </c>
      <c r="AT276" s="615">
        <f t="shared" si="171"/>
        <v>0</v>
      </c>
      <c r="AU276" s="616">
        <f t="shared" si="172"/>
        <v>0</v>
      </c>
      <c r="AV276" s="617"/>
      <c r="AW276" s="611" t="e">
        <f>VLOOKUP(AX276,Sup!#REF!,8,0)</f>
        <v>#REF!</v>
      </c>
      <c r="AX276" s="1018" t="s">
        <v>199</v>
      </c>
      <c r="AY276" s="1140">
        <v>0</v>
      </c>
      <c r="AZ276" s="618"/>
      <c r="BA276" s="618"/>
      <c r="BB276" s="618"/>
      <c r="BC276" s="618">
        <f t="shared" si="162"/>
        <v>0</v>
      </c>
      <c r="BD276" s="618" t="str">
        <f t="shared" si="169"/>
        <v/>
      </c>
      <c r="BE276" s="619">
        <f t="shared" si="183"/>
        <v>0</v>
      </c>
      <c r="BF276" s="1019"/>
      <c r="BG276" s="620"/>
      <c r="BH276" s="621"/>
      <c r="BI276" s="621"/>
      <c r="BJ276" s="621"/>
      <c r="BK276" s="621"/>
      <c r="BL276" s="621"/>
      <c r="BM276" s="980" t="e">
        <f>#REF!+24</f>
        <v>#REF!</v>
      </c>
      <c r="BN276" s="623"/>
      <c r="BO276" s="1020" t="s">
        <v>522</v>
      </c>
      <c r="BP276" s="973" t="s">
        <v>526</v>
      </c>
      <c r="BQ276" s="973" t="str">
        <f>LEFT(F276,3)</f>
        <v>Pot</v>
      </c>
      <c r="BR276" s="1021" t="str">
        <f>CONCATENATE(BO276,BP276,BQ276)</f>
        <v>COMBOWPCPWOBANOPot</v>
      </c>
      <c r="BS276" s="675"/>
      <c r="BT276" s="12"/>
      <c r="BU276" s="1020" t="s">
        <v>451</v>
      </c>
      <c r="BV276" s="1020"/>
      <c r="BW276" s="982" t="s">
        <v>507</v>
      </c>
      <c r="BX276" s="1022">
        <f t="shared" si="161"/>
        <v>0</v>
      </c>
      <c r="BY276" s="621" t="e">
        <f>VLOOKUP(B276,#REF!,13,0)</f>
        <v>#REF!</v>
      </c>
      <c r="BZ276" s="1056"/>
      <c r="CA276" s="1181" t="e">
        <f>VLOOKUP(B276,Pedido!$B$16:$L$292,22,0)</f>
        <v>#N/A</v>
      </c>
      <c r="CB276" s="1181"/>
      <c r="CC276" s="1180"/>
      <c r="CD276" s="1180"/>
      <c r="CE276" s="1180"/>
      <c r="CF276" s="1180"/>
      <c r="CG276" s="1177"/>
    </row>
    <row r="277" spans="1:85" s="622" customFormat="1" ht="27" customHeight="1" thickBot="1">
      <c r="A277" s="1239"/>
      <c r="B277" s="1253" t="s">
        <v>617</v>
      </c>
      <c r="C277" s="1269" t="s">
        <v>554</v>
      </c>
      <c r="D277" s="1237" t="s">
        <v>615</v>
      </c>
      <c r="E277" s="370" t="s">
        <v>125</v>
      </c>
      <c r="F277" s="642" t="s">
        <v>61</v>
      </c>
      <c r="G277" s="548">
        <v>900</v>
      </c>
      <c r="H277" s="1153"/>
      <c r="I277" s="549">
        <v>294.89999999999998</v>
      </c>
      <c r="J277" s="550" t="str">
        <f>IFERROR(IF(T277&lt;&gt;"",I277/T277,IF(AND(Y277="",V277=""),"",IF(V277="",I277/Y277,I277/V277))),"")</f>
        <v/>
      </c>
      <c r="K277" s="551" t="str">
        <f>IF(T277="","",IFERROR(1-(T277/I277),0))</f>
        <v/>
      </c>
      <c r="L277" s="552">
        <f>IF(Pedido!$G$7&gt;14,149.9,214.8)</f>
        <v>214.8</v>
      </c>
      <c r="M277" s="553">
        <f>IF(Pedido!$G$7&gt;14,149.9,214.8)</f>
        <v>214.8</v>
      </c>
      <c r="N277" s="553">
        <f>IF(Pedido!$G$7&gt;14,149.9,214.8)</f>
        <v>214.8</v>
      </c>
      <c r="O277" s="553">
        <f>IF(Pedido!$G$7&gt;14,149.9,214.8)</f>
        <v>214.8</v>
      </c>
      <c r="P277" s="553">
        <f>IF(Pedido!$G$7&gt;14,149.9,214.8)</f>
        <v>214.8</v>
      </c>
      <c r="Q277" s="553">
        <f>IF(Pedido!$G$7&gt;14,149.9,214.8)</f>
        <v>214.8</v>
      </c>
      <c r="R277" s="553">
        <f>IF(Pedido!$G$7&gt;14,149.9,214.8)</f>
        <v>214.8</v>
      </c>
      <c r="S277" s="1254">
        <f>IF(Pedido!$G$7&gt;14,149.9,214.8)</f>
        <v>214.8</v>
      </c>
      <c r="T277" s="1240" t="str">
        <f>IF(V277&gt;0,V277,IFERROR(IF(AND(W277&lt;&gt;"",X277&lt;&gt;""),AH277/W277,Y277),""))</f>
        <v/>
      </c>
      <c r="U277" s="608" t="str">
        <f>IFERROR((T277*W277)/(W277+X277),"")</f>
        <v/>
      </c>
      <c r="V277" s="1041"/>
      <c r="W277" s="1139"/>
      <c r="X277" s="676"/>
      <c r="Y277" s="628" t="str">
        <f t="shared" si="155"/>
        <v/>
      </c>
      <c r="Z277" s="629"/>
      <c r="AA277" s="609">
        <f>IFERROR(L277*W277,0)</f>
        <v>0</v>
      </c>
      <c r="AB277" s="609">
        <f t="shared" si="167"/>
        <v>0</v>
      </c>
      <c r="AC277" s="609">
        <f t="shared" si="168"/>
        <v>0</v>
      </c>
      <c r="AD277" s="609">
        <f t="shared" si="182"/>
        <v>0</v>
      </c>
      <c r="AE277" s="609">
        <f t="shared" si="174"/>
        <v>0</v>
      </c>
      <c r="AF277" s="609">
        <f t="shared" si="175"/>
        <v>0</v>
      </c>
      <c r="AG277" s="610">
        <f t="shared" si="176"/>
        <v>0</v>
      </c>
      <c r="AH277" s="609">
        <f t="shared" si="177"/>
        <v>0</v>
      </c>
      <c r="AI277" s="609">
        <f t="shared" si="178"/>
        <v>0</v>
      </c>
      <c r="AJ277" s="609">
        <f t="shared" si="184"/>
        <v>0</v>
      </c>
      <c r="AK277" s="609">
        <f t="shared" si="185"/>
        <v>0</v>
      </c>
      <c r="AL277" s="609">
        <f t="shared" si="186"/>
        <v>0</v>
      </c>
      <c r="AM277" s="609">
        <f t="shared" si="179"/>
        <v>0</v>
      </c>
      <c r="AN277" s="609">
        <f t="shared" si="187"/>
        <v>0</v>
      </c>
      <c r="AO277" s="609">
        <f t="shared" si="188"/>
        <v>0</v>
      </c>
      <c r="AP277" s="611">
        <f t="shared" si="180"/>
        <v>1</v>
      </c>
      <c r="AQ277" s="612">
        <f t="shared" si="181"/>
        <v>0</v>
      </c>
      <c r="AR277" s="613" t="s">
        <v>158</v>
      </c>
      <c r="AS277" s="614">
        <f t="shared" si="170"/>
        <v>100</v>
      </c>
      <c r="AT277" s="615">
        <f t="shared" si="171"/>
        <v>0</v>
      </c>
      <c r="AU277" s="616">
        <f t="shared" si="172"/>
        <v>0</v>
      </c>
      <c r="AV277" s="617"/>
      <c r="AW277" s="611" t="e">
        <f>VLOOKUP(AX277,Sup!#REF!,8,0)</f>
        <v>#REF!</v>
      </c>
      <c r="AX277" s="1018" t="s">
        <v>199</v>
      </c>
      <c r="AY277" s="1140">
        <v>0</v>
      </c>
      <c r="AZ277" s="618"/>
      <c r="BA277" s="618"/>
      <c r="BB277" s="618"/>
      <c r="BC277" s="618">
        <f>IF(BE277&lt;0,BE277,0)</f>
        <v>0</v>
      </c>
      <c r="BD277" s="618" t="str">
        <f t="shared" si="169"/>
        <v/>
      </c>
      <c r="BE277" s="619">
        <f t="shared" si="183"/>
        <v>0</v>
      </c>
      <c r="BF277" s="1019"/>
      <c r="BG277" s="620"/>
      <c r="BH277" s="621"/>
      <c r="BI277" s="621"/>
      <c r="BJ277" s="621"/>
      <c r="BK277" s="621"/>
      <c r="BL277" s="621"/>
      <c r="BM277" s="980">
        <f>BM275+24</f>
        <v>2712</v>
      </c>
      <c r="BN277" s="623"/>
      <c r="BO277" s="1020" t="s">
        <v>522</v>
      </c>
      <c r="BP277" s="973" t="str">
        <f>IF(E277="banoffee",LEFT(E277,4),LEFT(E277,3))</f>
        <v>Cho</v>
      </c>
      <c r="BQ277" s="973" t="str">
        <f>LEFT(F277,3)</f>
        <v>Pot</v>
      </c>
      <c r="BR277" s="1021" t="str">
        <f>CONCATENATE(BO277,BP277,BQ277)</f>
        <v>COMBOWPCPWOChoPot</v>
      </c>
      <c r="BS277" s="675"/>
      <c r="BT277" s="12"/>
      <c r="BU277" s="1020" t="s">
        <v>523</v>
      </c>
      <c r="BV277" s="1020"/>
      <c r="BW277" s="982" t="s">
        <v>507</v>
      </c>
      <c r="BX277" s="1022">
        <f t="shared" si="161"/>
        <v>0</v>
      </c>
      <c r="BY277" s="621" t="e">
        <f>VLOOKUP(B277,#REF!,13,0)</f>
        <v>#REF!</v>
      </c>
      <c r="BZ277" s="1056"/>
      <c r="CA277" s="1181" t="e">
        <f>VLOOKUP(B277,Pedido!$B$16:$L$292,22,0)</f>
        <v>#N/A</v>
      </c>
      <c r="CB277" s="1181"/>
      <c r="CC277" s="1180"/>
      <c r="CD277" s="1180"/>
      <c r="CE277" s="1180"/>
      <c r="CF277" s="1180"/>
      <c r="CG277" s="1177"/>
    </row>
    <row r="278" spans="1:85" s="622" customFormat="1" ht="27" customHeight="1" thickBot="1">
      <c r="A278" s="1239"/>
      <c r="B278" s="1253" t="s">
        <v>618</v>
      </c>
      <c r="C278" s="1269" t="s">
        <v>554</v>
      </c>
      <c r="D278" s="1237" t="s">
        <v>615</v>
      </c>
      <c r="E278" s="370" t="s">
        <v>74</v>
      </c>
      <c r="F278" s="642" t="s">
        <v>61</v>
      </c>
      <c r="G278" s="548">
        <v>900</v>
      </c>
      <c r="H278" s="1153"/>
      <c r="I278" s="549">
        <v>294.89999999999998</v>
      </c>
      <c r="J278" s="550" t="str">
        <f t="shared" si="166"/>
        <v/>
      </c>
      <c r="K278" s="551" t="str">
        <f t="shared" si="160"/>
        <v/>
      </c>
      <c r="L278" s="552">
        <f>IF(Pedido!$G$7&gt;14,149.9,214.8)</f>
        <v>214.8</v>
      </c>
      <c r="M278" s="553">
        <f>IF(Pedido!$G$7&gt;14,149.9,214.8)</f>
        <v>214.8</v>
      </c>
      <c r="N278" s="553">
        <f>IF(Pedido!$G$7&gt;14,149.9,214.8)</f>
        <v>214.8</v>
      </c>
      <c r="O278" s="553">
        <f>IF(Pedido!$G$7&gt;14,149.9,214.8)</f>
        <v>214.8</v>
      </c>
      <c r="P278" s="553">
        <f>IF(Pedido!$G$7&gt;14,149.9,214.8)</f>
        <v>214.8</v>
      </c>
      <c r="Q278" s="553">
        <f>IF(Pedido!$G$7&gt;14,149.9,214.8)</f>
        <v>214.8</v>
      </c>
      <c r="R278" s="553">
        <f>IF(Pedido!$G$7&gt;14,149.9,214.8)</f>
        <v>214.8</v>
      </c>
      <c r="S278" s="1254">
        <f>IF(Pedido!$G$7&gt;14,149.9,214.8)</f>
        <v>214.8</v>
      </c>
      <c r="T278" s="1240" t="str">
        <f t="shared" si="157"/>
        <v/>
      </c>
      <c r="U278" s="608" t="str">
        <f t="shared" si="158"/>
        <v/>
      </c>
      <c r="V278" s="1041"/>
      <c r="W278" s="1139"/>
      <c r="X278" s="676"/>
      <c r="Y278" s="628" t="str">
        <f t="shared" si="155"/>
        <v/>
      </c>
      <c r="Z278" s="629"/>
      <c r="AA278" s="609">
        <f t="shared" si="159"/>
        <v>0</v>
      </c>
      <c r="AB278" s="609">
        <f t="shared" si="167"/>
        <v>0</v>
      </c>
      <c r="AC278" s="609">
        <f t="shared" si="168"/>
        <v>0</v>
      </c>
      <c r="AD278" s="609">
        <f t="shared" si="182"/>
        <v>0</v>
      </c>
      <c r="AE278" s="609">
        <f t="shared" si="174"/>
        <v>0</v>
      </c>
      <c r="AF278" s="609">
        <f t="shared" si="175"/>
        <v>0</v>
      </c>
      <c r="AG278" s="610">
        <f t="shared" si="176"/>
        <v>0</v>
      </c>
      <c r="AH278" s="609">
        <f t="shared" si="177"/>
        <v>0</v>
      </c>
      <c r="AI278" s="609">
        <f t="shared" si="178"/>
        <v>0</v>
      </c>
      <c r="AJ278" s="609">
        <f t="shared" si="184"/>
        <v>0</v>
      </c>
      <c r="AK278" s="609">
        <f t="shared" si="185"/>
        <v>0</v>
      </c>
      <c r="AL278" s="609">
        <f t="shared" si="186"/>
        <v>0</v>
      </c>
      <c r="AM278" s="609">
        <f t="shared" si="179"/>
        <v>0</v>
      </c>
      <c r="AN278" s="609">
        <f t="shared" si="187"/>
        <v>0</v>
      </c>
      <c r="AO278" s="609">
        <f t="shared" si="188"/>
        <v>0</v>
      </c>
      <c r="AP278" s="611">
        <f t="shared" si="180"/>
        <v>1</v>
      </c>
      <c r="AQ278" s="612">
        <f t="shared" si="181"/>
        <v>0</v>
      </c>
      <c r="AR278" s="613" t="s">
        <v>158</v>
      </c>
      <c r="AS278" s="614">
        <f t="shared" si="170"/>
        <v>100</v>
      </c>
      <c r="AT278" s="615">
        <f t="shared" si="171"/>
        <v>0</v>
      </c>
      <c r="AU278" s="616">
        <f t="shared" si="172"/>
        <v>0</v>
      </c>
      <c r="AV278" s="617"/>
      <c r="AW278" s="611" t="e">
        <f>VLOOKUP(AX278,Sup!#REF!,8,0)</f>
        <v>#REF!</v>
      </c>
      <c r="AX278" s="1018" t="s">
        <v>199</v>
      </c>
      <c r="AY278" s="1140">
        <v>0</v>
      </c>
      <c r="AZ278" s="618"/>
      <c r="BA278" s="618"/>
      <c r="BB278" s="618"/>
      <c r="BC278" s="618">
        <f t="shared" si="162"/>
        <v>0</v>
      </c>
      <c r="BD278" s="618" t="str">
        <f t="shared" si="169"/>
        <v/>
      </c>
      <c r="BE278" s="619">
        <f t="shared" si="183"/>
        <v>0</v>
      </c>
      <c r="BF278" s="1019"/>
      <c r="BG278" s="620"/>
      <c r="BH278" s="621"/>
      <c r="BI278" s="621"/>
      <c r="BJ278" s="621"/>
      <c r="BK278" s="621"/>
      <c r="BL278" s="621"/>
      <c r="BM278" s="980" t="e">
        <f>BM276+24</f>
        <v>#REF!</v>
      </c>
      <c r="BN278" s="623"/>
      <c r="BO278" s="1020" t="s">
        <v>522</v>
      </c>
      <c r="BP278" s="973" t="str">
        <f>IF(E278="banoffee",LEFT(E278,4),LEFT(E278,3))</f>
        <v>Mor</v>
      </c>
      <c r="BQ278" s="973" t="str">
        <f>LEFT(F278,3)</f>
        <v>Pot</v>
      </c>
      <c r="BR278" s="1021" t="str">
        <f>CONCATENATE(BO278,BP278,BQ278)</f>
        <v>COMBOWPCPWOMorPot</v>
      </c>
      <c r="BS278" s="675"/>
      <c r="BT278" s="12"/>
      <c r="BU278" s="1020" t="s">
        <v>523</v>
      </c>
      <c r="BV278" s="1020"/>
      <c r="BW278" s="982" t="s">
        <v>507</v>
      </c>
      <c r="BX278" s="1022">
        <f t="shared" si="161"/>
        <v>0</v>
      </c>
      <c r="BY278" s="621" t="e">
        <f>VLOOKUP(B278,#REF!,13,0)</f>
        <v>#REF!</v>
      </c>
      <c r="BZ278" s="1056"/>
      <c r="CA278" s="1181" t="e">
        <f>VLOOKUP(B278,Pedido!$B$16:$L$292,22,0)</f>
        <v>#N/A</v>
      </c>
      <c r="CB278" s="1181"/>
      <c r="CC278" s="1180"/>
      <c r="CD278" s="1180"/>
      <c r="CE278" s="1180"/>
      <c r="CF278" s="1180"/>
      <c r="CG278" s="1177"/>
    </row>
    <row r="279" spans="1:85" s="622" customFormat="1" ht="27" customHeight="1" thickBot="1">
      <c r="A279" s="1239"/>
      <c r="B279" s="1255" t="s">
        <v>619</v>
      </c>
      <c r="C279" s="1269" t="s">
        <v>554</v>
      </c>
      <c r="D279" s="1238" t="s">
        <v>615</v>
      </c>
      <c r="E279" s="589" t="s">
        <v>126</v>
      </c>
      <c r="F279" s="642" t="s">
        <v>61</v>
      </c>
      <c r="G279" s="548">
        <v>900</v>
      </c>
      <c r="H279" s="1160"/>
      <c r="I279" s="549">
        <v>294.89999999999998</v>
      </c>
      <c r="J279" s="626" t="str">
        <f t="shared" si="166"/>
        <v/>
      </c>
      <c r="K279" s="627" t="str">
        <f t="shared" si="160"/>
        <v/>
      </c>
      <c r="L279" s="552">
        <f>IF(Pedido!$G$7&gt;14,149.9,214.8)</f>
        <v>214.8</v>
      </c>
      <c r="M279" s="555">
        <f>IF(Pedido!$G$7&gt;14,149.9,214.8)</f>
        <v>214.8</v>
      </c>
      <c r="N279" s="555">
        <f>IF(Pedido!$G$7&gt;14,149.9,214.8)</f>
        <v>214.8</v>
      </c>
      <c r="O279" s="555">
        <f>IF(Pedido!$G$7&gt;14,149.9,214.8)</f>
        <v>214.8</v>
      </c>
      <c r="P279" s="555">
        <f>IF(Pedido!$G$7&gt;14,149.9,214.8)</f>
        <v>214.8</v>
      </c>
      <c r="Q279" s="555">
        <f>IF(Pedido!$G$7&gt;14,149.9,214.8)</f>
        <v>214.8</v>
      </c>
      <c r="R279" s="555">
        <f>IF(Pedido!$G$7&gt;14,149.9,214.8)</f>
        <v>214.8</v>
      </c>
      <c r="S279" s="1256">
        <f>IF(Pedido!$G$7&gt;14,149.9,214.8)</f>
        <v>214.8</v>
      </c>
      <c r="T279" s="1240" t="str">
        <f t="shared" si="157"/>
        <v/>
      </c>
      <c r="U279" s="608" t="str">
        <f t="shared" si="158"/>
        <v/>
      </c>
      <c r="V279" s="1041"/>
      <c r="W279" s="1139"/>
      <c r="X279" s="676"/>
      <c r="Y279" s="628" t="str">
        <f t="shared" si="155"/>
        <v/>
      </c>
      <c r="Z279" s="629"/>
      <c r="AA279" s="609">
        <f t="shared" si="159"/>
        <v>0</v>
      </c>
      <c r="AB279" s="609">
        <f t="shared" si="167"/>
        <v>0</v>
      </c>
      <c r="AC279" s="609">
        <f t="shared" si="168"/>
        <v>0</v>
      </c>
      <c r="AD279" s="609">
        <f t="shared" si="182"/>
        <v>0</v>
      </c>
      <c r="AE279" s="609">
        <f t="shared" si="174"/>
        <v>0</v>
      </c>
      <c r="AF279" s="609">
        <f t="shared" si="175"/>
        <v>0</v>
      </c>
      <c r="AG279" s="610">
        <f t="shared" si="176"/>
        <v>0</v>
      </c>
      <c r="AH279" s="609">
        <f t="shared" si="177"/>
        <v>0</v>
      </c>
      <c r="AI279" s="609">
        <f t="shared" si="178"/>
        <v>0</v>
      </c>
      <c r="AJ279" s="609">
        <f t="shared" si="184"/>
        <v>0</v>
      </c>
      <c r="AK279" s="609">
        <f t="shared" si="185"/>
        <v>0</v>
      </c>
      <c r="AL279" s="609">
        <f t="shared" si="186"/>
        <v>0</v>
      </c>
      <c r="AM279" s="609">
        <f t="shared" si="179"/>
        <v>0</v>
      </c>
      <c r="AN279" s="609">
        <f t="shared" si="187"/>
        <v>0</v>
      </c>
      <c r="AO279" s="609">
        <f t="shared" si="188"/>
        <v>0</v>
      </c>
      <c r="AP279" s="611">
        <f t="shared" si="180"/>
        <v>1</v>
      </c>
      <c r="AQ279" s="612">
        <f t="shared" si="181"/>
        <v>0</v>
      </c>
      <c r="AR279" s="613" t="s">
        <v>158</v>
      </c>
      <c r="AS279" s="614">
        <f t="shared" si="170"/>
        <v>100</v>
      </c>
      <c r="AT279" s="615">
        <f t="shared" si="171"/>
        <v>0</v>
      </c>
      <c r="AU279" s="616">
        <f t="shared" si="172"/>
        <v>0</v>
      </c>
      <c r="AV279" s="617"/>
      <c r="AW279" s="611" t="e">
        <f>VLOOKUP(AX279,Sup!#REF!,8,0)</f>
        <v>#REF!</v>
      </c>
      <c r="AX279" s="1018" t="s">
        <v>199</v>
      </c>
      <c r="AY279" s="1140">
        <v>0</v>
      </c>
      <c r="AZ279" s="618"/>
      <c r="BA279" s="618"/>
      <c r="BB279" s="618"/>
      <c r="BC279" s="618">
        <f t="shared" si="162"/>
        <v>0</v>
      </c>
      <c r="BD279" s="618" t="str">
        <f t="shared" si="169"/>
        <v/>
      </c>
      <c r="BE279" s="619">
        <f t="shared" si="183"/>
        <v>0</v>
      </c>
      <c r="BF279" s="1019"/>
      <c r="BG279" s="620"/>
      <c r="BH279" s="621"/>
      <c r="BI279" s="621"/>
      <c r="BJ279" s="621"/>
      <c r="BK279" s="621"/>
      <c r="BL279" s="621"/>
      <c r="BM279" s="980" t="e">
        <f>#REF!+24</f>
        <v>#REF!</v>
      </c>
      <c r="BN279" s="623"/>
      <c r="BO279" s="1020" t="s">
        <v>522</v>
      </c>
      <c r="BP279" s="973" t="str">
        <f>IF(E279="banoffee",LEFT(E279,4),LEFT(E279,3))</f>
        <v>Coo</v>
      </c>
      <c r="BQ279" s="973" t="str">
        <f>LEFT(F279,3)</f>
        <v>Pot</v>
      </c>
      <c r="BR279" s="1021" t="str">
        <f>CONCATENATE(BO279,BP279,BQ279)</f>
        <v>COMBOWPCPWOCooPot</v>
      </c>
      <c r="BS279" s="675"/>
      <c r="BT279" s="12"/>
      <c r="BU279" s="1017" t="s">
        <v>525</v>
      </c>
      <c r="BV279" s="1017"/>
      <c r="BW279" s="982" t="s">
        <v>507</v>
      </c>
      <c r="BX279" s="1022">
        <f t="shared" si="161"/>
        <v>0</v>
      </c>
      <c r="BY279" s="621" t="e">
        <f>VLOOKUP(B279,#REF!,13,0)</f>
        <v>#REF!</v>
      </c>
      <c r="BZ279" s="1056"/>
      <c r="CA279" s="1181" t="e">
        <f>VLOOKUP(B279,Pedido!$B$16:$L$292,22,0)</f>
        <v>#N/A</v>
      </c>
      <c r="CB279" s="1181"/>
      <c r="CC279" s="1180"/>
      <c r="CD279" s="1180"/>
      <c r="CE279" s="1180"/>
      <c r="CF279" s="1180"/>
      <c r="CG279" s="1177"/>
    </row>
    <row r="280" spans="1:85" s="622" customFormat="1" ht="27" customHeight="1" thickBot="1">
      <c r="A280" s="1239"/>
      <c r="B280" s="1253" t="s">
        <v>620</v>
      </c>
      <c r="C280" s="1269" t="s">
        <v>554</v>
      </c>
      <c r="D280" s="1237" t="s">
        <v>615</v>
      </c>
      <c r="E280" s="642" t="s">
        <v>118</v>
      </c>
      <c r="F280" s="642" t="s">
        <v>61</v>
      </c>
      <c r="G280" s="548">
        <v>900</v>
      </c>
      <c r="H280" s="1153"/>
      <c r="I280" s="549">
        <v>294.89999999999998</v>
      </c>
      <c r="J280" s="550" t="str">
        <f t="shared" ref="J280:J287" si="189">IFERROR(IF(T280&lt;&gt;"",I280/T280,IF(AND(Y280="",V280=""),"",IF(V280="",I280/Y280,I280/V280))),"")</f>
        <v/>
      </c>
      <c r="K280" s="551" t="str">
        <f t="shared" ref="K280:K287" si="190">IF(T280="","",IFERROR(1-(T280/I280),0))</f>
        <v/>
      </c>
      <c r="L280" s="552">
        <f>IF(Pedido!$G$7&gt;14,149.9,214.8)</f>
        <v>214.8</v>
      </c>
      <c r="M280" s="553">
        <f>IF(Pedido!$G$7&gt;14,149.9,214.8)</f>
        <v>214.8</v>
      </c>
      <c r="N280" s="553">
        <f>IF(Pedido!$G$7&gt;14,149.9,214.8)</f>
        <v>214.8</v>
      </c>
      <c r="O280" s="553">
        <f>IF(Pedido!$G$7&gt;14,149.9,214.8)</f>
        <v>214.8</v>
      </c>
      <c r="P280" s="553">
        <f>IF(Pedido!$G$7&gt;14,149.9,214.8)</f>
        <v>214.8</v>
      </c>
      <c r="Q280" s="553">
        <f>IF(Pedido!$G$7&gt;14,149.9,214.8)</f>
        <v>214.8</v>
      </c>
      <c r="R280" s="553">
        <f>IF(Pedido!$G$7&gt;14,149.9,214.8)</f>
        <v>214.8</v>
      </c>
      <c r="S280" s="1254">
        <f>IF(Pedido!$G$7&gt;14,149.9,214.8)</f>
        <v>214.8</v>
      </c>
      <c r="T280" s="1240" t="str">
        <f t="shared" ref="T280:T287" si="191">IF(V280&gt;0,V280,IFERROR(IF(AND(W280&lt;&gt;"",X280&lt;&gt;""),AH280/W280,Y280),""))</f>
        <v/>
      </c>
      <c r="U280" s="608" t="str">
        <f t="shared" ref="U280:U287" si="192">IFERROR((T280*W280)/(W280+X280),"")</f>
        <v/>
      </c>
      <c r="V280" s="1041"/>
      <c r="W280" s="1139"/>
      <c r="X280" s="676"/>
      <c r="Y280" s="628" t="str">
        <f t="shared" si="155"/>
        <v/>
      </c>
      <c r="Z280" s="629"/>
      <c r="AA280" s="609">
        <f t="shared" ref="AA280:AA287" si="193">IFERROR(L280*W280,0)</f>
        <v>0</v>
      </c>
      <c r="AB280" s="609">
        <f t="shared" si="167"/>
        <v>0</v>
      </c>
      <c r="AC280" s="609">
        <f t="shared" si="168"/>
        <v>0</v>
      </c>
      <c r="AD280" s="609">
        <f t="shared" ref="AD280:AD287" si="194">IFERROR(X280*T280,0)</f>
        <v>0</v>
      </c>
      <c r="AE280" s="609">
        <f t="shared" ref="AE280:AE287" si="195">IFERROR(W280*H280,0)</f>
        <v>0</v>
      </c>
      <c r="AF280" s="609">
        <f t="shared" ref="AF280:AF287" si="196">IFERROR(1-(AE280/AB280),0)</f>
        <v>0</v>
      </c>
      <c r="AG280" s="610">
        <f t="shared" ref="AG280:AG287" si="197">IFERROR(SUM(W280:X280)*I280,0)</f>
        <v>0</v>
      </c>
      <c r="AH280" s="609">
        <f t="shared" ref="AH280:AH287" si="198">IFERROR(IF(V280&gt;0,V280*W280,(Y280*W280)),0)</f>
        <v>0</v>
      </c>
      <c r="AI280" s="609">
        <f t="shared" ref="AI280:AI287" si="199">IFERROR(SUM(W280)*H280,0)</f>
        <v>0</v>
      </c>
      <c r="AJ280" s="609">
        <f t="shared" ref="AJ280:AJ287" si="200">AH280*$AJ$25</f>
        <v>0</v>
      </c>
      <c r="AK280" s="609">
        <f t="shared" ref="AK280:AK287" si="201">AH280*AK$25</f>
        <v>0</v>
      </c>
      <c r="AL280" s="609">
        <f t="shared" ref="AL280:AL287" si="202">AH280*AL$25</f>
        <v>0</v>
      </c>
      <c r="AM280" s="609">
        <f t="shared" ref="AM280:AM287" si="203">SUM(AJ280:AL280)</f>
        <v>0</v>
      </c>
      <c r="AN280" s="609">
        <f t="shared" ref="AN280:AN287" si="204">AH280-AM280</f>
        <v>0</v>
      </c>
      <c r="AO280" s="609">
        <f t="shared" ref="AO280:AO287" si="205">AN280-AI280</f>
        <v>0</v>
      </c>
      <c r="AP280" s="611">
        <f t="shared" ref="AP280:AP287" si="206">IFERROR(IF(V280&lt;&gt;"",1-(H280/V280),IF(Y280&lt;&gt;"",1-(H280/Y280),1-(H280/L280))),0)</f>
        <v>1</v>
      </c>
      <c r="AQ280" s="612">
        <f t="shared" ref="AQ280:AQ287" si="207">H280/0.75</f>
        <v>0</v>
      </c>
      <c r="AR280" s="613" t="s">
        <v>158</v>
      </c>
      <c r="AS280" s="614">
        <f t="shared" si="170"/>
        <v>100</v>
      </c>
      <c r="AT280" s="615">
        <f t="shared" ref="AT280:AT287" si="208">IFERROR(1-(AI280/AH280),0)</f>
        <v>0</v>
      </c>
      <c r="AU280" s="616">
        <f t="shared" ref="AU280:AU287" si="209">IFERROR(AO280/AH280,0)</f>
        <v>0</v>
      </c>
      <c r="AV280" s="617"/>
      <c r="AW280" s="611" t="e">
        <f>VLOOKUP(AX280,Sup!#REF!,8,0)</f>
        <v>#REF!</v>
      </c>
      <c r="AX280" s="1018" t="s">
        <v>199</v>
      </c>
      <c r="AY280" s="1140">
        <v>0</v>
      </c>
      <c r="AZ280" s="618"/>
      <c r="BA280" s="618"/>
      <c r="BB280" s="618"/>
      <c r="BC280" s="618">
        <f t="shared" ref="BC280:BC287" si="210">IF(BE280&lt;0,BE280,0)</f>
        <v>0</v>
      </c>
      <c r="BD280" s="618" t="str">
        <f t="shared" si="169"/>
        <v/>
      </c>
      <c r="BE280" s="619">
        <f t="shared" ref="BE280:BE287" si="211">IF(V280="",0,(V280*W280)-(BD280*W280))</f>
        <v>0</v>
      </c>
      <c r="BF280" s="1019"/>
      <c r="BG280" s="620"/>
      <c r="BH280" s="621"/>
      <c r="BI280" s="621"/>
      <c r="BJ280" s="621"/>
      <c r="BK280" s="621"/>
      <c r="BL280" s="621"/>
      <c r="BM280" s="980" t="e">
        <f>#REF!+24</f>
        <v>#REF!</v>
      </c>
      <c r="BN280" s="623"/>
      <c r="BO280" s="1020" t="s">
        <v>522</v>
      </c>
      <c r="BP280" s="973" t="s">
        <v>526</v>
      </c>
      <c r="BQ280" s="973" t="str">
        <f t="shared" ref="BQ280:BQ287" si="212">LEFT(F280,3)</f>
        <v>Pot</v>
      </c>
      <c r="BR280" s="1021" t="str">
        <f t="shared" ref="BR280:BR287" si="213">CONCATENATE(BO280,BP280,BQ280)</f>
        <v>COMBOWPCPWOBANOPot</v>
      </c>
      <c r="BS280" s="675"/>
      <c r="BT280" s="12"/>
      <c r="BU280" s="1020" t="s">
        <v>451</v>
      </c>
      <c r="BV280" s="1020"/>
      <c r="BW280" s="982" t="s">
        <v>507</v>
      </c>
      <c r="BX280" s="1022">
        <f t="shared" ref="BX280:BX287" si="214">IFERROR(W280*U280,0)</f>
        <v>0</v>
      </c>
      <c r="BY280" s="621" t="e">
        <f>VLOOKUP(B280,#REF!,13,0)</f>
        <v>#REF!</v>
      </c>
      <c r="BZ280" s="1056"/>
      <c r="CA280" s="1181" t="e">
        <f>VLOOKUP(B280,Pedido!$B$16:$L$292,22,0)</f>
        <v>#N/A</v>
      </c>
      <c r="CB280" s="1181"/>
      <c r="CC280" s="1180"/>
      <c r="CD280" s="1180"/>
      <c r="CE280" s="1180"/>
      <c r="CF280" s="1180"/>
      <c r="CG280" s="1177"/>
    </row>
    <row r="281" spans="1:85" s="622" customFormat="1" ht="27" customHeight="1" thickBot="1">
      <c r="A281" s="1239"/>
      <c r="B281" s="1253" t="s">
        <v>621</v>
      </c>
      <c r="C281" s="1269" t="s">
        <v>554</v>
      </c>
      <c r="D281" s="1237" t="s">
        <v>615</v>
      </c>
      <c r="E281" s="642" t="s">
        <v>124</v>
      </c>
      <c r="F281" s="642" t="s">
        <v>61</v>
      </c>
      <c r="G281" s="548">
        <v>900</v>
      </c>
      <c r="H281" s="1153"/>
      <c r="I281" s="549">
        <v>294.89999999999998</v>
      </c>
      <c r="J281" s="550" t="str">
        <f t="shared" si="189"/>
        <v/>
      </c>
      <c r="K281" s="551" t="str">
        <f t="shared" si="190"/>
        <v/>
      </c>
      <c r="L281" s="552">
        <f>IF(Pedido!$G$7&gt;14,149.9,214.8)</f>
        <v>214.8</v>
      </c>
      <c r="M281" s="553">
        <f>IF(Pedido!$G$7&gt;14,149.9,214.8)</f>
        <v>214.8</v>
      </c>
      <c r="N281" s="553">
        <f>IF(Pedido!$G$7&gt;14,149.9,214.8)</f>
        <v>214.8</v>
      </c>
      <c r="O281" s="553">
        <f>IF(Pedido!$G$7&gt;14,149.9,214.8)</f>
        <v>214.8</v>
      </c>
      <c r="P281" s="553">
        <f>IF(Pedido!$G$7&gt;14,149.9,214.8)</f>
        <v>214.8</v>
      </c>
      <c r="Q281" s="553">
        <f>IF(Pedido!$G$7&gt;14,149.9,214.8)</f>
        <v>214.8</v>
      </c>
      <c r="R281" s="553">
        <f>IF(Pedido!$G$7&gt;14,149.9,214.8)</f>
        <v>214.8</v>
      </c>
      <c r="S281" s="1254">
        <f>IF(Pedido!$G$7&gt;14,149.9,214.8)</f>
        <v>214.8</v>
      </c>
      <c r="T281" s="1240" t="str">
        <f t="shared" si="191"/>
        <v/>
      </c>
      <c r="U281" s="608" t="str">
        <f t="shared" si="192"/>
        <v/>
      </c>
      <c r="V281" s="1041"/>
      <c r="W281" s="1139"/>
      <c r="X281" s="676"/>
      <c r="Y281" s="628" t="str">
        <f t="shared" si="155"/>
        <v/>
      </c>
      <c r="Z281" s="629"/>
      <c r="AA281" s="609">
        <f t="shared" si="193"/>
        <v>0</v>
      </c>
      <c r="AB281" s="609">
        <f t="shared" si="167"/>
        <v>0</v>
      </c>
      <c r="AC281" s="609">
        <f t="shared" si="168"/>
        <v>0</v>
      </c>
      <c r="AD281" s="609">
        <f t="shared" si="194"/>
        <v>0</v>
      </c>
      <c r="AE281" s="609">
        <f t="shared" si="195"/>
        <v>0</v>
      </c>
      <c r="AF281" s="609">
        <f t="shared" si="196"/>
        <v>0</v>
      </c>
      <c r="AG281" s="610">
        <f t="shared" si="197"/>
        <v>0</v>
      </c>
      <c r="AH281" s="609">
        <f t="shared" si="198"/>
        <v>0</v>
      </c>
      <c r="AI281" s="609">
        <f t="shared" si="199"/>
        <v>0</v>
      </c>
      <c r="AJ281" s="609">
        <f t="shared" si="200"/>
        <v>0</v>
      </c>
      <c r="AK281" s="609">
        <f t="shared" si="201"/>
        <v>0</v>
      </c>
      <c r="AL281" s="609">
        <f t="shared" si="202"/>
        <v>0</v>
      </c>
      <c r="AM281" s="609">
        <f t="shared" si="203"/>
        <v>0</v>
      </c>
      <c r="AN281" s="609">
        <f t="shared" si="204"/>
        <v>0</v>
      </c>
      <c r="AO281" s="609">
        <f t="shared" si="205"/>
        <v>0</v>
      </c>
      <c r="AP281" s="611">
        <f t="shared" si="206"/>
        <v>1</v>
      </c>
      <c r="AQ281" s="612">
        <f t="shared" si="207"/>
        <v>0</v>
      </c>
      <c r="AR281" s="613" t="s">
        <v>158</v>
      </c>
      <c r="AS281" s="614">
        <f t="shared" si="170"/>
        <v>100</v>
      </c>
      <c r="AT281" s="615">
        <f t="shared" si="208"/>
        <v>0</v>
      </c>
      <c r="AU281" s="616">
        <f t="shared" si="209"/>
        <v>0</v>
      </c>
      <c r="AV281" s="617"/>
      <c r="AW281" s="611" t="e">
        <f>VLOOKUP(AX281,Sup!#REF!,8,0)</f>
        <v>#REF!</v>
      </c>
      <c r="AX281" s="1018" t="s">
        <v>199</v>
      </c>
      <c r="AY281" s="1140">
        <v>0</v>
      </c>
      <c r="AZ281" s="618"/>
      <c r="BA281" s="618"/>
      <c r="BB281" s="618"/>
      <c r="BC281" s="618">
        <f t="shared" si="210"/>
        <v>0</v>
      </c>
      <c r="BD281" s="618" t="str">
        <f t="shared" si="169"/>
        <v/>
      </c>
      <c r="BE281" s="619">
        <f t="shared" si="211"/>
        <v>0</v>
      </c>
      <c r="BF281" s="1019"/>
      <c r="BG281" s="620"/>
      <c r="BH281" s="621"/>
      <c r="BI281" s="621"/>
      <c r="BJ281" s="621"/>
      <c r="BK281" s="621"/>
      <c r="BL281" s="621"/>
      <c r="BM281" s="980" t="e">
        <f t="shared" ref="BM281:BM287" si="215">BM280+24</f>
        <v>#REF!</v>
      </c>
      <c r="BN281" s="623"/>
      <c r="BO281" s="1020" t="s">
        <v>522</v>
      </c>
      <c r="BP281" s="973" t="str">
        <f>IF(E281="banoffee",LEFT(E281,4),LEFT(E281,3))</f>
        <v>Cap</v>
      </c>
      <c r="BQ281" s="973" t="str">
        <f t="shared" si="212"/>
        <v>Pot</v>
      </c>
      <c r="BR281" s="1021" t="str">
        <f t="shared" si="213"/>
        <v>COMBOWPCPWOCapPot</v>
      </c>
      <c r="BS281" s="675"/>
      <c r="BT281" s="12"/>
      <c r="BU281" s="1020" t="s">
        <v>523</v>
      </c>
      <c r="BV281" s="1020"/>
      <c r="BW281" s="982" t="s">
        <v>507</v>
      </c>
      <c r="BX281" s="1022">
        <f t="shared" si="214"/>
        <v>0</v>
      </c>
      <c r="BY281" s="621" t="e">
        <f>VLOOKUP(B281,#REF!,13,0)</f>
        <v>#REF!</v>
      </c>
      <c r="BZ281" s="1056"/>
      <c r="CA281" s="1181" t="e">
        <f>VLOOKUP(B281,Pedido!$B$16:$L$292,22,0)</f>
        <v>#N/A</v>
      </c>
      <c r="CB281" s="1181"/>
      <c r="CC281" s="1180"/>
      <c r="CD281" s="1180"/>
      <c r="CE281" s="1180"/>
      <c r="CF281" s="1180"/>
      <c r="CG281" s="1177"/>
    </row>
    <row r="282" spans="1:85" s="622" customFormat="1" ht="27" customHeight="1" thickBot="1">
      <c r="A282" s="1239"/>
      <c r="B282" s="1253" t="s">
        <v>622</v>
      </c>
      <c r="C282" s="1269" t="s">
        <v>554</v>
      </c>
      <c r="D282" s="1237" t="s">
        <v>615</v>
      </c>
      <c r="E282" s="642" t="s">
        <v>80</v>
      </c>
      <c r="F282" s="642" t="s">
        <v>61</v>
      </c>
      <c r="G282" s="548">
        <v>900</v>
      </c>
      <c r="H282" s="1153"/>
      <c r="I282" s="549">
        <v>294.89999999999998</v>
      </c>
      <c r="J282" s="550" t="str">
        <f t="shared" si="189"/>
        <v/>
      </c>
      <c r="K282" s="551" t="str">
        <f t="shared" si="190"/>
        <v/>
      </c>
      <c r="L282" s="552">
        <f>IF(Pedido!$G$7&gt;14,149.9,214.8)</f>
        <v>214.8</v>
      </c>
      <c r="M282" s="553">
        <f>IF(Pedido!$G$7&gt;14,149.9,214.8)</f>
        <v>214.8</v>
      </c>
      <c r="N282" s="553">
        <f>IF(Pedido!$G$7&gt;14,149.9,214.8)</f>
        <v>214.8</v>
      </c>
      <c r="O282" s="553">
        <f>IF(Pedido!$G$7&gt;14,149.9,214.8)</f>
        <v>214.8</v>
      </c>
      <c r="P282" s="553">
        <f>IF(Pedido!$G$7&gt;14,149.9,214.8)</f>
        <v>214.8</v>
      </c>
      <c r="Q282" s="553">
        <f>IF(Pedido!$G$7&gt;14,149.9,214.8)</f>
        <v>214.8</v>
      </c>
      <c r="R282" s="553">
        <f>IF(Pedido!$G$7&gt;14,149.9,214.8)</f>
        <v>214.8</v>
      </c>
      <c r="S282" s="1254">
        <f>IF(Pedido!$G$7&gt;14,149.9,214.8)</f>
        <v>214.8</v>
      </c>
      <c r="T282" s="1240" t="str">
        <f t="shared" si="191"/>
        <v/>
      </c>
      <c r="U282" s="608" t="str">
        <f t="shared" si="192"/>
        <v/>
      </c>
      <c r="V282" s="1041"/>
      <c r="W282" s="1139"/>
      <c r="X282" s="676"/>
      <c r="Y282" s="628" t="str">
        <f t="shared" si="155"/>
        <v/>
      </c>
      <c r="Z282" s="629"/>
      <c r="AA282" s="609">
        <f t="shared" si="193"/>
        <v>0</v>
      </c>
      <c r="AB282" s="609">
        <f t="shared" si="167"/>
        <v>0</v>
      </c>
      <c r="AC282" s="609">
        <f t="shared" si="168"/>
        <v>0</v>
      </c>
      <c r="AD282" s="609">
        <f t="shared" si="194"/>
        <v>0</v>
      </c>
      <c r="AE282" s="609">
        <f t="shared" si="195"/>
        <v>0</v>
      </c>
      <c r="AF282" s="609">
        <f t="shared" si="196"/>
        <v>0</v>
      </c>
      <c r="AG282" s="610">
        <f t="shared" si="197"/>
        <v>0</v>
      </c>
      <c r="AH282" s="609">
        <f t="shared" si="198"/>
        <v>0</v>
      </c>
      <c r="AI282" s="609">
        <f t="shared" si="199"/>
        <v>0</v>
      </c>
      <c r="AJ282" s="609">
        <f t="shared" si="200"/>
        <v>0</v>
      </c>
      <c r="AK282" s="609">
        <f t="shared" si="201"/>
        <v>0</v>
      </c>
      <c r="AL282" s="609">
        <f t="shared" si="202"/>
        <v>0</v>
      </c>
      <c r="AM282" s="609">
        <f t="shared" si="203"/>
        <v>0</v>
      </c>
      <c r="AN282" s="609">
        <f t="shared" si="204"/>
        <v>0</v>
      </c>
      <c r="AO282" s="609">
        <f t="shared" si="205"/>
        <v>0</v>
      </c>
      <c r="AP282" s="611">
        <f t="shared" si="206"/>
        <v>1</v>
      </c>
      <c r="AQ282" s="612">
        <f t="shared" si="207"/>
        <v>0</v>
      </c>
      <c r="AR282" s="613" t="s">
        <v>158</v>
      </c>
      <c r="AS282" s="614">
        <f t="shared" si="170"/>
        <v>100</v>
      </c>
      <c r="AT282" s="615">
        <f t="shared" si="208"/>
        <v>0</v>
      </c>
      <c r="AU282" s="616">
        <f t="shared" si="209"/>
        <v>0</v>
      </c>
      <c r="AV282" s="617"/>
      <c r="AW282" s="611" t="e">
        <f>VLOOKUP(AX282,Sup!#REF!,8,0)</f>
        <v>#REF!</v>
      </c>
      <c r="AX282" s="1018" t="s">
        <v>199</v>
      </c>
      <c r="AY282" s="1140">
        <v>0</v>
      </c>
      <c r="AZ282" s="618"/>
      <c r="BA282" s="618"/>
      <c r="BB282" s="618"/>
      <c r="BC282" s="618">
        <f t="shared" si="210"/>
        <v>0</v>
      </c>
      <c r="BD282" s="618" t="str">
        <f t="shared" si="169"/>
        <v/>
      </c>
      <c r="BE282" s="619">
        <f t="shared" si="211"/>
        <v>0</v>
      </c>
      <c r="BF282" s="1019"/>
      <c r="BG282" s="620"/>
      <c r="BH282" s="621"/>
      <c r="BI282" s="621"/>
      <c r="BJ282" s="621"/>
      <c r="BK282" s="621"/>
      <c r="BL282" s="621"/>
      <c r="BM282" s="980" t="e">
        <f t="shared" si="215"/>
        <v>#REF!</v>
      </c>
      <c r="BN282" s="623"/>
      <c r="BO282" s="1020" t="s">
        <v>522</v>
      </c>
      <c r="BP282" s="973" t="str">
        <f>IF(E282="banoffee",LEFT(E282,4),LEFT(E282,3))</f>
        <v>Sem</v>
      </c>
      <c r="BQ282" s="973" t="str">
        <f t="shared" si="212"/>
        <v>Pot</v>
      </c>
      <c r="BR282" s="1021" t="str">
        <f t="shared" si="213"/>
        <v>COMBOWPCPWOSemPot</v>
      </c>
      <c r="BS282" s="675"/>
      <c r="BT282" s="12"/>
      <c r="BU282" s="1020" t="s">
        <v>524</v>
      </c>
      <c r="BV282" s="1020"/>
      <c r="BW282" s="982" t="s">
        <v>507</v>
      </c>
      <c r="BX282" s="1022">
        <f t="shared" si="214"/>
        <v>0</v>
      </c>
      <c r="BY282" s="621" t="e">
        <f>VLOOKUP(B282,#REF!,13,0)</f>
        <v>#REF!</v>
      </c>
      <c r="BZ282" s="1056"/>
      <c r="CA282" s="1181" t="e">
        <f>VLOOKUP(B282,Pedido!$B$16:$L$292,22,0)</f>
        <v>#N/A</v>
      </c>
      <c r="CB282" s="1181"/>
      <c r="CC282" s="1180"/>
      <c r="CD282" s="1180"/>
      <c r="CE282" s="1180"/>
      <c r="CF282" s="1180"/>
      <c r="CG282" s="1177"/>
    </row>
    <row r="283" spans="1:85" s="622" customFormat="1" ht="27" customHeight="1" thickBot="1">
      <c r="A283" s="1239"/>
      <c r="B283" s="1253" t="s">
        <v>623</v>
      </c>
      <c r="C283" s="1269" t="s">
        <v>554</v>
      </c>
      <c r="D283" s="1237" t="s">
        <v>615</v>
      </c>
      <c r="E283" s="642" t="s">
        <v>312</v>
      </c>
      <c r="F283" s="642" t="s">
        <v>61</v>
      </c>
      <c r="G283" s="548">
        <v>900</v>
      </c>
      <c r="H283" s="1153"/>
      <c r="I283" s="549">
        <v>294.89999999999998</v>
      </c>
      <c r="J283" s="550" t="str">
        <f t="shared" si="189"/>
        <v/>
      </c>
      <c r="K283" s="551" t="str">
        <f t="shared" si="190"/>
        <v/>
      </c>
      <c r="L283" s="552">
        <f>IF(Pedido!$G$7&gt;14,149.9,214.8)</f>
        <v>214.8</v>
      </c>
      <c r="M283" s="553">
        <f>IF(Pedido!$G$7&gt;14,149.9,214.8)</f>
        <v>214.8</v>
      </c>
      <c r="N283" s="553">
        <f>IF(Pedido!$G$7&gt;14,149.9,214.8)</f>
        <v>214.8</v>
      </c>
      <c r="O283" s="553">
        <f>IF(Pedido!$G$7&gt;14,149.9,214.8)</f>
        <v>214.8</v>
      </c>
      <c r="P283" s="553">
        <f>IF(Pedido!$G$7&gt;14,149.9,214.8)</f>
        <v>214.8</v>
      </c>
      <c r="Q283" s="553">
        <f>IF(Pedido!$G$7&gt;14,149.9,214.8)</f>
        <v>214.8</v>
      </c>
      <c r="R283" s="553">
        <f>IF(Pedido!$G$7&gt;14,149.9,214.8)</f>
        <v>214.8</v>
      </c>
      <c r="S283" s="1254">
        <f>IF(Pedido!$G$7&gt;14,149.9,214.8)</f>
        <v>214.8</v>
      </c>
      <c r="T283" s="1240" t="str">
        <f t="shared" si="191"/>
        <v/>
      </c>
      <c r="U283" s="608" t="str">
        <f t="shared" si="192"/>
        <v/>
      </c>
      <c r="V283" s="1041"/>
      <c r="W283" s="1139"/>
      <c r="X283" s="676"/>
      <c r="Y283" s="628" t="str">
        <f t="shared" si="155"/>
        <v/>
      </c>
      <c r="Z283" s="629"/>
      <c r="AA283" s="609">
        <f t="shared" si="193"/>
        <v>0</v>
      </c>
      <c r="AB283" s="609">
        <f t="shared" si="167"/>
        <v>0</v>
      </c>
      <c r="AC283" s="609">
        <f t="shared" si="168"/>
        <v>0</v>
      </c>
      <c r="AD283" s="609">
        <f t="shared" si="194"/>
        <v>0</v>
      </c>
      <c r="AE283" s="609">
        <f t="shared" si="195"/>
        <v>0</v>
      </c>
      <c r="AF283" s="609">
        <f t="shared" si="196"/>
        <v>0</v>
      </c>
      <c r="AG283" s="610">
        <f t="shared" si="197"/>
        <v>0</v>
      </c>
      <c r="AH283" s="609">
        <f t="shared" si="198"/>
        <v>0</v>
      </c>
      <c r="AI283" s="609">
        <f t="shared" si="199"/>
        <v>0</v>
      </c>
      <c r="AJ283" s="609">
        <f t="shared" si="200"/>
        <v>0</v>
      </c>
      <c r="AK283" s="609">
        <f t="shared" si="201"/>
        <v>0</v>
      </c>
      <c r="AL283" s="609">
        <f t="shared" si="202"/>
        <v>0</v>
      </c>
      <c r="AM283" s="609">
        <f t="shared" si="203"/>
        <v>0</v>
      </c>
      <c r="AN283" s="609">
        <f t="shared" si="204"/>
        <v>0</v>
      </c>
      <c r="AO283" s="609">
        <f t="shared" si="205"/>
        <v>0</v>
      </c>
      <c r="AP283" s="611">
        <f t="shared" si="206"/>
        <v>1</v>
      </c>
      <c r="AQ283" s="612">
        <f t="shared" si="207"/>
        <v>0</v>
      </c>
      <c r="AR283" s="613" t="s">
        <v>158</v>
      </c>
      <c r="AS283" s="614">
        <f t="shared" si="170"/>
        <v>100</v>
      </c>
      <c r="AT283" s="615">
        <f t="shared" si="208"/>
        <v>0</v>
      </c>
      <c r="AU283" s="616">
        <f t="shared" si="209"/>
        <v>0</v>
      </c>
      <c r="AV283" s="617"/>
      <c r="AW283" s="611" t="e">
        <f>VLOOKUP(AX283,Sup!#REF!,8,0)</f>
        <v>#REF!</v>
      </c>
      <c r="AX283" s="1018" t="s">
        <v>199</v>
      </c>
      <c r="AY283" s="1140">
        <v>0</v>
      </c>
      <c r="AZ283" s="618"/>
      <c r="BA283" s="618"/>
      <c r="BB283" s="618"/>
      <c r="BC283" s="618">
        <f t="shared" si="210"/>
        <v>0</v>
      </c>
      <c r="BD283" s="618" t="str">
        <f t="shared" si="169"/>
        <v/>
      </c>
      <c r="BE283" s="619">
        <f t="shared" si="211"/>
        <v>0</v>
      </c>
      <c r="BF283" s="1019"/>
      <c r="BG283" s="620"/>
      <c r="BH283" s="621"/>
      <c r="BI283" s="621"/>
      <c r="BJ283" s="621"/>
      <c r="BK283" s="621"/>
      <c r="BL283" s="621"/>
      <c r="BM283" s="980" t="e">
        <f t="shared" si="215"/>
        <v>#REF!</v>
      </c>
      <c r="BN283" s="623"/>
      <c r="BO283" s="1020" t="s">
        <v>522</v>
      </c>
      <c r="BP283" s="973" t="str">
        <f>IF(E283="banoffee",LEFT(E283,4),LEFT(E283,3))</f>
        <v>But</v>
      </c>
      <c r="BQ283" s="973" t="str">
        <f t="shared" si="212"/>
        <v>Pot</v>
      </c>
      <c r="BR283" s="1021" t="str">
        <f t="shared" si="213"/>
        <v>COMBOWPCPWOButPot</v>
      </c>
      <c r="BS283" s="675"/>
      <c r="BT283" s="12"/>
      <c r="BU283" s="1017" t="s">
        <v>525</v>
      </c>
      <c r="BV283" s="1017"/>
      <c r="BW283" s="982" t="s">
        <v>507</v>
      </c>
      <c r="BX283" s="1022">
        <f t="shared" si="214"/>
        <v>0</v>
      </c>
      <c r="BY283" s="621" t="e">
        <f>VLOOKUP(B283,#REF!,13,0)</f>
        <v>#REF!</v>
      </c>
      <c r="BZ283" s="1056"/>
      <c r="CA283" s="1181" t="e">
        <f>VLOOKUP(B283,Pedido!$B$16:$L$292,22,0)</f>
        <v>#N/A</v>
      </c>
      <c r="CB283" s="1181"/>
      <c r="CC283" s="1180"/>
      <c r="CD283" s="1180"/>
      <c r="CE283" s="1180"/>
      <c r="CF283" s="1180"/>
      <c r="CG283" s="1177"/>
    </row>
    <row r="284" spans="1:85" s="622" customFormat="1" ht="27" customHeight="1" thickBot="1">
      <c r="A284" s="1239"/>
      <c r="B284" s="1253" t="s">
        <v>624</v>
      </c>
      <c r="C284" s="1269" t="s">
        <v>554</v>
      </c>
      <c r="D284" s="1237" t="s">
        <v>615</v>
      </c>
      <c r="E284" s="642" t="s">
        <v>376</v>
      </c>
      <c r="F284" s="642" t="s">
        <v>61</v>
      </c>
      <c r="G284" s="548">
        <v>900</v>
      </c>
      <c r="H284" s="1153"/>
      <c r="I284" s="549">
        <v>294.89999999999998</v>
      </c>
      <c r="J284" s="550" t="str">
        <f t="shared" si="189"/>
        <v/>
      </c>
      <c r="K284" s="551" t="str">
        <f t="shared" si="190"/>
        <v/>
      </c>
      <c r="L284" s="552">
        <f>IF(Pedido!$G$7&gt;14,149.9,214.8)</f>
        <v>214.8</v>
      </c>
      <c r="M284" s="553">
        <f>IF(Pedido!$G$7&gt;14,149.9,214.8)</f>
        <v>214.8</v>
      </c>
      <c r="N284" s="553">
        <f>IF(Pedido!$G$7&gt;14,149.9,214.8)</f>
        <v>214.8</v>
      </c>
      <c r="O284" s="553">
        <f>IF(Pedido!$G$7&gt;14,149.9,214.8)</f>
        <v>214.8</v>
      </c>
      <c r="P284" s="553">
        <f>IF(Pedido!$G$7&gt;14,149.9,214.8)</f>
        <v>214.8</v>
      </c>
      <c r="Q284" s="553">
        <f>IF(Pedido!$G$7&gt;14,149.9,214.8)</f>
        <v>214.8</v>
      </c>
      <c r="R284" s="553">
        <f>IF(Pedido!$G$7&gt;14,149.9,214.8)</f>
        <v>214.8</v>
      </c>
      <c r="S284" s="1254">
        <f>IF(Pedido!$G$7&gt;14,149.9,214.8)</f>
        <v>214.8</v>
      </c>
      <c r="T284" s="1240" t="str">
        <f t="shared" si="191"/>
        <v/>
      </c>
      <c r="U284" s="608" t="str">
        <f t="shared" si="192"/>
        <v/>
      </c>
      <c r="V284" s="1041"/>
      <c r="W284" s="1139"/>
      <c r="X284" s="676"/>
      <c r="Y284" s="628" t="str">
        <f t="shared" si="155"/>
        <v/>
      </c>
      <c r="Z284" s="629"/>
      <c r="AA284" s="609">
        <f t="shared" si="193"/>
        <v>0</v>
      </c>
      <c r="AB284" s="609">
        <f t="shared" si="167"/>
        <v>0</v>
      </c>
      <c r="AC284" s="609">
        <f t="shared" si="168"/>
        <v>0</v>
      </c>
      <c r="AD284" s="609">
        <f t="shared" si="194"/>
        <v>0</v>
      </c>
      <c r="AE284" s="609">
        <f t="shared" si="195"/>
        <v>0</v>
      </c>
      <c r="AF284" s="609">
        <f t="shared" si="196"/>
        <v>0</v>
      </c>
      <c r="AG284" s="610">
        <f t="shared" si="197"/>
        <v>0</v>
      </c>
      <c r="AH284" s="609">
        <f t="shared" si="198"/>
        <v>0</v>
      </c>
      <c r="AI284" s="609">
        <f t="shared" si="199"/>
        <v>0</v>
      </c>
      <c r="AJ284" s="609">
        <f t="shared" si="200"/>
        <v>0</v>
      </c>
      <c r="AK284" s="609">
        <f t="shared" si="201"/>
        <v>0</v>
      </c>
      <c r="AL284" s="609">
        <f t="shared" si="202"/>
        <v>0</v>
      </c>
      <c r="AM284" s="609">
        <f t="shared" si="203"/>
        <v>0</v>
      </c>
      <c r="AN284" s="609">
        <f t="shared" si="204"/>
        <v>0</v>
      </c>
      <c r="AO284" s="609">
        <f t="shared" si="205"/>
        <v>0</v>
      </c>
      <c r="AP284" s="611">
        <f t="shared" si="206"/>
        <v>1</v>
      </c>
      <c r="AQ284" s="612">
        <f t="shared" si="207"/>
        <v>0</v>
      </c>
      <c r="AR284" s="613" t="s">
        <v>158</v>
      </c>
      <c r="AS284" s="614">
        <f t="shared" si="170"/>
        <v>100</v>
      </c>
      <c r="AT284" s="615">
        <f t="shared" si="208"/>
        <v>0</v>
      </c>
      <c r="AU284" s="616">
        <f t="shared" si="209"/>
        <v>0</v>
      </c>
      <c r="AV284" s="617"/>
      <c r="AW284" s="611" t="e">
        <f>VLOOKUP(AX284,Sup!#REF!,8,0)</f>
        <v>#REF!</v>
      </c>
      <c r="AX284" s="1018" t="s">
        <v>199</v>
      </c>
      <c r="AY284" s="1140">
        <v>0</v>
      </c>
      <c r="AZ284" s="618"/>
      <c r="BA284" s="618"/>
      <c r="BB284" s="618"/>
      <c r="BC284" s="618">
        <f t="shared" si="210"/>
        <v>0</v>
      </c>
      <c r="BD284" s="618" t="str">
        <f t="shared" si="169"/>
        <v/>
      </c>
      <c r="BE284" s="619">
        <f t="shared" si="211"/>
        <v>0</v>
      </c>
      <c r="BF284" s="1019"/>
      <c r="BG284" s="620"/>
      <c r="BH284" s="621"/>
      <c r="BI284" s="621"/>
      <c r="BJ284" s="621"/>
      <c r="BK284" s="621"/>
      <c r="BL284" s="621"/>
      <c r="BM284" s="980" t="e">
        <f t="shared" si="215"/>
        <v>#REF!</v>
      </c>
      <c r="BN284" s="623"/>
      <c r="BO284" s="1020" t="s">
        <v>522</v>
      </c>
      <c r="BP284" s="973" t="str">
        <f>IF(E284="banoffee",LEFT(E284,4),LEFT(E284,3))</f>
        <v>Bano</v>
      </c>
      <c r="BQ284" s="973" t="str">
        <f t="shared" si="212"/>
        <v>Pot</v>
      </c>
      <c r="BR284" s="1021" t="str">
        <f t="shared" si="213"/>
        <v>COMBOWPCPWOBanoPot</v>
      </c>
      <c r="BS284" s="675"/>
      <c r="BT284" s="12"/>
      <c r="BU284" s="12"/>
      <c r="BV284" s="12"/>
      <c r="BW284" s="982" t="s">
        <v>507</v>
      </c>
      <c r="BX284" s="1022">
        <f t="shared" si="214"/>
        <v>0</v>
      </c>
      <c r="BY284" s="621" t="e">
        <f>VLOOKUP(B284,#REF!,13,0)</f>
        <v>#REF!</v>
      </c>
      <c r="BZ284" s="1056"/>
      <c r="CA284" s="1181" t="e">
        <f>VLOOKUP(B284,Pedido!$B$16:$L$292,22,0)</f>
        <v>#N/A</v>
      </c>
      <c r="CB284" s="1181"/>
      <c r="CC284" s="1180"/>
      <c r="CD284" s="1180"/>
      <c r="CE284" s="1180"/>
      <c r="CF284" s="1180"/>
      <c r="CG284" s="1177"/>
    </row>
    <row r="285" spans="1:85" s="622" customFormat="1" ht="27" customHeight="1" thickBot="1">
      <c r="A285" s="1239"/>
      <c r="B285" s="1253" t="s">
        <v>625</v>
      </c>
      <c r="C285" s="1269" t="s">
        <v>554</v>
      </c>
      <c r="D285" s="1237" t="s">
        <v>615</v>
      </c>
      <c r="E285" s="642" t="s">
        <v>274</v>
      </c>
      <c r="F285" s="642" t="s">
        <v>61</v>
      </c>
      <c r="G285" s="548">
        <v>900</v>
      </c>
      <c r="H285" s="1153"/>
      <c r="I285" s="549">
        <v>294.89999999999998</v>
      </c>
      <c r="J285" s="550" t="str">
        <f t="shared" si="189"/>
        <v/>
      </c>
      <c r="K285" s="551" t="str">
        <f t="shared" si="190"/>
        <v/>
      </c>
      <c r="L285" s="552">
        <f>IF(Pedido!$G$7&gt;14,149.9,214.8)</f>
        <v>214.8</v>
      </c>
      <c r="M285" s="553">
        <f>IF(Pedido!$G$7&gt;14,149.9,214.8)</f>
        <v>214.8</v>
      </c>
      <c r="N285" s="553">
        <f>IF(Pedido!$G$7&gt;14,149.9,214.8)</f>
        <v>214.8</v>
      </c>
      <c r="O285" s="553">
        <f>IF(Pedido!$G$7&gt;14,149.9,214.8)</f>
        <v>214.8</v>
      </c>
      <c r="P285" s="553">
        <f>IF(Pedido!$G$7&gt;14,149.9,214.8)</f>
        <v>214.8</v>
      </c>
      <c r="Q285" s="553">
        <f>IF(Pedido!$G$7&gt;14,149.9,214.8)</f>
        <v>214.8</v>
      </c>
      <c r="R285" s="553">
        <f>IF(Pedido!$G$7&gt;14,149.9,214.8)</f>
        <v>214.8</v>
      </c>
      <c r="S285" s="1254">
        <f>IF(Pedido!$G$7&gt;14,149.9,214.8)</f>
        <v>214.8</v>
      </c>
      <c r="T285" s="1240" t="str">
        <f t="shared" si="191"/>
        <v/>
      </c>
      <c r="U285" s="608" t="str">
        <f t="shared" si="192"/>
        <v/>
      </c>
      <c r="V285" s="1041"/>
      <c r="W285" s="1139"/>
      <c r="X285" s="676"/>
      <c r="Y285" s="628" t="str">
        <f t="shared" si="155"/>
        <v/>
      </c>
      <c r="Z285" s="629"/>
      <c r="AA285" s="609">
        <f t="shared" si="193"/>
        <v>0</v>
      </c>
      <c r="AB285" s="609">
        <f t="shared" si="167"/>
        <v>0</v>
      </c>
      <c r="AC285" s="609">
        <f t="shared" si="168"/>
        <v>0</v>
      </c>
      <c r="AD285" s="609">
        <f t="shared" si="194"/>
        <v>0</v>
      </c>
      <c r="AE285" s="609">
        <f t="shared" si="195"/>
        <v>0</v>
      </c>
      <c r="AF285" s="609">
        <f t="shared" si="196"/>
        <v>0</v>
      </c>
      <c r="AG285" s="610">
        <f t="shared" si="197"/>
        <v>0</v>
      </c>
      <c r="AH285" s="609">
        <f t="shared" si="198"/>
        <v>0</v>
      </c>
      <c r="AI285" s="609">
        <f t="shared" si="199"/>
        <v>0</v>
      </c>
      <c r="AJ285" s="609">
        <f t="shared" si="200"/>
        <v>0</v>
      </c>
      <c r="AK285" s="609">
        <f t="shared" si="201"/>
        <v>0</v>
      </c>
      <c r="AL285" s="609">
        <f t="shared" si="202"/>
        <v>0</v>
      </c>
      <c r="AM285" s="609">
        <f t="shared" si="203"/>
        <v>0</v>
      </c>
      <c r="AN285" s="609">
        <f t="shared" si="204"/>
        <v>0</v>
      </c>
      <c r="AO285" s="609">
        <f t="shared" si="205"/>
        <v>0</v>
      </c>
      <c r="AP285" s="611">
        <f t="shared" si="206"/>
        <v>1</v>
      </c>
      <c r="AQ285" s="612">
        <f t="shared" si="207"/>
        <v>0</v>
      </c>
      <c r="AR285" s="613" t="s">
        <v>158</v>
      </c>
      <c r="AS285" s="614">
        <f t="shared" si="170"/>
        <v>100</v>
      </c>
      <c r="AT285" s="615">
        <f t="shared" si="208"/>
        <v>0</v>
      </c>
      <c r="AU285" s="616">
        <f t="shared" si="209"/>
        <v>0</v>
      </c>
      <c r="AV285" s="617"/>
      <c r="AW285" s="611" t="e">
        <f>VLOOKUP(AX285,Sup!#REF!,8,0)</f>
        <v>#REF!</v>
      </c>
      <c r="AX285" s="1018" t="s">
        <v>199</v>
      </c>
      <c r="AY285" s="1140">
        <v>0</v>
      </c>
      <c r="AZ285" s="618"/>
      <c r="BA285" s="618"/>
      <c r="BB285" s="618"/>
      <c r="BC285" s="618">
        <f t="shared" si="210"/>
        <v>0</v>
      </c>
      <c r="BD285" s="618" t="str">
        <f t="shared" si="169"/>
        <v/>
      </c>
      <c r="BE285" s="619">
        <f t="shared" si="211"/>
        <v>0</v>
      </c>
      <c r="BF285" s="1019"/>
      <c r="BG285" s="620"/>
      <c r="BH285" s="621"/>
      <c r="BI285" s="621"/>
      <c r="BJ285" s="621"/>
      <c r="BK285" s="621"/>
      <c r="BL285" s="621"/>
      <c r="BM285" s="980" t="e">
        <f t="shared" si="215"/>
        <v>#REF!</v>
      </c>
      <c r="BN285" s="623"/>
      <c r="BO285" s="1020" t="s">
        <v>522</v>
      </c>
      <c r="BP285" s="973" t="s">
        <v>527</v>
      </c>
      <c r="BQ285" s="973" t="str">
        <f t="shared" si="212"/>
        <v>Pot</v>
      </c>
      <c r="BR285" s="1021" t="str">
        <f t="shared" si="213"/>
        <v>COMBOWPCPWOChobPot</v>
      </c>
      <c r="BS285" s="675"/>
      <c r="BT285" s="12"/>
      <c r="BU285" s="12"/>
      <c r="BV285" s="12"/>
      <c r="BW285" s="982" t="s">
        <v>507</v>
      </c>
      <c r="BX285" s="1022">
        <f t="shared" si="214"/>
        <v>0</v>
      </c>
      <c r="BY285" s="621" t="e">
        <f>VLOOKUP(B285,#REF!,13,0)</f>
        <v>#REF!</v>
      </c>
      <c r="BZ285" s="1056"/>
      <c r="CA285" s="1181" t="e">
        <f>VLOOKUP(B285,Pedido!$B$16:$L$292,22,0)</f>
        <v>#N/A</v>
      </c>
      <c r="CB285" s="1181"/>
      <c r="CC285" s="1180"/>
      <c r="CD285" s="1180"/>
      <c r="CE285" s="1180"/>
      <c r="CF285" s="1180"/>
      <c r="CG285" s="1177"/>
    </row>
    <row r="286" spans="1:85" s="622" customFormat="1" ht="27" customHeight="1" thickBot="1">
      <c r="A286" s="1239"/>
      <c r="B286" s="1253" t="s">
        <v>626</v>
      </c>
      <c r="C286" s="1269" t="s">
        <v>554</v>
      </c>
      <c r="D286" s="1237" t="s">
        <v>615</v>
      </c>
      <c r="E286" s="642" t="s">
        <v>614</v>
      </c>
      <c r="F286" s="642" t="s">
        <v>61</v>
      </c>
      <c r="G286" s="548">
        <v>900</v>
      </c>
      <c r="H286" s="1153"/>
      <c r="I286" s="549">
        <v>294.89999999999998</v>
      </c>
      <c r="J286" s="550" t="str">
        <f t="shared" si="189"/>
        <v/>
      </c>
      <c r="K286" s="551" t="str">
        <f t="shared" si="190"/>
        <v/>
      </c>
      <c r="L286" s="552">
        <f>IF(Pedido!$G$7&gt;14,149.9,214.8)</f>
        <v>214.8</v>
      </c>
      <c r="M286" s="553">
        <f>IF(Pedido!$G$7&gt;14,149.9,214.8)</f>
        <v>214.8</v>
      </c>
      <c r="N286" s="553">
        <f>IF(Pedido!$G$7&gt;14,149.9,214.8)</f>
        <v>214.8</v>
      </c>
      <c r="O286" s="553">
        <f>IF(Pedido!$G$7&gt;14,149.9,214.8)</f>
        <v>214.8</v>
      </c>
      <c r="P286" s="553">
        <f>IF(Pedido!$G$7&gt;14,149.9,214.8)</f>
        <v>214.8</v>
      </c>
      <c r="Q286" s="553">
        <f>IF(Pedido!$G$7&gt;14,149.9,214.8)</f>
        <v>214.8</v>
      </c>
      <c r="R286" s="553">
        <f>IF(Pedido!$G$7&gt;14,149.9,214.8)</f>
        <v>214.8</v>
      </c>
      <c r="S286" s="1254">
        <f>IF(Pedido!$G$7&gt;14,149.9,214.8)</f>
        <v>214.8</v>
      </c>
      <c r="T286" s="1240" t="str">
        <f t="shared" si="191"/>
        <v/>
      </c>
      <c r="U286" s="608" t="str">
        <f t="shared" si="192"/>
        <v/>
      </c>
      <c r="V286" s="1041"/>
      <c r="W286" s="1139"/>
      <c r="X286" s="676"/>
      <c r="Y286" s="628" t="str">
        <f t="shared" si="155"/>
        <v/>
      </c>
      <c r="Z286" s="629"/>
      <c r="AA286" s="609">
        <f t="shared" si="193"/>
        <v>0</v>
      </c>
      <c r="AB286" s="609">
        <f t="shared" si="167"/>
        <v>0</v>
      </c>
      <c r="AC286" s="609">
        <f t="shared" si="168"/>
        <v>0</v>
      </c>
      <c r="AD286" s="609">
        <f t="shared" si="194"/>
        <v>0</v>
      </c>
      <c r="AE286" s="609">
        <f t="shared" si="195"/>
        <v>0</v>
      </c>
      <c r="AF286" s="609">
        <f t="shared" si="196"/>
        <v>0</v>
      </c>
      <c r="AG286" s="610">
        <f t="shared" si="197"/>
        <v>0</v>
      </c>
      <c r="AH286" s="609">
        <f t="shared" si="198"/>
        <v>0</v>
      </c>
      <c r="AI286" s="609">
        <f t="shared" si="199"/>
        <v>0</v>
      </c>
      <c r="AJ286" s="609">
        <f t="shared" si="200"/>
        <v>0</v>
      </c>
      <c r="AK286" s="609">
        <f t="shared" si="201"/>
        <v>0</v>
      </c>
      <c r="AL286" s="609">
        <f t="shared" si="202"/>
        <v>0</v>
      </c>
      <c r="AM286" s="609">
        <f t="shared" si="203"/>
        <v>0</v>
      </c>
      <c r="AN286" s="609">
        <f t="shared" si="204"/>
        <v>0</v>
      </c>
      <c r="AO286" s="609">
        <f t="shared" si="205"/>
        <v>0</v>
      </c>
      <c r="AP286" s="611">
        <f t="shared" si="206"/>
        <v>1</v>
      </c>
      <c r="AQ286" s="612">
        <f t="shared" si="207"/>
        <v>0</v>
      </c>
      <c r="AR286" s="613" t="s">
        <v>158</v>
      </c>
      <c r="AS286" s="614">
        <f t="shared" si="170"/>
        <v>100</v>
      </c>
      <c r="AT286" s="615">
        <f t="shared" si="208"/>
        <v>0</v>
      </c>
      <c r="AU286" s="616">
        <f t="shared" si="209"/>
        <v>0</v>
      </c>
      <c r="AV286" s="617"/>
      <c r="AW286" s="611" t="e">
        <f>VLOOKUP(AX286,Sup!#REF!,8,0)</f>
        <v>#REF!</v>
      </c>
      <c r="AX286" s="1018" t="s">
        <v>199</v>
      </c>
      <c r="AY286" s="1140">
        <v>0</v>
      </c>
      <c r="AZ286" s="618"/>
      <c r="BA286" s="618"/>
      <c r="BB286" s="618"/>
      <c r="BC286" s="618">
        <f t="shared" si="210"/>
        <v>0</v>
      </c>
      <c r="BD286" s="618" t="str">
        <f t="shared" si="169"/>
        <v/>
      </c>
      <c r="BE286" s="619">
        <f t="shared" si="211"/>
        <v>0</v>
      </c>
      <c r="BF286" s="1019"/>
      <c r="BG286" s="620"/>
      <c r="BH286" s="621"/>
      <c r="BI286" s="621"/>
      <c r="BJ286" s="621"/>
      <c r="BK286" s="621"/>
      <c r="BL286" s="621"/>
      <c r="BM286" s="980" t="e">
        <f t="shared" si="215"/>
        <v>#REF!</v>
      </c>
      <c r="BN286" s="623"/>
      <c r="BO286" s="1020" t="s">
        <v>522</v>
      </c>
      <c r="BP286" s="973" t="str">
        <f>IF(E286="banoffee",LEFT(E286,4),LEFT(E286,3))</f>
        <v>Doc</v>
      </c>
      <c r="BQ286" s="973" t="str">
        <f t="shared" si="212"/>
        <v>Pot</v>
      </c>
      <c r="BR286" s="1021" t="str">
        <f t="shared" si="213"/>
        <v>COMBOWPCPWODocPot</v>
      </c>
      <c r="BS286" s="675"/>
      <c r="BT286" s="12"/>
      <c r="BU286" s="12"/>
      <c r="BV286" s="12"/>
      <c r="BW286" s="982" t="s">
        <v>507</v>
      </c>
      <c r="BX286" s="1022">
        <f t="shared" si="214"/>
        <v>0</v>
      </c>
      <c r="BY286" s="621" t="e">
        <f>VLOOKUP(B286,#REF!,13,0)</f>
        <v>#REF!</v>
      </c>
      <c r="BZ286" s="1056"/>
      <c r="CA286" s="1181" t="e">
        <f>VLOOKUP(B286,Pedido!$B$16:$L$292,22,0)</f>
        <v>#N/A</v>
      </c>
      <c r="CB286" s="1181"/>
      <c r="CC286" s="1180"/>
      <c r="CD286" s="1180"/>
      <c r="CE286" s="1180"/>
      <c r="CF286" s="1180"/>
      <c r="CG286" s="1177"/>
    </row>
    <row r="287" spans="1:85" s="622" customFormat="1" ht="27" customHeight="1" thickBot="1">
      <c r="A287" s="1239"/>
      <c r="B287" s="1257" t="s">
        <v>627</v>
      </c>
      <c r="C287" s="1269" t="s">
        <v>554</v>
      </c>
      <c r="D287" s="1259" t="s">
        <v>615</v>
      </c>
      <c r="E287" s="1260" t="s">
        <v>591</v>
      </c>
      <c r="F287" s="1260" t="s">
        <v>61</v>
      </c>
      <c r="G287" s="1261">
        <v>900</v>
      </c>
      <c r="H287" s="1262"/>
      <c r="I287" s="1263">
        <v>294.89999999999998</v>
      </c>
      <c r="J287" s="1264" t="str">
        <f t="shared" si="189"/>
        <v/>
      </c>
      <c r="K287" s="1265" t="str">
        <f t="shared" si="190"/>
        <v/>
      </c>
      <c r="L287" s="1266">
        <f>IF(Pedido!$G$7&gt;14,149.9,214.8)</f>
        <v>214.8</v>
      </c>
      <c r="M287" s="1267">
        <f>IF(Pedido!$G$7&gt;14,149.9,214.8)</f>
        <v>214.8</v>
      </c>
      <c r="N287" s="1267">
        <f>IF(Pedido!$G$7&gt;14,149.9,214.8)</f>
        <v>214.8</v>
      </c>
      <c r="O287" s="1267">
        <f>IF(Pedido!$G$7&gt;14,149.9,214.8)</f>
        <v>214.8</v>
      </c>
      <c r="P287" s="1267">
        <f>IF(Pedido!$G$7&gt;14,149.9,214.8)</f>
        <v>214.8</v>
      </c>
      <c r="Q287" s="1267">
        <f>IF(Pedido!$G$7&gt;14,149.9,214.8)</f>
        <v>214.8</v>
      </c>
      <c r="R287" s="1267">
        <f>IF(Pedido!$G$7&gt;14,149.9,214.8)</f>
        <v>214.8</v>
      </c>
      <c r="S287" s="1268">
        <f>IF(Pedido!$G$7&gt;14,149.9,214.8)</f>
        <v>214.8</v>
      </c>
      <c r="T287" s="1240" t="str">
        <f t="shared" si="191"/>
        <v/>
      </c>
      <c r="U287" s="608" t="str">
        <f t="shared" si="192"/>
        <v/>
      </c>
      <c r="V287" s="1041"/>
      <c r="W287" s="1139"/>
      <c r="X287" s="676"/>
      <c r="Y287" s="628" t="str">
        <f t="shared" si="155"/>
        <v/>
      </c>
      <c r="Z287" s="629"/>
      <c r="AA287" s="609">
        <f t="shared" si="193"/>
        <v>0</v>
      </c>
      <c r="AB287" s="609">
        <f t="shared" ref="AB287:AB299" si="216">IFERROR(IF(OR($AA$373&gt;=$S$26,SUMIF($C:$C,C287,$W:$W)&gt;=$S$27),S287,IF(OR($AA$373&gt;=$R$26,SUMIF($C:$C,C287,$W:$W)&gt;=$R$27),R287,IF(OR($AA$373&gt;=$Q$26,SUMIF($C:$C,C287,$W:$W)&gt;=$Q$27),Q287,IF(OR($AA$373&gt;=$P$26,SUMIF($C:$C,C287,$W:$W)&gt;=$P$27),P287,IF(OR($AA$373&gt;=$O$26,SUMIF($C:$C,C287,$W:$W)&gt;=$O$27),O287,IF(OR($AA$373&gt;=$N$26,SUMIF($C:$C,C287,$W:$W)&gt;=$N$27),N287,IF($AA$373&gt;=$M$26,M287,L287)))))))*W287,0)</f>
        <v>0</v>
      </c>
      <c r="AC287" s="609">
        <f t="shared" ref="AC287:AC299" si="217">IFERROR(IF(V287="",0,(IF(AND(W287="",X287=""),"",IF(OR($AA$373&gt;=$S$26,SUMIF($C:$C,C287,$W:$W)&gt;=$S$27),S287*$E$13,IF(OR($AA$373&gt;=$R$26,SUMIF($C:$C,C287,$W:$W)&gt;=$R$27),R287*$E$13,IF(OR($AA$373&gt;=$Q$26,SUMIF($C:$C,C287,$W:$W)&gt;=$Q$27),Q287*$E$13,IF(OR($AA$373&gt;=$P$26,SUMIF($C:$C,C287,$W:$W)&gt;=$P$27),P287*$E$13,IF(OR($AA$373&gt;=$O$26,SUMIF($C:$C,C287,$W:$W)&gt;=$O$27),O287*$E$13,IF(OR($AA$373&gt;=$N$26,SUMIF($C:$C,C287,$W:$W)&gt;=$N$27),N287*$E$13,IF($AA$373&gt;=$M$26,M287*$E$13,L287))))))))-V287)*W287),0)</f>
        <v>0</v>
      </c>
      <c r="AD287" s="609">
        <f t="shared" si="194"/>
        <v>0</v>
      </c>
      <c r="AE287" s="609">
        <f t="shared" si="195"/>
        <v>0</v>
      </c>
      <c r="AF287" s="609">
        <f t="shared" si="196"/>
        <v>0</v>
      </c>
      <c r="AG287" s="610">
        <f t="shared" si="197"/>
        <v>0</v>
      </c>
      <c r="AH287" s="609">
        <f t="shared" si="198"/>
        <v>0</v>
      </c>
      <c r="AI287" s="609">
        <f t="shared" si="199"/>
        <v>0</v>
      </c>
      <c r="AJ287" s="609">
        <f t="shared" si="200"/>
        <v>0</v>
      </c>
      <c r="AK287" s="609">
        <f t="shared" si="201"/>
        <v>0</v>
      </c>
      <c r="AL287" s="609">
        <f t="shared" si="202"/>
        <v>0</v>
      </c>
      <c r="AM287" s="609">
        <f t="shared" si="203"/>
        <v>0</v>
      </c>
      <c r="AN287" s="609">
        <f t="shared" si="204"/>
        <v>0</v>
      </c>
      <c r="AO287" s="609">
        <f t="shared" si="205"/>
        <v>0</v>
      </c>
      <c r="AP287" s="611">
        <f t="shared" si="206"/>
        <v>1</v>
      </c>
      <c r="AQ287" s="612">
        <f t="shared" si="207"/>
        <v>0</v>
      </c>
      <c r="AR287" s="613" t="s">
        <v>158</v>
      </c>
      <c r="AS287" s="614">
        <f t="shared" si="170"/>
        <v>100</v>
      </c>
      <c r="AT287" s="615">
        <f t="shared" si="208"/>
        <v>0</v>
      </c>
      <c r="AU287" s="616">
        <f t="shared" si="209"/>
        <v>0</v>
      </c>
      <c r="AV287" s="617"/>
      <c r="AW287" s="611" t="e">
        <f>VLOOKUP(AX287,Sup!#REF!,8,0)</f>
        <v>#REF!</v>
      </c>
      <c r="AX287" s="1018" t="s">
        <v>199</v>
      </c>
      <c r="AY287" s="1140">
        <v>0</v>
      </c>
      <c r="AZ287" s="618"/>
      <c r="BA287" s="618"/>
      <c r="BB287" s="618"/>
      <c r="BC287" s="618">
        <f t="shared" si="210"/>
        <v>0</v>
      </c>
      <c r="BD287" s="618" t="str">
        <f t="shared" ref="BD287:BD299" si="218">IFERROR(IF(AND(W287="",X287=""),"",IF(OR($AA$373&gt;=$S$26,SUMIF($C:$C,C287,$W:$W)&gt;=$S$27),S287,IF(OR($AA$373&gt;=$R$26,SUMIF($C:$C,C287,$W:$W)&gt;=$R$27),R287,IF(OR($AA$373&gt;=$Q$26,SUMIF($C:$C,C287,$W:$W)&gt;=$Q$27),Q287,IF(OR($AA$373&gt;=$P$26,SUMIF($C:$C,C287,$W:$W)&gt;=$P$27),P287,IF(OR($AA$373&gt;=$O$26,SUMIF($C:$C,C287,$W:$W)&gt;=$O$27),O287,IF(OR($AA$373&gt;=$N$26,SUMIF($C:$C,C287,$W:$W)&gt;=$N$27),N287,IF($AA$373&gt;=$M$26,M287,L287)))))))*$E$13),0)</f>
        <v/>
      </c>
      <c r="BE287" s="619">
        <f t="shared" si="211"/>
        <v>0</v>
      </c>
      <c r="BF287" s="1019"/>
      <c r="BG287" s="620"/>
      <c r="BH287" s="621"/>
      <c r="BI287" s="621"/>
      <c r="BJ287" s="621"/>
      <c r="BK287" s="621"/>
      <c r="BL287" s="621"/>
      <c r="BM287" s="980" t="e">
        <f t="shared" si="215"/>
        <v>#REF!</v>
      </c>
      <c r="BN287" s="623"/>
      <c r="BO287" s="1020" t="s">
        <v>522</v>
      </c>
      <c r="BP287" s="973" t="str">
        <f>IF(E287="banoffee",LEFT(E287,4),LEFT(E287,3))</f>
        <v>Car</v>
      </c>
      <c r="BQ287" s="973" t="str">
        <f t="shared" si="212"/>
        <v>Pot</v>
      </c>
      <c r="BR287" s="1021" t="str">
        <f t="shared" si="213"/>
        <v>COMBOWPCPWOCarPot</v>
      </c>
      <c r="BS287" s="675"/>
      <c r="BT287" s="12"/>
      <c r="BU287" s="12"/>
      <c r="BV287" s="12"/>
      <c r="BW287" s="982" t="s">
        <v>507</v>
      </c>
      <c r="BX287" s="1022">
        <f t="shared" si="214"/>
        <v>0</v>
      </c>
      <c r="BY287" s="621" t="e">
        <f>VLOOKUP(B287,#REF!,13,0)</f>
        <v>#REF!</v>
      </c>
      <c r="BZ287" s="1056"/>
      <c r="CA287" s="1181" t="e">
        <f>VLOOKUP(B287,Pedido!$B$16:$L$292,22,0)</f>
        <v>#N/A</v>
      </c>
      <c r="CB287" s="1181"/>
      <c r="CC287" s="1180"/>
      <c r="CD287" s="1180"/>
      <c r="CE287" s="1180"/>
      <c r="CF287" s="1180"/>
      <c r="CG287" s="1177"/>
    </row>
    <row r="288" spans="1:85" s="622" customFormat="1" ht="27" customHeight="1" thickBot="1">
      <c r="A288" s="1239"/>
      <c r="B288" s="1241" t="s">
        <v>629</v>
      </c>
      <c r="C288" s="1242" t="s">
        <v>641</v>
      </c>
      <c r="D288" s="1243" t="s">
        <v>628</v>
      </c>
      <c r="E288" s="1244" t="s">
        <v>70</v>
      </c>
      <c r="F288" s="1245" t="s">
        <v>61</v>
      </c>
      <c r="G288" s="1246">
        <v>900</v>
      </c>
      <c r="H288" s="1166"/>
      <c r="I288" s="1247">
        <v>249.9</v>
      </c>
      <c r="J288" s="1248" t="str">
        <f>IFERROR(IF(T288&lt;&gt;"",I288/T288,IF(AND(Y288="",V288=""),"",IF(V288="",I288/Y288,I288/V288))),"")</f>
        <v/>
      </c>
      <c r="K288" s="1249" t="str">
        <f>IF(T288="","",IFERROR(1-(T288/I288),0))</f>
        <v/>
      </c>
      <c r="L288" s="1250">
        <f>IF(Pedido!$G$7&gt;14,139.9,170.8)</f>
        <v>170.8</v>
      </c>
      <c r="M288" s="1251">
        <f>IF(Pedido!$G$7&gt;14,139.9,170.8)</f>
        <v>170.8</v>
      </c>
      <c r="N288" s="1251">
        <f>IF(Pedido!$G$7&gt;14,139.9,170.8)</f>
        <v>170.8</v>
      </c>
      <c r="O288" s="1251">
        <f>IF(Pedido!$G$7&gt;14,139.9,170.8)</f>
        <v>170.8</v>
      </c>
      <c r="P288" s="1251">
        <f>IF(Pedido!$G$7&gt;14,139.9,170.8)</f>
        <v>170.8</v>
      </c>
      <c r="Q288" s="1251">
        <f>IF(Pedido!$G$7&gt;14,139.9,170.8)</f>
        <v>170.8</v>
      </c>
      <c r="R288" s="1251">
        <f>IF(Pedido!$G$7&gt;14,139.9,170.8)</f>
        <v>170.8</v>
      </c>
      <c r="S288" s="1252">
        <f>IF(Pedido!$G$7&gt;14,139.9,170.8)</f>
        <v>170.8</v>
      </c>
      <c r="T288" s="1240" t="str">
        <f>IF(V288&gt;0,V288,IFERROR(IF(AND(W288&lt;&gt;"",X288&lt;&gt;""),AH288/W288,Y288),""))</f>
        <v/>
      </c>
      <c r="U288" s="608" t="str">
        <f>IFERROR((T288*W288)/(W288+X288),"")</f>
        <v/>
      </c>
      <c r="V288" s="1041"/>
      <c r="W288" s="1139"/>
      <c r="X288" s="676"/>
      <c r="Y288" s="628" t="str">
        <f t="shared" si="155"/>
        <v/>
      </c>
      <c r="Z288" s="629"/>
      <c r="AA288" s="609">
        <f>IFERROR(L288*W288,0)</f>
        <v>0</v>
      </c>
      <c r="AB288" s="609">
        <f t="shared" si="216"/>
        <v>0</v>
      </c>
      <c r="AC288" s="609">
        <f t="shared" si="217"/>
        <v>0</v>
      </c>
      <c r="AD288" s="609">
        <f>IFERROR(X288*T288,0)</f>
        <v>0</v>
      </c>
      <c r="AE288" s="609">
        <f>IFERROR(W288*H288,0)</f>
        <v>0</v>
      </c>
      <c r="AF288" s="609">
        <f>IFERROR(1-(AE288/AB288),0)</f>
        <v>0</v>
      </c>
      <c r="AG288" s="610">
        <f>IFERROR(SUM(W288:X288)*I288,0)</f>
        <v>0</v>
      </c>
      <c r="AH288" s="609">
        <f>IFERROR(IF(V288&gt;0,V288*W288,(Y288*W288)),0)</f>
        <v>0</v>
      </c>
      <c r="AI288" s="609">
        <f>IFERROR(SUM(W288)*H288,0)</f>
        <v>0</v>
      </c>
      <c r="AJ288" s="609">
        <f>AH288*$AJ$25</f>
        <v>0</v>
      </c>
      <c r="AK288" s="609">
        <f>AH288*AK$25</f>
        <v>0</v>
      </c>
      <c r="AL288" s="609">
        <f>AH288*AL$25</f>
        <v>0</v>
      </c>
      <c r="AM288" s="609">
        <f>SUM(AJ288:AL288)</f>
        <v>0</v>
      </c>
      <c r="AN288" s="609">
        <f>AH288-AM288</f>
        <v>0</v>
      </c>
      <c r="AO288" s="609">
        <f>AN288-AI288</f>
        <v>0</v>
      </c>
      <c r="AP288" s="611">
        <f>IFERROR(IF(V288&lt;&gt;"",1-(H288/V288),IF(Y288&lt;&gt;"",1-(H288/Y288),1-(H288/L288))),0)</f>
        <v>1</v>
      </c>
      <c r="AQ288" s="612">
        <f>H288/0.75</f>
        <v>0</v>
      </c>
      <c r="AR288" s="613" t="s">
        <v>158</v>
      </c>
      <c r="AS288" s="614">
        <f t="shared" si="170"/>
        <v>100</v>
      </c>
      <c r="AT288" s="615">
        <f>IFERROR(1-(AI288/AH288),0)</f>
        <v>0</v>
      </c>
      <c r="AU288" s="616">
        <f>IFERROR(AO288/AH288,0)</f>
        <v>0</v>
      </c>
      <c r="AV288" s="617"/>
      <c r="AW288" s="611" t="e">
        <f>VLOOKUP(AX288,Sup!#REF!,8,0)</f>
        <v>#REF!</v>
      </c>
      <c r="AX288" s="1018" t="s">
        <v>199</v>
      </c>
      <c r="AY288" s="1140">
        <v>0</v>
      </c>
      <c r="AZ288" s="618"/>
      <c r="BA288" s="618"/>
      <c r="BB288" s="618"/>
      <c r="BC288" s="618">
        <f>IF(BE288&lt;0,BE288,0)</f>
        <v>0</v>
      </c>
      <c r="BD288" s="618" t="str">
        <f t="shared" si="218"/>
        <v/>
      </c>
      <c r="BE288" s="619">
        <f>IF(V288="",0,(V288*W288)-(BD288*W288))</f>
        <v>0</v>
      </c>
      <c r="BF288" s="1019"/>
      <c r="BG288" s="620"/>
      <c r="BH288" s="621"/>
      <c r="BI288" s="621"/>
      <c r="BJ288" s="621"/>
      <c r="BK288" s="621"/>
      <c r="BL288" s="621"/>
      <c r="BM288" s="980" t="e">
        <f>#REF!+24</f>
        <v>#REF!</v>
      </c>
      <c r="BN288" s="623"/>
      <c r="BO288" s="1020" t="s">
        <v>522</v>
      </c>
      <c r="BP288" s="973" t="s">
        <v>526</v>
      </c>
      <c r="BQ288" s="973" t="str">
        <f>LEFT(F288,3)</f>
        <v>Pot</v>
      </c>
      <c r="BR288" s="1021" t="str">
        <f>CONCATENATE(BO288,BP288,BQ288)</f>
        <v>COMBOWPCPWOBANOPot</v>
      </c>
      <c r="BS288" s="675"/>
      <c r="BT288" s="12"/>
      <c r="BU288" s="1020" t="s">
        <v>451</v>
      </c>
      <c r="BV288" s="1020"/>
      <c r="BW288" s="982" t="s">
        <v>507</v>
      </c>
      <c r="BX288" s="1022">
        <f>IFERROR(W288*U288,0)</f>
        <v>0</v>
      </c>
      <c r="BY288" s="621" t="e">
        <f>VLOOKUP(B288,#REF!,13,0)</f>
        <v>#REF!</v>
      </c>
      <c r="BZ288" s="1056"/>
      <c r="CA288" s="1181" t="e">
        <f>VLOOKUP(B288,Pedido!$B$16:$L$292,22,0)</f>
        <v>#N/A</v>
      </c>
      <c r="CB288" s="1181"/>
      <c r="CC288" s="1180"/>
      <c r="CD288" s="1180"/>
      <c r="CE288" s="1180"/>
      <c r="CF288" s="1180"/>
      <c r="CG288" s="1177"/>
    </row>
    <row r="289" spans="1:85" s="622" customFormat="1" ht="27" customHeight="1" thickBot="1">
      <c r="A289" s="1239"/>
      <c r="B289" s="1253" t="s">
        <v>630</v>
      </c>
      <c r="C289" s="962" t="s">
        <v>641</v>
      </c>
      <c r="D289" s="1237" t="s">
        <v>628</v>
      </c>
      <c r="E289" s="370" t="s">
        <v>125</v>
      </c>
      <c r="F289" s="642" t="s">
        <v>61</v>
      </c>
      <c r="G289" s="548">
        <v>900</v>
      </c>
      <c r="H289" s="1153"/>
      <c r="I289" s="549">
        <v>249.9</v>
      </c>
      <c r="J289" s="550" t="str">
        <f>IFERROR(IF(T289&lt;&gt;"",I289/T289,IF(AND(Y289="",V289=""),"",IF(V289="",I289/Y289,I289/V289))),"")</f>
        <v/>
      </c>
      <c r="K289" s="551" t="str">
        <f>IF(T289="","",IFERROR(1-(T289/I289),0))</f>
        <v/>
      </c>
      <c r="L289" s="552">
        <f>IF(Pedido!$G$7&gt;14,139.9,170.8)</f>
        <v>170.8</v>
      </c>
      <c r="M289" s="553">
        <f>IF(Pedido!$G$7&gt;14,139.9,170.8)</f>
        <v>170.8</v>
      </c>
      <c r="N289" s="553">
        <f>IF(Pedido!$G$7&gt;14,139.9,170.8)</f>
        <v>170.8</v>
      </c>
      <c r="O289" s="553">
        <f>IF(Pedido!$G$7&gt;14,139.9,170.8)</f>
        <v>170.8</v>
      </c>
      <c r="P289" s="553">
        <f>IF(Pedido!$G$7&gt;14,139.9,170.8)</f>
        <v>170.8</v>
      </c>
      <c r="Q289" s="553">
        <f>IF(Pedido!$G$7&gt;14,139.9,170.8)</f>
        <v>170.8</v>
      </c>
      <c r="R289" s="553">
        <f>IF(Pedido!$G$7&gt;14,139.9,170.8)</f>
        <v>170.8</v>
      </c>
      <c r="S289" s="1254">
        <f>IF(Pedido!$G$7&gt;14,139.9,170.8)</f>
        <v>170.8</v>
      </c>
      <c r="T289" s="1240" t="str">
        <f>IF(V289&gt;0,V289,IFERROR(IF(AND(W289&lt;&gt;"",X289&lt;&gt;""),AH289/W289,Y289),""))</f>
        <v/>
      </c>
      <c r="U289" s="608" t="str">
        <f>IFERROR((T289*W289)/(W289+X289),"")</f>
        <v/>
      </c>
      <c r="V289" s="1041"/>
      <c r="W289" s="1139"/>
      <c r="X289" s="676"/>
      <c r="Y289" s="628" t="str">
        <f t="shared" si="155"/>
        <v/>
      </c>
      <c r="Z289" s="629"/>
      <c r="AA289" s="609">
        <f>IFERROR(L289*W289,0)</f>
        <v>0</v>
      </c>
      <c r="AB289" s="609">
        <f t="shared" si="216"/>
        <v>0</v>
      </c>
      <c r="AC289" s="609">
        <f t="shared" si="217"/>
        <v>0</v>
      </c>
      <c r="AD289" s="609">
        <f>IFERROR(X289*T289,0)</f>
        <v>0</v>
      </c>
      <c r="AE289" s="609">
        <f>IFERROR(W289*H289,0)</f>
        <v>0</v>
      </c>
      <c r="AF289" s="609">
        <f>IFERROR(1-(AE289/AB289),0)</f>
        <v>0</v>
      </c>
      <c r="AG289" s="610">
        <f>IFERROR(SUM(W289:X289)*I289,0)</f>
        <v>0</v>
      </c>
      <c r="AH289" s="609">
        <f>IFERROR(IF(V289&gt;0,V289*W289,(Y289*W289)),0)</f>
        <v>0</v>
      </c>
      <c r="AI289" s="609">
        <f>IFERROR(SUM(W289)*H289,0)</f>
        <v>0</v>
      </c>
      <c r="AJ289" s="609">
        <f>AH289*$AJ$25</f>
        <v>0</v>
      </c>
      <c r="AK289" s="609">
        <f>AH289*AK$25</f>
        <v>0</v>
      </c>
      <c r="AL289" s="609">
        <f>AH289*AL$25</f>
        <v>0</v>
      </c>
      <c r="AM289" s="609">
        <f>SUM(AJ289:AL289)</f>
        <v>0</v>
      </c>
      <c r="AN289" s="609">
        <f>AH289-AM289</f>
        <v>0</v>
      </c>
      <c r="AO289" s="609">
        <f>AN289-AI289</f>
        <v>0</v>
      </c>
      <c r="AP289" s="611">
        <f>IFERROR(IF(V289&lt;&gt;"",1-(H289/V289),IF(Y289&lt;&gt;"",1-(H289/Y289),1-(H289/L289))),0)</f>
        <v>1</v>
      </c>
      <c r="AQ289" s="612">
        <f>H289/0.75</f>
        <v>0</v>
      </c>
      <c r="AR289" s="613" t="s">
        <v>158</v>
      </c>
      <c r="AS289" s="614">
        <f t="shared" si="170"/>
        <v>100</v>
      </c>
      <c r="AT289" s="615">
        <f>IFERROR(1-(AI289/AH289),0)</f>
        <v>0</v>
      </c>
      <c r="AU289" s="616">
        <f>IFERROR(AO289/AH289,0)</f>
        <v>0</v>
      </c>
      <c r="AV289" s="617"/>
      <c r="AW289" s="611" t="e">
        <f>VLOOKUP(AX289,Sup!#REF!,8,0)</f>
        <v>#REF!</v>
      </c>
      <c r="AX289" s="1018" t="s">
        <v>199</v>
      </c>
      <c r="AY289" s="1140">
        <v>0</v>
      </c>
      <c r="AZ289" s="618"/>
      <c r="BA289" s="618"/>
      <c r="BB289" s="618"/>
      <c r="BC289" s="618">
        <f>IF(BE289&lt;0,BE289,0)</f>
        <v>0</v>
      </c>
      <c r="BD289" s="618" t="str">
        <f t="shared" si="218"/>
        <v/>
      </c>
      <c r="BE289" s="619">
        <f>IF(V289="",0,(V289*W289)-(BD289*W289))</f>
        <v>0</v>
      </c>
      <c r="BF289" s="1019"/>
      <c r="BG289" s="620"/>
      <c r="BH289" s="621"/>
      <c r="BI289" s="621"/>
      <c r="BJ289" s="621"/>
      <c r="BK289" s="621"/>
      <c r="BL289" s="621"/>
      <c r="BM289" s="980" t="e">
        <f>#REF!+24</f>
        <v>#REF!</v>
      </c>
      <c r="BN289" s="623"/>
      <c r="BO289" s="1020" t="s">
        <v>522</v>
      </c>
      <c r="BP289" s="973" t="str">
        <f>IF(E289="banoffee",LEFT(E289,4),LEFT(E289,3))</f>
        <v>Cho</v>
      </c>
      <c r="BQ289" s="973" t="str">
        <f>LEFT(F289,3)</f>
        <v>Pot</v>
      </c>
      <c r="BR289" s="1021" t="str">
        <f>CONCATENATE(BO289,BP289,BQ289)</f>
        <v>COMBOWPCPWOChoPot</v>
      </c>
      <c r="BS289" s="675"/>
      <c r="BT289" s="12"/>
      <c r="BU289" s="1020" t="s">
        <v>523</v>
      </c>
      <c r="BV289" s="1020"/>
      <c r="BW289" s="982" t="s">
        <v>507</v>
      </c>
      <c r="BX289" s="1022">
        <f>IFERROR(W289*U289,0)</f>
        <v>0</v>
      </c>
      <c r="BY289" s="621" t="e">
        <f>VLOOKUP(B289,#REF!,13,0)</f>
        <v>#REF!</v>
      </c>
      <c r="BZ289" s="1056"/>
      <c r="CA289" s="1181" t="e">
        <f>VLOOKUP(B289,Pedido!$B$16:$L$292,22,0)</f>
        <v>#N/A</v>
      </c>
      <c r="CB289" s="1181"/>
      <c r="CC289" s="1180"/>
      <c r="CD289" s="1180"/>
      <c r="CE289" s="1180"/>
      <c r="CF289" s="1180"/>
      <c r="CG289" s="1177"/>
    </row>
    <row r="290" spans="1:85" s="622" customFormat="1" ht="27" customHeight="1" thickBot="1">
      <c r="A290" s="1239"/>
      <c r="B290" s="1253" t="s">
        <v>631</v>
      </c>
      <c r="C290" s="962" t="s">
        <v>641</v>
      </c>
      <c r="D290" s="1237" t="s">
        <v>628</v>
      </c>
      <c r="E290" s="370" t="s">
        <v>74</v>
      </c>
      <c r="F290" s="642" t="s">
        <v>61</v>
      </c>
      <c r="G290" s="548">
        <v>900</v>
      </c>
      <c r="H290" s="1153"/>
      <c r="I290" s="549">
        <v>249.9</v>
      </c>
      <c r="J290" s="550" t="str">
        <f>IFERROR(IF(T290&lt;&gt;"",I290/T290,IF(AND(Y290="",V290=""),"",IF(V290="",I290/Y290,I290/V290))),"")</f>
        <v/>
      </c>
      <c r="K290" s="551" t="str">
        <f>IF(T290="","",IFERROR(1-(T290/I290),0))</f>
        <v/>
      </c>
      <c r="L290" s="552">
        <f>IF(Pedido!$G$7&gt;14,139.9,170.8)</f>
        <v>170.8</v>
      </c>
      <c r="M290" s="553">
        <f>IF(Pedido!$G$7&gt;14,139.9,170.8)</f>
        <v>170.8</v>
      </c>
      <c r="N290" s="553">
        <f>IF(Pedido!$G$7&gt;14,139.9,170.8)</f>
        <v>170.8</v>
      </c>
      <c r="O290" s="553">
        <f>IF(Pedido!$G$7&gt;14,139.9,170.8)</f>
        <v>170.8</v>
      </c>
      <c r="P290" s="553">
        <f>IF(Pedido!$G$7&gt;14,139.9,170.8)</f>
        <v>170.8</v>
      </c>
      <c r="Q290" s="553">
        <f>IF(Pedido!$G$7&gt;14,139.9,170.8)</f>
        <v>170.8</v>
      </c>
      <c r="R290" s="553">
        <f>IF(Pedido!$G$7&gt;14,139.9,170.8)</f>
        <v>170.8</v>
      </c>
      <c r="S290" s="1254">
        <f>IF(Pedido!$G$7&gt;14,139.9,170.8)</f>
        <v>170.8</v>
      </c>
      <c r="T290" s="1240" t="str">
        <f>IF(V290&gt;0,V290,IFERROR(IF(AND(W290&lt;&gt;"",X290&lt;&gt;""),AH290/W290,Y290),""))</f>
        <v/>
      </c>
      <c r="U290" s="608" t="str">
        <f>IFERROR((T290*W290)/(W290+X290),"")</f>
        <v/>
      </c>
      <c r="V290" s="1041"/>
      <c r="W290" s="1139"/>
      <c r="X290" s="676"/>
      <c r="Y290" s="628" t="str">
        <f t="shared" si="155"/>
        <v/>
      </c>
      <c r="Z290" s="629"/>
      <c r="AA290" s="609">
        <f>IFERROR(L290*W290,0)</f>
        <v>0</v>
      </c>
      <c r="AB290" s="609">
        <f t="shared" si="216"/>
        <v>0</v>
      </c>
      <c r="AC290" s="609">
        <f t="shared" si="217"/>
        <v>0</v>
      </c>
      <c r="AD290" s="609">
        <f>IFERROR(X290*T290,0)</f>
        <v>0</v>
      </c>
      <c r="AE290" s="609">
        <f>IFERROR(W290*H290,0)</f>
        <v>0</v>
      </c>
      <c r="AF290" s="609">
        <f>IFERROR(1-(AE290/AB290),0)</f>
        <v>0</v>
      </c>
      <c r="AG290" s="610">
        <f>IFERROR(SUM(W290:X290)*I290,0)</f>
        <v>0</v>
      </c>
      <c r="AH290" s="609">
        <f>IFERROR(IF(V290&gt;0,V290*W290,(Y290*W290)),0)</f>
        <v>0</v>
      </c>
      <c r="AI290" s="609">
        <f>IFERROR(SUM(W290)*H290,0)</f>
        <v>0</v>
      </c>
      <c r="AJ290" s="609">
        <f>AH290*$AJ$25</f>
        <v>0</v>
      </c>
      <c r="AK290" s="609">
        <f>AH290*AK$25</f>
        <v>0</v>
      </c>
      <c r="AL290" s="609">
        <f>AH290*AL$25</f>
        <v>0</v>
      </c>
      <c r="AM290" s="609">
        <f>SUM(AJ290:AL290)</f>
        <v>0</v>
      </c>
      <c r="AN290" s="609">
        <f>AH290-AM290</f>
        <v>0</v>
      </c>
      <c r="AO290" s="609">
        <f>AN290-AI290</f>
        <v>0</v>
      </c>
      <c r="AP290" s="611">
        <f>IFERROR(IF(V290&lt;&gt;"",1-(H290/V290),IF(Y290&lt;&gt;"",1-(H290/Y290),1-(H290/L290))),0)</f>
        <v>1</v>
      </c>
      <c r="AQ290" s="612">
        <f>H290/0.75</f>
        <v>0</v>
      </c>
      <c r="AR290" s="613" t="s">
        <v>158</v>
      </c>
      <c r="AS290" s="614">
        <f t="shared" si="170"/>
        <v>100</v>
      </c>
      <c r="AT290" s="615">
        <f>IFERROR(1-(AI290/AH290),0)</f>
        <v>0</v>
      </c>
      <c r="AU290" s="616">
        <f>IFERROR(AO290/AH290,0)</f>
        <v>0</v>
      </c>
      <c r="AV290" s="617"/>
      <c r="AW290" s="611" t="e">
        <f>VLOOKUP(AX290,Sup!#REF!,8,0)</f>
        <v>#REF!</v>
      </c>
      <c r="AX290" s="1018" t="s">
        <v>199</v>
      </c>
      <c r="AY290" s="1140">
        <v>0</v>
      </c>
      <c r="AZ290" s="618"/>
      <c r="BA290" s="618"/>
      <c r="BB290" s="618"/>
      <c r="BC290" s="618">
        <f>IF(BE290&lt;0,BE290,0)</f>
        <v>0</v>
      </c>
      <c r="BD290" s="618" t="str">
        <f t="shared" si="218"/>
        <v/>
      </c>
      <c r="BE290" s="619">
        <f>IF(V290="",0,(V290*W290)-(BD290*W290))</f>
        <v>0</v>
      </c>
      <c r="BF290" s="1019"/>
      <c r="BG290" s="620"/>
      <c r="BH290" s="621"/>
      <c r="BI290" s="621"/>
      <c r="BJ290" s="621"/>
      <c r="BK290" s="621"/>
      <c r="BL290" s="621"/>
      <c r="BM290" s="980" t="e">
        <f>BM288+24</f>
        <v>#REF!</v>
      </c>
      <c r="BN290" s="623"/>
      <c r="BO290" s="1020" t="s">
        <v>522</v>
      </c>
      <c r="BP290" s="973" t="str">
        <f>IF(E290="banoffee",LEFT(E290,4),LEFT(E290,3))</f>
        <v>Mor</v>
      </c>
      <c r="BQ290" s="973" t="str">
        <f>LEFT(F290,3)</f>
        <v>Pot</v>
      </c>
      <c r="BR290" s="1021" t="str">
        <f>CONCATENATE(BO290,BP290,BQ290)</f>
        <v>COMBOWPCPWOMorPot</v>
      </c>
      <c r="BS290" s="675"/>
      <c r="BT290" s="12"/>
      <c r="BU290" s="1020" t="s">
        <v>523</v>
      </c>
      <c r="BV290" s="1020"/>
      <c r="BW290" s="982" t="s">
        <v>507</v>
      </c>
      <c r="BX290" s="1022">
        <f>IFERROR(W290*U290,0)</f>
        <v>0</v>
      </c>
      <c r="BY290" s="621" t="e">
        <f>VLOOKUP(B290,#REF!,13,0)</f>
        <v>#REF!</v>
      </c>
      <c r="BZ290" s="1056"/>
      <c r="CA290" s="1181" t="e">
        <f>VLOOKUP(B290,Pedido!$B$16:$L$292,22,0)</f>
        <v>#N/A</v>
      </c>
      <c r="CB290" s="1181"/>
      <c r="CC290" s="1180"/>
      <c r="CD290" s="1180"/>
      <c r="CE290" s="1180"/>
      <c r="CF290" s="1180"/>
      <c r="CG290" s="1177"/>
    </row>
    <row r="291" spans="1:85" s="622" customFormat="1" ht="27" customHeight="1" thickBot="1">
      <c r="A291" s="1239"/>
      <c r="B291" s="1255" t="s">
        <v>632</v>
      </c>
      <c r="C291" s="962" t="s">
        <v>641</v>
      </c>
      <c r="D291" s="1238" t="s">
        <v>628</v>
      </c>
      <c r="E291" s="589" t="s">
        <v>126</v>
      </c>
      <c r="F291" s="642" t="s">
        <v>61</v>
      </c>
      <c r="G291" s="548">
        <v>900</v>
      </c>
      <c r="H291" s="1160"/>
      <c r="I291" s="549">
        <v>249.9</v>
      </c>
      <c r="J291" s="626" t="str">
        <f>IFERROR(IF(T291&lt;&gt;"",I291/T291,IF(AND(Y291="",V291=""),"",IF(V291="",I291/Y291,I291/V291))),"")</f>
        <v/>
      </c>
      <c r="K291" s="627" t="str">
        <f>IF(T291="","",IFERROR(1-(T291/I291),0))</f>
        <v/>
      </c>
      <c r="L291" s="552">
        <f>IF(Pedido!$G$7&gt;14,139.9,170.8)</f>
        <v>170.8</v>
      </c>
      <c r="M291" s="555">
        <f>IF(Pedido!$G$7&gt;14,139.9,170.8)</f>
        <v>170.8</v>
      </c>
      <c r="N291" s="555">
        <f>IF(Pedido!$G$7&gt;14,139.9,170.8)</f>
        <v>170.8</v>
      </c>
      <c r="O291" s="555">
        <f>IF(Pedido!$G$7&gt;14,139.9,170.8)</f>
        <v>170.8</v>
      </c>
      <c r="P291" s="555">
        <f>IF(Pedido!$G$7&gt;14,139.9,170.8)</f>
        <v>170.8</v>
      </c>
      <c r="Q291" s="555">
        <f>IF(Pedido!$G$7&gt;14,139.9,170.8)</f>
        <v>170.8</v>
      </c>
      <c r="R291" s="555">
        <f>IF(Pedido!$G$7&gt;14,139.9,170.8)</f>
        <v>170.8</v>
      </c>
      <c r="S291" s="1256">
        <f>IF(Pedido!$G$7&gt;14,139.9,170.8)</f>
        <v>170.8</v>
      </c>
      <c r="T291" s="1240" t="str">
        <f>IF(V291&gt;0,V291,IFERROR(IF(AND(W291&lt;&gt;"",X291&lt;&gt;""),AH291/W291,Y291),""))</f>
        <v/>
      </c>
      <c r="U291" s="608" t="str">
        <f>IFERROR((T291*W291)/(W291+X291),"")</f>
        <v/>
      </c>
      <c r="V291" s="1041"/>
      <c r="W291" s="1139"/>
      <c r="X291" s="676"/>
      <c r="Y291" s="628" t="str">
        <f t="shared" si="155"/>
        <v/>
      </c>
      <c r="Z291" s="629"/>
      <c r="AA291" s="609">
        <f>IFERROR(L291*W291,0)</f>
        <v>0</v>
      </c>
      <c r="AB291" s="609">
        <f t="shared" si="216"/>
        <v>0</v>
      </c>
      <c r="AC291" s="609">
        <f t="shared" si="217"/>
        <v>0</v>
      </c>
      <c r="AD291" s="609">
        <f>IFERROR(X291*T291,0)</f>
        <v>0</v>
      </c>
      <c r="AE291" s="609">
        <f>IFERROR(W291*H291,0)</f>
        <v>0</v>
      </c>
      <c r="AF291" s="609">
        <f>IFERROR(1-(AE291/AB291),0)</f>
        <v>0</v>
      </c>
      <c r="AG291" s="610">
        <f>IFERROR(SUM(W291:X291)*I291,0)</f>
        <v>0</v>
      </c>
      <c r="AH291" s="609">
        <f>IFERROR(IF(V291&gt;0,V291*W291,(Y291*W291)),0)</f>
        <v>0</v>
      </c>
      <c r="AI291" s="609">
        <f>IFERROR(SUM(W291)*H291,0)</f>
        <v>0</v>
      </c>
      <c r="AJ291" s="609">
        <f>AH291*$AJ$25</f>
        <v>0</v>
      </c>
      <c r="AK291" s="609">
        <f>AH291*AK$25</f>
        <v>0</v>
      </c>
      <c r="AL291" s="609">
        <f>AH291*AL$25</f>
        <v>0</v>
      </c>
      <c r="AM291" s="609">
        <f>SUM(AJ291:AL291)</f>
        <v>0</v>
      </c>
      <c r="AN291" s="609">
        <f>AH291-AM291</f>
        <v>0</v>
      </c>
      <c r="AO291" s="609">
        <f>AN291-AI291</f>
        <v>0</v>
      </c>
      <c r="AP291" s="611">
        <f>IFERROR(IF(V291&lt;&gt;"",1-(H291/V291),IF(Y291&lt;&gt;"",1-(H291/Y291),1-(H291/L291))),0)</f>
        <v>1</v>
      </c>
      <c r="AQ291" s="612">
        <f>H291/0.75</f>
        <v>0</v>
      </c>
      <c r="AR291" s="613" t="s">
        <v>158</v>
      </c>
      <c r="AS291" s="614">
        <f t="shared" si="170"/>
        <v>100</v>
      </c>
      <c r="AT291" s="615">
        <f>IFERROR(1-(AI291/AH291),0)</f>
        <v>0</v>
      </c>
      <c r="AU291" s="616">
        <f>IFERROR(AO291/AH291,0)</f>
        <v>0</v>
      </c>
      <c r="AV291" s="617"/>
      <c r="AW291" s="611" t="e">
        <f>VLOOKUP(AX291,Sup!#REF!,8,0)</f>
        <v>#REF!</v>
      </c>
      <c r="AX291" s="1018" t="s">
        <v>199</v>
      </c>
      <c r="AY291" s="1140">
        <v>0</v>
      </c>
      <c r="AZ291" s="618"/>
      <c r="BA291" s="618"/>
      <c r="BB291" s="618"/>
      <c r="BC291" s="618">
        <f>IF(BE291&lt;0,BE291,0)</f>
        <v>0</v>
      </c>
      <c r="BD291" s="618" t="str">
        <f t="shared" si="218"/>
        <v/>
      </c>
      <c r="BE291" s="619">
        <f>IF(V291="",0,(V291*W291)-(BD291*W291))</f>
        <v>0</v>
      </c>
      <c r="BF291" s="1019"/>
      <c r="BG291" s="620"/>
      <c r="BH291" s="621"/>
      <c r="BI291" s="621"/>
      <c r="BJ291" s="621"/>
      <c r="BK291" s="621"/>
      <c r="BL291" s="621"/>
      <c r="BM291" s="980" t="e">
        <f>#REF!+24</f>
        <v>#REF!</v>
      </c>
      <c r="BN291" s="623"/>
      <c r="BO291" s="1020" t="s">
        <v>522</v>
      </c>
      <c r="BP291" s="973" t="str">
        <f>IF(E291="banoffee",LEFT(E291,4),LEFT(E291,3))</f>
        <v>Coo</v>
      </c>
      <c r="BQ291" s="973" t="str">
        <f>LEFT(F291,3)</f>
        <v>Pot</v>
      </c>
      <c r="BR291" s="1021" t="str">
        <f>CONCATENATE(BO291,BP291,BQ291)</f>
        <v>COMBOWPCPWOCooPot</v>
      </c>
      <c r="BS291" s="675"/>
      <c r="BT291" s="12"/>
      <c r="BU291" s="1017" t="s">
        <v>525</v>
      </c>
      <c r="BV291" s="1017"/>
      <c r="BW291" s="982" t="s">
        <v>507</v>
      </c>
      <c r="BX291" s="1022">
        <f>IFERROR(W291*U291,0)</f>
        <v>0</v>
      </c>
      <c r="BY291" s="621" t="e">
        <f>VLOOKUP(B291,#REF!,13,0)</f>
        <v>#REF!</v>
      </c>
      <c r="BZ291" s="1056"/>
      <c r="CA291" s="1181" t="e">
        <f>VLOOKUP(B291,Pedido!$B$16:$L$292,22,0)</f>
        <v>#N/A</v>
      </c>
      <c r="CB291" s="1181"/>
      <c r="CC291" s="1180"/>
      <c r="CD291" s="1180"/>
      <c r="CE291" s="1180"/>
      <c r="CF291" s="1180"/>
      <c r="CG291" s="1177"/>
    </row>
    <row r="292" spans="1:85" s="622" customFormat="1" ht="27" customHeight="1" thickBot="1">
      <c r="A292" s="1239"/>
      <c r="B292" s="1253" t="s">
        <v>633</v>
      </c>
      <c r="C292" s="962" t="s">
        <v>641</v>
      </c>
      <c r="D292" s="1237" t="s">
        <v>628</v>
      </c>
      <c r="E292" s="642" t="s">
        <v>118</v>
      </c>
      <c r="F292" s="642" t="s">
        <v>61</v>
      </c>
      <c r="G292" s="548">
        <v>900</v>
      </c>
      <c r="H292" s="1153"/>
      <c r="I292" s="549">
        <v>249.9</v>
      </c>
      <c r="J292" s="550" t="str">
        <f t="shared" ref="J292:J314" si="219">IFERROR(IF(T292&lt;&gt;"",I292/T292,IF(AND(Y292="",V292=""),"",IF(V292="",I292/Y292,I292/V292))),"")</f>
        <v/>
      </c>
      <c r="K292" s="551" t="str">
        <f t="shared" ref="K292:K314" si="220">IF(T292="","",IFERROR(1-(T292/I292),0))</f>
        <v/>
      </c>
      <c r="L292" s="552">
        <f>IF(Pedido!$G$7&gt;14,139.9,170.8)</f>
        <v>170.8</v>
      </c>
      <c r="M292" s="553">
        <f>IF(Pedido!$G$7&gt;14,139.9,170.8)</f>
        <v>170.8</v>
      </c>
      <c r="N292" s="553">
        <f>IF(Pedido!$G$7&gt;14,139.9,170.8)</f>
        <v>170.8</v>
      </c>
      <c r="O292" s="553">
        <f>IF(Pedido!$G$7&gt;14,139.9,170.8)</f>
        <v>170.8</v>
      </c>
      <c r="P292" s="553">
        <f>IF(Pedido!$G$7&gt;14,139.9,170.8)</f>
        <v>170.8</v>
      </c>
      <c r="Q292" s="553">
        <f>IF(Pedido!$G$7&gt;14,139.9,170.8)</f>
        <v>170.8</v>
      </c>
      <c r="R292" s="553">
        <f>IF(Pedido!$G$7&gt;14,139.9,170.8)</f>
        <v>170.8</v>
      </c>
      <c r="S292" s="1254">
        <f>IF(Pedido!$G$7&gt;14,139.9,170.8)</f>
        <v>170.8</v>
      </c>
      <c r="T292" s="1240" t="str">
        <f t="shared" ref="T292:T314" si="221">IF(V292&gt;0,V292,IFERROR(IF(AND(W292&lt;&gt;"",X292&lt;&gt;""),AH292/W292,Y292),""))</f>
        <v/>
      </c>
      <c r="U292" s="608" t="str">
        <f t="shared" ref="U292:U314" si="222">IFERROR((T292*W292)/(W292+X292),"")</f>
        <v/>
      </c>
      <c r="V292" s="1041"/>
      <c r="W292" s="1139"/>
      <c r="X292" s="676"/>
      <c r="Y292" s="628" t="str">
        <f t="shared" ref="Y292:Y299" si="223">IF(AND(W292="",X292=""),"",$E$13*IF(V292&lt;&gt;"",V292,IF(SUMIF($C:$C,C292,$W:$W)&gt;=$S$27,S292,IF(OR($AA$373&gt;=$R$26,SUMIF($C:$C,C292,$W:$W)&gt;=$R$27),R292,IF(OR($AA$373&gt;=$Q$26,SUMIF($C:$C,C292,$W:$W)&gt;=$Q$27),Q292,IF(OR($AA$373&gt;=$P$26,SUMIF($C:$C,C292,$W:$W)&gt;=$P$27),P292,IF(OR($AA$373&gt;=$O$26,SUMIF($C:$C,C292,$W:$W)&gt;=$O$27),O292,IF(OR($AA$373&gt;=$N$26,SUMIF($C:$C,C292,$W:$W)&gt;=$N$27),N292,IF($AA$373&gt;=$M$26,M292,L292)))))))))</f>
        <v/>
      </c>
      <c r="Z292" s="629"/>
      <c r="AA292" s="609">
        <f t="shared" ref="AA292:AA314" si="224">IFERROR(L292*W292,0)</f>
        <v>0</v>
      </c>
      <c r="AB292" s="609">
        <f t="shared" si="216"/>
        <v>0</v>
      </c>
      <c r="AC292" s="609">
        <f t="shared" si="217"/>
        <v>0</v>
      </c>
      <c r="AD292" s="609">
        <f t="shared" ref="AD292:AD314" si="225">IFERROR(X292*T292,0)</f>
        <v>0</v>
      </c>
      <c r="AE292" s="609">
        <f t="shared" ref="AE292:AE314" si="226">IFERROR(W292*H292,0)</f>
        <v>0</v>
      </c>
      <c r="AF292" s="609">
        <f t="shared" ref="AF292:AF314" si="227">IFERROR(1-(AE292/AB292),0)</f>
        <v>0</v>
      </c>
      <c r="AG292" s="610">
        <f t="shared" ref="AG292:AG314" si="228">IFERROR(SUM(W292:X292)*I292,0)</f>
        <v>0</v>
      </c>
      <c r="AH292" s="609">
        <f t="shared" ref="AH292:AH314" si="229">IFERROR(IF(V292&gt;0,V292*W292,(Y292*W292)),0)</f>
        <v>0</v>
      </c>
      <c r="AI292" s="609">
        <f t="shared" ref="AI292:AI314" si="230">IFERROR(SUM(W292)*H292,0)</f>
        <v>0</v>
      </c>
      <c r="AJ292" s="609">
        <f t="shared" ref="AJ292:AJ314" si="231">AH292*$AJ$25</f>
        <v>0</v>
      </c>
      <c r="AK292" s="609">
        <f t="shared" ref="AK292:AK314" si="232">AH292*AK$25</f>
        <v>0</v>
      </c>
      <c r="AL292" s="609">
        <f t="shared" ref="AL292:AL314" si="233">AH292*AL$25</f>
        <v>0</v>
      </c>
      <c r="AM292" s="609">
        <f t="shared" ref="AM292:AM314" si="234">SUM(AJ292:AL292)</f>
        <v>0</v>
      </c>
      <c r="AN292" s="609">
        <f t="shared" ref="AN292:AN314" si="235">AH292-AM292</f>
        <v>0</v>
      </c>
      <c r="AO292" s="609">
        <f t="shared" ref="AO292:AO314" si="236">AN292-AI292</f>
        <v>0</v>
      </c>
      <c r="AP292" s="611">
        <f t="shared" ref="AP292:AP314" si="237">IFERROR(IF(V292&lt;&gt;"",1-(H292/V292),IF(Y292&lt;&gt;"",1-(H292/Y292),1-(H292/L292))),0)</f>
        <v>1</v>
      </c>
      <c r="AQ292" s="612">
        <f t="shared" ref="AQ292:AQ314" si="238">H292/0.75</f>
        <v>0</v>
      </c>
      <c r="AR292" s="613" t="s">
        <v>158</v>
      </c>
      <c r="AS292" s="614">
        <f t="shared" si="170"/>
        <v>100</v>
      </c>
      <c r="AT292" s="615">
        <f t="shared" ref="AT292:AT314" si="239">IFERROR(1-(AI292/AH292),0)</f>
        <v>0</v>
      </c>
      <c r="AU292" s="616">
        <f t="shared" ref="AU292:AU314" si="240">IFERROR(AO292/AH292,0)</f>
        <v>0</v>
      </c>
      <c r="AV292" s="617"/>
      <c r="AW292" s="611" t="e">
        <f>VLOOKUP(AX292,Sup!#REF!,8,0)</f>
        <v>#REF!</v>
      </c>
      <c r="AX292" s="1018" t="s">
        <v>199</v>
      </c>
      <c r="AY292" s="1140">
        <v>0</v>
      </c>
      <c r="AZ292" s="618"/>
      <c r="BA292" s="618"/>
      <c r="BB292" s="618"/>
      <c r="BC292" s="618">
        <f t="shared" ref="BC292:BC314" si="241">IF(BE292&lt;0,BE292,0)</f>
        <v>0</v>
      </c>
      <c r="BD292" s="618" t="str">
        <f t="shared" si="218"/>
        <v/>
      </c>
      <c r="BE292" s="619">
        <f t="shared" ref="BE292:BE314" si="242">IF(V292="",0,(V292*W292)-(BD292*W292))</f>
        <v>0</v>
      </c>
      <c r="BF292" s="1019"/>
      <c r="BG292" s="620"/>
      <c r="BH292" s="621"/>
      <c r="BI292" s="621"/>
      <c r="BJ292" s="621"/>
      <c r="BK292" s="621"/>
      <c r="BL292" s="621"/>
      <c r="BM292" s="980" t="e">
        <f>#REF!+24</f>
        <v>#REF!</v>
      </c>
      <c r="BN292" s="623"/>
      <c r="BO292" s="1020" t="s">
        <v>522</v>
      </c>
      <c r="BP292" s="973" t="s">
        <v>526</v>
      </c>
      <c r="BQ292" s="973" t="str">
        <f t="shared" ref="BQ292:BQ314" si="243">LEFT(F292,3)</f>
        <v>Pot</v>
      </c>
      <c r="BR292" s="1021" t="str">
        <f t="shared" ref="BR292:BR314" si="244">CONCATENATE(BO292,BP292,BQ292)</f>
        <v>COMBOWPCPWOBANOPot</v>
      </c>
      <c r="BS292" s="675"/>
      <c r="BT292" s="12"/>
      <c r="BU292" s="1020" t="s">
        <v>451</v>
      </c>
      <c r="BV292" s="1020"/>
      <c r="BW292" s="982" t="s">
        <v>507</v>
      </c>
      <c r="BX292" s="1022">
        <f t="shared" ref="BX292:BX314" si="245">IFERROR(W292*U292,0)</f>
        <v>0</v>
      </c>
      <c r="BY292" s="621" t="e">
        <f>VLOOKUP(B292,#REF!,13,0)</f>
        <v>#REF!</v>
      </c>
      <c r="BZ292" s="1056"/>
      <c r="CA292" s="1181" t="e">
        <f>VLOOKUP(B292,Pedido!$B$16:$L$292,22,0)</f>
        <v>#N/A</v>
      </c>
      <c r="CB292" s="1181"/>
      <c r="CC292" s="1180"/>
      <c r="CD292" s="1180"/>
      <c r="CE292" s="1180"/>
      <c r="CF292" s="1180"/>
      <c r="CG292" s="1177"/>
    </row>
    <row r="293" spans="1:85" s="622" customFormat="1" ht="27" customHeight="1" thickBot="1">
      <c r="A293" s="1239"/>
      <c r="B293" s="1253" t="s">
        <v>634</v>
      </c>
      <c r="C293" s="962" t="s">
        <v>641</v>
      </c>
      <c r="D293" s="1237" t="s">
        <v>628</v>
      </c>
      <c r="E293" s="642" t="s">
        <v>124</v>
      </c>
      <c r="F293" s="642" t="s">
        <v>61</v>
      </c>
      <c r="G293" s="548">
        <v>900</v>
      </c>
      <c r="H293" s="1153"/>
      <c r="I293" s="549">
        <v>249.9</v>
      </c>
      <c r="J293" s="550" t="str">
        <f t="shared" si="219"/>
        <v/>
      </c>
      <c r="K293" s="551" t="str">
        <f t="shared" si="220"/>
        <v/>
      </c>
      <c r="L293" s="552">
        <f>IF(Pedido!$G$7&gt;14,139.9,170.8)</f>
        <v>170.8</v>
      </c>
      <c r="M293" s="553">
        <f>IF(Pedido!$G$7&gt;14,139.9,170.8)</f>
        <v>170.8</v>
      </c>
      <c r="N293" s="553">
        <f>IF(Pedido!$G$7&gt;14,139.9,170.8)</f>
        <v>170.8</v>
      </c>
      <c r="O293" s="553">
        <f>IF(Pedido!$G$7&gt;14,139.9,170.8)</f>
        <v>170.8</v>
      </c>
      <c r="P293" s="553">
        <f>IF(Pedido!$G$7&gt;14,139.9,170.8)</f>
        <v>170.8</v>
      </c>
      <c r="Q293" s="553">
        <f>IF(Pedido!$G$7&gt;14,139.9,170.8)</f>
        <v>170.8</v>
      </c>
      <c r="R293" s="553">
        <f>IF(Pedido!$G$7&gt;14,139.9,170.8)</f>
        <v>170.8</v>
      </c>
      <c r="S293" s="1254">
        <f>IF(Pedido!$G$7&gt;14,139.9,170.8)</f>
        <v>170.8</v>
      </c>
      <c r="T293" s="1240" t="str">
        <f t="shared" si="221"/>
        <v/>
      </c>
      <c r="U293" s="608" t="str">
        <f t="shared" si="222"/>
        <v/>
      </c>
      <c r="V293" s="1041"/>
      <c r="W293" s="1139"/>
      <c r="X293" s="676"/>
      <c r="Y293" s="628" t="str">
        <f t="shared" si="223"/>
        <v/>
      </c>
      <c r="Z293" s="629"/>
      <c r="AA293" s="609">
        <f t="shared" si="224"/>
        <v>0</v>
      </c>
      <c r="AB293" s="609">
        <f t="shared" si="216"/>
        <v>0</v>
      </c>
      <c r="AC293" s="609">
        <f t="shared" si="217"/>
        <v>0</v>
      </c>
      <c r="AD293" s="609">
        <f t="shared" si="225"/>
        <v>0</v>
      </c>
      <c r="AE293" s="609">
        <f t="shared" si="226"/>
        <v>0</v>
      </c>
      <c r="AF293" s="609">
        <f t="shared" si="227"/>
        <v>0</v>
      </c>
      <c r="AG293" s="610">
        <f t="shared" si="228"/>
        <v>0</v>
      </c>
      <c r="AH293" s="609">
        <f t="shared" si="229"/>
        <v>0</v>
      </c>
      <c r="AI293" s="609">
        <f t="shared" si="230"/>
        <v>0</v>
      </c>
      <c r="AJ293" s="609">
        <f t="shared" si="231"/>
        <v>0</v>
      </c>
      <c r="AK293" s="609">
        <f t="shared" si="232"/>
        <v>0</v>
      </c>
      <c r="AL293" s="609">
        <f t="shared" si="233"/>
        <v>0</v>
      </c>
      <c r="AM293" s="609">
        <f t="shared" si="234"/>
        <v>0</v>
      </c>
      <c r="AN293" s="609">
        <f t="shared" si="235"/>
        <v>0</v>
      </c>
      <c r="AO293" s="609">
        <f t="shared" si="236"/>
        <v>0</v>
      </c>
      <c r="AP293" s="611">
        <f t="shared" si="237"/>
        <v>1</v>
      </c>
      <c r="AQ293" s="612">
        <f t="shared" si="238"/>
        <v>0</v>
      </c>
      <c r="AR293" s="613" t="s">
        <v>158</v>
      </c>
      <c r="AS293" s="614">
        <f t="shared" si="170"/>
        <v>100</v>
      </c>
      <c r="AT293" s="615">
        <f t="shared" si="239"/>
        <v>0</v>
      </c>
      <c r="AU293" s="616">
        <f t="shared" si="240"/>
        <v>0</v>
      </c>
      <c r="AV293" s="617"/>
      <c r="AW293" s="611" t="e">
        <f>VLOOKUP(AX293,Sup!#REF!,8,0)</f>
        <v>#REF!</v>
      </c>
      <c r="AX293" s="1018" t="s">
        <v>199</v>
      </c>
      <c r="AY293" s="1140">
        <v>0</v>
      </c>
      <c r="AZ293" s="618"/>
      <c r="BA293" s="618"/>
      <c r="BB293" s="618"/>
      <c r="BC293" s="618">
        <f t="shared" si="241"/>
        <v>0</v>
      </c>
      <c r="BD293" s="618" t="str">
        <f t="shared" si="218"/>
        <v/>
      </c>
      <c r="BE293" s="619">
        <f t="shared" si="242"/>
        <v>0</v>
      </c>
      <c r="BF293" s="1019"/>
      <c r="BG293" s="620"/>
      <c r="BH293" s="621"/>
      <c r="BI293" s="621"/>
      <c r="BJ293" s="621"/>
      <c r="BK293" s="621"/>
      <c r="BL293" s="621"/>
      <c r="BM293" s="980" t="e">
        <f t="shared" ref="BM293:BM310" si="246">BM292+24</f>
        <v>#REF!</v>
      </c>
      <c r="BN293" s="623"/>
      <c r="BO293" s="1020" t="s">
        <v>522</v>
      </c>
      <c r="BP293" s="973" t="str">
        <f>IF(E293="banoffee",LEFT(E293,4),LEFT(E293,3))</f>
        <v>Cap</v>
      </c>
      <c r="BQ293" s="973" t="str">
        <f t="shared" si="243"/>
        <v>Pot</v>
      </c>
      <c r="BR293" s="1021" t="str">
        <f t="shared" si="244"/>
        <v>COMBOWPCPWOCapPot</v>
      </c>
      <c r="BS293" s="675"/>
      <c r="BT293" s="12"/>
      <c r="BU293" s="1020" t="s">
        <v>523</v>
      </c>
      <c r="BV293" s="1020"/>
      <c r="BW293" s="982" t="s">
        <v>507</v>
      </c>
      <c r="BX293" s="1022">
        <f t="shared" si="245"/>
        <v>0</v>
      </c>
      <c r="BY293" s="621" t="e">
        <f>VLOOKUP(B293,#REF!,13,0)</f>
        <v>#REF!</v>
      </c>
      <c r="BZ293" s="1056"/>
      <c r="CA293" s="1181" t="e">
        <f>VLOOKUP(B293,Pedido!$B$16:$L$292,22,0)</f>
        <v>#N/A</v>
      </c>
      <c r="CB293" s="1181"/>
      <c r="CC293" s="1180"/>
      <c r="CD293" s="1180"/>
      <c r="CE293" s="1180"/>
      <c r="CF293" s="1180"/>
      <c r="CG293" s="1177"/>
    </row>
    <row r="294" spans="1:85" s="622" customFormat="1" ht="27" customHeight="1" thickBot="1">
      <c r="A294" s="1239"/>
      <c r="B294" s="1253" t="s">
        <v>635</v>
      </c>
      <c r="C294" s="962" t="s">
        <v>641</v>
      </c>
      <c r="D294" s="1237" t="s">
        <v>628</v>
      </c>
      <c r="E294" s="642" t="s">
        <v>80</v>
      </c>
      <c r="F294" s="642" t="s">
        <v>61</v>
      </c>
      <c r="G294" s="548">
        <v>900</v>
      </c>
      <c r="H294" s="1153"/>
      <c r="I294" s="549">
        <v>249.9</v>
      </c>
      <c r="J294" s="550" t="str">
        <f t="shared" si="219"/>
        <v/>
      </c>
      <c r="K294" s="551" t="str">
        <f t="shared" si="220"/>
        <v/>
      </c>
      <c r="L294" s="552">
        <f>IF(Pedido!$G$7&gt;14,139.9,170.8)</f>
        <v>170.8</v>
      </c>
      <c r="M294" s="553">
        <f>IF(Pedido!$G$7&gt;14,139.9,170.8)</f>
        <v>170.8</v>
      </c>
      <c r="N294" s="553">
        <f>IF(Pedido!$G$7&gt;14,139.9,170.8)</f>
        <v>170.8</v>
      </c>
      <c r="O294" s="553">
        <f>IF(Pedido!$G$7&gt;14,139.9,170.8)</f>
        <v>170.8</v>
      </c>
      <c r="P294" s="553">
        <f>IF(Pedido!$G$7&gt;14,139.9,170.8)</f>
        <v>170.8</v>
      </c>
      <c r="Q294" s="553">
        <f>IF(Pedido!$G$7&gt;14,139.9,170.8)</f>
        <v>170.8</v>
      </c>
      <c r="R294" s="553">
        <f>IF(Pedido!$G$7&gt;14,139.9,170.8)</f>
        <v>170.8</v>
      </c>
      <c r="S294" s="1254">
        <f>IF(Pedido!$G$7&gt;14,139.9,170.8)</f>
        <v>170.8</v>
      </c>
      <c r="T294" s="1240" t="str">
        <f t="shared" si="221"/>
        <v/>
      </c>
      <c r="U294" s="608" t="str">
        <f t="shared" si="222"/>
        <v/>
      </c>
      <c r="V294" s="1041"/>
      <c r="W294" s="1139"/>
      <c r="X294" s="676"/>
      <c r="Y294" s="628" t="str">
        <f t="shared" si="223"/>
        <v/>
      </c>
      <c r="Z294" s="629"/>
      <c r="AA294" s="609">
        <f t="shared" si="224"/>
        <v>0</v>
      </c>
      <c r="AB294" s="609">
        <f t="shared" si="216"/>
        <v>0</v>
      </c>
      <c r="AC294" s="609">
        <f t="shared" si="217"/>
        <v>0</v>
      </c>
      <c r="AD294" s="609">
        <f t="shared" si="225"/>
        <v>0</v>
      </c>
      <c r="AE294" s="609">
        <f t="shared" si="226"/>
        <v>0</v>
      </c>
      <c r="AF294" s="609">
        <f t="shared" si="227"/>
        <v>0</v>
      </c>
      <c r="AG294" s="610">
        <f t="shared" si="228"/>
        <v>0</v>
      </c>
      <c r="AH294" s="609">
        <f t="shared" si="229"/>
        <v>0</v>
      </c>
      <c r="AI294" s="609">
        <f t="shared" si="230"/>
        <v>0</v>
      </c>
      <c r="AJ294" s="609">
        <f t="shared" si="231"/>
        <v>0</v>
      </c>
      <c r="AK294" s="609">
        <f t="shared" si="232"/>
        <v>0</v>
      </c>
      <c r="AL294" s="609">
        <f t="shared" si="233"/>
        <v>0</v>
      </c>
      <c r="AM294" s="609">
        <f t="shared" si="234"/>
        <v>0</v>
      </c>
      <c r="AN294" s="609">
        <f t="shared" si="235"/>
        <v>0</v>
      </c>
      <c r="AO294" s="609">
        <f t="shared" si="236"/>
        <v>0</v>
      </c>
      <c r="AP294" s="611">
        <f t="shared" si="237"/>
        <v>1</v>
      </c>
      <c r="AQ294" s="612">
        <f t="shared" si="238"/>
        <v>0</v>
      </c>
      <c r="AR294" s="613" t="s">
        <v>158</v>
      </c>
      <c r="AS294" s="614">
        <f t="shared" si="170"/>
        <v>100</v>
      </c>
      <c r="AT294" s="615">
        <f t="shared" si="239"/>
        <v>0</v>
      </c>
      <c r="AU294" s="616">
        <f t="shared" si="240"/>
        <v>0</v>
      </c>
      <c r="AV294" s="617"/>
      <c r="AW294" s="611" t="e">
        <f>VLOOKUP(AX294,Sup!#REF!,8,0)</f>
        <v>#REF!</v>
      </c>
      <c r="AX294" s="1018" t="s">
        <v>199</v>
      </c>
      <c r="AY294" s="1140">
        <v>0</v>
      </c>
      <c r="AZ294" s="618"/>
      <c r="BA294" s="618"/>
      <c r="BB294" s="618"/>
      <c r="BC294" s="618">
        <f t="shared" si="241"/>
        <v>0</v>
      </c>
      <c r="BD294" s="618" t="str">
        <f t="shared" si="218"/>
        <v/>
      </c>
      <c r="BE294" s="619">
        <f t="shared" si="242"/>
        <v>0</v>
      </c>
      <c r="BF294" s="1019"/>
      <c r="BG294" s="620"/>
      <c r="BH294" s="621"/>
      <c r="BI294" s="621"/>
      <c r="BJ294" s="621"/>
      <c r="BK294" s="621"/>
      <c r="BL294" s="621"/>
      <c r="BM294" s="980" t="e">
        <f t="shared" si="246"/>
        <v>#REF!</v>
      </c>
      <c r="BN294" s="623"/>
      <c r="BO294" s="1020" t="s">
        <v>522</v>
      </c>
      <c r="BP294" s="973" t="str">
        <f>IF(E294="banoffee",LEFT(E294,4),LEFT(E294,3))</f>
        <v>Sem</v>
      </c>
      <c r="BQ294" s="973" t="str">
        <f t="shared" si="243"/>
        <v>Pot</v>
      </c>
      <c r="BR294" s="1021" t="str">
        <f t="shared" si="244"/>
        <v>COMBOWPCPWOSemPot</v>
      </c>
      <c r="BS294" s="675"/>
      <c r="BT294" s="12"/>
      <c r="BU294" s="1020" t="s">
        <v>524</v>
      </c>
      <c r="BV294" s="1020"/>
      <c r="BW294" s="982" t="s">
        <v>507</v>
      </c>
      <c r="BX294" s="1022">
        <f t="shared" si="245"/>
        <v>0</v>
      </c>
      <c r="BY294" s="621" t="e">
        <f>VLOOKUP(B294,#REF!,13,0)</f>
        <v>#REF!</v>
      </c>
      <c r="BZ294" s="1056"/>
      <c r="CA294" s="1181" t="e">
        <f>VLOOKUP(B294,Pedido!$B$16:$L$292,22,0)</f>
        <v>#N/A</v>
      </c>
      <c r="CB294" s="1181"/>
      <c r="CC294" s="1180"/>
      <c r="CD294" s="1180"/>
      <c r="CE294" s="1180"/>
      <c r="CF294" s="1180"/>
      <c r="CG294" s="1177"/>
    </row>
    <row r="295" spans="1:85" s="622" customFormat="1" ht="27" customHeight="1" thickBot="1">
      <c r="A295" s="1239"/>
      <c r="B295" s="1253" t="s">
        <v>636</v>
      </c>
      <c r="C295" s="962" t="s">
        <v>641</v>
      </c>
      <c r="D295" s="1237" t="s">
        <v>628</v>
      </c>
      <c r="E295" s="642" t="s">
        <v>312</v>
      </c>
      <c r="F295" s="642" t="s">
        <v>61</v>
      </c>
      <c r="G295" s="548">
        <v>900</v>
      </c>
      <c r="H295" s="1153"/>
      <c r="I295" s="549">
        <v>249.9</v>
      </c>
      <c r="J295" s="550" t="str">
        <f t="shared" si="219"/>
        <v/>
      </c>
      <c r="K295" s="551" t="str">
        <f t="shared" si="220"/>
        <v/>
      </c>
      <c r="L295" s="552">
        <f>IF(Pedido!$G$7&gt;14,139.9,170.8)</f>
        <v>170.8</v>
      </c>
      <c r="M295" s="553">
        <f>IF(Pedido!$G$7&gt;14,139.9,170.8)</f>
        <v>170.8</v>
      </c>
      <c r="N295" s="553">
        <f>IF(Pedido!$G$7&gt;14,139.9,170.8)</f>
        <v>170.8</v>
      </c>
      <c r="O295" s="553">
        <f>IF(Pedido!$G$7&gt;14,139.9,170.8)</f>
        <v>170.8</v>
      </c>
      <c r="P295" s="553">
        <f>IF(Pedido!$G$7&gt;14,139.9,170.8)</f>
        <v>170.8</v>
      </c>
      <c r="Q295" s="553">
        <f>IF(Pedido!$G$7&gt;14,139.9,170.8)</f>
        <v>170.8</v>
      </c>
      <c r="R295" s="553">
        <f>IF(Pedido!$G$7&gt;14,139.9,170.8)</f>
        <v>170.8</v>
      </c>
      <c r="S295" s="1254">
        <f>IF(Pedido!$G$7&gt;14,139.9,170.8)</f>
        <v>170.8</v>
      </c>
      <c r="T295" s="1240" t="str">
        <f t="shared" si="221"/>
        <v/>
      </c>
      <c r="U295" s="608" t="str">
        <f t="shared" si="222"/>
        <v/>
      </c>
      <c r="V295" s="1041"/>
      <c r="W295" s="1139"/>
      <c r="X295" s="676"/>
      <c r="Y295" s="628" t="str">
        <f t="shared" si="223"/>
        <v/>
      </c>
      <c r="Z295" s="629"/>
      <c r="AA295" s="609">
        <f t="shared" si="224"/>
        <v>0</v>
      </c>
      <c r="AB295" s="609">
        <f t="shared" si="216"/>
        <v>0</v>
      </c>
      <c r="AC295" s="609">
        <f t="shared" si="217"/>
        <v>0</v>
      </c>
      <c r="AD295" s="609">
        <f t="shared" si="225"/>
        <v>0</v>
      </c>
      <c r="AE295" s="609">
        <f t="shared" si="226"/>
        <v>0</v>
      </c>
      <c r="AF295" s="609">
        <f t="shared" si="227"/>
        <v>0</v>
      </c>
      <c r="AG295" s="610">
        <f t="shared" si="228"/>
        <v>0</v>
      </c>
      <c r="AH295" s="609">
        <f t="shared" si="229"/>
        <v>0</v>
      </c>
      <c r="AI295" s="609">
        <f t="shared" si="230"/>
        <v>0</v>
      </c>
      <c r="AJ295" s="609">
        <f t="shared" si="231"/>
        <v>0</v>
      </c>
      <c r="AK295" s="609">
        <f t="shared" si="232"/>
        <v>0</v>
      </c>
      <c r="AL295" s="609">
        <f t="shared" si="233"/>
        <v>0</v>
      </c>
      <c r="AM295" s="609">
        <f t="shared" si="234"/>
        <v>0</v>
      </c>
      <c r="AN295" s="609">
        <f t="shared" si="235"/>
        <v>0</v>
      </c>
      <c r="AO295" s="609">
        <f t="shared" si="236"/>
        <v>0</v>
      </c>
      <c r="AP295" s="611">
        <f t="shared" si="237"/>
        <v>1</v>
      </c>
      <c r="AQ295" s="612">
        <f t="shared" si="238"/>
        <v>0</v>
      </c>
      <c r="AR295" s="613" t="s">
        <v>158</v>
      </c>
      <c r="AS295" s="614">
        <f t="shared" si="170"/>
        <v>100</v>
      </c>
      <c r="AT295" s="615">
        <f t="shared" si="239"/>
        <v>0</v>
      </c>
      <c r="AU295" s="616">
        <f t="shared" si="240"/>
        <v>0</v>
      </c>
      <c r="AV295" s="617"/>
      <c r="AW295" s="611" t="e">
        <f>VLOOKUP(AX295,Sup!#REF!,8,0)</f>
        <v>#REF!</v>
      </c>
      <c r="AX295" s="1018" t="s">
        <v>199</v>
      </c>
      <c r="AY295" s="1140">
        <v>0</v>
      </c>
      <c r="AZ295" s="618"/>
      <c r="BA295" s="618"/>
      <c r="BB295" s="618"/>
      <c r="BC295" s="618">
        <f t="shared" si="241"/>
        <v>0</v>
      </c>
      <c r="BD295" s="618" t="str">
        <f t="shared" si="218"/>
        <v/>
      </c>
      <c r="BE295" s="619">
        <f t="shared" si="242"/>
        <v>0</v>
      </c>
      <c r="BF295" s="1019"/>
      <c r="BG295" s="620"/>
      <c r="BH295" s="621"/>
      <c r="BI295" s="621"/>
      <c r="BJ295" s="621"/>
      <c r="BK295" s="621"/>
      <c r="BL295" s="621"/>
      <c r="BM295" s="980" t="e">
        <f t="shared" si="246"/>
        <v>#REF!</v>
      </c>
      <c r="BN295" s="623"/>
      <c r="BO295" s="1020" t="s">
        <v>522</v>
      </c>
      <c r="BP295" s="973" t="str">
        <f>IF(E295="banoffee",LEFT(E295,4),LEFT(E295,3))</f>
        <v>But</v>
      </c>
      <c r="BQ295" s="973" t="str">
        <f t="shared" si="243"/>
        <v>Pot</v>
      </c>
      <c r="BR295" s="1021" t="str">
        <f t="shared" si="244"/>
        <v>COMBOWPCPWOButPot</v>
      </c>
      <c r="BS295" s="675"/>
      <c r="BT295" s="12"/>
      <c r="BU295" s="1017" t="s">
        <v>525</v>
      </c>
      <c r="BV295" s="1017"/>
      <c r="BW295" s="982" t="s">
        <v>507</v>
      </c>
      <c r="BX295" s="1022">
        <f t="shared" si="245"/>
        <v>0</v>
      </c>
      <c r="BY295" s="621" t="e">
        <f>VLOOKUP(B295,#REF!,13,0)</f>
        <v>#REF!</v>
      </c>
      <c r="BZ295" s="1056"/>
      <c r="CA295" s="1181" t="e">
        <f>VLOOKUP(B295,Pedido!$B$16:$L$292,22,0)</f>
        <v>#N/A</v>
      </c>
      <c r="CB295" s="1181"/>
      <c r="CC295" s="1180"/>
      <c r="CD295" s="1180"/>
      <c r="CE295" s="1180"/>
      <c r="CF295" s="1180"/>
      <c r="CG295" s="1177"/>
    </row>
    <row r="296" spans="1:85" s="622" customFormat="1" ht="27" customHeight="1" thickBot="1">
      <c r="A296" s="1239"/>
      <c r="B296" s="1253" t="s">
        <v>637</v>
      </c>
      <c r="C296" s="962" t="s">
        <v>641</v>
      </c>
      <c r="D296" s="1237" t="s">
        <v>628</v>
      </c>
      <c r="E296" s="642" t="s">
        <v>376</v>
      </c>
      <c r="F296" s="642" t="s">
        <v>61</v>
      </c>
      <c r="G296" s="548">
        <v>900</v>
      </c>
      <c r="H296" s="1153"/>
      <c r="I296" s="549">
        <v>249.9</v>
      </c>
      <c r="J296" s="550" t="str">
        <f t="shared" si="219"/>
        <v/>
      </c>
      <c r="K296" s="551" t="str">
        <f t="shared" si="220"/>
        <v/>
      </c>
      <c r="L296" s="552">
        <f>IF(Pedido!$G$7&gt;14,139.9,170.8)</f>
        <v>170.8</v>
      </c>
      <c r="M296" s="553">
        <f>IF(Pedido!$G$7&gt;14,139.9,170.8)</f>
        <v>170.8</v>
      </c>
      <c r="N296" s="553">
        <f>IF(Pedido!$G$7&gt;14,139.9,170.8)</f>
        <v>170.8</v>
      </c>
      <c r="O296" s="553">
        <f>IF(Pedido!$G$7&gt;14,139.9,170.8)</f>
        <v>170.8</v>
      </c>
      <c r="P296" s="553">
        <f>IF(Pedido!$G$7&gt;14,139.9,170.8)</f>
        <v>170.8</v>
      </c>
      <c r="Q296" s="553">
        <f>IF(Pedido!$G$7&gt;14,139.9,170.8)</f>
        <v>170.8</v>
      </c>
      <c r="R296" s="553">
        <f>IF(Pedido!$G$7&gt;14,139.9,170.8)</f>
        <v>170.8</v>
      </c>
      <c r="S296" s="1254">
        <f>IF(Pedido!$G$7&gt;14,139.9,170.8)</f>
        <v>170.8</v>
      </c>
      <c r="T296" s="1240" t="str">
        <f t="shared" si="221"/>
        <v/>
      </c>
      <c r="U296" s="608" t="str">
        <f t="shared" si="222"/>
        <v/>
      </c>
      <c r="V296" s="1041"/>
      <c r="W296" s="1139"/>
      <c r="X296" s="676"/>
      <c r="Y296" s="628" t="str">
        <f t="shared" si="223"/>
        <v/>
      </c>
      <c r="Z296" s="629"/>
      <c r="AA296" s="609">
        <f t="shared" si="224"/>
        <v>0</v>
      </c>
      <c r="AB296" s="609">
        <f t="shared" si="216"/>
        <v>0</v>
      </c>
      <c r="AC296" s="609">
        <f t="shared" si="217"/>
        <v>0</v>
      </c>
      <c r="AD296" s="609">
        <f t="shared" si="225"/>
        <v>0</v>
      </c>
      <c r="AE296" s="609">
        <f t="shared" si="226"/>
        <v>0</v>
      </c>
      <c r="AF296" s="609">
        <f t="shared" si="227"/>
        <v>0</v>
      </c>
      <c r="AG296" s="610">
        <f t="shared" si="228"/>
        <v>0</v>
      </c>
      <c r="AH296" s="609">
        <f t="shared" si="229"/>
        <v>0</v>
      </c>
      <c r="AI296" s="609">
        <f t="shared" si="230"/>
        <v>0</v>
      </c>
      <c r="AJ296" s="609">
        <f t="shared" si="231"/>
        <v>0</v>
      </c>
      <c r="AK296" s="609">
        <f t="shared" si="232"/>
        <v>0</v>
      </c>
      <c r="AL296" s="609">
        <f t="shared" si="233"/>
        <v>0</v>
      </c>
      <c r="AM296" s="609">
        <f t="shared" si="234"/>
        <v>0</v>
      </c>
      <c r="AN296" s="609">
        <f t="shared" si="235"/>
        <v>0</v>
      </c>
      <c r="AO296" s="609">
        <f t="shared" si="236"/>
        <v>0</v>
      </c>
      <c r="AP296" s="611">
        <f t="shared" si="237"/>
        <v>1</v>
      </c>
      <c r="AQ296" s="612">
        <f t="shared" si="238"/>
        <v>0</v>
      </c>
      <c r="AR296" s="613" t="s">
        <v>158</v>
      </c>
      <c r="AS296" s="614">
        <f t="shared" si="170"/>
        <v>100</v>
      </c>
      <c r="AT296" s="615">
        <f t="shared" si="239"/>
        <v>0</v>
      </c>
      <c r="AU296" s="616">
        <f t="shared" si="240"/>
        <v>0</v>
      </c>
      <c r="AV296" s="617"/>
      <c r="AW296" s="611" t="e">
        <f>VLOOKUP(AX296,Sup!#REF!,8,0)</f>
        <v>#REF!</v>
      </c>
      <c r="AX296" s="1018" t="s">
        <v>199</v>
      </c>
      <c r="AY296" s="1140">
        <v>0</v>
      </c>
      <c r="AZ296" s="618"/>
      <c r="BA296" s="618"/>
      <c r="BB296" s="618"/>
      <c r="BC296" s="618">
        <f t="shared" si="241"/>
        <v>0</v>
      </c>
      <c r="BD296" s="618" t="str">
        <f t="shared" si="218"/>
        <v/>
      </c>
      <c r="BE296" s="619">
        <f t="shared" si="242"/>
        <v>0</v>
      </c>
      <c r="BF296" s="1019"/>
      <c r="BG296" s="620"/>
      <c r="BH296" s="621"/>
      <c r="BI296" s="621"/>
      <c r="BJ296" s="621"/>
      <c r="BK296" s="621"/>
      <c r="BL296" s="621"/>
      <c r="BM296" s="980" t="e">
        <f t="shared" si="246"/>
        <v>#REF!</v>
      </c>
      <c r="BN296" s="623"/>
      <c r="BO296" s="1020" t="s">
        <v>522</v>
      </c>
      <c r="BP296" s="973" t="str">
        <f>IF(E296="banoffee",LEFT(E296,4),LEFT(E296,3))</f>
        <v>Bano</v>
      </c>
      <c r="BQ296" s="973" t="str">
        <f t="shared" si="243"/>
        <v>Pot</v>
      </c>
      <c r="BR296" s="1021" t="str">
        <f t="shared" si="244"/>
        <v>COMBOWPCPWOBanoPot</v>
      </c>
      <c r="BS296" s="675"/>
      <c r="BT296" s="12"/>
      <c r="BU296" s="12"/>
      <c r="BV296" s="12"/>
      <c r="BW296" s="982" t="s">
        <v>507</v>
      </c>
      <c r="BX296" s="1022">
        <f t="shared" si="245"/>
        <v>0</v>
      </c>
      <c r="BY296" s="621" t="e">
        <f>VLOOKUP(B296,#REF!,13,0)</f>
        <v>#REF!</v>
      </c>
      <c r="BZ296" s="1056"/>
      <c r="CA296" s="1181" t="e">
        <f>VLOOKUP(B296,Pedido!$B$16:$L$292,22,0)</f>
        <v>#N/A</v>
      </c>
      <c r="CB296" s="1181"/>
      <c r="CC296" s="1180"/>
      <c r="CD296" s="1180"/>
      <c r="CE296" s="1180"/>
      <c r="CF296" s="1180"/>
      <c r="CG296" s="1177"/>
    </row>
    <row r="297" spans="1:85" s="622" customFormat="1" ht="27" customHeight="1" thickBot="1">
      <c r="A297" s="1239"/>
      <c r="B297" s="1253" t="s">
        <v>638</v>
      </c>
      <c r="C297" s="962" t="s">
        <v>641</v>
      </c>
      <c r="D297" s="1237" t="s">
        <v>628</v>
      </c>
      <c r="E297" s="642" t="s">
        <v>274</v>
      </c>
      <c r="F297" s="642" t="s">
        <v>61</v>
      </c>
      <c r="G297" s="548">
        <v>900</v>
      </c>
      <c r="H297" s="1153"/>
      <c r="I297" s="549">
        <v>249.9</v>
      </c>
      <c r="J297" s="550" t="str">
        <f t="shared" si="219"/>
        <v/>
      </c>
      <c r="K297" s="551" t="str">
        <f t="shared" si="220"/>
        <v/>
      </c>
      <c r="L297" s="552">
        <f>IF(Pedido!$G$7&gt;14,139.9,170.8)</f>
        <v>170.8</v>
      </c>
      <c r="M297" s="553">
        <f>IF(Pedido!$G$7&gt;14,139.9,170.8)</f>
        <v>170.8</v>
      </c>
      <c r="N297" s="553">
        <f>IF(Pedido!$G$7&gt;14,139.9,170.8)</f>
        <v>170.8</v>
      </c>
      <c r="O297" s="553">
        <f>IF(Pedido!$G$7&gt;14,139.9,170.8)</f>
        <v>170.8</v>
      </c>
      <c r="P297" s="553">
        <f>IF(Pedido!$G$7&gt;14,139.9,170.8)</f>
        <v>170.8</v>
      </c>
      <c r="Q297" s="553">
        <f>IF(Pedido!$G$7&gt;14,139.9,170.8)</f>
        <v>170.8</v>
      </c>
      <c r="R297" s="553">
        <f>IF(Pedido!$G$7&gt;14,139.9,170.8)</f>
        <v>170.8</v>
      </c>
      <c r="S297" s="1254">
        <f>IF(Pedido!$G$7&gt;14,139.9,170.8)</f>
        <v>170.8</v>
      </c>
      <c r="T297" s="1240" t="str">
        <f t="shared" si="221"/>
        <v/>
      </c>
      <c r="U297" s="608" t="str">
        <f t="shared" si="222"/>
        <v/>
      </c>
      <c r="V297" s="1041"/>
      <c r="W297" s="1139"/>
      <c r="X297" s="676"/>
      <c r="Y297" s="628" t="str">
        <f t="shared" si="223"/>
        <v/>
      </c>
      <c r="Z297" s="629"/>
      <c r="AA297" s="609">
        <f t="shared" si="224"/>
        <v>0</v>
      </c>
      <c r="AB297" s="609">
        <f t="shared" si="216"/>
        <v>0</v>
      </c>
      <c r="AC297" s="609">
        <f t="shared" si="217"/>
        <v>0</v>
      </c>
      <c r="AD297" s="609">
        <f t="shared" si="225"/>
        <v>0</v>
      </c>
      <c r="AE297" s="609">
        <f t="shared" si="226"/>
        <v>0</v>
      </c>
      <c r="AF297" s="609">
        <f t="shared" si="227"/>
        <v>0</v>
      </c>
      <c r="AG297" s="610">
        <f t="shared" si="228"/>
        <v>0</v>
      </c>
      <c r="AH297" s="609">
        <f t="shared" si="229"/>
        <v>0</v>
      </c>
      <c r="AI297" s="609">
        <f t="shared" si="230"/>
        <v>0</v>
      </c>
      <c r="AJ297" s="609">
        <f t="shared" si="231"/>
        <v>0</v>
      </c>
      <c r="AK297" s="609">
        <f t="shared" si="232"/>
        <v>0</v>
      </c>
      <c r="AL297" s="609">
        <f t="shared" si="233"/>
        <v>0</v>
      </c>
      <c r="AM297" s="609">
        <f t="shared" si="234"/>
        <v>0</v>
      </c>
      <c r="AN297" s="609">
        <f t="shared" si="235"/>
        <v>0</v>
      </c>
      <c r="AO297" s="609">
        <f t="shared" si="236"/>
        <v>0</v>
      </c>
      <c r="AP297" s="611">
        <f t="shared" si="237"/>
        <v>1</v>
      </c>
      <c r="AQ297" s="612">
        <f t="shared" si="238"/>
        <v>0</v>
      </c>
      <c r="AR297" s="613" t="s">
        <v>158</v>
      </c>
      <c r="AS297" s="614">
        <f t="shared" si="170"/>
        <v>100</v>
      </c>
      <c r="AT297" s="615">
        <f t="shared" si="239"/>
        <v>0</v>
      </c>
      <c r="AU297" s="616">
        <f t="shared" si="240"/>
        <v>0</v>
      </c>
      <c r="AV297" s="617"/>
      <c r="AW297" s="611" t="e">
        <f>VLOOKUP(AX297,Sup!#REF!,8,0)</f>
        <v>#REF!</v>
      </c>
      <c r="AX297" s="1018" t="s">
        <v>199</v>
      </c>
      <c r="AY297" s="1140">
        <v>0</v>
      </c>
      <c r="AZ297" s="618"/>
      <c r="BA297" s="618"/>
      <c r="BB297" s="618"/>
      <c r="BC297" s="618">
        <f t="shared" si="241"/>
        <v>0</v>
      </c>
      <c r="BD297" s="618" t="str">
        <f t="shared" si="218"/>
        <v/>
      </c>
      <c r="BE297" s="619">
        <f t="shared" si="242"/>
        <v>0</v>
      </c>
      <c r="BF297" s="1019"/>
      <c r="BG297" s="620"/>
      <c r="BH297" s="621"/>
      <c r="BI297" s="621"/>
      <c r="BJ297" s="621"/>
      <c r="BK297" s="621"/>
      <c r="BL297" s="621"/>
      <c r="BM297" s="980" t="e">
        <f t="shared" si="246"/>
        <v>#REF!</v>
      </c>
      <c r="BN297" s="623"/>
      <c r="BO297" s="1020" t="s">
        <v>522</v>
      </c>
      <c r="BP297" s="973" t="s">
        <v>527</v>
      </c>
      <c r="BQ297" s="973" t="str">
        <f t="shared" si="243"/>
        <v>Pot</v>
      </c>
      <c r="BR297" s="1021" t="str">
        <f t="shared" si="244"/>
        <v>COMBOWPCPWOChobPot</v>
      </c>
      <c r="BS297" s="675"/>
      <c r="BT297" s="12"/>
      <c r="BU297" s="12"/>
      <c r="BV297" s="12"/>
      <c r="BW297" s="982" t="s">
        <v>507</v>
      </c>
      <c r="BX297" s="1022">
        <f t="shared" si="245"/>
        <v>0</v>
      </c>
      <c r="BY297" s="621" t="e">
        <f>VLOOKUP(B297,#REF!,13,0)</f>
        <v>#REF!</v>
      </c>
      <c r="BZ297" s="1056"/>
      <c r="CA297" s="1181" t="e">
        <f>VLOOKUP(B297,Pedido!$B$16:$L$292,22,0)</f>
        <v>#N/A</v>
      </c>
      <c r="CB297" s="1181"/>
      <c r="CC297" s="1180"/>
      <c r="CD297" s="1180"/>
      <c r="CE297" s="1180"/>
      <c r="CF297" s="1180"/>
      <c r="CG297" s="1177"/>
    </row>
    <row r="298" spans="1:85" s="622" customFormat="1" ht="27" customHeight="1" thickBot="1">
      <c r="A298" s="1239"/>
      <c r="B298" s="1253" t="s">
        <v>639</v>
      </c>
      <c r="C298" s="962" t="s">
        <v>641</v>
      </c>
      <c r="D298" s="1237" t="s">
        <v>628</v>
      </c>
      <c r="E298" s="642" t="s">
        <v>614</v>
      </c>
      <c r="F298" s="642" t="s">
        <v>61</v>
      </c>
      <c r="G298" s="548">
        <v>900</v>
      </c>
      <c r="H298" s="1153"/>
      <c r="I298" s="549">
        <v>249.9</v>
      </c>
      <c r="J298" s="550" t="str">
        <f t="shared" si="219"/>
        <v/>
      </c>
      <c r="K298" s="551" t="str">
        <f t="shared" si="220"/>
        <v/>
      </c>
      <c r="L298" s="552">
        <f>IF(Pedido!$G$7&gt;14,139.9,170.8)</f>
        <v>170.8</v>
      </c>
      <c r="M298" s="553">
        <f>IF(Pedido!$G$7&gt;14,139.9,170.8)</f>
        <v>170.8</v>
      </c>
      <c r="N298" s="553">
        <f>IF(Pedido!$G$7&gt;14,139.9,170.8)</f>
        <v>170.8</v>
      </c>
      <c r="O298" s="553">
        <f>IF(Pedido!$G$7&gt;14,139.9,170.8)</f>
        <v>170.8</v>
      </c>
      <c r="P298" s="553">
        <f>IF(Pedido!$G$7&gt;14,139.9,170.8)</f>
        <v>170.8</v>
      </c>
      <c r="Q298" s="553">
        <f>IF(Pedido!$G$7&gt;14,139.9,170.8)</f>
        <v>170.8</v>
      </c>
      <c r="R298" s="553">
        <f>IF(Pedido!$G$7&gt;14,139.9,170.8)</f>
        <v>170.8</v>
      </c>
      <c r="S298" s="1254">
        <f>IF(Pedido!$G$7&gt;14,139.9,170.8)</f>
        <v>170.8</v>
      </c>
      <c r="T298" s="1240" t="str">
        <f t="shared" si="221"/>
        <v/>
      </c>
      <c r="U298" s="608" t="str">
        <f t="shared" si="222"/>
        <v/>
      </c>
      <c r="V298" s="1041"/>
      <c r="W298" s="1139"/>
      <c r="X298" s="676"/>
      <c r="Y298" s="628" t="str">
        <f t="shared" si="223"/>
        <v/>
      </c>
      <c r="Z298" s="629"/>
      <c r="AA298" s="609">
        <f t="shared" si="224"/>
        <v>0</v>
      </c>
      <c r="AB298" s="609">
        <f t="shared" si="216"/>
        <v>0</v>
      </c>
      <c r="AC298" s="609">
        <f t="shared" si="217"/>
        <v>0</v>
      </c>
      <c r="AD298" s="609">
        <f t="shared" si="225"/>
        <v>0</v>
      </c>
      <c r="AE298" s="609">
        <f t="shared" si="226"/>
        <v>0</v>
      </c>
      <c r="AF298" s="609">
        <f t="shared" si="227"/>
        <v>0</v>
      </c>
      <c r="AG298" s="610">
        <f t="shared" si="228"/>
        <v>0</v>
      </c>
      <c r="AH298" s="609">
        <f t="shared" si="229"/>
        <v>0</v>
      </c>
      <c r="AI298" s="609">
        <f t="shared" si="230"/>
        <v>0</v>
      </c>
      <c r="AJ298" s="609">
        <f t="shared" si="231"/>
        <v>0</v>
      </c>
      <c r="AK298" s="609">
        <f t="shared" si="232"/>
        <v>0</v>
      </c>
      <c r="AL298" s="609">
        <f t="shared" si="233"/>
        <v>0</v>
      </c>
      <c r="AM298" s="609">
        <f t="shared" si="234"/>
        <v>0</v>
      </c>
      <c r="AN298" s="609">
        <f t="shared" si="235"/>
        <v>0</v>
      </c>
      <c r="AO298" s="609">
        <f t="shared" si="236"/>
        <v>0</v>
      </c>
      <c r="AP298" s="611">
        <f t="shared" si="237"/>
        <v>1</v>
      </c>
      <c r="AQ298" s="612">
        <f t="shared" si="238"/>
        <v>0</v>
      </c>
      <c r="AR298" s="613" t="s">
        <v>158</v>
      </c>
      <c r="AS298" s="614">
        <f t="shared" si="170"/>
        <v>100</v>
      </c>
      <c r="AT298" s="615">
        <f t="shared" si="239"/>
        <v>0</v>
      </c>
      <c r="AU298" s="616">
        <f t="shared" si="240"/>
        <v>0</v>
      </c>
      <c r="AV298" s="617"/>
      <c r="AW298" s="611" t="e">
        <f>VLOOKUP(AX298,Sup!#REF!,8,0)</f>
        <v>#REF!</v>
      </c>
      <c r="AX298" s="1018" t="s">
        <v>199</v>
      </c>
      <c r="AY298" s="1140">
        <v>0</v>
      </c>
      <c r="AZ298" s="618"/>
      <c r="BA298" s="618"/>
      <c r="BB298" s="618"/>
      <c r="BC298" s="618">
        <f t="shared" si="241"/>
        <v>0</v>
      </c>
      <c r="BD298" s="618" t="str">
        <f t="shared" si="218"/>
        <v/>
      </c>
      <c r="BE298" s="619">
        <f t="shared" si="242"/>
        <v>0</v>
      </c>
      <c r="BF298" s="1019"/>
      <c r="BG298" s="620"/>
      <c r="BH298" s="621"/>
      <c r="BI298" s="621"/>
      <c r="BJ298" s="621"/>
      <c r="BK298" s="621"/>
      <c r="BL298" s="621"/>
      <c r="BM298" s="980" t="e">
        <f t="shared" si="246"/>
        <v>#REF!</v>
      </c>
      <c r="BN298" s="623"/>
      <c r="BO298" s="1020" t="s">
        <v>522</v>
      </c>
      <c r="BP298" s="973" t="str">
        <f t="shared" ref="BP298:BP310" si="247">IF(E298="banoffee",LEFT(E298,4),LEFT(E298,3))</f>
        <v>Doc</v>
      </c>
      <c r="BQ298" s="973" t="str">
        <f t="shared" si="243"/>
        <v>Pot</v>
      </c>
      <c r="BR298" s="1021" t="str">
        <f t="shared" si="244"/>
        <v>COMBOWPCPWODocPot</v>
      </c>
      <c r="BS298" s="675"/>
      <c r="BT298" s="12"/>
      <c r="BU298" s="12"/>
      <c r="BV298" s="12"/>
      <c r="BW298" s="982" t="s">
        <v>507</v>
      </c>
      <c r="BX298" s="1022">
        <f t="shared" si="245"/>
        <v>0</v>
      </c>
      <c r="BY298" s="621" t="e">
        <f>VLOOKUP(B298,#REF!,13,0)</f>
        <v>#REF!</v>
      </c>
      <c r="BZ298" s="1056"/>
      <c r="CA298" s="1181" t="e">
        <f>VLOOKUP(B298,Pedido!$B$16:$L$292,22,0)</f>
        <v>#N/A</v>
      </c>
      <c r="CB298" s="1181"/>
      <c r="CC298" s="1180"/>
      <c r="CD298" s="1180"/>
      <c r="CE298" s="1180"/>
      <c r="CF298" s="1180"/>
      <c r="CG298" s="1177"/>
    </row>
    <row r="299" spans="1:85" s="622" customFormat="1" ht="27" customHeight="1" thickBot="1">
      <c r="A299" s="1239"/>
      <c r="B299" s="1257" t="s">
        <v>640</v>
      </c>
      <c r="C299" s="1258" t="s">
        <v>641</v>
      </c>
      <c r="D299" s="1259" t="s">
        <v>628</v>
      </c>
      <c r="E299" s="1260" t="s">
        <v>591</v>
      </c>
      <c r="F299" s="1260" t="s">
        <v>61</v>
      </c>
      <c r="G299" s="1261">
        <v>900</v>
      </c>
      <c r="H299" s="1262"/>
      <c r="I299" s="1263">
        <v>249.9</v>
      </c>
      <c r="J299" s="1264" t="str">
        <f t="shared" si="219"/>
        <v/>
      </c>
      <c r="K299" s="1265" t="str">
        <f t="shared" si="220"/>
        <v/>
      </c>
      <c r="L299" s="1266">
        <f>IF(Pedido!$G$7&gt;14,139.9,170.8)</f>
        <v>170.8</v>
      </c>
      <c r="M299" s="1267">
        <f>IF(Pedido!$G$7&gt;14,139.9,170.8)</f>
        <v>170.8</v>
      </c>
      <c r="N299" s="1267">
        <f>IF(Pedido!$G$7&gt;14,139.9,170.8)</f>
        <v>170.8</v>
      </c>
      <c r="O299" s="1267">
        <f>IF(Pedido!$G$7&gt;14,139.9,170.8)</f>
        <v>170.8</v>
      </c>
      <c r="P299" s="1267">
        <f>IF(Pedido!$G$7&gt;14,139.9,170.8)</f>
        <v>170.8</v>
      </c>
      <c r="Q299" s="1267">
        <f>IF(Pedido!$G$7&gt;14,139.9,170.8)</f>
        <v>170.8</v>
      </c>
      <c r="R299" s="1267">
        <f>IF(Pedido!$G$7&gt;14,139.9,170.8)</f>
        <v>170.8</v>
      </c>
      <c r="S299" s="1268">
        <f>IF(Pedido!$G$7&gt;14,139.9,170.8)</f>
        <v>170.8</v>
      </c>
      <c r="T299" s="1240" t="str">
        <f t="shared" si="221"/>
        <v/>
      </c>
      <c r="U299" s="608" t="str">
        <f t="shared" si="222"/>
        <v/>
      </c>
      <c r="V299" s="1041"/>
      <c r="W299" s="1139"/>
      <c r="X299" s="676"/>
      <c r="Y299" s="628" t="str">
        <f t="shared" si="223"/>
        <v/>
      </c>
      <c r="Z299" s="629"/>
      <c r="AA299" s="609">
        <f t="shared" si="224"/>
        <v>0</v>
      </c>
      <c r="AB299" s="609">
        <f t="shared" si="216"/>
        <v>0</v>
      </c>
      <c r="AC299" s="609">
        <f t="shared" si="217"/>
        <v>0</v>
      </c>
      <c r="AD299" s="609">
        <f t="shared" si="225"/>
        <v>0</v>
      </c>
      <c r="AE299" s="609">
        <f t="shared" si="226"/>
        <v>0</v>
      </c>
      <c r="AF299" s="609">
        <f t="shared" si="227"/>
        <v>0</v>
      </c>
      <c r="AG299" s="610">
        <f t="shared" si="228"/>
        <v>0</v>
      </c>
      <c r="AH299" s="609">
        <f t="shared" si="229"/>
        <v>0</v>
      </c>
      <c r="AI299" s="609">
        <f t="shared" si="230"/>
        <v>0</v>
      </c>
      <c r="AJ299" s="609">
        <f t="shared" si="231"/>
        <v>0</v>
      </c>
      <c r="AK299" s="609">
        <f t="shared" si="232"/>
        <v>0</v>
      </c>
      <c r="AL299" s="609">
        <f t="shared" si="233"/>
        <v>0</v>
      </c>
      <c r="AM299" s="609">
        <f t="shared" si="234"/>
        <v>0</v>
      </c>
      <c r="AN299" s="609">
        <f t="shared" si="235"/>
        <v>0</v>
      </c>
      <c r="AO299" s="609">
        <f t="shared" si="236"/>
        <v>0</v>
      </c>
      <c r="AP299" s="611">
        <f t="shared" si="237"/>
        <v>1</v>
      </c>
      <c r="AQ299" s="612">
        <f t="shared" si="238"/>
        <v>0</v>
      </c>
      <c r="AR299" s="613" t="s">
        <v>158</v>
      </c>
      <c r="AS299" s="614">
        <f t="shared" si="170"/>
        <v>100</v>
      </c>
      <c r="AT299" s="615">
        <f t="shared" si="239"/>
        <v>0</v>
      </c>
      <c r="AU299" s="616">
        <f t="shared" si="240"/>
        <v>0</v>
      </c>
      <c r="AV299" s="617"/>
      <c r="AW299" s="611" t="e">
        <f>VLOOKUP(AX299,Sup!#REF!,8,0)</f>
        <v>#REF!</v>
      </c>
      <c r="AX299" s="1018" t="s">
        <v>199</v>
      </c>
      <c r="AY299" s="1140">
        <v>0</v>
      </c>
      <c r="AZ299" s="618"/>
      <c r="BA299" s="618"/>
      <c r="BB299" s="618"/>
      <c r="BC299" s="618">
        <f t="shared" si="241"/>
        <v>0</v>
      </c>
      <c r="BD299" s="618" t="str">
        <f t="shared" si="218"/>
        <v/>
      </c>
      <c r="BE299" s="619">
        <f t="shared" si="242"/>
        <v>0</v>
      </c>
      <c r="BF299" s="1019"/>
      <c r="BG299" s="620"/>
      <c r="BH299" s="621"/>
      <c r="BI299" s="621"/>
      <c r="BJ299" s="621"/>
      <c r="BK299" s="621"/>
      <c r="BL299" s="621"/>
      <c r="BM299" s="980" t="e">
        <f t="shared" si="246"/>
        <v>#REF!</v>
      </c>
      <c r="BN299" s="623"/>
      <c r="BO299" s="1020" t="s">
        <v>522</v>
      </c>
      <c r="BP299" s="973" t="str">
        <f t="shared" si="247"/>
        <v>Car</v>
      </c>
      <c r="BQ299" s="973" t="str">
        <f t="shared" si="243"/>
        <v>Pot</v>
      </c>
      <c r="BR299" s="1021" t="str">
        <f t="shared" si="244"/>
        <v>COMBOWPCPWOCarPot</v>
      </c>
      <c r="BS299" s="675"/>
      <c r="BT299" s="12"/>
      <c r="BU299" s="12"/>
      <c r="BV299" s="12"/>
      <c r="BW299" s="982" t="s">
        <v>507</v>
      </c>
      <c r="BX299" s="1022">
        <f t="shared" si="245"/>
        <v>0</v>
      </c>
      <c r="BY299" s="621" t="e">
        <f>VLOOKUP(B299,#REF!,13,0)</f>
        <v>#REF!</v>
      </c>
      <c r="BZ299" s="1056"/>
      <c r="CA299" s="1181" t="e">
        <f>VLOOKUP(B299,Pedido!$B$16:$L$292,22,0)</f>
        <v>#N/A</v>
      </c>
      <c r="CB299" s="1181"/>
      <c r="CC299" s="1180"/>
      <c r="CD299" s="1180"/>
      <c r="CE299" s="1180"/>
      <c r="CF299" s="1180"/>
      <c r="CG299" s="1177"/>
    </row>
    <row r="300" spans="1:85" s="622" customFormat="1" ht="27" customHeight="1" thickBot="1">
      <c r="A300" s="1239"/>
      <c r="B300" s="1253" t="s">
        <v>712</v>
      </c>
      <c r="C300" s="962" t="s">
        <v>709</v>
      </c>
      <c r="D300" s="1296" t="s">
        <v>711</v>
      </c>
      <c r="E300" s="642" t="s">
        <v>667</v>
      </c>
      <c r="F300" s="642" t="s">
        <v>135</v>
      </c>
      <c r="G300" s="548">
        <v>1800</v>
      </c>
      <c r="H300" s="1153"/>
      <c r="I300" s="549">
        <v>419.9</v>
      </c>
      <c r="J300" s="550" t="str">
        <f>IFERROR(IF(T300&lt;&gt;"",I300/T300,IF(AND(Y300="",V300=""),"",IF(V300="",I300/Y300,I300/V300))),"")</f>
        <v/>
      </c>
      <c r="K300" s="551" t="str">
        <f>IF(T300="","",IFERROR(1-(T300/I300),0))</f>
        <v/>
      </c>
      <c r="L300" s="552">
        <f>IF(Pedido!$G$7&gt;14,234.8,239.8)</f>
        <v>239.8</v>
      </c>
      <c r="M300" s="553">
        <f>IF(Pedido!$G$7&gt;14,234.8,239.8)</f>
        <v>239.8</v>
      </c>
      <c r="N300" s="553">
        <f>IF(Pedido!$G$7&gt;14,234.8,239.8)</f>
        <v>239.8</v>
      </c>
      <c r="O300" s="553">
        <f>IF(Pedido!$G$7&gt;14,234.8,239.8)</f>
        <v>239.8</v>
      </c>
      <c r="P300" s="553">
        <f>IF(Pedido!$G$7&gt;14,234.8,239.8)</f>
        <v>239.8</v>
      </c>
      <c r="Q300" s="553">
        <f>IF(Pedido!$G$7&gt;14,234.8,239.8)</f>
        <v>239.8</v>
      </c>
      <c r="R300" s="553">
        <f>IF(Pedido!$G$7&gt;14,234.8,239.8)</f>
        <v>239.8</v>
      </c>
      <c r="S300" s="1254">
        <f>IF(Pedido!$G$7&gt;14,234.8,239.8)</f>
        <v>239.8</v>
      </c>
      <c r="T300" s="1240" t="str">
        <f t="shared" ref="T300:T310" si="248">IF(V300&gt;0,V300,IFERROR(IF(AND(W300&lt;&gt;"",X300&lt;&gt;""),AH300/W300,Y300),""))</f>
        <v/>
      </c>
      <c r="U300" s="608" t="str">
        <f t="shared" ref="U300:U310" si="249">IFERROR((T300*W300)/(W300+X300),"")</f>
        <v/>
      </c>
      <c r="V300" s="1041"/>
      <c r="W300" s="1139"/>
      <c r="X300" s="676"/>
      <c r="Y300" s="628" t="str">
        <f t="shared" ref="Y300:Y310" si="250">IF(AND(W300="",X300=""),"",$E$13*IF(V300&lt;&gt;"",V300,IF(SUMIF($C:$C,C300,$W:$W)&gt;=$S$27,S300,IF(OR($AA$373&gt;=$R$26,SUMIF($C:$C,C300,$W:$W)&gt;=$R$27),R300,IF(OR($AA$373&gt;=$Q$26,SUMIF($C:$C,C300,$W:$W)&gt;=$Q$27),Q300,IF(OR($AA$373&gt;=$P$26,SUMIF($C:$C,C300,$W:$W)&gt;=$P$27),P300,IF(OR($AA$373&gt;=$O$26,SUMIF($C:$C,C300,$W:$W)&gt;=$O$27),O300,IF(OR($AA$373&gt;=$N$26,SUMIF($C:$C,C300,$W:$W)&gt;=$N$27),N300,IF($AA$373&gt;=$M$26,M300,L300)))))))))</f>
        <v/>
      </c>
      <c r="Z300" s="629"/>
      <c r="AA300" s="609">
        <f t="shared" ref="AA300:AA310" si="251">IFERROR(L300*W300,0)</f>
        <v>0</v>
      </c>
      <c r="AB300" s="609">
        <f t="shared" ref="AB300:AB310" si="252">IFERROR(IF(OR($AA$373&gt;=$S$26,SUMIF($C:$C,C300,$W:$W)&gt;=$S$27),S300,IF(OR($AA$373&gt;=$R$26,SUMIF($C:$C,C300,$W:$W)&gt;=$R$27),R300,IF(OR($AA$373&gt;=$Q$26,SUMIF($C:$C,C300,$W:$W)&gt;=$Q$27),Q300,IF(OR($AA$373&gt;=$P$26,SUMIF($C:$C,C300,$W:$W)&gt;=$P$27),P300,IF(OR($AA$373&gt;=$O$26,SUMIF($C:$C,C300,$W:$W)&gt;=$O$27),O300,IF(OR($AA$373&gt;=$N$26,SUMIF($C:$C,C300,$W:$W)&gt;=$N$27),N300,IF($AA$373&gt;=$M$26,M300,L300)))))))*W300,0)</f>
        <v>0</v>
      </c>
      <c r="AC300" s="609">
        <f t="shared" ref="AC300:AC310" si="253">IFERROR(IF(V300="",0,(IF(AND(W300="",X300=""),"",IF(OR($AA$373&gt;=$S$26,SUMIF($C:$C,C300,$W:$W)&gt;=$S$27),S300*$E$13,IF(OR($AA$373&gt;=$R$26,SUMIF($C:$C,C300,$W:$W)&gt;=$R$27),R300*$E$13,IF(OR($AA$373&gt;=$Q$26,SUMIF($C:$C,C300,$W:$W)&gt;=$Q$27),Q300*$E$13,IF(OR($AA$373&gt;=$P$26,SUMIF($C:$C,C300,$W:$W)&gt;=$P$27),P300*$E$13,IF(OR($AA$373&gt;=$O$26,SUMIF($C:$C,C300,$W:$W)&gt;=$O$27),O300*$E$13,IF(OR($AA$373&gt;=$N$26,SUMIF($C:$C,C300,$W:$W)&gt;=$N$27),N300*$E$13,IF($AA$373&gt;=$M$26,M300*$E$13,L300))))))))-V300)*W300),0)</f>
        <v>0</v>
      </c>
      <c r="AD300" s="609">
        <f t="shared" ref="AD300:AD310" si="254">IFERROR(X300*T300,0)</f>
        <v>0</v>
      </c>
      <c r="AE300" s="609">
        <f t="shared" ref="AE300:AE310" si="255">IFERROR(W300*H300,0)</f>
        <v>0</v>
      </c>
      <c r="AF300" s="609">
        <f t="shared" ref="AF300:AF310" si="256">IFERROR(1-(AE300/AB300),0)</f>
        <v>0</v>
      </c>
      <c r="AG300" s="610">
        <f>IFERROR(SUM(W300:X300)*I300,0)</f>
        <v>0</v>
      </c>
      <c r="AH300" s="609">
        <f t="shared" ref="AH300:AH310" si="257">IFERROR(IF(V300&gt;0,V300*W300,(Y300*W300)),0)</f>
        <v>0</v>
      </c>
      <c r="AI300" s="609">
        <f t="shared" ref="AI300:AI310" si="258">IFERROR(SUM(W300)*H300,0)</f>
        <v>0</v>
      </c>
      <c r="AJ300" s="609">
        <f t="shared" ref="AJ300:AJ310" si="259">AH300*$AJ$25</f>
        <v>0</v>
      </c>
      <c r="AK300" s="609">
        <f t="shared" ref="AK300:AK310" si="260">AH300*AK$25</f>
        <v>0</v>
      </c>
      <c r="AL300" s="609">
        <f t="shared" ref="AL300:AL310" si="261">AH300*AL$25</f>
        <v>0</v>
      </c>
      <c r="AM300" s="609">
        <f t="shared" ref="AM300:AM310" si="262">SUM(AJ300:AL300)</f>
        <v>0</v>
      </c>
      <c r="AN300" s="609">
        <f t="shared" ref="AN300:AN310" si="263">AH300-AM300</f>
        <v>0</v>
      </c>
      <c r="AO300" s="609">
        <f t="shared" ref="AO300:AO310" si="264">AN300-AI300</f>
        <v>0</v>
      </c>
      <c r="AP300" s="611">
        <f t="shared" ref="AP300:AP310" si="265">IFERROR(IF(V300&lt;&gt;"",1-(H300/V300),IF(Y300&lt;&gt;"",1-(H300/Y300),1-(H300/L300))),0)</f>
        <v>1</v>
      </c>
      <c r="AQ300" s="612">
        <f t="shared" ref="AQ300:AQ310" si="266">H300/0.75</f>
        <v>0</v>
      </c>
      <c r="AR300" s="613" t="s">
        <v>158</v>
      </c>
      <c r="AS300" s="614">
        <f t="shared" ref="AS300:AS310" si="267">(AP300-MIN($AP$65:$AP$368))/(MAX($AP$65:$AP$368)-MIN($AP$65:$AP$368))*100</f>
        <v>100</v>
      </c>
      <c r="AT300" s="615">
        <f t="shared" ref="AT300:AT310" si="268">IFERROR(1-(AI300/AH300),0)</f>
        <v>0</v>
      </c>
      <c r="AU300" s="616">
        <f t="shared" ref="AU300:AU310" si="269">IFERROR(AO300/AH300,0)</f>
        <v>0</v>
      </c>
      <c r="AV300" s="617"/>
      <c r="AW300" s="611" t="e">
        <f>VLOOKUP(AX300,Sup!#REF!,8,0)</f>
        <v>#REF!</v>
      </c>
      <c r="AX300" s="1018" t="s">
        <v>199</v>
      </c>
      <c r="AY300" s="1140">
        <v>0</v>
      </c>
      <c r="AZ300" s="618"/>
      <c r="BA300" s="618"/>
      <c r="BB300" s="618"/>
      <c r="BC300" s="618">
        <f t="shared" ref="BC300:BC310" si="270">IF(BE300&lt;0,BE300,0)</f>
        <v>0</v>
      </c>
      <c r="BD300" s="618" t="str">
        <f t="shared" ref="BD300:BD310" si="271">IFERROR(IF(AND(W300="",X300=""),"",IF(OR($AA$373&gt;=$S$26,SUMIF($C:$C,C300,$W:$W)&gt;=$S$27),S300,IF(OR($AA$373&gt;=$R$26,SUMIF($C:$C,C300,$W:$W)&gt;=$R$27),R300,IF(OR($AA$373&gt;=$Q$26,SUMIF($C:$C,C300,$W:$W)&gt;=$Q$27),Q300,IF(OR($AA$373&gt;=$P$26,SUMIF($C:$C,C300,$W:$W)&gt;=$P$27),P300,IF(OR($AA$373&gt;=$O$26,SUMIF($C:$C,C300,$W:$W)&gt;=$O$27),O300,IF(OR($AA$373&gt;=$N$26,SUMIF($C:$C,C300,$W:$W)&gt;=$N$27),N300,IF($AA$373&gt;=$M$26,M300,L300)))))))*$E$13),0)</f>
        <v/>
      </c>
      <c r="BE300" s="619">
        <f t="shared" ref="BE300:BE310" si="272">IF(V300="",0,(V300*W300)-(BD300*W300))</f>
        <v>0</v>
      </c>
      <c r="BF300" s="1019"/>
      <c r="BG300" s="620"/>
      <c r="BH300" s="621"/>
      <c r="BI300" s="621"/>
      <c r="BJ300" s="621"/>
      <c r="BK300" s="621"/>
      <c r="BL300" s="621"/>
      <c r="BM300" s="980" t="e">
        <f t="shared" si="246"/>
        <v>#REF!</v>
      </c>
      <c r="BN300" s="623"/>
      <c r="BO300" s="1020" t="s">
        <v>522</v>
      </c>
      <c r="BP300" s="973" t="str">
        <f t="shared" si="247"/>
        <v>NEU</v>
      </c>
      <c r="BQ300" s="973" t="str">
        <f t="shared" ref="BQ300:BQ310" si="273">LEFT(F300,3)</f>
        <v>Pou</v>
      </c>
      <c r="BR300" s="1021" t="str">
        <f t="shared" ref="BR300:BR310" si="274">CONCATENATE(BO300,BP300,BQ300)</f>
        <v>COMBOWPCPWONEUPou</v>
      </c>
      <c r="BS300" s="675"/>
      <c r="BT300" s="12"/>
      <c r="BU300" s="12"/>
      <c r="BV300" s="12"/>
      <c r="BW300" s="982" t="s">
        <v>507</v>
      </c>
      <c r="BX300" s="1022">
        <f t="shared" ref="BX300:BX310" si="275">IFERROR(W300*U300,0)</f>
        <v>0</v>
      </c>
      <c r="BY300" s="621" t="e">
        <f>VLOOKUP(B300,#REF!,13,0)</f>
        <v>#REF!</v>
      </c>
      <c r="BZ300" s="1056"/>
      <c r="CA300" s="1181" t="e">
        <f>VLOOKUP(B300,Pedido!$B$16:$L$292,22,0)</f>
        <v>#N/A</v>
      </c>
      <c r="CB300" s="1181"/>
      <c r="CC300" s="1180"/>
      <c r="CD300" s="1180"/>
      <c r="CE300" s="1180"/>
      <c r="CF300" s="1180"/>
      <c r="CG300" s="1177"/>
    </row>
    <row r="301" spans="1:85" s="622" customFormat="1" ht="27" customHeight="1" thickBot="1">
      <c r="A301" s="1239"/>
      <c r="B301" s="1253" t="s">
        <v>713</v>
      </c>
      <c r="C301" s="962" t="s">
        <v>709</v>
      </c>
      <c r="D301" s="1296" t="s">
        <v>711</v>
      </c>
      <c r="E301" s="642" t="s">
        <v>430</v>
      </c>
      <c r="F301" s="642" t="s">
        <v>135</v>
      </c>
      <c r="G301" s="548">
        <v>1800</v>
      </c>
      <c r="H301" s="1153"/>
      <c r="I301" s="549">
        <v>419.9</v>
      </c>
      <c r="J301" s="550" t="str">
        <f t="shared" ref="J301:J310" si="276">IFERROR(IF(T301&lt;&gt;"",I301/T301,IF(AND(Y301="",V301=""),"",IF(V301="",I301/Y301,I301/V301))),"")</f>
        <v/>
      </c>
      <c r="K301" s="551" t="str">
        <f t="shared" ref="K301:K310" si="277">IF(T301="","",IFERROR(1-(T301/I301),0))</f>
        <v/>
      </c>
      <c r="L301" s="552">
        <f>IF(Pedido!$G$7&gt;14,234.8,239.8)</f>
        <v>239.8</v>
      </c>
      <c r="M301" s="553">
        <f>IF(Pedido!$G$7&gt;14,234.8,239.8)</f>
        <v>239.8</v>
      </c>
      <c r="N301" s="553">
        <f>IF(Pedido!$G$7&gt;14,234.8,239.8)</f>
        <v>239.8</v>
      </c>
      <c r="O301" s="553">
        <f>IF(Pedido!$G$7&gt;14,234.8,239.8)</f>
        <v>239.8</v>
      </c>
      <c r="P301" s="553">
        <f>IF(Pedido!$G$7&gt;14,234.8,239.8)</f>
        <v>239.8</v>
      </c>
      <c r="Q301" s="553">
        <f>IF(Pedido!$G$7&gt;14,234.8,239.8)</f>
        <v>239.8</v>
      </c>
      <c r="R301" s="553">
        <f>IF(Pedido!$G$7&gt;14,234.8,239.8)</f>
        <v>239.8</v>
      </c>
      <c r="S301" s="1254">
        <f>IF(Pedido!$G$7&gt;14,234.8,239.8)</f>
        <v>239.8</v>
      </c>
      <c r="T301" s="1240" t="str">
        <f t="shared" si="248"/>
        <v/>
      </c>
      <c r="U301" s="608" t="str">
        <f t="shared" si="249"/>
        <v/>
      </c>
      <c r="V301" s="1041"/>
      <c r="W301" s="1139"/>
      <c r="X301" s="676"/>
      <c r="Y301" s="628" t="str">
        <f t="shared" si="250"/>
        <v/>
      </c>
      <c r="Z301" s="629"/>
      <c r="AA301" s="609">
        <f t="shared" si="251"/>
        <v>0</v>
      </c>
      <c r="AB301" s="609">
        <f t="shared" si="252"/>
        <v>0</v>
      </c>
      <c r="AC301" s="609">
        <f t="shared" si="253"/>
        <v>0</v>
      </c>
      <c r="AD301" s="609">
        <f t="shared" si="254"/>
        <v>0</v>
      </c>
      <c r="AE301" s="609">
        <f t="shared" si="255"/>
        <v>0</v>
      </c>
      <c r="AF301" s="609">
        <f t="shared" si="256"/>
        <v>0</v>
      </c>
      <c r="AG301" s="610">
        <f t="shared" ref="AG301:AG310" si="278">IFERROR(SUM(W301:X301)*I301,0)</f>
        <v>0</v>
      </c>
      <c r="AH301" s="609">
        <f t="shared" si="257"/>
        <v>0</v>
      </c>
      <c r="AI301" s="609">
        <f t="shared" si="258"/>
        <v>0</v>
      </c>
      <c r="AJ301" s="609">
        <f t="shared" si="259"/>
        <v>0</v>
      </c>
      <c r="AK301" s="609">
        <f t="shared" si="260"/>
        <v>0</v>
      </c>
      <c r="AL301" s="609">
        <f t="shared" si="261"/>
        <v>0</v>
      </c>
      <c r="AM301" s="609">
        <f t="shared" si="262"/>
        <v>0</v>
      </c>
      <c r="AN301" s="609">
        <f t="shared" si="263"/>
        <v>0</v>
      </c>
      <c r="AO301" s="609">
        <f t="shared" si="264"/>
        <v>0</v>
      </c>
      <c r="AP301" s="611">
        <f t="shared" si="265"/>
        <v>1</v>
      </c>
      <c r="AQ301" s="612">
        <f t="shared" si="266"/>
        <v>0</v>
      </c>
      <c r="AR301" s="613" t="s">
        <v>158</v>
      </c>
      <c r="AS301" s="614">
        <f t="shared" si="267"/>
        <v>100</v>
      </c>
      <c r="AT301" s="615">
        <f t="shared" si="268"/>
        <v>0</v>
      </c>
      <c r="AU301" s="616">
        <f t="shared" si="269"/>
        <v>0</v>
      </c>
      <c r="AV301" s="617"/>
      <c r="AW301" s="611" t="e">
        <f>VLOOKUP(AX301,Sup!#REF!,8,0)</f>
        <v>#REF!</v>
      </c>
      <c r="AX301" s="1018" t="s">
        <v>199</v>
      </c>
      <c r="AY301" s="1140">
        <v>0</v>
      </c>
      <c r="AZ301" s="618"/>
      <c r="BA301" s="618"/>
      <c r="BB301" s="618"/>
      <c r="BC301" s="618">
        <f t="shared" si="270"/>
        <v>0</v>
      </c>
      <c r="BD301" s="618" t="str">
        <f t="shared" si="271"/>
        <v/>
      </c>
      <c r="BE301" s="619">
        <f t="shared" si="272"/>
        <v>0</v>
      </c>
      <c r="BF301" s="1019"/>
      <c r="BG301" s="620"/>
      <c r="BH301" s="621"/>
      <c r="BI301" s="621"/>
      <c r="BJ301" s="621"/>
      <c r="BK301" s="621"/>
      <c r="BL301" s="621"/>
      <c r="BM301" s="980" t="e">
        <f t="shared" si="246"/>
        <v>#REF!</v>
      </c>
      <c r="BN301" s="623"/>
      <c r="BO301" s="1020" t="s">
        <v>522</v>
      </c>
      <c r="BP301" s="973" t="str">
        <f t="shared" si="247"/>
        <v>MOR</v>
      </c>
      <c r="BQ301" s="973" t="str">
        <f t="shared" si="273"/>
        <v>Pou</v>
      </c>
      <c r="BR301" s="1021" t="str">
        <f t="shared" si="274"/>
        <v>COMBOWPCPWOMORPou</v>
      </c>
      <c r="BS301" s="675"/>
      <c r="BT301" s="12"/>
      <c r="BU301" s="12"/>
      <c r="BV301" s="12"/>
      <c r="BW301" s="982" t="s">
        <v>507</v>
      </c>
      <c r="BX301" s="1022">
        <f t="shared" si="275"/>
        <v>0</v>
      </c>
      <c r="BY301" s="621" t="e">
        <f>VLOOKUP(B301,#REF!,13,0)</f>
        <v>#REF!</v>
      </c>
      <c r="BZ301" s="1056"/>
      <c r="CA301" s="1181" t="e">
        <f>VLOOKUP(B301,Pedido!$B$16:$L$292,22,0)</f>
        <v>#N/A</v>
      </c>
      <c r="CB301" s="1181"/>
      <c r="CC301" s="1180"/>
      <c r="CD301" s="1180"/>
      <c r="CE301" s="1180"/>
      <c r="CF301" s="1180"/>
      <c r="CG301" s="1177"/>
    </row>
    <row r="302" spans="1:85" s="622" customFormat="1" ht="27" customHeight="1" thickBot="1">
      <c r="A302" s="1239"/>
      <c r="B302" s="1253" t="s">
        <v>714</v>
      </c>
      <c r="C302" s="962" t="s">
        <v>709</v>
      </c>
      <c r="D302" s="1296" t="s">
        <v>711</v>
      </c>
      <c r="E302" s="642" t="s">
        <v>429</v>
      </c>
      <c r="F302" s="642" t="s">
        <v>135</v>
      </c>
      <c r="G302" s="548">
        <v>1800</v>
      </c>
      <c r="H302" s="1153"/>
      <c r="I302" s="549">
        <v>419.9</v>
      </c>
      <c r="J302" s="550" t="str">
        <f t="shared" si="276"/>
        <v/>
      </c>
      <c r="K302" s="551" t="str">
        <f t="shared" si="277"/>
        <v/>
      </c>
      <c r="L302" s="552">
        <f>IF(Pedido!$G$7&gt;14,234.8,239.8)</f>
        <v>239.8</v>
      </c>
      <c r="M302" s="553">
        <f>IF(Pedido!$G$7&gt;14,234.8,239.8)</f>
        <v>239.8</v>
      </c>
      <c r="N302" s="553">
        <f>IF(Pedido!$G$7&gt;14,234.8,239.8)</f>
        <v>239.8</v>
      </c>
      <c r="O302" s="553">
        <f>IF(Pedido!$G$7&gt;14,234.8,239.8)</f>
        <v>239.8</v>
      </c>
      <c r="P302" s="553">
        <f>IF(Pedido!$G$7&gt;14,234.8,239.8)</f>
        <v>239.8</v>
      </c>
      <c r="Q302" s="553">
        <f>IF(Pedido!$G$7&gt;14,234.8,239.8)</f>
        <v>239.8</v>
      </c>
      <c r="R302" s="553">
        <f>IF(Pedido!$G$7&gt;14,234.8,239.8)</f>
        <v>239.8</v>
      </c>
      <c r="S302" s="1254">
        <f>IF(Pedido!$G$7&gt;14,234.8,239.8)</f>
        <v>239.8</v>
      </c>
      <c r="T302" s="1240" t="str">
        <f t="shared" si="248"/>
        <v/>
      </c>
      <c r="U302" s="608" t="str">
        <f t="shared" si="249"/>
        <v/>
      </c>
      <c r="V302" s="1041"/>
      <c r="W302" s="1139"/>
      <c r="X302" s="676"/>
      <c r="Y302" s="628" t="str">
        <f t="shared" si="250"/>
        <v/>
      </c>
      <c r="Z302" s="629"/>
      <c r="AA302" s="609">
        <f t="shared" si="251"/>
        <v>0</v>
      </c>
      <c r="AB302" s="609">
        <f t="shared" si="252"/>
        <v>0</v>
      </c>
      <c r="AC302" s="609">
        <f t="shared" si="253"/>
        <v>0</v>
      </c>
      <c r="AD302" s="609">
        <f t="shared" si="254"/>
        <v>0</v>
      </c>
      <c r="AE302" s="609">
        <f t="shared" si="255"/>
        <v>0</v>
      </c>
      <c r="AF302" s="609">
        <f t="shared" si="256"/>
        <v>0</v>
      </c>
      <c r="AG302" s="610">
        <f t="shared" si="278"/>
        <v>0</v>
      </c>
      <c r="AH302" s="609">
        <f t="shared" si="257"/>
        <v>0</v>
      </c>
      <c r="AI302" s="609">
        <f t="shared" si="258"/>
        <v>0</v>
      </c>
      <c r="AJ302" s="609">
        <f t="shared" si="259"/>
        <v>0</v>
      </c>
      <c r="AK302" s="609">
        <f t="shared" si="260"/>
        <v>0</v>
      </c>
      <c r="AL302" s="609">
        <f t="shared" si="261"/>
        <v>0</v>
      </c>
      <c r="AM302" s="609">
        <f t="shared" si="262"/>
        <v>0</v>
      </c>
      <c r="AN302" s="609">
        <f t="shared" si="263"/>
        <v>0</v>
      </c>
      <c r="AO302" s="609">
        <f t="shared" si="264"/>
        <v>0</v>
      </c>
      <c r="AP302" s="611">
        <f t="shared" si="265"/>
        <v>1</v>
      </c>
      <c r="AQ302" s="612">
        <f t="shared" si="266"/>
        <v>0</v>
      </c>
      <c r="AR302" s="613" t="s">
        <v>158</v>
      </c>
      <c r="AS302" s="614">
        <f t="shared" si="267"/>
        <v>100</v>
      </c>
      <c r="AT302" s="615">
        <f t="shared" si="268"/>
        <v>0</v>
      </c>
      <c r="AU302" s="616">
        <f t="shared" si="269"/>
        <v>0</v>
      </c>
      <c r="AV302" s="617"/>
      <c r="AW302" s="611" t="e">
        <f>VLOOKUP(AX302,Sup!#REF!,8,0)</f>
        <v>#REF!</v>
      </c>
      <c r="AX302" s="1018" t="s">
        <v>199</v>
      </c>
      <c r="AY302" s="1140">
        <v>0</v>
      </c>
      <c r="AZ302" s="618"/>
      <c r="BA302" s="618"/>
      <c r="BB302" s="618"/>
      <c r="BC302" s="618">
        <f t="shared" si="270"/>
        <v>0</v>
      </c>
      <c r="BD302" s="618" t="str">
        <f t="shared" si="271"/>
        <v/>
      </c>
      <c r="BE302" s="619">
        <f t="shared" si="272"/>
        <v>0</v>
      </c>
      <c r="BF302" s="1019"/>
      <c r="BG302" s="620"/>
      <c r="BH302" s="621"/>
      <c r="BI302" s="621"/>
      <c r="BJ302" s="621"/>
      <c r="BK302" s="621"/>
      <c r="BL302" s="621"/>
      <c r="BM302" s="980" t="e">
        <f t="shared" si="246"/>
        <v>#REF!</v>
      </c>
      <c r="BN302" s="623"/>
      <c r="BO302" s="1020" t="s">
        <v>522</v>
      </c>
      <c r="BP302" s="973" t="str">
        <f t="shared" si="247"/>
        <v>COO</v>
      </c>
      <c r="BQ302" s="973" t="str">
        <f t="shared" si="273"/>
        <v>Pou</v>
      </c>
      <c r="BR302" s="1021" t="str">
        <f t="shared" si="274"/>
        <v>COMBOWPCPWOCOOPou</v>
      </c>
      <c r="BS302" s="675"/>
      <c r="BT302" s="12"/>
      <c r="BU302" s="12"/>
      <c r="BV302" s="12"/>
      <c r="BW302" s="982" t="s">
        <v>507</v>
      </c>
      <c r="BX302" s="1022">
        <f t="shared" si="275"/>
        <v>0</v>
      </c>
      <c r="BY302" s="621" t="e">
        <f>VLOOKUP(B302,#REF!,13,0)</f>
        <v>#REF!</v>
      </c>
      <c r="BZ302" s="1056"/>
      <c r="CA302" s="1181" t="e">
        <f>VLOOKUP(B302,Pedido!$B$16:$L$292,22,0)</f>
        <v>#N/A</v>
      </c>
      <c r="CB302" s="1181"/>
      <c r="CC302" s="1180"/>
      <c r="CD302" s="1180"/>
      <c r="CE302" s="1180"/>
      <c r="CF302" s="1180"/>
      <c r="CG302" s="1177"/>
    </row>
    <row r="303" spans="1:85" s="622" customFormat="1" ht="27" customHeight="1" thickBot="1">
      <c r="A303" s="1239"/>
      <c r="B303" s="1253" t="s">
        <v>715</v>
      </c>
      <c r="C303" s="962" t="s">
        <v>709</v>
      </c>
      <c r="D303" s="1296" t="s">
        <v>711</v>
      </c>
      <c r="E303" s="642" t="s">
        <v>428</v>
      </c>
      <c r="F303" s="642" t="s">
        <v>135</v>
      </c>
      <c r="G303" s="548">
        <v>1800</v>
      </c>
      <c r="H303" s="1153"/>
      <c r="I303" s="549">
        <v>419.9</v>
      </c>
      <c r="J303" s="550" t="str">
        <f t="shared" si="276"/>
        <v/>
      </c>
      <c r="K303" s="551" t="str">
        <f t="shared" si="277"/>
        <v/>
      </c>
      <c r="L303" s="552">
        <f>IF(Pedido!$G$7&gt;14,234.8,239.8)</f>
        <v>239.8</v>
      </c>
      <c r="M303" s="553">
        <f>IF(Pedido!$G$7&gt;14,234.8,239.8)</f>
        <v>239.8</v>
      </c>
      <c r="N303" s="553">
        <f>IF(Pedido!$G$7&gt;14,234.8,239.8)</f>
        <v>239.8</v>
      </c>
      <c r="O303" s="553">
        <f>IF(Pedido!$G$7&gt;14,234.8,239.8)</f>
        <v>239.8</v>
      </c>
      <c r="P303" s="553">
        <f>IF(Pedido!$G$7&gt;14,234.8,239.8)</f>
        <v>239.8</v>
      </c>
      <c r="Q303" s="553">
        <f>IF(Pedido!$G$7&gt;14,234.8,239.8)</f>
        <v>239.8</v>
      </c>
      <c r="R303" s="553">
        <f>IF(Pedido!$G$7&gt;14,234.8,239.8)</f>
        <v>239.8</v>
      </c>
      <c r="S303" s="1254">
        <f>IF(Pedido!$G$7&gt;14,234.8,239.8)</f>
        <v>239.8</v>
      </c>
      <c r="T303" s="1240" t="str">
        <f t="shared" si="248"/>
        <v/>
      </c>
      <c r="U303" s="608" t="str">
        <f t="shared" si="249"/>
        <v/>
      </c>
      <c r="V303" s="1041"/>
      <c r="W303" s="1139"/>
      <c r="X303" s="676"/>
      <c r="Y303" s="628" t="str">
        <f t="shared" si="250"/>
        <v/>
      </c>
      <c r="Z303" s="629"/>
      <c r="AA303" s="609">
        <f t="shared" si="251"/>
        <v>0</v>
      </c>
      <c r="AB303" s="609">
        <f t="shared" si="252"/>
        <v>0</v>
      </c>
      <c r="AC303" s="609">
        <f t="shared" si="253"/>
        <v>0</v>
      </c>
      <c r="AD303" s="609">
        <f t="shared" si="254"/>
        <v>0</v>
      </c>
      <c r="AE303" s="609">
        <f t="shared" si="255"/>
        <v>0</v>
      </c>
      <c r="AF303" s="609">
        <f t="shared" si="256"/>
        <v>0</v>
      </c>
      <c r="AG303" s="610">
        <f t="shared" si="278"/>
        <v>0</v>
      </c>
      <c r="AH303" s="609">
        <f t="shared" si="257"/>
        <v>0</v>
      </c>
      <c r="AI303" s="609">
        <f t="shared" si="258"/>
        <v>0</v>
      </c>
      <c r="AJ303" s="609">
        <f t="shared" si="259"/>
        <v>0</v>
      </c>
      <c r="AK303" s="609">
        <f t="shared" si="260"/>
        <v>0</v>
      </c>
      <c r="AL303" s="609">
        <f t="shared" si="261"/>
        <v>0</v>
      </c>
      <c r="AM303" s="609">
        <f t="shared" si="262"/>
        <v>0</v>
      </c>
      <c r="AN303" s="609">
        <f t="shared" si="263"/>
        <v>0</v>
      </c>
      <c r="AO303" s="609">
        <f t="shared" si="264"/>
        <v>0</v>
      </c>
      <c r="AP303" s="611">
        <f t="shared" si="265"/>
        <v>1</v>
      </c>
      <c r="AQ303" s="612">
        <f t="shared" si="266"/>
        <v>0</v>
      </c>
      <c r="AR303" s="613" t="s">
        <v>158</v>
      </c>
      <c r="AS303" s="614">
        <f t="shared" si="267"/>
        <v>100</v>
      </c>
      <c r="AT303" s="615">
        <f t="shared" si="268"/>
        <v>0</v>
      </c>
      <c r="AU303" s="616">
        <f t="shared" si="269"/>
        <v>0</v>
      </c>
      <c r="AV303" s="617"/>
      <c r="AW303" s="611" t="e">
        <f>VLOOKUP(AX303,Sup!#REF!,8,0)</f>
        <v>#REF!</v>
      </c>
      <c r="AX303" s="1018" t="s">
        <v>199</v>
      </c>
      <c r="AY303" s="1140">
        <v>0</v>
      </c>
      <c r="AZ303" s="618"/>
      <c r="BA303" s="618"/>
      <c r="BB303" s="618"/>
      <c r="BC303" s="618">
        <f t="shared" si="270"/>
        <v>0</v>
      </c>
      <c r="BD303" s="618" t="str">
        <f t="shared" si="271"/>
        <v/>
      </c>
      <c r="BE303" s="619">
        <f t="shared" si="272"/>
        <v>0</v>
      </c>
      <c r="BF303" s="1019"/>
      <c r="BG303" s="620"/>
      <c r="BH303" s="621"/>
      <c r="BI303" s="621"/>
      <c r="BJ303" s="621"/>
      <c r="BK303" s="621"/>
      <c r="BL303" s="621"/>
      <c r="BM303" s="980" t="e">
        <f t="shared" si="246"/>
        <v>#REF!</v>
      </c>
      <c r="BN303" s="623"/>
      <c r="BO303" s="1020" t="s">
        <v>522</v>
      </c>
      <c r="BP303" s="973" t="str">
        <f t="shared" si="247"/>
        <v>COC</v>
      </c>
      <c r="BQ303" s="973" t="str">
        <f t="shared" si="273"/>
        <v>Pou</v>
      </c>
      <c r="BR303" s="1021" t="str">
        <f t="shared" si="274"/>
        <v>COMBOWPCPWOCOCPou</v>
      </c>
      <c r="BS303" s="675"/>
      <c r="BT303" s="12"/>
      <c r="BU303" s="12"/>
      <c r="BV303" s="12"/>
      <c r="BW303" s="982" t="s">
        <v>507</v>
      </c>
      <c r="BX303" s="1022">
        <f t="shared" si="275"/>
        <v>0</v>
      </c>
      <c r="BY303" s="621" t="e">
        <f>VLOOKUP(B303,#REF!,13,0)</f>
        <v>#REF!</v>
      </c>
      <c r="BZ303" s="1056"/>
      <c r="CA303" s="1181" t="e">
        <f>VLOOKUP(B303,Pedido!$B$16:$L$292,22,0)</f>
        <v>#N/A</v>
      </c>
      <c r="CB303" s="1181"/>
      <c r="CC303" s="1180"/>
      <c r="CD303" s="1180"/>
      <c r="CE303" s="1180"/>
      <c r="CF303" s="1180"/>
      <c r="CG303" s="1177"/>
    </row>
    <row r="304" spans="1:85" s="622" customFormat="1" ht="27" customHeight="1" thickBot="1">
      <c r="A304" s="1239"/>
      <c r="B304" s="1253" t="s">
        <v>716</v>
      </c>
      <c r="C304" s="962" t="s">
        <v>709</v>
      </c>
      <c r="D304" s="1296" t="s">
        <v>711</v>
      </c>
      <c r="E304" s="642" t="s">
        <v>427</v>
      </c>
      <c r="F304" s="642" t="s">
        <v>135</v>
      </c>
      <c r="G304" s="548">
        <v>1800</v>
      </c>
      <c r="H304" s="1153"/>
      <c r="I304" s="549">
        <v>419.9</v>
      </c>
      <c r="J304" s="550" t="str">
        <f t="shared" si="276"/>
        <v/>
      </c>
      <c r="K304" s="551" t="str">
        <f t="shared" si="277"/>
        <v/>
      </c>
      <c r="L304" s="552">
        <f>IF(Pedido!$G$7&gt;14,234.8,239.8)</f>
        <v>239.8</v>
      </c>
      <c r="M304" s="553">
        <f>IF(Pedido!$G$7&gt;14,234.8,239.8)</f>
        <v>239.8</v>
      </c>
      <c r="N304" s="553">
        <f>IF(Pedido!$G$7&gt;14,234.8,239.8)</f>
        <v>239.8</v>
      </c>
      <c r="O304" s="553">
        <f>IF(Pedido!$G$7&gt;14,234.8,239.8)</f>
        <v>239.8</v>
      </c>
      <c r="P304" s="553">
        <f>IF(Pedido!$G$7&gt;14,234.8,239.8)</f>
        <v>239.8</v>
      </c>
      <c r="Q304" s="553">
        <f>IF(Pedido!$G$7&gt;14,234.8,239.8)</f>
        <v>239.8</v>
      </c>
      <c r="R304" s="553">
        <f>IF(Pedido!$G$7&gt;14,234.8,239.8)</f>
        <v>239.8</v>
      </c>
      <c r="S304" s="1254">
        <f>IF(Pedido!$G$7&gt;14,234.8,239.8)</f>
        <v>239.8</v>
      </c>
      <c r="T304" s="1240" t="str">
        <f t="shared" si="248"/>
        <v/>
      </c>
      <c r="U304" s="608" t="str">
        <f t="shared" si="249"/>
        <v/>
      </c>
      <c r="V304" s="1041"/>
      <c r="W304" s="1139"/>
      <c r="X304" s="676"/>
      <c r="Y304" s="628" t="str">
        <f t="shared" si="250"/>
        <v/>
      </c>
      <c r="Z304" s="629"/>
      <c r="AA304" s="609">
        <f t="shared" si="251"/>
        <v>0</v>
      </c>
      <c r="AB304" s="609">
        <f t="shared" si="252"/>
        <v>0</v>
      </c>
      <c r="AC304" s="609">
        <f t="shared" si="253"/>
        <v>0</v>
      </c>
      <c r="AD304" s="609">
        <f t="shared" si="254"/>
        <v>0</v>
      </c>
      <c r="AE304" s="609">
        <f t="shared" si="255"/>
        <v>0</v>
      </c>
      <c r="AF304" s="609">
        <f t="shared" si="256"/>
        <v>0</v>
      </c>
      <c r="AG304" s="610">
        <f t="shared" si="278"/>
        <v>0</v>
      </c>
      <c r="AH304" s="609">
        <f t="shared" si="257"/>
        <v>0</v>
      </c>
      <c r="AI304" s="609">
        <f t="shared" si="258"/>
        <v>0</v>
      </c>
      <c r="AJ304" s="609">
        <f t="shared" si="259"/>
        <v>0</v>
      </c>
      <c r="AK304" s="609">
        <f t="shared" si="260"/>
        <v>0</v>
      </c>
      <c r="AL304" s="609">
        <f t="shared" si="261"/>
        <v>0</v>
      </c>
      <c r="AM304" s="609">
        <f t="shared" si="262"/>
        <v>0</v>
      </c>
      <c r="AN304" s="609">
        <f t="shared" si="263"/>
        <v>0</v>
      </c>
      <c r="AO304" s="609">
        <f t="shared" si="264"/>
        <v>0</v>
      </c>
      <c r="AP304" s="611">
        <f t="shared" si="265"/>
        <v>1</v>
      </c>
      <c r="AQ304" s="612">
        <f t="shared" si="266"/>
        <v>0</v>
      </c>
      <c r="AR304" s="613" t="s">
        <v>158</v>
      </c>
      <c r="AS304" s="614">
        <f t="shared" si="267"/>
        <v>100</v>
      </c>
      <c r="AT304" s="615">
        <f t="shared" si="268"/>
        <v>0</v>
      </c>
      <c r="AU304" s="616">
        <f t="shared" si="269"/>
        <v>0</v>
      </c>
      <c r="AV304" s="617"/>
      <c r="AW304" s="611" t="e">
        <f>VLOOKUP(AX304,Sup!#REF!,8,0)</f>
        <v>#REF!</v>
      </c>
      <c r="AX304" s="1018" t="s">
        <v>199</v>
      </c>
      <c r="AY304" s="1140">
        <v>0</v>
      </c>
      <c r="AZ304" s="618"/>
      <c r="BA304" s="618"/>
      <c r="BB304" s="618"/>
      <c r="BC304" s="618">
        <f t="shared" si="270"/>
        <v>0</v>
      </c>
      <c r="BD304" s="618" t="str">
        <f t="shared" si="271"/>
        <v/>
      </c>
      <c r="BE304" s="619">
        <f t="shared" si="272"/>
        <v>0</v>
      </c>
      <c r="BF304" s="1019"/>
      <c r="BG304" s="620"/>
      <c r="BH304" s="621"/>
      <c r="BI304" s="621"/>
      <c r="BJ304" s="621"/>
      <c r="BK304" s="621"/>
      <c r="BL304" s="621"/>
      <c r="BM304" s="980" t="e">
        <f t="shared" si="246"/>
        <v>#REF!</v>
      </c>
      <c r="BN304" s="623"/>
      <c r="BO304" s="1020" t="s">
        <v>522</v>
      </c>
      <c r="BP304" s="973" t="str">
        <f t="shared" si="247"/>
        <v>CHO</v>
      </c>
      <c r="BQ304" s="973" t="str">
        <f t="shared" si="273"/>
        <v>Pou</v>
      </c>
      <c r="BR304" s="1021" t="str">
        <f t="shared" si="274"/>
        <v>COMBOWPCPWOCHOPou</v>
      </c>
      <c r="BS304" s="675"/>
      <c r="BT304" s="12"/>
      <c r="BU304" s="12"/>
      <c r="BV304" s="12"/>
      <c r="BW304" s="982" t="s">
        <v>507</v>
      </c>
      <c r="BX304" s="1022">
        <f t="shared" si="275"/>
        <v>0</v>
      </c>
      <c r="BY304" s="621" t="e">
        <f>VLOOKUP(B304,#REF!,13,0)</f>
        <v>#REF!</v>
      </c>
      <c r="BZ304" s="1056"/>
      <c r="CA304" s="1181" t="e">
        <f>VLOOKUP(B304,Pedido!$B$16:$L$292,22,0)</f>
        <v>#N/A</v>
      </c>
      <c r="CB304" s="1181"/>
      <c r="CC304" s="1180"/>
      <c r="CD304" s="1180"/>
      <c r="CE304" s="1180"/>
      <c r="CF304" s="1180"/>
      <c r="CG304" s="1177"/>
    </row>
    <row r="305" spans="1:85" s="622" customFormat="1" ht="27" customHeight="1" thickBot="1">
      <c r="A305" s="1239"/>
      <c r="B305" s="1253" t="s">
        <v>717</v>
      </c>
      <c r="C305" s="962" t="s">
        <v>709</v>
      </c>
      <c r="D305" s="1296" t="s">
        <v>711</v>
      </c>
      <c r="E305" s="642" t="s">
        <v>426</v>
      </c>
      <c r="F305" s="642" t="s">
        <v>135</v>
      </c>
      <c r="G305" s="548">
        <v>1800</v>
      </c>
      <c r="H305" s="1153"/>
      <c r="I305" s="549">
        <v>419.9</v>
      </c>
      <c r="J305" s="550" t="str">
        <f t="shared" si="276"/>
        <v/>
      </c>
      <c r="K305" s="551" t="str">
        <f t="shared" si="277"/>
        <v/>
      </c>
      <c r="L305" s="552">
        <f>IF(Pedido!$G$7&gt;14,234.8,239.8)</f>
        <v>239.8</v>
      </c>
      <c r="M305" s="553">
        <f>IF(Pedido!$G$7&gt;14,234.8,239.8)</f>
        <v>239.8</v>
      </c>
      <c r="N305" s="553">
        <f>IF(Pedido!$G$7&gt;14,234.8,239.8)</f>
        <v>239.8</v>
      </c>
      <c r="O305" s="553">
        <f>IF(Pedido!$G$7&gt;14,234.8,239.8)</f>
        <v>239.8</v>
      </c>
      <c r="P305" s="553">
        <f>IF(Pedido!$G$7&gt;14,234.8,239.8)</f>
        <v>239.8</v>
      </c>
      <c r="Q305" s="553">
        <f>IF(Pedido!$G$7&gt;14,234.8,239.8)</f>
        <v>239.8</v>
      </c>
      <c r="R305" s="553">
        <f>IF(Pedido!$G$7&gt;14,234.8,239.8)</f>
        <v>239.8</v>
      </c>
      <c r="S305" s="1254">
        <f>IF(Pedido!$G$7&gt;14,234.8,239.8)</f>
        <v>239.8</v>
      </c>
      <c r="T305" s="1240" t="str">
        <f t="shared" si="248"/>
        <v/>
      </c>
      <c r="U305" s="608" t="str">
        <f t="shared" si="249"/>
        <v/>
      </c>
      <c r="V305" s="1041"/>
      <c r="W305" s="1139"/>
      <c r="X305" s="676"/>
      <c r="Y305" s="628" t="str">
        <f t="shared" si="250"/>
        <v/>
      </c>
      <c r="Z305" s="629"/>
      <c r="AA305" s="609">
        <f t="shared" si="251"/>
        <v>0</v>
      </c>
      <c r="AB305" s="609">
        <f t="shared" si="252"/>
        <v>0</v>
      </c>
      <c r="AC305" s="609">
        <f t="shared" si="253"/>
        <v>0</v>
      </c>
      <c r="AD305" s="609">
        <f t="shared" si="254"/>
        <v>0</v>
      </c>
      <c r="AE305" s="609">
        <f t="shared" si="255"/>
        <v>0</v>
      </c>
      <c r="AF305" s="609">
        <f t="shared" si="256"/>
        <v>0</v>
      </c>
      <c r="AG305" s="610">
        <f t="shared" si="278"/>
        <v>0</v>
      </c>
      <c r="AH305" s="609">
        <f t="shared" si="257"/>
        <v>0</v>
      </c>
      <c r="AI305" s="609">
        <f t="shared" si="258"/>
        <v>0</v>
      </c>
      <c r="AJ305" s="609">
        <f t="shared" si="259"/>
        <v>0</v>
      </c>
      <c r="AK305" s="609">
        <f t="shared" si="260"/>
        <v>0</v>
      </c>
      <c r="AL305" s="609">
        <f t="shared" si="261"/>
        <v>0</v>
      </c>
      <c r="AM305" s="609">
        <f t="shared" si="262"/>
        <v>0</v>
      </c>
      <c r="AN305" s="609">
        <f t="shared" si="263"/>
        <v>0</v>
      </c>
      <c r="AO305" s="609">
        <f t="shared" si="264"/>
        <v>0</v>
      </c>
      <c r="AP305" s="611">
        <f t="shared" si="265"/>
        <v>1</v>
      </c>
      <c r="AQ305" s="612">
        <f t="shared" si="266"/>
        <v>0</v>
      </c>
      <c r="AR305" s="613" t="s">
        <v>158</v>
      </c>
      <c r="AS305" s="614">
        <f t="shared" si="267"/>
        <v>100</v>
      </c>
      <c r="AT305" s="615">
        <f t="shared" si="268"/>
        <v>0</v>
      </c>
      <c r="AU305" s="616">
        <f t="shared" si="269"/>
        <v>0</v>
      </c>
      <c r="AV305" s="617"/>
      <c r="AW305" s="611" t="e">
        <f>VLOOKUP(AX305,Sup!#REF!,8,0)</f>
        <v>#REF!</v>
      </c>
      <c r="AX305" s="1018" t="s">
        <v>199</v>
      </c>
      <c r="AY305" s="1140">
        <v>0</v>
      </c>
      <c r="AZ305" s="618"/>
      <c r="BA305" s="618"/>
      <c r="BB305" s="618"/>
      <c r="BC305" s="618">
        <f t="shared" si="270"/>
        <v>0</v>
      </c>
      <c r="BD305" s="618" t="str">
        <f t="shared" si="271"/>
        <v/>
      </c>
      <c r="BE305" s="619">
        <f t="shared" si="272"/>
        <v>0</v>
      </c>
      <c r="BF305" s="1019"/>
      <c r="BG305" s="620"/>
      <c r="BH305" s="621"/>
      <c r="BI305" s="621"/>
      <c r="BJ305" s="621"/>
      <c r="BK305" s="621"/>
      <c r="BL305" s="621"/>
      <c r="BM305" s="980" t="e">
        <f t="shared" si="246"/>
        <v>#REF!</v>
      </c>
      <c r="BN305" s="623"/>
      <c r="BO305" s="1020" t="s">
        <v>522</v>
      </c>
      <c r="BP305" s="973" t="str">
        <f t="shared" si="247"/>
        <v>CAP</v>
      </c>
      <c r="BQ305" s="973" t="str">
        <f t="shared" si="273"/>
        <v>Pou</v>
      </c>
      <c r="BR305" s="1021" t="str">
        <f t="shared" si="274"/>
        <v>COMBOWPCPWOCAPPou</v>
      </c>
      <c r="BS305" s="675"/>
      <c r="BT305" s="12"/>
      <c r="BU305" s="12"/>
      <c r="BV305" s="12"/>
      <c r="BW305" s="982" t="s">
        <v>507</v>
      </c>
      <c r="BX305" s="1022">
        <f t="shared" si="275"/>
        <v>0</v>
      </c>
      <c r="BY305" s="621" t="e">
        <f>VLOOKUP(B305,#REF!,13,0)</f>
        <v>#REF!</v>
      </c>
      <c r="BZ305" s="1056"/>
      <c r="CA305" s="1181" t="e">
        <f>VLOOKUP(B305,Pedido!$B$16:$L$292,22,0)</f>
        <v>#N/A</v>
      </c>
      <c r="CB305" s="1181"/>
      <c r="CC305" s="1180"/>
      <c r="CD305" s="1180"/>
      <c r="CE305" s="1180"/>
      <c r="CF305" s="1180"/>
      <c r="CG305" s="1177"/>
    </row>
    <row r="306" spans="1:85" s="622" customFormat="1" ht="27" customHeight="1" thickBot="1">
      <c r="A306" s="1239"/>
      <c r="B306" s="1253" t="s">
        <v>718</v>
      </c>
      <c r="C306" s="962" t="s">
        <v>709</v>
      </c>
      <c r="D306" s="1296" t="s">
        <v>711</v>
      </c>
      <c r="E306" s="642" t="s">
        <v>425</v>
      </c>
      <c r="F306" s="642" t="s">
        <v>135</v>
      </c>
      <c r="G306" s="548">
        <v>1800</v>
      </c>
      <c r="H306" s="1153"/>
      <c r="I306" s="549">
        <v>419.9</v>
      </c>
      <c r="J306" s="550" t="str">
        <f t="shared" si="276"/>
        <v/>
      </c>
      <c r="K306" s="551" t="str">
        <f t="shared" si="277"/>
        <v/>
      </c>
      <c r="L306" s="552">
        <f>IF(Pedido!$G$7&gt;14,234.8,239.8)</f>
        <v>239.8</v>
      </c>
      <c r="M306" s="553">
        <f>IF(Pedido!$G$7&gt;14,234.8,239.8)</f>
        <v>239.8</v>
      </c>
      <c r="N306" s="553">
        <f>IF(Pedido!$G$7&gt;14,234.8,239.8)</f>
        <v>239.8</v>
      </c>
      <c r="O306" s="553">
        <f>IF(Pedido!$G$7&gt;14,234.8,239.8)</f>
        <v>239.8</v>
      </c>
      <c r="P306" s="553">
        <f>IF(Pedido!$G$7&gt;14,234.8,239.8)</f>
        <v>239.8</v>
      </c>
      <c r="Q306" s="553">
        <f>IF(Pedido!$G$7&gt;14,234.8,239.8)</f>
        <v>239.8</v>
      </c>
      <c r="R306" s="553">
        <f>IF(Pedido!$G$7&gt;14,234.8,239.8)</f>
        <v>239.8</v>
      </c>
      <c r="S306" s="1254">
        <f>IF(Pedido!$G$7&gt;14,234.8,239.8)</f>
        <v>239.8</v>
      </c>
      <c r="T306" s="1240" t="str">
        <f t="shared" si="248"/>
        <v/>
      </c>
      <c r="U306" s="608" t="str">
        <f t="shared" si="249"/>
        <v/>
      </c>
      <c r="V306" s="1041"/>
      <c r="W306" s="1139"/>
      <c r="X306" s="676"/>
      <c r="Y306" s="628" t="str">
        <f t="shared" si="250"/>
        <v/>
      </c>
      <c r="Z306" s="629"/>
      <c r="AA306" s="609">
        <f t="shared" si="251"/>
        <v>0</v>
      </c>
      <c r="AB306" s="609">
        <f t="shared" si="252"/>
        <v>0</v>
      </c>
      <c r="AC306" s="609">
        <f t="shared" si="253"/>
        <v>0</v>
      </c>
      <c r="AD306" s="609">
        <f t="shared" si="254"/>
        <v>0</v>
      </c>
      <c r="AE306" s="609">
        <f t="shared" si="255"/>
        <v>0</v>
      </c>
      <c r="AF306" s="609">
        <f t="shared" si="256"/>
        <v>0</v>
      </c>
      <c r="AG306" s="610">
        <f t="shared" si="278"/>
        <v>0</v>
      </c>
      <c r="AH306" s="609">
        <f t="shared" si="257"/>
        <v>0</v>
      </c>
      <c r="AI306" s="609">
        <f t="shared" si="258"/>
        <v>0</v>
      </c>
      <c r="AJ306" s="609">
        <f t="shared" si="259"/>
        <v>0</v>
      </c>
      <c r="AK306" s="609">
        <f t="shared" si="260"/>
        <v>0</v>
      </c>
      <c r="AL306" s="609">
        <f t="shared" si="261"/>
        <v>0</v>
      </c>
      <c r="AM306" s="609">
        <f t="shared" si="262"/>
        <v>0</v>
      </c>
      <c r="AN306" s="609">
        <f t="shared" si="263"/>
        <v>0</v>
      </c>
      <c r="AO306" s="609">
        <f t="shared" si="264"/>
        <v>0</v>
      </c>
      <c r="AP306" s="611">
        <f t="shared" si="265"/>
        <v>1</v>
      </c>
      <c r="AQ306" s="612">
        <f t="shared" si="266"/>
        <v>0</v>
      </c>
      <c r="AR306" s="613" t="s">
        <v>158</v>
      </c>
      <c r="AS306" s="614">
        <f t="shared" si="267"/>
        <v>100</v>
      </c>
      <c r="AT306" s="615">
        <f t="shared" si="268"/>
        <v>0</v>
      </c>
      <c r="AU306" s="616">
        <f t="shared" si="269"/>
        <v>0</v>
      </c>
      <c r="AV306" s="617"/>
      <c r="AW306" s="611" t="e">
        <f>VLOOKUP(AX306,Sup!#REF!,8,0)</f>
        <v>#REF!</v>
      </c>
      <c r="AX306" s="1018" t="s">
        <v>199</v>
      </c>
      <c r="AY306" s="1140">
        <v>0</v>
      </c>
      <c r="AZ306" s="618"/>
      <c r="BA306" s="618"/>
      <c r="BB306" s="618"/>
      <c r="BC306" s="618">
        <f t="shared" si="270"/>
        <v>0</v>
      </c>
      <c r="BD306" s="618" t="str">
        <f t="shared" si="271"/>
        <v/>
      </c>
      <c r="BE306" s="619">
        <f t="shared" si="272"/>
        <v>0</v>
      </c>
      <c r="BF306" s="1019"/>
      <c r="BG306" s="620"/>
      <c r="BH306" s="621"/>
      <c r="BI306" s="621"/>
      <c r="BJ306" s="621"/>
      <c r="BK306" s="621"/>
      <c r="BL306" s="621"/>
      <c r="BM306" s="980" t="e">
        <f t="shared" si="246"/>
        <v>#REF!</v>
      </c>
      <c r="BN306" s="623"/>
      <c r="BO306" s="1020" t="s">
        <v>522</v>
      </c>
      <c r="BP306" s="973" t="str">
        <f t="shared" si="247"/>
        <v>BAU</v>
      </c>
      <c r="BQ306" s="973" t="str">
        <f t="shared" si="273"/>
        <v>Pou</v>
      </c>
      <c r="BR306" s="1021" t="str">
        <f t="shared" si="274"/>
        <v>COMBOWPCPWOBAUPou</v>
      </c>
      <c r="BS306" s="675"/>
      <c r="BT306" s="12"/>
      <c r="BU306" s="12"/>
      <c r="BV306" s="12"/>
      <c r="BW306" s="982" t="s">
        <v>507</v>
      </c>
      <c r="BX306" s="1022">
        <f t="shared" si="275"/>
        <v>0</v>
      </c>
      <c r="BY306" s="621" t="e">
        <f>VLOOKUP(B306,#REF!,13,0)</f>
        <v>#REF!</v>
      </c>
      <c r="BZ306" s="1056"/>
      <c r="CA306" s="1181" t="e">
        <f>VLOOKUP(B306,Pedido!$B$16:$L$292,22,0)</f>
        <v>#N/A</v>
      </c>
      <c r="CB306" s="1181"/>
      <c r="CC306" s="1180"/>
      <c r="CD306" s="1180"/>
      <c r="CE306" s="1180"/>
      <c r="CF306" s="1180"/>
      <c r="CG306" s="1177"/>
    </row>
    <row r="307" spans="1:85" s="622" customFormat="1" ht="27" customHeight="1" thickBot="1">
      <c r="A307" s="1239"/>
      <c r="B307" s="1253" t="s">
        <v>719</v>
      </c>
      <c r="C307" s="962" t="s">
        <v>709</v>
      </c>
      <c r="D307" s="1296" t="s">
        <v>711</v>
      </c>
      <c r="E307" s="642" t="s">
        <v>710</v>
      </c>
      <c r="F307" s="642" t="s">
        <v>135</v>
      </c>
      <c r="G307" s="548">
        <v>1800</v>
      </c>
      <c r="H307" s="1153"/>
      <c r="I307" s="549">
        <v>419.9</v>
      </c>
      <c r="J307" s="550" t="str">
        <f t="shared" si="276"/>
        <v/>
      </c>
      <c r="K307" s="551" t="str">
        <f t="shared" si="277"/>
        <v/>
      </c>
      <c r="L307" s="552">
        <f>IF(Pedido!$G$7&gt;14,234.8,239.8)</f>
        <v>239.8</v>
      </c>
      <c r="M307" s="553">
        <f>IF(Pedido!$G$7&gt;14,234.8,239.8)</f>
        <v>239.8</v>
      </c>
      <c r="N307" s="553">
        <f>IF(Pedido!$G$7&gt;14,234.8,239.8)</f>
        <v>239.8</v>
      </c>
      <c r="O307" s="553">
        <f>IF(Pedido!$G$7&gt;14,234.8,239.8)</f>
        <v>239.8</v>
      </c>
      <c r="P307" s="553">
        <f>IF(Pedido!$G$7&gt;14,234.8,239.8)</f>
        <v>239.8</v>
      </c>
      <c r="Q307" s="553">
        <f>IF(Pedido!$G$7&gt;14,234.8,239.8)</f>
        <v>239.8</v>
      </c>
      <c r="R307" s="553">
        <f>IF(Pedido!$G$7&gt;14,234.8,239.8)</f>
        <v>239.8</v>
      </c>
      <c r="S307" s="1254">
        <f>IF(Pedido!$G$7&gt;14,234.8,239.8)</f>
        <v>239.8</v>
      </c>
      <c r="T307" s="1240" t="str">
        <f t="shared" si="248"/>
        <v/>
      </c>
      <c r="U307" s="608" t="str">
        <f t="shared" si="249"/>
        <v/>
      </c>
      <c r="V307" s="1041"/>
      <c r="W307" s="1139"/>
      <c r="X307" s="676"/>
      <c r="Y307" s="628" t="str">
        <f t="shared" si="250"/>
        <v/>
      </c>
      <c r="Z307" s="629"/>
      <c r="AA307" s="609">
        <f t="shared" si="251"/>
        <v>0</v>
      </c>
      <c r="AB307" s="609">
        <f t="shared" si="252"/>
        <v>0</v>
      </c>
      <c r="AC307" s="609">
        <f t="shared" si="253"/>
        <v>0</v>
      </c>
      <c r="AD307" s="609">
        <f t="shared" si="254"/>
        <v>0</v>
      </c>
      <c r="AE307" s="609">
        <f t="shared" si="255"/>
        <v>0</v>
      </c>
      <c r="AF307" s="609">
        <f t="shared" si="256"/>
        <v>0</v>
      </c>
      <c r="AG307" s="610">
        <f t="shared" si="278"/>
        <v>0</v>
      </c>
      <c r="AH307" s="609">
        <f t="shared" si="257"/>
        <v>0</v>
      </c>
      <c r="AI307" s="609">
        <f t="shared" si="258"/>
        <v>0</v>
      </c>
      <c r="AJ307" s="609">
        <f t="shared" si="259"/>
        <v>0</v>
      </c>
      <c r="AK307" s="609">
        <f t="shared" si="260"/>
        <v>0</v>
      </c>
      <c r="AL307" s="609">
        <f t="shared" si="261"/>
        <v>0</v>
      </c>
      <c r="AM307" s="609">
        <f t="shared" si="262"/>
        <v>0</v>
      </c>
      <c r="AN307" s="609">
        <f t="shared" si="263"/>
        <v>0</v>
      </c>
      <c r="AO307" s="609">
        <f t="shared" si="264"/>
        <v>0</v>
      </c>
      <c r="AP307" s="611">
        <f t="shared" si="265"/>
        <v>1</v>
      </c>
      <c r="AQ307" s="612">
        <f t="shared" si="266"/>
        <v>0</v>
      </c>
      <c r="AR307" s="613" t="s">
        <v>158</v>
      </c>
      <c r="AS307" s="614">
        <f t="shared" si="267"/>
        <v>100</v>
      </c>
      <c r="AT307" s="615">
        <f t="shared" si="268"/>
        <v>0</v>
      </c>
      <c r="AU307" s="616">
        <f t="shared" si="269"/>
        <v>0</v>
      </c>
      <c r="AV307" s="617"/>
      <c r="AW307" s="611" t="e">
        <f>VLOOKUP(AX307,Sup!#REF!,8,0)</f>
        <v>#REF!</v>
      </c>
      <c r="AX307" s="1018" t="s">
        <v>199</v>
      </c>
      <c r="AY307" s="1140">
        <v>0</v>
      </c>
      <c r="AZ307" s="618"/>
      <c r="BA307" s="618"/>
      <c r="BB307" s="618"/>
      <c r="BC307" s="618">
        <f t="shared" si="270"/>
        <v>0</v>
      </c>
      <c r="BD307" s="618" t="str">
        <f t="shared" si="271"/>
        <v/>
      </c>
      <c r="BE307" s="619">
        <f t="shared" si="272"/>
        <v>0</v>
      </c>
      <c r="BF307" s="1019"/>
      <c r="BG307" s="620"/>
      <c r="BH307" s="621"/>
      <c r="BI307" s="621"/>
      <c r="BJ307" s="621"/>
      <c r="BK307" s="621"/>
      <c r="BL307" s="621"/>
      <c r="BM307" s="980" t="e">
        <f t="shared" si="246"/>
        <v>#REF!</v>
      </c>
      <c r="BN307" s="623"/>
      <c r="BO307" s="1020" t="s">
        <v>522</v>
      </c>
      <c r="BP307" s="973" t="str">
        <f t="shared" si="247"/>
        <v>BAN</v>
      </c>
      <c r="BQ307" s="973" t="str">
        <f t="shared" si="273"/>
        <v>Pou</v>
      </c>
      <c r="BR307" s="1021" t="str">
        <f t="shared" si="274"/>
        <v>COMBOWPCPWOBANPou</v>
      </c>
      <c r="BS307" s="675"/>
      <c r="BT307" s="12"/>
      <c r="BU307" s="12"/>
      <c r="BV307" s="12"/>
      <c r="BW307" s="982" t="s">
        <v>507</v>
      </c>
      <c r="BX307" s="1022">
        <f t="shared" si="275"/>
        <v>0</v>
      </c>
      <c r="BY307" s="621" t="e">
        <f>VLOOKUP(B307,#REF!,13,0)</f>
        <v>#REF!</v>
      </c>
      <c r="BZ307" s="1056"/>
      <c r="CA307" s="1181" t="e">
        <f>VLOOKUP(B307,Pedido!$B$16:$L$292,22,0)</f>
        <v>#N/A</v>
      </c>
      <c r="CB307" s="1181"/>
      <c r="CC307" s="1180"/>
      <c r="CD307" s="1180"/>
      <c r="CE307" s="1180"/>
      <c r="CF307" s="1180"/>
      <c r="CG307" s="1177"/>
    </row>
    <row r="308" spans="1:85" s="622" customFormat="1" ht="27" customHeight="1" thickBot="1">
      <c r="A308" s="1239"/>
      <c r="B308" s="1253" t="s">
        <v>720</v>
      </c>
      <c r="C308" s="962" t="s">
        <v>709</v>
      </c>
      <c r="D308" s="1296" t="s">
        <v>711</v>
      </c>
      <c r="E308" s="642" t="s">
        <v>431</v>
      </c>
      <c r="F308" s="642" t="s">
        <v>135</v>
      </c>
      <c r="G308" s="548">
        <v>1800</v>
      </c>
      <c r="H308" s="1153"/>
      <c r="I308" s="549">
        <v>419.9</v>
      </c>
      <c r="J308" s="550" t="str">
        <f t="shared" si="276"/>
        <v/>
      </c>
      <c r="K308" s="551" t="str">
        <f t="shared" si="277"/>
        <v/>
      </c>
      <c r="L308" s="552">
        <f>IF(Pedido!$G$7&gt;14,234.8,239.8)</f>
        <v>239.8</v>
      </c>
      <c r="M308" s="553">
        <f>IF(Pedido!$G$7&gt;14,234.8,239.8)</f>
        <v>239.8</v>
      </c>
      <c r="N308" s="553">
        <f>IF(Pedido!$G$7&gt;14,234.8,239.8)</f>
        <v>239.8</v>
      </c>
      <c r="O308" s="553">
        <f>IF(Pedido!$G$7&gt;14,234.8,239.8)</f>
        <v>239.8</v>
      </c>
      <c r="P308" s="553">
        <f>IF(Pedido!$G$7&gt;14,234.8,239.8)</f>
        <v>239.8</v>
      </c>
      <c r="Q308" s="553">
        <f>IF(Pedido!$G$7&gt;14,234.8,239.8)</f>
        <v>239.8</v>
      </c>
      <c r="R308" s="553">
        <f>IF(Pedido!$G$7&gt;14,234.8,239.8)</f>
        <v>239.8</v>
      </c>
      <c r="S308" s="1254">
        <f>IF(Pedido!$G$7&gt;14,234.8,239.8)</f>
        <v>239.8</v>
      </c>
      <c r="T308" s="1240" t="str">
        <f t="shared" si="248"/>
        <v/>
      </c>
      <c r="U308" s="608" t="str">
        <f t="shared" si="249"/>
        <v/>
      </c>
      <c r="V308" s="1041"/>
      <c r="W308" s="1139"/>
      <c r="X308" s="676"/>
      <c r="Y308" s="628" t="str">
        <f t="shared" si="250"/>
        <v/>
      </c>
      <c r="Z308" s="629"/>
      <c r="AA308" s="609">
        <f t="shared" si="251"/>
        <v>0</v>
      </c>
      <c r="AB308" s="609">
        <f t="shared" si="252"/>
        <v>0</v>
      </c>
      <c r="AC308" s="609">
        <f t="shared" si="253"/>
        <v>0</v>
      </c>
      <c r="AD308" s="609">
        <f t="shared" si="254"/>
        <v>0</v>
      </c>
      <c r="AE308" s="609">
        <f t="shared" si="255"/>
        <v>0</v>
      </c>
      <c r="AF308" s="609">
        <f t="shared" si="256"/>
        <v>0</v>
      </c>
      <c r="AG308" s="610">
        <f t="shared" si="278"/>
        <v>0</v>
      </c>
      <c r="AH308" s="609">
        <f t="shared" si="257"/>
        <v>0</v>
      </c>
      <c r="AI308" s="609">
        <f t="shared" si="258"/>
        <v>0</v>
      </c>
      <c r="AJ308" s="609">
        <f t="shared" si="259"/>
        <v>0</v>
      </c>
      <c r="AK308" s="609">
        <f t="shared" si="260"/>
        <v>0</v>
      </c>
      <c r="AL308" s="609">
        <f t="shared" si="261"/>
        <v>0</v>
      </c>
      <c r="AM308" s="609">
        <f t="shared" si="262"/>
        <v>0</v>
      </c>
      <c r="AN308" s="609">
        <f t="shared" si="263"/>
        <v>0</v>
      </c>
      <c r="AO308" s="609">
        <f t="shared" si="264"/>
        <v>0</v>
      </c>
      <c r="AP308" s="611">
        <f t="shared" si="265"/>
        <v>1</v>
      </c>
      <c r="AQ308" s="612">
        <f t="shared" si="266"/>
        <v>0</v>
      </c>
      <c r="AR308" s="613" t="s">
        <v>158</v>
      </c>
      <c r="AS308" s="614">
        <f t="shared" si="267"/>
        <v>100</v>
      </c>
      <c r="AT308" s="615">
        <f t="shared" si="268"/>
        <v>0</v>
      </c>
      <c r="AU308" s="616">
        <f t="shared" si="269"/>
        <v>0</v>
      </c>
      <c r="AV308" s="617"/>
      <c r="AW308" s="611" t="e">
        <f>VLOOKUP(AX308,Sup!#REF!,8,0)</f>
        <v>#REF!</v>
      </c>
      <c r="AX308" s="1018" t="s">
        <v>199</v>
      </c>
      <c r="AY308" s="1140">
        <v>0</v>
      </c>
      <c r="AZ308" s="618"/>
      <c r="BA308" s="618"/>
      <c r="BB308" s="618"/>
      <c r="BC308" s="618">
        <f t="shared" si="270"/>
        <v>0</v>
      </c>
      <c r="BD308" s="618" t="str">
        <f t="shared" si="271"/>
        <v/>
      </c>
      <c r="BE308" s="619">
        <f t="shared" si="272"/>
        <v>0</v>
      </c>
      <c r="BF308" s="1019"/>
      <c r="BG308" s="620"/>
      <c r="BH308" s="621"/>
      <c r="BI308" s="621"/>
      <c r="BJ308" s="621"/>
      <c r="BK308" s="621"/>
      <c r="BL308" s="621"/>
      <c r="BM308" s="980" t="e">
        <f t="shared" si="246"/>
        <v>#REF!</v>
      </c>
      <c r="BN308" s="623"/>
      <c r="BO308" s="1020" t="s">
        <v>522</v>
      </c>
      <c r="BP308" s="973" t="str">
        <f t="shared" si="247"/>
        <v>BANO</v>
      </c>
      <c r="BQ308" s="973" t="str">
        <f t="shared" si="273"/>
        <v>Pou</v>
      </c>
      <c r="BR308" s="1021" t="str">
        <f t="shared" si="274"/>
        <v>COMBOWPCPWOBANOPou</v>
      </c>
      <c r="BS308" s="675"/>
      <c r="BT308" s="12"/>
      <c r="BU308" s="12"/>
      <c r="BV308" s="12"/>
      <c r="BW308" s="982" t="s">
        <v>507</v>
      </c>
      <c r="BX308" s="1022">
        <f t="shared" si="275"/>
        <v>0</v>
      </c>
      <c r="BY308" s="621" t="e">
        <f>VLOOKUP(B308,#REF!,13,0)</f>
        <v>#REF!</v>
      </c>
      <c r="BZ308" s="1056"/>
      <c r="CA308" s="1181" t="e">
        <f>VLOOKUP(B308,Pedido!$B$16:$L$292,22,0)</f>
        <v>#N/A</v>
      </c>
      <c r="CB308" s="1181"/>
      <c r="CC308" s="1180"/>
      <c r="CD308" s="1180"/>
      <c r="CE308" s="1180"/>
      <c r="CF308" s="1180"/>
      <c r="CG308" s="1177"/>
    </row>
    <row r="309" spans="1:85" s="622" customFormat="1" ht="27" customHeight="1" thickBot="1">
      <c r="A309" s="1239"/>
      <c r="B309" s="1253" t="s">
        <v>721</v>
      </c>
      <c r="C309" s="962" t="s">
        <v>709</v>
      </c>
      <c r="D309" s="1296" t="s">
        <v>711</v>
      </c>
      <c r="E309" s="642" t="s">
        <v>432</v>
      </c>
      <c r="F309" s="642" t="s">
        <v>135</v>
      </c>
      <c r="G309" s="548">
        <v>1800</v>
      </c>
      <c r="H309" s="1153"/>
      <c r="I309" s="549">
        <v>419.9</v>
      </c>
      <c r="J309" s="550" t="str">
        <f>IFERROR(IF(T309&lt;&gt;"",I309/T309,IF(AND(Y309="",V309=""),"",IF(V309="",I309/Y309,I309/V309))),"")</f>
        <v/>
      </c>
      <c r="K309" s="551" t="str">
        <f>IF(T309="","",IFERROR(1-(T309/I309),0))</f>
        <v/>
      </c>
      <c r="L309" s="552">
        <f>IF(Pedido!$G$7&gt;14,234.8,239.8)</f>
        <v>239.8</v>
      </c>
      <c r="M309" s="553">
        <f>IF(Pedido!$G$7&gt;14,234.8,239.8)</f>
        <v>239.8</v>
      </c>
      <c r="N309" s="553">
        <f>IF(Pedido!$G$7&gt;14,234.8,239.8)</f>
        <v>239.8</v>
      </c>
      <c r="O309" s="553">
        <f>IF(Pedido!$G$7&gt;14,234.8,239.8)</f>
        <v>239.8</v>
      </c>
      <c r="P309" s="553">
        <f>IF(Pedido!$G$7&gt;14,234.8,239.8)</f>
        <v>239.8</v>
      </c>
      <c r="Q309" s="553">
        <f>IF(Pedido!$G$7&gt;14,234.8,239.8)</f>
        <v>239.8</v>
      </c>
      <c r="R309" s="553">
        <f>IF(Pedido!$G$7&gt;14,234.8,239.8)</f>
        <v>239.8</v>
      </c>
      <c r="S309" s="1254">
        <f>IF(Pedido!$G$7&gt;14,234.8,239.8)</f>
        <v>239.8</v>
      </c>
      <c r="T309" s="1240" t="str">
        <f t="shared" si="248"/>
        <v/>
      </c>
      <c r="U309" s="608" t="str">
        <f t="shared" si="249"/>
        <v/>
      </c>
      <c r="V309" s="1041"/>
      <c r="W309" s="1139"/>
      <c r="X309" s="676"/>
      <c r="Y309" s="628" t="str">
        <f t="shared" si="250"/>
        <v/>
      </c>
      <c r="Z309" s="629"/>
      <c r="AA309" s="609">
        <f t="shared" si="251"/>
        <v>0</v>
      </c>
      <c r="AB309" s="609">
        <f t="shared" si="252"/>
        <v>0</v>
      </c>
      <c r="AC309" s="609">
        <f t="shared" si="253"/>
        <v>0</v>
      </c>
      <c r="AD309" s="609">
        <f t="shared" si="254"/>
        <v>0</v>
      </c>
      <c r="AE309" s="609">
        <f t="shared" si="255"/>
        <v>0</v>
      </c>
      <c r="AF309" s="609">
        <f t="shared" si="256"/>
        <v>0</v>
      </c>
      <c r="AG309" s="610">
        <f>IFERROR(SUM(W309:X309)*I309,0)</f>
        <v>0</v>
      </c>
      <c r="AH309" s="609">
        <f t="shared" si="257"/>
        <v>0</v>
      </c>
      <c r="AI309" s="609">
        <f t="shared" si="258"/>
        <v>0</v>
      </c>
      <c r="AJ309" s="609">
        <f t="shared" si="259"/>
        <v>0</v>
      </c>
      <c r="AK309" s="609">
        <f t="shared" si="260"/>
        <v>0</v>
      </c>
      <c r="AL309" s="609">
        <f t="shared" si="261"/>
        <v>0</v>
      </c>
      <c r="AM309" s="609">
        <f t="shared" si="262"/>
        <v>0</v>
      </c>
      <c r="AN309" s="609">
        <f t="shared" si="263"/>
        <v>0</v>
      </c>
      <c r="AO309" s="609">
        <f t="shared" si="264"/>
        <v>0</v>
      </c>
      <c r="AP309" s="611">
        <f t="shared" si="265"/>
        <v>1</v>
      </c>
      <c r="AQ309" s="612">
        <f t="shared" si="266"/>
        <v>0</v>
      </c>
      <c r="AR309" s="613" t="s">
        <v>158</v>
      </c>
      <c r="AS309" s="614">
        <f t="shared" si="267"/>
        <v>100</v>
      </c>
      <c r="AT309" s="615">
        <f t="shared" si="268"/>
        <v>0</v>
      </c>
      <c r="AU309" s="616">
        <f t="shared" si="269"/>
        <v>0</v>
      </c>
      <c r="AV309" s="617"/>
      <c r="AW309" s="611" t="e">
        <f>VLOOKUP(AX309,Sup!#REF!,8,0)</f>
        <v>#REF!</v>
      </c>
      <c r="AX309" s="1018" t="s">
        <v>199</v>
      </c>
      <c r="AY309" s="1140">
        <v>0</v>
      </c>
      <c r="AZ309" s="618"/>
      <c r="BA309" s="618"/>
      <c r="BB309" s="618"/>
      <c r="BC309" s="618">
        <f t="shared" si="270"/>
        <v>0</v>
      </c>
      <c r="BD309" s="618" t="str">
        <f t="shared" si="271"/>
        <v/>
      </c>
      <c r="BE309" s="619">
        <f t="shared" si="272"/>
        <v>0</v>
      </c>
      <c r="BF309" s="1019"/>
      <c r="BG309" s="620"/>
      <c r="BH309" s="621"/>
      <c r="BI309" s="621"/>
      <c r="BJ309" s="621"/>
      <c r="BK309" s="621"/>
      <c r="BL309" s="621"/>
      <c r="BM309" s="980" t="e">
        <f t="shared" si="246"/>
        <v>#REF!</v>
      </c>
      <c r="BN309" s="623"/>
      <c r="BO309" s="1020" t="s">
        <v>522</v>
      </c>
      <c r="BP309" s="973" t="str">
        <f t="shared" si="247"/>
        <v>CHO</v>
      </c>
      <c r="BQ309" s="973" t="str">
        <f t="shared" si="273"/>
        <v>Pou</v>
      </c>
      <c r="BR309" s="1021" t="str">
        <f t="shared" si="274"/>
        <v>COMBOWPCPWOCHOPou</v>
      </c>
      <c r="BS309" s="675"/>
      <c r="BT309" s="12"/>
      <c r="BU309" s="12"/>
      <c r="BV309" s="12"/>
      <c r="BW309" s="982" t="s">
        <v>507</v>
      </c>
      <c r="BX309" s="1022">
        <f t="shared" si="275"/>
        <v>0</v>
      </c>
      <c r="BY309" s="621" t="e">
        <f>VLOOKUP(B309,#REF!,13,0)</f>
        <v>#REF!</v>
      </c>
      <c r="BZ309" s="1056"/>
      <c r="CA309" s="1181" t="e">
        <f>VLOOKUP(B309,Pedido!$B$16:$L$292,22,0)</f>
        <v>#N/A</v>
      </c>
      <c r="CB309" s="1181"/>
      <c r="CC309" s="1180"/>
      <c r="CD309" s="1180"/>
      <c r="CE309" s="1180"/>
      <c r="CF309" s="1180"/>
      <c r="CG309" s="1177"/>
    </row>
    <row r="310" spans="1:85" s="622" customFormat="1" ht="27" customHeight="1" thickBot="1">
      <c r="A310" s="1239"/>
      <c r="B310" s="1253" t="s">
        <v>722</v>
      </c>
      <c r="C310" s="962" t="s">
        <v>709</v>
      </c>
      <c r="D310" s="1296" t="s">
        <v>711</v>
      </c>
      <c r="E310" s="642" t="s">
        <v>433</v>
      </c>
      <c r="F310" s="642" t="s">
        <v>135</v>
      </c>
      <c r="G310" s="548">
        <v>1800</v>
      </c>
      <c r="H310" s="1153"/>
      <c r="I310" s="549">
        <v>419.9</v>
      </c>
      <c r="J310" s="550" t="str">
        <f t="shared" si="276"/>
        <v/>
      </c>
      <c r="K310" s="551" t="str">
        <f t="shared" si="277"/>
        <v/>
      </c>
      <c r="L310" s="552">
        <f>IF(Pedido!$G$7&gt;14,234.8,239.8)</f>
        <v>239.8</v>
      </c>
      <c r="M310" s="553">
        <f>IF(Pedido!$G$7&gt;14,234.8,239.8)</f>
        <v>239.8</v>
      </c>
      <c r="N310" s="553">
        <f>IF(Pedido!$G$7&gt;14,234.8,239.8)</f>
        <v>239.8</v>
      </c>
      <c r="O310" s="553">
        <f>IF(Pedido!$G$7&gt;14,234.8,239.8)</f>
        <v>239.8</v>
      </c>
      <c r="P310" s="553">
        <f>IF(Pedido!$G$7&gt;14,234.8,239.8)</f>
        <v>239.8</v>
      </c>
      <c r="Q310" s="553">
        <f>IF(Pedido!$G$7&gt;14,234.8,239.8)</f>
        <v>239.8</v>
      </c>
      <c r="R310" s="553">
        <f>IF(Pedido!$G$7&gt;14,234.8,239.8)</f>
        <v>239.8</v>
      </c>
      <c r="S310" s="1254">
        <f>IF(Pedido!$G$7&gt;14,234.8,239.8)</f>
        <v>239.8</v>
      </c>
      <c r="T310" s="1240" t="str">
        <f t="shared" si="248"/>
        <v/>
      </c>
      <c r="U310" s="608" t="str">
        <f t="shared" si="249"/>
        <v/>
      </c>
      <c r="V310" s="1041"/>
      <c r="W310" s="1139"/>
      <c r="X310" s="676"/>
      <c r="Y310" s="628" t="str">
        <f t="shared" si="250"/>
        <v/>
      </c>
      <c r="Z310" s="629"/>
      <c r="AA310" s="609">
        <f t="shared" si="251"/>
        <v>0</v>
      </c>
      <c r="AB310" s="609">
        <f t="shared" si="252"/>
        <v>0</v>
      </c>
      <c r="AC310" s="609">
        <f t="shared" si="253"/>
        <v>0</v>
      </c>
      <c r="AD310" s="609">
        <f t="shared" si="254"/>
        <v>0</v>
      </c>
      <c r="AE310" s="609">
        <f t="shared" si="255"/>
        <v>0</v>
      </c>
      <c r="AF310" s="609">
        <f t="shared" si="256"/>
        <v>0</v>
      </c>
      <c r="AG310" s="610">
        <f t="shared" si="278"/>
        <v>0</v>
      </c>
      <c r="AH310" s="609">
        <f t="shared" si="257"/>
        <v>0</v>
      </c>
      <c r="AI310" s="609">
        <f t="shared" si="258"/>
        <v>0</v>
      </c>
      <c r="AJ310" s="609">
        <f t="shared" si="259"/>
        <v>0</v>
      </c>
      <c r="AK310" s="609">
        <f t="shared" si="260"/>
        <v>0</v>
      </c>
      <c r="AL310" s="609">
        <f t="shared" si="261"/>
        <v>0</v>
      </c>
      <c r="AM310" s="609">
        <f t="shared" si="262"/>
        <v>0</v>
      </c>
      <c r="AN310" s="609">
        <f t="shared" si="263"/>
        <v>0</v>
      </c>
      <c r="AO310" s="609">
        <f t="shared" si="264"/>
        <v>0</v>
      </c>
      <c r="AP310" s="611">
        <f t="shared" si="265"/>
        <v>1</v>
      </c>
      <c r="AQ310" s="612">
        <f t="shared" si="266"/>
        <v>0</v>
      </c>
      <c r="AR310" s="613" t="s">
        <v>158</v>
      </c>
      <c r="AS310" s="614">
        <f t="shared" si="267"/>
        <v>100</v>
      </c>
      <c r="AT310" s="615">
        <f t="shared" si="268"/>
        <v>0</v>
      </c>
      <c r="AU310" s="616">
        <f t="shared" si="269"/>
        <v>0</v>
      </c>
      <c r="AV310" s="617"/>
      <c r="AW310" s="611" t="e">
        <f>VLOOKUP(AX310,Sup!#REF!,8,0)</f>
        <v>#REF!</v>
      </c>
      <c r="AX310" s="1018" t="s">
        <v>199</v>
      </c>
      <c r="AY310" s="1140">
        <v>0</v>
      </c>
      <c r="AZ310" s="618"/>
      <c r="BA310" s="618"/>
      <c r="BB310" s="618"/>
      <c r="BC310" s="618">
        <f t="shared" si="270"/>
        <v>0</v>
      </c>
      <c r="BD310" s="618" t="str">
        <f t="shared" si="271"/>
        <v/>
      </c>
      <c r="BE310" s="619">
        <f t="shared" si="272"/>
        <v>0</v>
      </c>
      <c r="BF310" s="1019"/>
      <c r="BG310" s="620"/>
      <c r="BH310" s="621"/>
      <c r="BI310" s="621"/>
      <c r="BJ310" s="621"/>
      <c r="BK310" s="621"/>
      <c r="BL310" s="621"/>
      <c r="BM310" s="980" t="e">
        <f t="shared" si="246"/>
        <v>#REF!</v>
      </c>
      <c r="BN310" s="623"/>
      <c r="BO310" s="1020" t="s">
        <v>522</v>
      </c>
      <c r="BP310" s="973" t="str">
        <f t="shared" si="247"/>
        <v>DOC</v>
      </c>
      <c r="BQ310" s="973" t="str">
        <f t="shared" si="273"/>
        <v>Pou</v>
      </c>
      <c r="BR310" s="1021" t="str">
        <f t="shared" si="274"/>
        <v>COMBOWPCPWODOCPou</v>
      </c>
      <c r="BS310" s="675"/>
      <c r="BT310" s="12"/>
      <c r="BU310" s="12"/>
      <c r="BV310" s="12"/>
      <c r="BW310" s="982" t="s">
        <v>507</v>
      </c>
      <c r="BX310" s="1022">
        <f t="shared" si="275"/>
        <v>0</v>
      </c>
      <c r="BY310" s="621" t="e">
        <f>VLOOKUP(B310,#REF!,13,0)</f>
        <v>#REF!</v>
      </c>
      <c r="BZ310" s="1056"/>
      <c r="CA310" s="1181" t="e">
        <f>VLOOKUP(B310,Pedido!$B$16:$L$292,22,0)</f>
        <v>#N/A</v>
      </c>
      <c r="CB310" s="1181"/>
      <c r="CC310" s="1180"/>
      <c r="CD310" s="1180"/>
      <c r="CE310" s="1180"/>
      <c r="CF310" s="1180"/>
      <c r="CG310" s="1177"/>
    </row>
    <row r="311" spans="1:85" s="622" customFormat="1" ht="27" customHeight="1" thickBot="1">
      <c r="A311" s="1239"/>
      <c r="B311" s="1241" t="s">
        <v>645</v>
      </c>
      <c r="C311" s="1242" t="s">
        <v>644</v>
      </c>
      <c r="D311" s="1243" t="s">
        <v>642</v>
      </c>
      <c r="E311" s="1244" t="s">
        <v>470</v>
      </c>
      <c r="F311" s="1245" t="s">
        <v>61</v>
      </c>
      <c r="G311" s="1246" t="s">
        <v>284</v>
      </c>
      <c r="H311" s="1166"/>
      <c r="I311" s="1247">
        <v>784.9</v>
      </c>
      <c r="J311" s="1248" t="str">
        <f t="shared" si="219"/>
        <v/>
      </c>
      <c r="K311" s="1249" t="str">
        <f t="shared" si="220"/>
        <v/>
      </c>
      <c r="L311" s="1250">
        <v>377.4</v>
      </c>
      <c r="M311" s="1251">
        <v>377.4</v>
      </c>
      <c r="N311" s="1251">
        <v>377.4</v>
      </c>
      <c r="O311" s="1251">
        <v>377.4</v>
      </c>
      <c r="P311" s="1251">
        <v>377.4</v>
      </c>
      <c r="Q311" s="1251">
        <v>377.4</v>
      </c>
      <c r="R311" s="1251">
        <v>377.4</v>
      </c>
      <c r="S311" s="1252">
        <v>377.4</v>
      </c>
      <c r="T311" s="1240" t="str">
        <f t="shared" si="221"/>
        <v/>
      </c>
      <c r="U311" s="608" t="str">
        <f t="shared" si="222"/>
        <v/>
      </c>
      <c r="V311" s="1041"/>
      <c r="W311" s="1139"/>
      <c r="X311" s="676"/>
      <c r="Y311" s="628" t="str">
        <f t="shared" ref="Y311:Y350" si="279">IF(AND(W311="",X311=""),"",$E$13*IF(V311&lt;&gt;"",V311,IF(SUMIF($C:$C,C311,$W:$W)&gt;=$S$27,S311,IF(OR($AA$373&gt;=$R$26,SUMIF($C:$C,C311,$W:$W)&gt;=$R$27),R311,IF(OR($AA$373&gt;=$Q$26,SUMIF($C:$C,C311,$W:$W)&gt;=$Q$27),Q311,IF(OR($AA$373&gt;=$P$26,SUMIF($C:$C,C311,$W:$W)&gt;=$P$27),P311,IF(OR($AA$373&gt;=$O$26,SUMIF($C:$C,C311,$W:$W)&gt;=$O$27),O311,IF(OR($AA$373&gt;=$N$26,SUMIF($C:$C,C311,$W:$W)&gt;=$N$27),N311,IF($AA$373&gt;=$M$26,M311,L311)))))))))</f>
        <v/>
      </c>
      <c r="Z311" s="629"/>
      <c r="AA311" s="609">
        <f t="shared" si="224"/>
        <v>0</v>
      </c>
      <c r="AB311" s="609">
        <f t="shared" ref="AB311:AB350" si="280">IFERROR(IF(OR($AA$373&gt;=$S$26,SUMIF($C:$C,C311,$W:$W)&gt;=$S$27),S311,IF(OR($AA$373&gt;=$R$26,SUMIF($C:$C,C311,$W:$W)&gt;=$R$27),R311,IF(OR($AA$373&gt;=$Q$26,SUMIF($C:$C,C311,$W:$W)&gt;=$Q$27),Q311,IF(OR($AA$373&gt;=$P$26,SUMIF($C:$C,C311,$W:$W)&gt;=$P$27),P311,IF(OR($AA$373&gt;=$O$26,SUMIF($C:$C,C311,$W:$W)&gt;=$O$27),O311,IF(OR($AA$373&gt;=$N$26,SUMIF($C:$C,C311,$W:$W)&gt;=$N$27),N311,IF($AA$373&gt;=$M$26,M311,L311)))))))*W311,0)</f>
        <v>0</v>
      </c>
      <c r="AC311" s="609">
        <f t="shared" ref="AC311:AC350" si="281">IFERROR(IF(V311="",0,(IF(AND(W311="",X311=""),"",IF(OR($AA$373&gt;=$S$26,SUMIF($C:$C,C311,$W:$W)&gt;=$S$27),S311*$E$13,IF(OR($AA$373&gt;=$R$26,SUMIF($C:$C,C311,$W:$W)&gt;=$R$27),R311*$E$13,IF(OR($AA$373&gt;=$Q$26,SUMIF($C:$C,C311,$W:$W)&gt;=$Q$27),Q311*$E$13,IF(OR($AA$373&gt;=$P$26,SUMIF($C:$C,C311,$W:$W)&gt;=$P$27),P311*$E$13,IF(OR($AA$373&gt;=$O$26,SUMIF($C:$C,C311,$W:$W)&gt;=$O$27),O311*$E$13,IF(OR($AA$373&gt;=$N$26,SUMIF($C:$C,C311,$W:$W)&gt;=$N$27),N311*$E$13,IF($AA$373&gt;=$M$26,M311*$E$13,L311))))))))-V311)*W311),0)</f>
        <v>0</v>
      </c>
      <c r="AD311" s="609">
        <f t="shared" si="225"/>
        <v>0</v>
      </c>
      <c r="AE311" s="609">
        <f t="shared" si="226"/>
        <v>0</v>
      </c>
      <c r="AF311" s="609">
        <f t="shared" si="227"/>
        <v>0</v>
      </c>
      <c r="AG311" s="610">
        <f t="shared" si="228"/>
        <v>0</v>
      </c>
      <c r="AH311" s="609">
        <f t="shared" si="229"/>
        <v>0</v>
      </c>
      <c r="AI311" s="609">
        <f t="shared" si="230"/>
        <v>0</v>
      </c>
      <c r="AJ311" s="609">
        <f t="shared" si="231"/>
        <v>0</v>
      </c>
      <c r="AK311" s="609">
        <f t="shared" si="232"/>
        <v>0</v>
      </c>
      <c r="AL311" s="609">
        <f t="shared" si="233"/>
        <v>0</v>
      </c>
      <c r="AM311" s="609">
        <f t="shared" si="234"/>
        <v>0</v>
      </c>
      <c r="AN311" s="609">
        <f t="shared" si="235"/>
        <v>0</v>
      </c>
      <c r="AO311" s="609">
        <f t="shared" si="236"/>
        <v>0</v>
      </c>
      <c r="AP311" s="611">
        <f t="shared" si="237"/>
        <v>1</v>
      </c>
      <c r="AQ311" s="612">
        <f t="shared" si="238"/>
        <v>0</v>
      </c>
      <c r="AR311" s="613" t="s">
        <v>158</v>
      </c>
      <c r="AS311" s="614">
        <f t="shared" ref="AS311:AS350" si="282">(AP311-MIN($AP$65:$AP$368))/(MAX($AP$65:$AP$368)-MIN($AP$65:$AP$368))*100</f>
        <v>100</v>
      </c>
      <c r="AT311" s="615">
        <f t="shared" si="239"/>
        <v>0</v>
      </c>
      <c r="AU311" s="616">
        <f t="shared" si="240"/>
        <v>0</v>
      </c>
      <c r="AV311" s="617"/>
      <c r="AW311" s="611" t="e">
        <f>VLOOKUP(AX311,Sup!#REF!,8,0)</f>
        <v>#REF!</v>
      </c>
      <c r="AX311" s="1018" t="s">
        <v>199</v>
      </c>
      <c r="AY311" s="1140">
        <v>0</v>
      </c>
      <c r="AZ311" s="618"/>
      <c r="BA311" s="618"/>
      <c r="BB311" s="618"/>
      <c r="BC311" s="618">
        <f t="shared" si="241"/>
        <v>0</v>
      </c>
      <c r="BD311" s="618" t="str">
        <f t="shared" ref="BD311:BD350" si="283">IFERROR(IF(AND(W311="",X311=""),"",IF(OR($AA$373&gt;=$S$26,SUMIF($C:$C,C311,$W:$W)&gt;=$S$27),S311,IF(OR($AA$373&gt;=$R$26,SUMIF($C:$C,C311,$W:$W)&gt;=$R$27),R311,IF(OR($AA$373&gt;=$Q$26,SUMIF($C:$C,C311,$W:$W)&gt;=$Q$27),Q311,IF(OR($AA$373&gt;=$P$26,SUMIF($C:$C,C311,$W:$W)&gt;=$P$27),P311,IF(OR($AA$373&gt;=$O$26,SUMIF($C:$C,C311,$W:$W)&gt;=$O$27),O311,IF(OR($AA$373&gt;=$N$26,SUMIF($C:$C,C311,$W:$W)&gt;=$N$27),N311,IF($AA$373&gt;=$M$26,M311,L311)))))))*$E$13),0)</f>
        <v/>
      </c>
      <c r="BE311" s="619">
        <f t="shared" si="242"/>
        <v>0</v>
      </c>
      <c r="BF311" s="1019"/>
      <c r="BG311" s="620"/>
      <c r="BH311" s="621"/>
      <c r="BI311" s="621"/>
      <c r="BJ311" s="621"/>
      <c r="BK311" s="621"/>
      <c r="BL311" s="621"/>
      <c r="BM311" s="980" t="e">
        <f>#REF!+24</f>
        <v>#REF!</v>
      </c>
      <c r="BN311" s="623"/>
      <c r="BO311" s="1020" t="s">
        <v>522</v>
      </c>
      <c r="BP311" s="973" t="s">
        <v>526</v>
      </c>
      <c r="BQ311" s="973" t="str">
        <f t="shared" si="243"/>
        <v>Pot</v>
      </c>
      <c r="BR311" s="1021" t="str">
        <f t="shared" si="244"/>
        <v>COMBOWPCPWOBANOPot</v>
      </c>
      <c r="BS311" s="675"/>
      <c r="BT311" s="12"/>
      <c r="BU311" s="1020" t="s">
        <v>451</v>
      </c>
      <c r="BV311" s="1020"/>
      <c r="BW311" s="982" t="s">
        <v>507</v>
      </c>
      <c r="BX311" s="1022">
        <f t="shared" si="245"/>
        <v>0</v>
      </c>
      <c r="BY311" s="621" t="e">
        <f>VLOOKUP(B311,#REF!,13,0)</f>
        <v>#REF!</v>
      </c>
      <c r="BZ311" s="1056"/>
      <c r="CA311" s="1181" t="e">
        <f>VLOOKUP(B311,Pedido!$B$16:$L$292,22,0)</f>
        <v>#N/A</v>
      </c>
      <c r="CB311" s="1181"/>
      <c r="CC311" s="1180"/>
      <c r="CD311" s="1180"/>
      <c r="CE311" s="1180"/>
      <c r="CF311" s="1180"/>
      <c r="CG311" s="1177"/>
    </row>
    <row r="312" spans="1:85" s="622" customFormat="1" ht="27" customHeight="1" thickBot="1">
      <c r="A312" s="1239"/>
      <c r="B312" s="1253" t="s">
        <v>646</v>
      </c>
      <c r="C312" s="962" t="s">
        <v>644</v>
      </c>
      <c r="D312" s="1237" t="s">
        <v>642</v>
      </c>
      <c r="E312" s="370" t="s">
        <v>475</v>
      </c>
      <c r="F312" s="642" t="s">
        <v>61</v>
      </c>
      <c r="G312" s="548" t="s">
        <v>284</v>
      </c>
      <c r="H312" s="1153"/>
      <c r="I312" s="549">
        <v>784.9</v>
      </c>
      <c r="J312" s="550" t="str">
        <f t="shared" si="219"/>
        <v/>
      </c>
      <c r="K312" s="551" t="str">
        <f t="shared" si="220"/>
        <v/>
      </c>
      <c r="L312" s="552">
        <v>377.4</v>
      </c>
      <c r="M312" s="553">
        <v>377.4</v>
      </c>
      <c r="N312" s="553">
        <v>377.4</v>
      </c>
      <c r="O312" s="553">
        <v>377.4</v>
      </c>
      <c r="P312" s="553">
        <v>377.4</v>
      </c>
      <c r="Q312" s="553">
        <v>377.4</v>
      </c>
      <c r="R312" s="553">
        <v>377.4</v>
      </c>
      <c r="S312" s="1254">
        <v>377.4</v>
      </c>
      <c r="T312" s="1240" t="str">
        <f t="shared" si="221"/>
        <v/>
      </c>
      <c r="U312" s="608" t="str">
        <f t="shared" si="222"/>
        <v/>
      </c>
      <c r="V312" s="1041"/>
      <c r="W312" s="1139"/>
      <c r="X312" s="676"/>
      <c r="Y312" s="628" t="str">
        <f t="shared" si="279"/>
        <v/>
      </c>
      <c r="Z312" s="629"/>
      <c r="AA312" s="609">
        <f t="shared" si="224"/>
        <v>0</v>
      </c>
      <c r="AB312" s="609">
        <f t="shared" si="280"/>
        <v>0</v>
      </c>
      <c r="AC312" s="609">
        <f t="shared" si="281"/>
        <v>0</v>
      </c>
      <c r="AD312" s="609">
        <f t="shared" si="225"/>
        <v>0</v>
      </c>
      <c r="AE312" s="609">
        <f t="shared" si="226"/>
        <v>0</v>
      </c>
      <c r="AF312" s="609">
        <f t="shared" si="227"/>
        <v>0</v>
      </c>
      <c r="AG312" s="610">
        <f t="shared" si="228"/>
        <v>0</v>
      </c>
      <c r="AH312" s="609">
        <f t="shared" si="229"/>
        <v>0</v>
      </c>
      <c r="AI312" s="609">
        <f t="shared" si="230"/>
        <v>0</v>
      </c>
      <c r="AJ312" s="609">
        <f t="shared" si="231"/>
        <v>0</v>
      </c>
      <c r="AK312" s="609">
        <f t="shared" si="232"/>
        <v>0</v>
      </c>
      <c r="AL312" s="609">
        <f t="shared" si="233"/>
        <v>0</v>
      </c>
      <c r="AM312" s="609">
        <f t="shared" si="234"/>
        <v>0</v>
      </c>
      <c r="AN312" s="609">
        <f t="shared" si="235"/>
        <v>0</v>
      </c>
      <c r="AO312" s="609">
        <f t="shared" si="236"/>
        <v>0</v>
      </c>
      <c r="AP312" s="611">
        <f t="shared" si="237"/>
        <v>1</v>
      </c>
      <c r="AQ312" s="612">
        <f t="shared" si="238"/>
        <v>0</v>
      </c>
      <c r="AR312" s="613" t="s">
        <v>158</v>
      </c>
      <c r="AS312" s="614">
        <f t="shared" si="282"/>
        <v>100</v>
      </c>
      <c r="AT312" s="615">
        <f t="shared" si="239"/>
        <v>0</v>
      </c>
      <c r="AU312" s="616">
        <f t="shared" si="240"/>
        <v>0</v>
      </c>
      <c r="AV312" s="617"/>
      <c r="AW312" s="611" t="e">
        <f>VLOOKUP(AX312,Sup!#REF!,8,0)</f>
        <v>#REF!</v>
      </c>
      <c r="AX312" s="1018" t="s">
        <v>199</v>
      </c>
      <c r="AY312" s="1140">
        <v>0</v>
      </c>
      <c r="AZ312" s="618"/>
      <c r="BA312" s="618"/>
      <c r="BB312" s="618"/>
      <c r="BC312" s="618">
        <f t="shared" si="241"/>
        <v>0</v>
      </c>
      <c r="BD312" s="618" t="str">
        <f t="shared" si="283"/>
        <v/>
      </c>
      <c r="BE312" s="619">
        <f t="shared" si="242"/>
        <v>0</v>
      </c>
      <c r="BF312" s="1019"/>
      <c r="BG312" s="620"/>
      <c r="BH312" s="621"/>
      <c r="BI312" s="621"/>
      <c r="BJ312" s="621"/>
      <c r="BK312" s="621"/>
      <c r="BL312" s="621"/>
      <c r="BM312" s="980" t="e">
        <f>BM299+24</f>
        <v>#REF!</v>
      </c>
      <c r="BN312" s="623"/>
      <c r="BO312" s="1020" t="s">
        <v>522</v>
      </c>
      <c r="BP312" s="973" t="str">
        <f>IF(E312="banoffee",LEFT(E312,4),LEFT(E312,3))</f>
        <v>Coo</v>
      </c>
      <c r="BQ312" s="973" t="str">
        <f t="shared" si="243"/>
        <v>Pot</v>
      </c>
      <c r="BR312" s="1021" t="str">
        <f t="shared" si="244"/>
        <v>COMBOWPCPWOCooPot</v>
      </c>
      <c r="BS312" s="675"/>
      <c r="BT312" s="12"/>
      <c r="BU312" s="1020" t="s">
        <v>523</v>
      </c>
      <c r="BV312" s="1020"/>
      <c r="BW312" s="982" t="s">
        <v>507</v>
      </c>
      <c r="BX312" s="1022">
        <f t="shared" si="245"/>
        <v>0</v>
      </c>
      <c r="BY312" s="621" t="e">
        <f>VLOOKUP(B312,#REF!,13,0)</f>
        <v>#REF!</v>
      </c>
      <c r="BZ312" s="1056"/>
      <c r="CA312" s="1181" t="e">
        <f>VLOOKUP(B312,Pedido!$B$16:$L$292,22,0)</f>
        <v>#N/A</v>
      </c>
      <c r="CB312" s="1181"/>
      <c r="CC312" s="1180"/>
      <c r="CD312" s="1180"/>
      <c r="CE312" s="1180"/>
      <c r="CF312" s="1180"/>
      <c r="CG312" s="1177"/>
    </row>
    <row r="313" spans="1:85" s="622" customFormat="1" ht="27" customHeight="1" thickBot="1">
      <c r="A313" s="1239"/>
      <c r="B313" s="1253" t="s">
        <v>647</v>
      </c>
      <c r="C313" s="962" t="s">
        <v>644</v>
      </c>
      <c r="D313" s="1237" t="s">
        <v>642</v>
      </c>
      <c r="E313" s="370" t="s">
        <v>476</v>
      </c>
      <c r="F313" s="642" t="s">
        <v>61</v>
      </c>
      <c r="G313" s="548" t="s">
        <v>284</v>
      </c>
      <c r="H313" s="1153"/>
      <c r="I313" s="549">
        <v>784.9</v>
      </c>
      <c r="J313" s="550" t="str">
        <f t="shared" si="219"/>
        <v/>
      </c>
      <c r="K313" s="551" t="str">
        <f t="shared" si="220"/>
        <v/>
      </c>
      <c r="L313" s="552">
        <v>377.4</v>
      </c>
      <c r="M313" s="553">
        <v>377.4</v>
      </c>
      <c r="N313" s="553">
        <v>377.4</v>
      </c>
      <c r="O313" s="553">
        <v>377.4</v>
      </c>
      <c r="P313" s="553">
        <v>377.4</v>
      </c>
      <c r="Q313" s="553">
        <v>377.4</v>
      </c>
      <c r="R313" s="553">
        <v>377.4</v>
      </c>
      <c r="S313" s="1254">
        <v>377.4</v>
      </c>
      <c r="T313" s="1240" t="str">
        <f t="shared" si="221"/>
        <v/>
      </c>
      <c r="U313" s="608" t="str">
        <f t="shared" si="222"/>
        <v/>
      </c>
      <c r="V313" s="1041"/>
      <c r="W313" s="1139"/>
      <c r="X313" s="676"/>
      <c r="Y313" s="628" t="str">
        <f t="shared" si="279"/>
        <v/>
      </c>
      <c r="Z313" s="629"/>
      <c r="AA313" s="609">
        <f t="shared" si="224"/>
        <v>0</v>
      </c>
      <c r="AB313" s="609">
        <f t="shared" si="280"/>
        <v>0</v>
      </c>
      <c r="AC313" s="609">
        <f t="shared" si="281"/>
        <v>0</v>
      </c>
      <c r="AD313" s="609">
        <f t="shared" si="225"/>
        <v>0</v>
      </c>
      <c r="AE313" s="609">
        <f t="shared" si="226"/>
        <v>0</v>
      </c>
      <c r="AF313" s="609">
        <f t="shared" si="227"/>
        <v>0</v>
      </c>
      <c r="AG313" s="610">
        <f t="shared" si="228"/>
        <v>0</v>
      </c>
      <c r="AH313" s="609">
        <f t="shared" si="229"/>
        <v>0</v>
      </c>
      <c r="AI313" s="609">
        <f t="shared" si="230"/>
        <v>0</v>
      </c>
      <c r="AJ313" s="609">
        <f t="shared" si="231"/>
        <v>0</v>
      </c>
      <c r="AK313" s="609">
        <f t="shared" si="232"/>
        <v>0</v>
      </c>
      <c r="AL313" s="609">
        <f t="shared" si="233"/>
        <v>0</v>
      </c>
      <c r="AM313" s="609">
        <f t="shared" si="234"/>
        <v>0</v>
      </c>
      <c r="AN313" s="609">
        <f t="shared" si="235"/>
        <v>0</v>
      </c>
      <c r="AO313" s="609">
        <f t="shared" si="236"/>
        <v>0</v>
      </c>
      <c r="AP313" s="611">
        <f t="shared" si="237"/>
        <v>1</v>
      </c>
      <c r="AQ313" s="612">
        <f t="shared" si="238"/>
        <v>0</v>
      </c>
      <c r="AR313" s="613" t="s">
        <v>158</v>
      </c>
      <c r="AS313" s="614">
        <f t="shared" si="282"/>
        <v>100</v>
      </c>
      <c r="AT313" s="615">
        <f t="shared" si="239"/>
        <v>0</v>
      </c>
      <c r="AU313" s="616">
        <f t="shared" si="240"/>
        <v>0</v>
      </c>
      <c r="AV313" s="617"/>
      <c r="AW313" s="611" t="e">
        <f>VLOOKUP(AX313,Sup!#REF!,8,0)</f>
        <v>#REF!</v>
      </c>
      <c r="AX313" s="1018" t="s">
        <v>199</v>
      </c>
      <c r="AY313" s="1140">
        <v>0</v>
      </c>
      <c r="AZ313" s="618"/>
      <c r="BA313" s="618"/>
      <c r="BB313" s="618"/>
      <c r="BC313" s="618">
        <f t="shared" si="241"/>
        <v>0</v>
      </c>
      <c r="BD313" s="618" t="str">
        <f t="shared" si="283"/>
        <v/>
      </c>
      <c r="BE313" s="619">
        <f t="shared" si="242"/>
        <v>0</v>
      </c>
      <c r="BF313" s="1019"/>
      <c r="BG313" s="620"/>
      <c r="BH313" s="621"/>
      <c r="BI313" s="621"/>
      <c r="BJ313" s="621"/>
      <c r="BK313" s="621"/>
      <c r="BL313" s="621"/>
      <c r="BM313" s="980" t="e">
        <f>BM311+24</f>
        <v>#REF!</v>
      </c>
      <c r="BN313" s="623"/>
      <c r="BO313" s="1020" t="s">
        <v>522</v>
      </c>
      <c r="BP313" s="973" t="str">
        <f>IF(E313="banoffee",LEFT(E313,4),LEFT(E313,3))</f>
        <v>Int</v>
      </c>
      <c r="BQ313" s="973" t="str">
        <f t="shared" si="243"/>
        <v>Pot</v>
      </c>
      <c r="BR313" s="1021" t="str">
        <f t="shared" si="244"/>
        <v>COMBOWPCPWOIntPot</v>
      </c>
      <c r="BS313" s="675"/>
      <c r="BT313" s="12"/>
      <c r="BU313" s="1020" t="s">
        <v>523</v>
      </c>
      <c r="BV313" s="1020"/>
      <c r="BW313" s="982" t="s">
        <v>507</v>
      </c>
      <c r="BX313" s="1022">
        <f t="shared" si="245"/>
        <v>0</v>
      </c>
      <c r="BY313" s="621" t="e">
        <f>VLOOKUP(B313,#REF!,13,0)</f>
        <v>#REF!</v>
      </c>
      <c r="BZ313" s="1056"/>
      <c r="CA313" s="1181" t="e">
        <f>VLOOKUP(B313,Pedido!$B$16:$L$292,22,0)</f>
        <v>#N/A</v>
      </c>
      <c r="CB313" s="1181"/>
      <c r="CC313" s="1180"/>
      <c r="CD313" s="1180"/>
      <c r="CE313" s="1180"/>
      <c r="CF313" s="1180"/>
      <c r="CG313" s="1177"/>
    </row>
    <row r="314" spans="1:85" s="622" customFormat="1" ht="27" customHeight="1" thickBot="1">
      <c r="A314" s="1239"/>
      <c r="B314" s="1255" t="s">
        <v>643</v>
      </c>
      <c r="C314" s="962" t="s">
        <v>644</v>
      </c>
      <c r="D314" s="1238" t="s">
        <v>642</v>
      </c>
      <c r="E314" s="589" t="s">
        <v>465</v>
      </c>
      <c r="F314" s="642" t="s">
        <v>61</v>
      </c>
      <c r="G314" s="548" t="s">
        <v>284</v>
      </c>
      <c r="H314" s="1160"/>
      <c r="I314" s="549">
        <v>784.9</v>
      </c>
      <c r="J314" s="626" t="str">
        <f t="shared" si="219"/>
        <v/>
      </c>
      <c r="K314" s="627" t="str">
        <f t="shared" si="220"/>
        <v/>
      </c>
      <c r="L314" s="552">
        <v>377.4</v>
      </c>
      <c r="M314" s="555">
        <v>377.4</v>
      </c>
      <c r="N314" s="555">
        <v>377.4</v>
      </c>
      <c r="O314" s="555">
        <v>377.4</v>
      </c>
      <c r="P314" s="555">
        <v>377.4</v>
      </c>
      <c r="Q314" s="555">
        <v>377.4</v>
      </c>
      <c r="R314" s="555">
        <v>377.4</v>
      </c>
      <c r="S314" s="1256">
        <v>377.4</v>
      </c>
      <c r="T314" s="1240" t="str">
        <f t="shared" si="221"/>
        <v/>
      </c>
      <c r="U314" s="608" t="str">
        <f t="shared" si="222"/>
        <v/>
      </c>
      <c r="V314" s="1041"/>
      <c r="W314" s="1139"/>
      <c r="X314" s="676"/>
      <c r="Y314" s="628" t="str">
        <f t="shared" si="279"/>
        <v/>
      </c>
      <c r="Z314" s="629"/>
      <c r="AA314" s="609">
        <f t="shared" si="224"/>
        <v>0</v>
      </c>
      <c r="AB314" s="609">
        <f t="shared" si="280"/>
        <v>0</v>
      </c>
      <c r="AC314" s="609">
        <f t="shared" si="281"/>
        <v>0</v>
      </c>
      <c r="AD314" s="609">
        <f t="shared" si="225"/>
        <v>0</v>
      </c>
      <c r="AE314" s="609">
        <f t="shared" si="226"/>
        <v>0</v>
      </c>
      <c r="AF314" s="609">
        <f t="shared" si="227"/>
        <v>0</v>
      </c>
      <c r="AG314" s="610">
        <f t="shared" si="228"/>
        <v>0</v>
      </c>
      <c r="AH314" s="609">
        <f t="shared" si="229"/>
        <v>0</v>
      </c>
      <c r="AI314" s="609">
        <f t="shared" si="230"/>
        <v>0</v>
      </c>
      <c r="AJ314" s="609">
        <f t="shared" si="231"/>
        <v>0</v>
      </c>
      <c r="AK314" s="609">
        <f t="shared" si="232"/>
        <v>0</v>
      </c>
      <c r="AL314" s="609">
        <f t="shared" si="233"/>
        <v>0</v>
      </c>
      <c r="AM314" s="609">
        <f t="shared" si="234"/>
        <v>0</v>
      </c>
      <c r="AN314" s="609">
        <f t="shared" si="235"/>
        <v>0</v>
      </c>
      <c r="AO314" s="609">
        <f t="shared" si="236"/>
        <v>0</v>
      </c>
      <c r="AP314" s="611">
        <f t="shared" si="237"/>
        <v>1</v>
      </c>
      <c r="AQ314" s="612">
        <f t="shared" si="238"/>
        <v>0</v>
      </c>
      <c r="AR314" s="613" t="s">
        <v>158</v>
      </c>
      <c r="AS314" s="614">
        <f t="shared" si="282"/>
        <v>100</v>
      </c>
      <c r="AT314" s="615">
        <f t="shared" si="239"/>
        <v>0</v>
      </c>
      <c r="AU314" s="616">
        <f t="shared" si="240"/>
        <v>0</v>
      </c>
      <c r="AV314" s="617"/>
      <c r="AW314" s="611" t="e">
        <f>VLOOKUP(AX314,Sup!#REF!,8,0)</f>
        <v>#REF!</v>
      </c>
      <c r="AX314" s="1018" t="s">
        <v>199</v>
      </c>
      <c r="AY314" s="1140">
        <v>0</v>
      </c>
      <c r="AZ314" s="618"/>
      <c r="BA314" s="618"/>
      <c r="BB314" s="618"/>
      <c r="BC314" s="618">
        <f t="shared" si="241"/>
        <v>0</v>
      </c>
      <c r="BD314" s="618" t="str">
        <f t="shared" si="283"/>
        <v/>
      </c>
      <c r="BE314" s="619">
        <f t="shared" si="242"/>
        <v>0</v>
      </c>
      <c r="BF314" s="1019"/>
      <c r="BG314" s="620"/>
      <c r="BH314" s="621"/>
      <c r="BI314" s="621"/>
      <c r="BJ314" s="621"/>
      <c r="BK314" s="621"/>
      <c r="BL314" s="621"/>
      <c r="BM314" s="980" t="e">
        <f>#REF!+24</f>
        <v>#REF!</v>
      </c>
      <c r="BN314" s="623"/>
      <c r="BO314" s="1020" t="s">
        <v>522</v>
      </c>
      <c r="BP314" s="973" t="str">
        <f>IF(E314="banoffee",LEFT(E314,4),LEFT(E314,3))</f>
        <v>Sal</v>
      </c>
      <c r="BQ314" s="973" t="str">
        <f t="shared" si="243"/>
        <v>Pot</v>
      </c>
      <c r="BR314" s="1021" t="str">
        <f t="shared" si="244"/>
        <v>COMBOWPCPWOSalPot</v>
      </c>
      <c r="BS314" s="675"/>
      <c r="BT314" s="12"/>
      <c r="BU314" s="1017" t="s">
        <v>525</v>
      </c>
      <c r="BV314" s="1017"/>
      <c r="BW314" s="982" t="s">
        <v>507</v>
      </c>
      <c r="BX314" s="1022">
        <f t="shared" si="245"/>
        <v>0</v>
      </c>
      <c r="BY314" s="621" t="e">
        <f>VLOOKUP(B314,#REF!,13,0)</f>
        <v>#REF!</v>
      </c>
      <c r="BZ314" s="1056"/>
      <c r="CA314" s="1181" t="e">
        <f>VLOOKUP(B314,Pedido!$B$16:$L$292,22,0)</f>
        <v>#N/A</v>
      </c>
      <c r="CB314" s="1181"/>
      <c r="CC314" s="1180"/>
      <c r="CD314" s="1180"/>
      <c r="CE314" s="1180"/>
      <c r="CF314" s="1180"/>
      <c r="CG314" s="1177"/>
    </row>
    <row r="315" spans="1:85" s="622" customFormat="1" ht="27" customHeight="1" thickBot="1">
      <c r="A315" s="1239"/>
      <c r="B315" s="1241" t="s">
        <v>648</v>
      </c>
      <c r="C315" s="1242" t="s">
        <v>653</v>
      </c>
      <c r="D315" s="1243" t="s">
        <v>654</v>
      </c>
      <c r="E315" s="1244" t="s">
        <v>470</v>
      </c>
      <c r="F315" s="1245" t="s">
        <v>61</v>
      </c>
      <c r="G315" s="1246" t="s">
        <v>284</v>
      </c>
      <c r="H315" s="1166"/>
      <c r="I315" s="1247">
        <v>829.9</v>
      </c>
      <c r="J315" s="1248" t="str">
        <f>IFERROR(IF(T315&lt;&gt;"",I315/T315,IF(AND(Y315="",V315=""),"",IF(V315="",I315/Y315,I315/V315))),"")</f>
        <v/>
      </c>
      <c r="K315" s="1249" t="str">
        <f>IF(T315="","",IFERROR(1-(T315/I315),0))</f>
        <v/>
      </c>
      <c r="L315" s="1250">
        <v>401.4</v>
      </c>
      <c r="M315" s="1251">
        <v>401.4</v>
      </c>
      <c r="N315" s="1251">
        <v>401.4</v>
      </c>
      <c r="O315" s="1251">
        <v>401.4</v>
      </c>
      <c r="P315" s="1251">
        <v>401.4</v>
      </c>
      <c r="Q315" s="1251">
        <v>401.4</v>
      </c>
      <c r="R315" s="1251">
        <v>401.4</v>
      </c>
      <c r="S315" s="1252">
        <v>401.4</v>
      </c>
      <c r="T315" s="1240" t="str">
        <f>IF(V315&gt;0,V315,IFERROR(IF(AND(W315&lt;&gt;"",X315&lt;&gt;""),AH315/W315,Y315),""))</f>
        <v/>
      </c>
      <c r="U315" s="608" t="str">
        <f>IFERROR((T315*W315)/(W315+X315),"")</f>
        <v/>
      </c>
      <c r="V315" s="1041"/>
      <c r="W315" s="1139"/>
      <c r="X315" s="676"/>
      <c r="Y315" s="628" t="str">
        <f t="shared" si="279"/>
        <v/>
      </c>
      <c r="Z315" s="629"/>
      <c r="AA315" s="609">
        <f>IFERROR(L315*W315,0)</f>
        <v>0</v>
      </c>
      <c r="AB315" s="609">
        <f t="shared" si="280"/>
        <v>0</v>
      </c>
      <c r="AC315" s="609">
        <f t="shared" si="281"/>
        <v>0</v>
      </c>
      <c r="AD315" s="609">
        <f>IFERROR(X315*T315,0)</f>
        <v>0</v>
      </c>
      <c r="AE315" s="609">
        <f>IFERROR(W315*H315,0)</f>
        <v>0</v>
      </c>
      <c r="AF315" s="609">
        <f>IFERROR(1-(AE315/AB315),0)</f>
        <v>0</v>
      </c>
      <c r="AG315" s="610">
        <f>IFERROR(SUM(W315:X315)*I315,0)</f>
        <v>0</v>
      </c>
      <c r="AH315" s="609">
        <f>IFERROR(IF(V315&gt;0,V315*W315,(Y315*W315)),0)</f>
        <v>0</v>
      </c>
      <c r="AI315" s="609">
        <f>IFERROR(SUM(W315)*H315,0)</f>
        <v>0</v>
      </c>
      <c r="AJ315" s="609">
        <f>AH315*$AJ$25</f>
        <v>0</v>
      </c>
      <c r="AK315" s="609">
        <f>AH315*AK$25</f>
        <v>0</v>
      </c>
      <c r="AL315" s="609">
        <f>AH315*AL$25</f>
        <v>0</v>
      </c>
      <c r="AM315" s="609">
        <f>SUM(AJ315:AL315)</f>
        <v>0</v>
      </c>
      <c r="AN315" s="609">
        <f>AH315-AM315</f>
        <v>0</v>
      </c>
      <c r="AO315" s="609">
        <f>AN315-AI315</f>
        <v>0</v>
      </c>
      <c r="AP315" s="611">
        <f>IFERROR(IF(V315&lt;&gt;"",1-(H315/V315),IF(Y315&lt;&gt;"",1-(H315/Y315),1-(H315/L315))),0)</f>
        <v>1</v>
      </c>
      <c r="AQ315" s="612">
        <f>H315/0.75</f>
        <v>0</v>
      </c>
      <c r="AR315" s="613" t="s">
        <v>158</v>
      </c>
      <c r="AS315" s="614">
        <f t="shared" si="282"/>
        <v>100</v>
      </c>
      <c r="AT315" s="615">
        <f>IFERROR(1-(AI315/AH315),0)</f>
        <v>0</v>
      </c>
      <c r="AU315" s="616">
        <f>IFERROR(AO315/AH315,0)</f>
        <v>0</v>
      </c>
      <c r="AV315" s="617"/>
      <c r="AW315" s="611" t="e">
        <f>VLOOKUP(AX315,Sup!#REF!,8,0)</f>
        <v>#REF!</v>
      </c>
      <c r="AX315" s="1018" t="s">
        <v>199</v>
      </c>
      <c r="AY315" s="1140">
        <v>0</v>
      </c>
      <c r="AZ315" s="618"/>
      <c r="BA315" s="618"/>
      <c r="BB315" s="618"/>
      <c r="BC315" s="618">
        <f>IF(BE315&lt;0,BE315,0)</f>
        <v>0</v>
      </c>
      <c r="BD315" s="618" t="str">
        <f t="shared" si="283"/>
        <v/>
      </c>
      <c r="BE315" s="619">
        <f>IF(V315="",0,(V315*W315)-(BD315*W315))</f>
        <v>0</v>
      </c>
      <c r="BF315" s="1019"/>
      <c r="BG315" s="620"/>
      <c r="BH315" s="621"/>
      <c r="BI315" s="621"/>
      <c r="BJ315" s="621"/>
      <c r="BK315" s="621"/>
      <c r="BL315" s="621"/>
      <c r="BM315" s="980" t="e">
        <f>#REF!+24</f>
        <v>#REF!</v>
      </c>
      <c r="BN315" s="623"/>
      <c r="BO315" s="1020" t="s">
        <v>522</v>
      </c>
      <c r="BP315" s="973" t="s">
        <v>526</v>
      </c>
      <c r="BQ315" s="973" t="str">
        <f>LEFT(F315,3)</f>
        <v>Pot</v>
      </c>
      <c r="BR315" s="1021" t="str">
        <f>CONCATENATE(BO315,BP315,BQ315)</f>
        <v>COMBOWPCPWOBANOPot</v>
      </c>
      <c r="BS315" s="675"/>
      <c r="BT315" s="12"/>
      <c r="BU315" s="1020" t="s">
        <v>451</v>
      </c>
      <c r="BV315" s="1020"/>
      <c r="BW315" s="982" t="s">
        <v>507</v>
      </c>
      <c r="BX315" s="1022">
        <f>IFERROR(W315*U315,0)</f>
        <v>0</v>
      </c>
      <c r="BY315" s="621" t="e">
        <f>VLOOKUP(B315,#REF!,13,0)</f>
        <v>#REF!</v>
      </c>
      <c r="BZ315" s="1056"/>
      <c r="CA315" s="1181" t="e">
        <f>VLOOKUP(B315,Pedido!$B$16:$L$292,22,0)</f>
        <v>#N/A</v>
      </c>
      <c r="CB315" s="1181"/>
      <c r="CC315" s="1180"/>
      <c r="CD315" s="1180"/>
      <c r="CE315" s="1180"/>
      <c r="CF315" s="1180"/>
      <c r="CG315" s="1177"/>
    </row>
    <row r="316" spans="1:85" s="622" customFormat="1" ht="27" customHeight="1" thickBot="1">
      <c r="A316" s="1239"/>
      <c r="B316" s="1253" t="s">
        <v>649</v>
      </c>
      <c r="C316" s="1242" t="s">
        <v>653</v>
      </c>
      <c r="D316" s="1237" t="s">
        <v>654</v>
      </c>
      <c r="E316" s="370" t="s">
        <v>475</v>
      </c>
      <c r="F316" s="642" t="s">
        <v>61</v>
      </c>
      <c r="G316" s="548" t="s">
        <v>284</v>
      </c>
      <c r="H316" s="1153"/>
      <c r="I316" s="549">
        <v>829.9</v>
      </c>
      <c r="J316" s="550" t="str">
        <f>IFERROR(IF(T316&lt;&gt;"",I316/T316,IF(AND(Y316="",V316=""),"",IF(V316="",I316/Y316,I316/V316))),"")</f>
        <v/>
      </c>
      <c r="K316" s="551" t="str">
        <f>IF(T316="","",IFERROR(1-(T316/I316),0))</f>
        <v/>
      </c>
      <c r="L316" s="552">
        <v>401.4</v>
      </c>
      <c r="M316" s="553">
        <v>401.4</v>
      </c>
      <c r="N316" s="553">
        <v>401.4</v>
      </c>
      <c r="O316" s="553">
        <v>401.4</v>
      </c>
      <c r="P316" s="553">
        <v>401.4</v>
      </c>
      <c r="Q316" s="553">
        <v>401.4</v>
      </c>
      <c r="R316" s="553">
        <v>401.4</v>
      </c>
      <c r="S316" s="1254">
        <v>401.4</v>
      </c>
      <c r="T316" s="1240" t="str">
        <f>IF(V316&gt;0,V316,IFERROR(IF(AND(W316&lt;&gt;"",X316&lt;&gt;""),AH316/W316,Y316),""))</f>
        <v/>
      </c>
      <c r="U316" s="608" t="str">
        <f>IFERROR((T316*W316)/(W316+X316),"")</f>
        <v/>
      </c>
      <c r="V316" s="1041"/>
      <c r="W316" s="1139"/>
      <c r="X316" s="676"/>
      <c r="Y316" s="628" t="str">
        <f t="shared" si="279"/>
        <v/>
      </c>
      <c r="Z316" s="629"/>
      <c r="AA316" s="609">
        <f>IFERROR(L316*W316,0)</f>
        <v>0</v>
      </c>
      <c r="AB316" s="609">
        <f t="shared" si="280"/>
        <v>0</v>
      </c>
      <c r="AC316" s="609">
        <f t="shared" si="281"/>
        <v>0</v>
      </c>
      <c r="AD316" s="609">
        <f>IFERROR(X316*T316,0)</f>
        <v>0</v>
      </c>
      <c r="AE316" s="609">
        <f>IFERROR(W316*H316,0)</f>
        <v>0</v>
      </c>
      <c r="AF316" s="609">
        <f>IFERROR(1-(AE316/AB316),0)</f>
        <v>0</v>
      </c>
      <c r="AG316" s="610">
        <f>IFERROR(SUM(W316:X316)*I316,0)</f>
        <v>0</v>
      </c>
      <c r="AH316" s="609">
        <f>IFERROR(IF(V316&gt;0,V316*W316,(Y316*W316)),0)</f>
        <v>0</v>
      </c>
      <c r="AI316" s="609">
        <f>IFERROR(SUM(W316)*H316,0)</f>
        <v>0</v>
      </c>
      <c r="AJ316" s="609">
        <f>AH316*$AJ$25</f>
        <v>0</v>
      </c>
      <c r="AK316" s="609">
        <f>AH316*AK$25</f>
        <v>0</v>
      </c>
      <c r="AL316" s="609">
        <f>AH316*AL$25</f>
        <v>0</v>
      </c>
      <c r="AM316" s="609">
        <f>SUM(AJ316:AL316)</f>
        <v>0</v>
      </c>
      <c r="AN316" s="609">
        <f>AH316-AM316</f>
        <v>0</v>
      </c>
      <c r="AO316" s="609">
        <f>AN316-AI316</f>
        <v>0</v>
      </c>
      <c r="AP316" s="611">
        <f>IFERROR(IF(V316&lt;&gt;"",1-(H316/V316),IF(Y316&lt;&gt;"",1-(H316/Y316),1-(H316/L316))),0)</f>
        <v>1</v>
      </c>
      <c r="AQ316" s="612">
        <f>H316/0.75</f>
        <v>0</v>
      </c>
      <c r="AR316" s="613" t="s">
        <v>158</v>
      </c>
      <c r="AS316" s="614">
        <f t="shared" si="282"/>
        <v>100</v>
      </c>
      <c r="AT316" s="615">
        <f>IFERROR(1-(AI316/AH316),0)</f>
        <v>0</v>
      </c>
      <c r="AU316" s="616">
        <f>IFERROR(AO316/AH316,0)</f>
        <v>0</v>
      </c>
      <c r="AV316" s="617"/>
      <c r="AW316" s="611" t="e">
        <f>VLOOKUP(AX316,Sup!#REF!,8,0)</f>
        <v>#REF!</v>
      </c>
      <c r="AX316" s="1018" t="s">
        <v>199</v>
      </c>
      <c r="AY316" s="1140">
        <v>0</v>
      </c>
      <c r="AZ316" s="618"/>
      <c r="BA316" s="618"/>
      <c r="BB316" s="618"/>
      <c r="BC316" s="618">
        <f>IF(BE316&lt;0,BE316,0)</f>
        <v>0</v>
      </c>
      <c r="BD316" s="618" t="str">
        <f t="shared" si="283"/>
        <v/>
      </c>
      <c r="BE316" s="619">
        <f>IF(V316="",0,(V316*W316)-(BD316*W316))</f>
        <v>0</v>
      </c>
      <c r="BF316" s="1019"/>
      <c r="BG316" s="620"/>
      <c r="BH316" s="621"/>
      <c r="BI316" s="621"/>
      <c r="BJ316" s="621"/>
      <c r="BK316" s="621"/>
      <c r="BL316" s="621"/>
      <c r="BM316" s="980" t="e">
        <f>BM314+24</f>
        <v>#REF!</v>
      </c>
      <c r="BN316" s="623"/>
      <c r="BO316" s="1020" t="s">
        <v>522</v>
      </c>
      <c r="BP316" s="973" t="str">
        <f>IF(E316="banoffee",LEFT(E316,4),LEFT(E316,3))</f>
        <v>Coo</v>
      </c>
      <c r="BQ316" s="973" t="str">
        <f>LEFT(F316,3)</f>
        <v>Pot</v>
      </c>
      <c r="BR316" s="1021" t="str">
        <f>CONCATENATE(BO316,BP316,BQ316)</f>
        <v>COMBOWPCPWOCooPot</v>
      </c>
      <c r="BS316" s="675"/>
      <c r="BT316" s="12"/>
      <c r="BU316" s="1020" t="s">
        <v>523</v>
      </c>
      <c r="BV316" s="1020"/>
      <c r="BW316" s="982" t="s">
        <v>507</v>
      </c>
      <c r="BX316" s="1022">
        <f>IFERROR(W316*U316,0)</f>
        <v>0</v>
      </c>
      <c r="BY316" s="621" t="e">
        <f>VLOOKUP(B316,#REF!,13,0)</f>
        <v>#REF!</v>
      </c>
      <c r="BZ316" s="1056"/>
      <c r="CA316" s="1181" t="e">
        <f>VLOOKUP(B316,Pedido!$B$16:$L$292,22,0)</f>
        <v>#N/A</v>
      </c>
      <c r="CB316" s="1181"/>
      <c r="CC316" s="1180"/>
      <c r="CD316" s="1180"/>
      <c r="CE316" s="1180"/>
      <c r="CF316" s="1180"/>
      <c r="CG316" s="1177"/>
    </row>
    <row r="317" spans="1:85" s="622" customFormat="1" ht="27" customHeight="1" thickBot="1">
      <c r="A317" s="1239"/>
      <c r="B317" s="1253" t="s">
        <v>650</v>
      </c>
      <c r="C317" s="1242" t="s">
        <v>653</v>
      </c>
      <c r="D317" s="1237" t="s">
        <v>654</v>
      </c>
      <c r="E317" s="370" t="s">
        <v>271</v>
      </c>
      <c r="F317" s="642" t="s">
        <v>61</v>
      </c>
      <c r="G317" s="548" t="s">
        <v>284</v>
      </c>
      <c r="H317" s="1153"/>
      <c r="I317" s="549">
        <v>829.9</v>
      </c>
      <c r="J317" s="550" t="str">
        <f>IFERROR(IF(T317&lt;&gt;"",I317/T317,IF(AND(Y317="",V317=""),"",IF(V317="",I317/Y317,I317/V317))),"")</f>
        <v/>
      </c>
      <c r="K317" s="551" t="str">
        <f>IF(T317="","",IFERROR(1-(T317/I317),0))</f>
        <v/>
      </c>
      <c r="L317" s="552">
        <v>401.4</v>
      </c>
      <c r="M317" s="553">
        <v>401.4</v>
      </c>
      <c r="N317" s="553">
        <v>401.4</v>
      </c>
      <c r="O317" s="553">
        <v>401.4</v>
      </c>
      <c r="P317" s="553">
        <v>401.4</v>
      </c>
      <c r="Q317" s="553">
        <v>401.4</v>
      </c>
      <c r="R317" s="553">
        <v>401.4</v>
      </c>
      <c r="S317" s="1254">
        <v>401.4</v>
      </c>
      <c r="T317" s="1240" t="str">
        <f>IF(V317&gt;0,V317,IFERROR(IF(AND(W317&lt;&gt;"",X317&lt;&gt;""),AH317/W317,Y317),""))</f>
        <v/>
      </c>
      <c r="U317" s="608" t="str">
        <f>IFERROR((T317*W317)/(W317+X317),"")</f>
        <v/>
      </c>
      <c r="V317" s="1041"/>
      <c r="W317" s="1139"/>
      <c r="X317" s="676"/>
      <c r="Y317" s="628" t="str">
        <f t="shared" si="279"/>
        <v/>
      </c>
      <c r="Z317" s="629"/>
      <c r="AA317" s="609">
        <f>IFERROR(L317*W317,0)</f>
        <v>0</v>
      </c>
      <c r="AB317" s="609">
        <f t="shared" si="280"/>
        <v>0</v>
      </c>
      <c r="AC317" s="609">
        <f t="shared" si="281"/>
        <v>0</v>
      </c>
      <c r="AD317" s="609">
        <f>IFERROR(X317*T317,0)</f>
        <v>0</v>
      </c>
      <c r="AE317" s="609">
        <f>IFERROR(W317*H317,0)</f>
        <v>0</v>
      </c>
      <c r="AF317" s="609">
        <f>IFERROR(1-(AE317/AB317),0)</f>
        <v>0</v>
      </c>
      <c r="AG317" s="610">
        <f>IFERROR(SUM(W317:X317)*I317,0)</f>
        <v>0</v>
      </c>
      <c r="AH317" s="609">
        <f>IFERROR(IF(V317&gt;0,V317*W317,(Y317*W317)),0)</f>
        <v>0</v>
      </c>
      <c r="AI317" s="609">
        <f>IFERROR(SUM(W317)*H317,0)</f>
        <v>0</v>
      </c>
      <c r="AJ317" s="609">
        <f>AH317*$AJ$25</f>
        <v>0</v>
      </c>
      <c r="AK317" s="609">
        <f>AH317*AK$25</f>
        <v>0</v>
      </c>
      <c r="AL317" s="609">
        <f>AH317*AL$25</f>
        <v>0</v>
      </c>
      <c r="AM317" s="609">
        <f>SUM(AJ317:AL317)</f>
        <v>0</v>
      </c>
      <c r="AN317" s="609">
        <f>AH317-AM317</f>
        <v>0</v>
      </c>
      <c r="AO317" s="609">
        <f>AN317-AI317</f>
        <v>0</v>
      </c>
      <c r="AP317" s="611">
        <f>IFERROR(IF(V317&lt;&gt;"",1-(H317/V317),IF(Y317&lt;&gt;"",1-(H317/Y317),1-(H317/L317))),0)</f>
        <v>1</v>
      </c>
      <c r="AQ317" s="612">
        <f>H317/0.75</f>
        <v>0</v>
      </c>
      <c r="AR317" s="613" t="s">
        <v>158</v>
      </c>
      <c r="AS317" s="614">
        <f t="shared" si="282"/>
        <v>100</v>
      </c>
      <c r="AT317" s="615">
        <f>IFERROR(1-(AI317/AH317),0)</f>
        <v>0</v>
      </c>
      <c r="AU317" s="616">
        <f>IFERROR(AO317/AH317,0)</f>
        <v>0</v>
      </c>
      <c r="AV317" s="617"/>
      <c r="AW317" s="611" t="e">
        <f>VLOOKUP(AX317,Sup!#REF!,8,0)</f>
        <v>#REF!</v>
      </c>
      <c r="AX317" s="1018" t="s">
        <v>199</v>
      </c>
      <c r="AY317" s="1140">
        <v>0</v>
      </c>
      <c r="AZ317" s="618"/>
      <c r="BA317" s="618"/>
      <c r="BB317" s="618"/>
      <c r="BC317" s="618">
        <f>IF(BE317&lt;0,BE317,0)</f>
        <v>0</v>
      </c>
      <c r="BD317" s="618" t="str">
        <f t="shared" si="283"/>
        <v/>
      </c>
      <c r="BE317" s="619">
        <f>IF(V317="",0,(V317*W317)-(BD317*W317))</f>
        <v>0</v>
      </c>
      <c r="BF317" s="1019"/>
      <c r="BG317" s="620"/>
      <c r="BH317" s="621"/>
      <c r="BI317" s="621"/>
      <c r="BJ317" s="621"/>
      <c r="BK317" s="621"/>
      <c r="BL317" s="621"/>
      <c r="BM317" s="980" t="e">
        <f>BM315+24</f>
        <v>#REF!</v>
      </c>
      <c r="BN317" s="623"/>
      <c r="BO317" s="1020" t="s">
        <v>522</v>
      </c>
      <c r="BP317" s="973" t="str">
        <f>IF(E317="banoffee",LEFT(E317,4),LEFT(E317,3))</f>
        <v>Doc</v>
      </c>
      <c r="BQ317" s="973" t="str">
        <f>LEFT(F317,3)</f>
        <v>Pot</v>
      </c>
      <c r="BR317" s="1021" t="str">
        <f>CONCATENATE(BO317,BP317,BQ317)</f>
        <v>COMBOWPCPWODocPot</v>
      </c>
      <c r="BS317" s="675"/>
      <c r="BT317" s="12"/>
      <c r="BU317" s="1020" t="s">
        <v>523</v>
      </c>
      <c r="BV317" s="1020"/>
      <c r="BW317" s="982" t="s">
        <v>507</v>
      </c>
      <c r="BX317" s="1022">
        <f>IFERROR(W317*U317,0)</f>
        <v>0</v>
      </c>
      <c r="BY317" s="621" t="e">
        <f>VLOOKUP(B317,#REF!,13,0)</f>
        <v>#REF!</v>
      </c>
      <c r="BZ317" s="1056"/>
      <c r="CA317" s="1181" t="e">
        <f>VLOOKUP(B317,Pedido!$B$16:$L$292,22,0)</f>
        <v>#N/A</v>
      </c>
      <c r="CB317" s="1181"/>
      <c r="CC317" s="1180"/>
      <c r="CD317" s="1180"/>
      <c r="CE317" s="1180"/>
      <c r="CF317" s="1180"/>
      <c r="CG317" s="1177"/>
    </row>
    <row r="318" spans="1:85" s="622" customFormat="1" ht="27" customHeight="1" thickBot="1">
      <c r="A318" s="1239"/>
      <c r="B318" s="1255" t="s">
        <v>651</v>
      </c>
      <c r="C318" s="1242" t="s">
        <v>653</v>
      </c>
      <c r="D318" s="1238" t="s">
        <v>654</v>
      </c>
      <c r="E318" s="589" t="s">
        <v>476</v>
      </c>
      <c r="F318" s="642" t="s">
        <v>61</v>
      </c>
      <c r="G318" s="548" t="s">
        <v>284</v>
      </c>
      <c r="H318" s="1160"/>
      <c r="I318" s="549">
        <v>829.9</v>
      </c>
      <c r="J318" s="626" t="str">
        <f>IFERROR(IF(T318&lt;&gt;"",I318/T318,IF(AND(Y318="",V318=""),"",IF(V318="",I318/Y318,I318/V318))),"")</f>
        <v/>
      </c>
      <c r="K318" s="627" t="str">
        <f>IF(T318="","",IFERROR(1-(T318/I318),0))</f>
        <v/>
      </c>
      <c r="L318" s="552">
        <v>401.4</v>
      </c>
      <c r="M318" s="555">
        <v>401.4</v>
      </c>
      <c r="N318" s="555">
        <v>401.4</v>
      </c>
      <c r="O318" s="555">
        <v>401.4</v>
      </c>
      <c r="P318" s="555">
        <v>401.4</v>
      </c>
      <c r="Q318" s="555">
        <v>401.4</v>
      </c>
      <c r="R318" s="555">
        <v>401.4</v>
      </c>
      <c r="S318" s="1256">
        <v>401.4</v>
      </c>
      <c r="T318" s="1240" t="str">
        <f>IF(V318&gt;0,V318,IFERROR(IF(AND(W318&lt;&gt;"",X318&lt;&gt;""),AH318/W318,Y318),""))</f>
        <v/>
      </c>
      <c r="U318" s="608" t="str">
        <f>IFERROR((T318*W318)/(W318+X318),"")</f>
        <v/>
      </c>
      <c r="V318" s="1041"/>
      <c r="W318" s="1139"/>
      <c r="X318" s="676"/>
      <c r="Y318" s="628" t="str">
        <f t="shared" si="279"/>
        <v/>
      </c>
      <c r="Z318" s="629"/>
      <c r="AA318" s="609">
        <f>IFERROR(L318*W318,0)</f>
        <v>0</v>
      </c>
      <c r="AB318" s="609">
        <f t="shared" si="280"/>
        <v>0</v>
      </c>
      <c r="AC318" s="609">
        <f t="shared" si="281"/>
        <v>0</v>
      </c>
      <c r="AD318" s="609">
        <f>IFERROR(X318*T318,0)</f>
        <v>0</v>
      </c>
      <c r="AE318" s="609">
        <f>IFERROR(W318*H318,0)</f>
        <v>0</v>
      </c>
      <c r="AF318" s="609">
        <f>IFERROR(1-(AE318/AB318),0)</f>
        <v>0</v>
      </c>
      <c r="AG318" s="610">
        <f>IFERROR(SUM(W318:X318)*I318,0)</f>
        <v>0</v>
      </c>
      <c r="AH318" s="609">
        <f>IFERROR(IF(V318&gt;0,V318*W318,(Y318*W318)),0)</f>
        <v>0</v>
      </c>
      <c r="AI318" s="609">
        <f>IFERROR(SUM(W318)*H318,0)</f>
        <v>0</v>
      </c>
      <c r="AJ318" s="609">
        <f>AH318*$AJ$25</f>
        <v>0</v>
      </c>
      <c r="AK318" s="609">
        <f>AH318*AK$25</f>
        <v>0</v>
      </c>
      <c r="AL318" s="609">
        <f>AH318*AL$25</f>
        <v>0</v>
      </c>
      <c r="AM318" s="609">
        <f>SUM(AJ318:AL318)</f>
        <v>0</v>
      </c>
      <c r="AN318" s="609">
        <f>AH318-AM318</f>
        <v>0</v>
      </c>
      <c r="AO318" s="609">
        <f>AN318-AI318</f>
        <v>0</v>
      </c>
      <c r="AP318" s="611">
        <f>IFERROR(IF(V318&lt;&gt;"",1-(H318/V318),IF(Y318&lt;&gt;"",1-(H318/Y318),1-(H318/L318))),0)</f>
        <v>1</v>
      </c>
      <c r="AQ318" s="612">
        <f>H318/0.75</f>
        <v>0</v>
      </c>
      <c r="AR318" s="613" t="s">
        <v>158</v>
      </c>
      <c r="AS318" s="614">
        <f t="shared" si="282"/>
        <v>100</v>
      </c>
      <c r="AT318" s="615">
        <f>IFERROR(1-(AI318/AH318),0)</f>
        <v>0</v>
      </c>
      <c r="AU318" s="616">
        <f>IFERROR(AO318/AH318,0)</f>
        <v>0</v>
      </c>
      <c r="AV318" s="617"/>
      <c r="AW318" s="611" t="e">
        <f>VLOOKUP(AX318,Sup!#REF!,8,0)</f>
        <v>#REF!</v>
      </c>
      <c r="AX318" s="1018" t="s">
        <v>199</v>
      </c>
      <c r="AY318" s="1140">
        <v>0</v>
      </c>
      <c r="AZ318" s="618"/>
      <c r="BA318" s="618"/>
      <c r="BB318" s="618"/>
      <c r="BC318" s="618">
        <f>IF(BE318&lt;0,BE318,0)</f>
        <v>0</v>
      </c>
      <c r="BD318" s="618" t="str">
        <f t="shared" si="283"/>
        <v/>
      </c>
      <c r="BE318" s="619">
        <f>IF(V318="",0,(V318*W318)-(BD318*W318))</f>
        <v>0</v>
      </c>
      <c r="BF318" s="1019"/>
      <c r="BG318" s="620"/>
      <c r="BH318" s="621"/>
      <c r="BI318" s="621"/>
      <c r="BJ318" s="621"/>
      <c r="BK318" s="621"/>
      <c r="BL318" s="621"/>
      <c r="BM318" s="980" t="e">
        <f>#REF!+24</f>
        <v>#REF!</v>
      </c>
      <c r="BN318" s="623"/>
      <c r="BO318" s="1020" t="s">
        <v>522</v>
      </c>
      <c r="BP318" s="973" t="str">
        <f>IF(E318="banoffee",LEFT(E318,4),LEFT(E318,3))</f>
        <v>Int</v>
      </c>
      <c r="BQ318" s="973" t="str">
        <f>LEFT(F318,3)</f>
        <v>Pot</v>
      </c>
      <c r="BR318" s="1021" t="str">
        <f>CONCATENATE(BO318,BP318,BQ318)</f>
        <v>COMBOWPCPWOIntPot</v>
      </c>
      <c r="BS318" s="675"/>
      <c r="BT318" s="12"/>
      <c r="BU318" s="1017" t="s">
        <v>525</v>
      </c>
      <c r="BV318" s="1017"/>
      <c r="BW318" s="982" t="s">
        <v>507</v>
      </c>
      <c r="BX318" s="1022">
        <f>IFERROR(W318*U318,0)</f>
        <v>0</v>
      </c>
      <c r="BY318" s="621" t="e">
        <f>VLOOKUP(B318,#REF!,13,0)</f>
        <v>#REF!</v>
      </c>
      <c r="BZ318" s="1056"/>
      <c r="CA318" s="1181" t="e">
        <f>VLOOKUP(B318,Pedido!$B$16:$L$292,22,0)</f>
        <v>#N/A</v>
      </c>
      <c r="CB318" s="1181"/>
      <c r="CC318" s="1180"/>
      <c r="CD318" s="1180"/>
      <c r="CE318" s="1180"/>
      <c r="CF318" s="1180"/>
      <c r="CG318" s="1177"/>
    </row>
    <row r="319" spans="1:85" s="622" customFormat="1" ht="27" customHeight="1" thickBot="1">
      <c r="A319" s="1239"/>
      <c r="B319" s="1255" t="s">
        <v>652</v>
      </c>
      <c r="C319" s="1242" t="s">
        <v>653</v>
      </c>
      <c r="D319" s="1238" t="s">
        <v>654</v>
      </c>
      <c r="E319" s="589" t="s">
        <v>465</v>
      </c>
      <c r="F319" s="642" t="s">
        <v>61</v>
      </c>
      <c r="G319" s="548" t="s">
        <v>284</v>
      </c>
      <c r="H319" s="1160"/>
      <c r="I319" s="549">
        <v>829.9</v>
      </c>
      <c r="J319" s="626" t="str">
        <f>IFERROR(IF(T319&lt;&gt;"",I319/T319,IF(AND(Y319="",V319=""),"",IF(V319="",I319/Y319,I319/V319))),"")</f>
        <v/>
      </c>
      <c r="K319" s="627" t="str">
        <f>IF(T319="","",IFERROR(1-(T319/I319),0))</f>
        <v/>
      </c>
      <c r="L319" s="552">
        <v>401.4</v>
      </c>
      <c r="M319" s="555">
        <v>401.4</v>
      </c>
      <c r="N319" s="555">
        <v>401.4</v>
      </c>
      <c r="O319" s="555">
        <v>401.4</v>
      </c>
      <c r="P319" s="555">
        <v>401.4</v>
      </c>
      <c r="Q319" s="555">
        <v>401.4</v>
      </c>
      <c r="R319" s="555">
        <v>401.4</v>
      </c>
      <c r="S319" s="1256">
        <v>401.4</v>
      </c>
      <c r="T319" s="1240" t="str">
        <f>IF(V319&gt;0,V319,IFERROR(IF(AND(W319&lt;&gt;"",X319&lt;&gt;""),AH319/W319,Y319),""))</f>
        <v/>
      </c>
      <c r="U319" s="608" t="str">
        <f>IFERROR((T319*W319)/(W319+X319),"")</f>
        <v/>
      </c>
      <c r="V319" s="1041"/>
      <c r="W319" s="1139"/>
      <c r="X319" s="676"/>
      <c r="Y319" s="628" t="str">
        <f t="shared" si="279"/>
        <v/>
      </c>
      <c r="Z319" s="629"/>
      <c r="AA319" s="609">
        <f>IFERROR(L319*W319,0)</f>
        <v>0</v>
      </c>
      <c r="AB319" s="609">
        <f t="shared" si="280"/>
        <v>0</v>
      </c>
      <c r="AC319" s="609">
        <f t="shared" si="281"/>
        <v>0</v>
      </c>
      <c r="AD319" s="609">
        <f>IFERROR(X319*T319,0)</f>
        <v>0</v>
      </c>
      <c r="AE319" s="609">
        <f>IFERROR(W319*H319,0)</f>
        <v>0</v>
      </c>
      <c r="AF319" s="609">
        <f>IFERROR(1-(AE319/AB319),0)</f>
        <v>0</v>
      </c>
      <c r="AG319" s="610">
        <f>IFERROR(SUM(W319:X319)*I319,0)</f>
        <v>0</v>
      </c>
      <c r="AH319" s="609">
        <f>IFERROR(IF(V319&gt;0,V319*W319,(Y319*W319)),0)</f>
        <v>0</v>
      </c>
      <c r="AI319" s="609">
        <f>IFERROR(SUM(W319)*H319,0)</f>
        <v>0</v>
      </c>
      <c r="AJ319" s="609">
        <f>AH319*$AJ$25</f>
        <v>0</v>
      </c>
      <c r="AK319" s="609">
        <f>AH319*AK$25</f>
        <v>0</v>
      </c>
      <c r="AL319" s="609">
        <f>AH319*AL$25</f>
        <v>0</v>
      </c>
      <c r="AM319" s="609">
        <f>SUM(AJ319:AL319)</f>
        <v>0</v>
      </c>
      <c r="AN319" s="609">
        <f>AH319-AM319</f>
        <v>0</v>
      </c>
      <c r="AO319" s="609">
        <f>AN319-AI319</f>
        <v>0</v>
      </c>
      <c r="AP319" s="611">
        <f>IFERROR(IF(V319&lt;&gt;"",1-(H319/V319),IF(Y319&lt;&gt;"",1-(H319/Y319),1-(H319/L319))),0)</f>
        <v>1</v>
      </c>
      <c r="AQ319" s="612">
        <f>H319/0.75</f>
        <v>0</v>
      </c>
      <c r="AR319" s="613" t="s">
        <v>158</v>
      </c>
      <c r="AS319" s="614">
        <f t="shared" si="282"/>
        <v>100</v>
      </c>
      <c r="AT319" s="615">
        <f>IFERROR(1-(AI319/AH319),0)</f>
        <v>0</v>
      </c>
      <c r="AU319" s="616">
        <f>IFERROR(AO319/AH319,0)</f>
        <v>0</v>
      </c>
      <c r="AV319" s="617"/>
      <c r="AW319" s="611" t="e">
        <f>VLOOKUP(AX319,Sup!#REF!,8,0)</f>
        <v>#REF!</v>
      </c>
      <c r="AX319" s="1018" t="s">
        <v>199</v>
      </c>
      <c r="AY319" s="1140">
        <v>0</v>
      </c>
      <c r="AZ319" s="618"/>
      <c r="BA319" s="618"/>
      <c r="BB319" s="618"/>
      <c r="BC319" s="618">
        <f>IF(BE319&lt;0,BE319,0)</f>
        <v>0</v>
      </c>
      <c r="BD319" s="618" t="str">
        <f t="shared" si="283"/>
        <v/>
      </c>
      <c r="BE319" s="619">
        <f>IF(V319="",0,(V319*W319)-(BD319*W319))</f>
        <v>0</v>
      </c>
      <c r="BF319" s="1019"/>
      <c r="BG319" s="620"/>
      <c r="BH319" s="621"/>
      <c r="BI319" s="621"/>
      <c r="BJ319" s="621"/>
      <c r="BK319" s="621"/>
      <c r="BL319" s="621"/>
      <c r="BM319" s="980" t="e">
        <f>#REF!+24</f>
        <v>#REF!</v>
      </c>
      <c r="BN319" s="623"/>
      <c r="BO319" s="1020" t="s">
        <v>522</v>
      </c>
      <c r="BP319" s="973" t="str">
        <f>IF(E319="banoffee",LEFT(E319,4),LEFT(E319,3))</f>
        <v>Sal</v>
      </c>
      <c r="BQ319" s="973" t="str">
        <f>LEFT(F319,3)</f>
        <v>Pot</v>
      </c>
      <c r="BR319" s="1021" t="str">
        <f>CONCATENATE(BO319,BP319,BQ319)</f>
        <v>COMBOWPCPWOSalPot</v>
      </c>
      <c r="BS319" s="675"/>
      <c r="BT319" s="12"/>
      <c r="BU319" s="1017" t="s">
        <v>525</v>
      </c>
      <c r="BV319" s="1017"/>
      <c r="BW319" s="982" t="s">
        <v>507</v>
      </c>
      <c r="BX319" s="1022">
        <f>IFERROR(W319*U319,0)</f>
        <v>0</v>
      </c>
      <c r="BY319" s="621" t="e">
        <f>VLOOKUP(B319,#REF!,13,0)</f>
        <v>#REF!</v>
      </c>
      <c r="BZ319" s="1056"/>
      <c r="CA319" s="1181" t="e">
        <f>VLOOKUP(B319,Pedido!$B$16:$L$292,22,0)</f>
        <v>#N/A</v>
      </c>
      <c r="CB319" s="1181"/>
      <c r="CC319" s="1180"/>
      <c r="CD319" s="1180"/>
      <c r="CE319" s="1180"/>
      <c r="CF319" s="1180"/>
      <c r="CG319" s="1177"/>
    </row>
    <row r="320" spans="1:85" s="622" customFormat="1" ht="27" customHeight="1" thickBot="1">
      <c r="A320" s="1239"/>
      <c r="B320" s="962" t="s">
        <v>656</v>
      </c>
      <c r="C320" s="607" t="s">
        <v>665</v>
      </c>
      <c r="D320" s="547" t="s">
        <v>655</v>
      </c>
      <c r="E320" s="642" t="s">
        <v>376</v>
      </c>
      <c r="F320" s="642" t="s">
        <v>61</v>
      </c>
      <c r="G320" s="548">
        <v>450</v>
      </c>
      <c r="H320" s="1160"/>
      <c r="I320" s="549">
        <v>449.9</v>
      </c>
      <c r="J320" s="626" t="str">
        <f t="shared" ref="J320:J328" si="284">IFERROR(IF(T320&lt;&gt;"",I320/T320,IF(AND(Y320="",V320=""),"",IF(V320="",I320/Y320,I320/V320))),"")</f>
        <v/>
      </c>
      <c r="K320" s="627" t="str">
        <f t="shared" ref="K320:K328" si="285">IF(T320="","",IFERROR(1-(T320/I320),0))</f>
        <v/>
      </c>
      <c r="L320" s="552">
        <f>IF(Pedido!$G$7&gt;14,249.9,295.7)</f>
        <v>295.7</v>
      </c>
      <c r="M320" s="553">
        <f>IF(Pedido!$G$7&gt;14,249.9,295.7)</f>
        <v>295.7</v>
      </c>
      <c r="N320" s="553">
        <f>IF(Pedido!$G$7&gt;14,249.9,295.7)</f>
        <v>295.7</v>
      </c>
      <c r="O320" s="553">
        <f>IF(Pedido!$G$7&gt;14,249.9,295.7)</f>
        <v>295.7</v>
      </c>
      <c r="P320" s="553">
        <f>IF(Pedido!$G$7&gt;14,249.9,295.7)</f>
        <v>295.7</v>
      </c>
      <c r="Q320" s="553">
        <f>IF(Pedido!$G$7&gt;14,249.9,295.7)</f>
        <v>295.7</v>
      </c>
      <c r="R320" s="553">
        <f>IF(Pedido!$G$7&gt;14,249.9,295.7)</f>
        <v>295.7</v>
      </c>
      <c r="S320" s="1254">
        <f>IF(Pedido!$G$7&gt;14,249.9,295.7)</f>
        <v>295.7</v>
      </c>
      <c r="T320" s="1240" t="str">
        <f t="shared" ref="T320:T328" si="286">IF(V320&gt;0,V320,IFERROR(IF(AND(W320&lt;&gt;"",X320&lt;&gt;""),AH320/W320,Y320),""))</f>
        <v/>
      </c>
      <c r="U320" s="608" t="str">
        <f t="shared" ref="U320:U328" si="287">IFERROR((T320*W320)/(W320+X320),"")</f>
        <v/>
      </c>
      <c r="V320" s="1041"/>
      <c r="W320" s="1139"/>
      <c r="X320" s="676"/>
      <c r="Y320" s="628" t="str">
        <f t="shared" si="279"/>
        <v/>
      </c>
      <c r="Z320" s="629"/>
      <c r="AA320" s="609">
        <f t="shared" ref="AA320:AA328" si="288">IFERROR(L320*W320,0)</f>
        <v>0</v>
      </c>
      <c r="AB320" s="609">
        <f t="shared" si="280"/>
        <v>0</v>
      </c>
      <c r="AC320" s="609">
        <f t="shared" si="281"/>
        <v>0</v>
      </c>
      <c r="AD320" s="609">
        <f t="shared" ref="AD320:AD328" si="289">IFERROR(X320*T320,0)</f>
        <v>0</v>
      </c>
      <c r="AE320" s="609">
        <f t="shared" ref="AE320:AE328" si="290">IFERROR(W320*H320,0)</f>
        <v>0</v>
      </c>
      <c r="AF320" s="609">
        <f t="shared" ref="AF320:AF328" si="291">IFERROR(1-(AE320/AB320),0)</f>
        <v>0</v>
      </c>
      <c r="AG320" s="610">
        <f t="shared" ref="AG320:AG328" si="292">IFERROR(SUM(W320:X320)*I320,0)</f>
        <v>0</v>
      </c>
      <c r="AH320" s="609">
        <f t="shared" ref="AH320:AH328" si="293">IFERROR(IF(V320&gt;0,V320*W320,(Y320*W320)),0)</f>
        <v>0</v>
      </c>
      <c r="AI320" s="609">
        <f t="shared" ref="AI320:AI328" si="294">IFERROR(SUM(W320)*H320,0)</f>
        <v>0</v>
      </c>
      <c r="AJ320" s="609">
        <f t="shared" ref="AJ320:AJ328" si="295">AH320*$AJ$25</f>
        <v>0</v>
      </c>
      <c r="AK320" s="609">
        <f t="shared" ref="AK320:AK328" si="296">AH320*AK$25</f>
        <v>0</v>
      </c>
      <c r="AL320" s="609">
        <f t="shared" ref="AL320:AL328" si="297">AH320*AL$25</f>
        <v>0</v>
      </c>
      <c r="AM320" s="609">
        <f t="shared" ref="AM320:AM328" si="298">SUM(AJ320:AL320)</f>
        <v>0</v>
      </c>
      <c r="AN320" s="609">
        <f t="shared" ref="AN320:AN328" si="299">AH320-AM320</f>
        <v>0</v>
      </c>
      <c r="AO320" s="609">
        <f t="shared" ref="AO320:AO328" si="300">AN320-AI320</f>
        <v>0</v>
      </c>
      <c r="AP320" s="611">
        <f t="shared" ref="AP320:AP328" si="301">IFERROR(IF(V320&lt;&gt;"",1-(H320/V320),IF(Y320&lt;&gt;"",1-(H320/Y320),1-(H320/L320))),0)</f>
        <v>1</v>
      </c>
      <c r="AQ320" s="612">
        <f t="shared" ref="AQ320:AQ328" si="302">H320/0.75</f>
        <v>0</v>
      </c>
      <c r="AR320" s="613" t="s">
        <v>158</v>
      </c>
      <c r="AS320" s="614">
        <f t="shared" si="282"/>
        <v>100</v>
      </c>
      <c r="AT320" s="615">
        <f t="shared" ref="AT320:AT328" si="303">IFERROR(1-(AI320/AH320),0)</f>
        <v>0</v>
      </c>
      <c r="AU320" s="616">
        <f t="shared" ref="AU320:AU328" si="304">IFERROR(AO320/AH320,0)</f>
        <v>0</v>
      </c>
      <c r="AV320" s="617"/>
      <c r="AW320" s="611" t="e">
        <f>VLOOKUP(AX320,Sup!#REF!,8,0)</f>
        <v>#REF!</v>
      </c>
      <c r="AX320" s="1018" t="s">
        <v>199</v>
      </c>
      <c r="AY320" s="1140">
        <v>0</v>
      </c>
      <c r="AZ320" s="618"/>
      <c r="BA320" s="618"/>
      <c r="BB320" s="618"/>
      <c r="BC320" s="618">
        <f t="shared" ref="BC320:BC328" si="305">IF(BE320&lt;0,BE320,0)</f>
        <v>0</v>
      </c>
      <c r="BD320" s="618" t="str">
        <f t="shared" si="283"/>
        <v/>
      </c>
      <c r="BE320" s="619">
        <f t="shared" ref="BE320:BE328" si="306">IF(V320="",0,(V320*W320)-(BD320*W320))</f>
        <v>0</v>
      </c>
      <c r="BF320" s="1019"/>
      <c r="BG320" s="620"/>
      <c r="BH320" s="621"/>
      <c r="BI320" s="621"/>
      <c r="BJ320" s="621"/>
      <c r="BK320" s="621"/>
      <c r="BL320" s="621"/>
      <c r="BM320" s="980" t="e">
        <f>#REF!+24</f>
        <v>#REF!</v>
      </c>
      <c r="BN320" s="623"/>
      <c r="BO320" s="1020" t="s">
        <v>522</v>
      </c>
      <c r="BP320" s="973" t="str">
        <f t="shared" ref="BP320:BP328" si="307">IF(E320="banoffee",LEFT(E320,4),LEFT(E320,3))</f>
        <v>Bano</v>
      </c>
      <c r="BQ320" s="973" t="str">
        <f t="shared" ref="BQ320:BQ328" si="308">LEFT(F320,3)</f>
        <v>Pot</v>
      </c>
      <c r="BR320" s="1021" t="str">
        <f t="shared" ref="BR320:BR328" si="309">CONCATENATE(BO320,BP320,BQ320)</f>
        <v>COMBOWPCPWOBanoPot</v>
      </c>
      <c r="BS320" s="675"/>
      <c r="BT320" s="12"/>
      <c r="BU320" s="1017" t="s">
        <v>525</v>
      </c>
      <c r="BV320" s="1017"/>
      <c r="BW320" s="982" t="s">
        <v>507</v>
      </c>
      <c r="BX320" s="1022">
        <f t="shared" ref="BX320:BX328" si="310">IFERROR(W320*U320,0)</f>
        <v>0</v>
      </c>
      <c r="BY320" s="621" t="e">
        <f>VLOOKUP(B320,#REF!,13,0)</f>
        <v>#REF!</v>
      </c>
      <c r="BZ320" s="1056"/>
      <c r="CA320" s="1181" t="e">
        <f>VLOOKUP(B320,Pedido!$B$16:$L$292,22,0)</f>
        <v>#N/A</v>
      </c>
      <c r="CB320" s="1181"/>
      <c r="CC320" s="1180"/>
      <c r="CD320" s="1180"/>
      <c r="CE320" s="1180"/>
      <c r="CF320" s="1180"/>
      <c r="CG320" s="1177"/>
    </row>
    <row r="321" spans="1:85" s="622" customFormat="1" ht="27" customHeight="1" thickBot="1">
      <c r="A321" s="1239"/>
      <c r="B321" s="962" t="s">
        <v>657</v>
      </c>
      <c r="C321" s="607" t="s">
        <v>665</v>
      </c>
      <c r="D321" s="547" t="s">
        <v>655</v>
      </c>
      <c r="E321" s="642" t="s">
        <v>70</v>
      </c>
      <c r="F321" s="642" t="s">
        <v>61</v>
      </c>
      <c r="G321" s="548">
        <v>900</v>
      </c>
      <c r="H321" s="1160"/>
      <c r="I321" s="549">
        <v>449.9</v>
      </c>
      <c r="J321" s="626" t="str">
        <f t="shared" si="284"/>
        <v/>
      </c>
      <c r="K321" s="627" t="str">
        <f t="shared" si="285"/>
        <v/>
      </c>
      <c r="L321" s="552">
        <f>IF(Pedido!$G$7&gt;14,249.9,295.7)</f>
        <v>295.7</v>
      </c>
      <c r="M321" s="553">
        <f>IF(Pedido!$G$7&gt;14,249.9,295.7)</f>
        <v>295.7</v>
      </c>
      <c r="N321" s="553">
        <f>IF(Pedido!$G$7&gt;14,249.9,295.7)</f>
        <v>295.7</v>
      </c>
      <c r="O321" s="553">
        <f>IF(Pedido!$G$7&gt;14,249.9,295.7)</f>
        <v>295.7</v>
      </c>
      <c r="P321" s="553">
        <f>IF(Pedido!$G$7&gt;14,249.9,295.7)</f>
        <v>295.7</v>
      </c>
      <c r="Q321" s="553">
        <f>IF(Pedido!$G$7&gt;14,249.9,295.7)</f>
        <v>295.7</v>
      </c>
      <c r="R321" s="553">
        <f>IF(Pedido!$G$7&gt;14,249.9,295.7)</f>
        <v>295.7</v>
      </c>
      <c r="S321" s="1254">
        <f>IF(Pedido!$G$7&gt;14,249.9,295.7)</f>
        <v>295.7</v>
      </c>
      <c r="T321" s="1240" t="str">
        <f t="shared" si="286"/>
        <v/>
      </c>
      <c r="U321" s="608" t="str">
        <f t="shared" si="287"/>
        <v/>
      </c>
      <c r="V321" s="1041"/>
      <c r="W321" s="1139"/>
      <c r="X321" s="676"/>
      <c r="Y321" s="628" t="str">
        <f t="shared" si="279"/>
        <v/>
      </c>
      <c r="Z321" s="629"/>
      <c r="AA321" s="609">
        <f t="shared" si="288"/>
        <v>0</v>
      </c>
      <c r="AB321" s="609">
        <f t="shared" si="280"/>
        <v>0</v>
      </c>
      <c r="AC321" s="609">
        <f t="shared" si="281"/>
        <v>0</v>
      </c>
      <c r="AD321" s="609">
        <f t="shared" si="289"/>
        <v>0</v>
      </c>
      <c r="AE321" s="609">
        <f t="shared" si="290"/>
        <v>0</v>
      </c>
      <c r="AF321" s="609">
        <f t="shared" si="291"/>
        <v>0</v>
      </c>
      <c r="AG321" s="610">
        <f t="shared" si="292"/>
        <v>0</v>
      </c>
      <c r="AH321" s="609">
        <f t="shared" si="293"/>
        <v>0</v>
      </c>
      <c r="AI321" s="609">
        <f t="shared" si="294"/>
        <v>0</v>
      </c>
      <c r="AJ321" s="609">
        <f t="shared" si="295"/>
        <v>0</v>
      </c>
      <c r="AK321" s="609">
        <f t="shared" si="296"/>
        <v>0</v>
      </c>
      <c r="AL321" s="609">
        <f t="shared" si="297"/>
        <v>0</v>
      </c>
      <c r="AM321" s="609">
        <f t="shared" si="298"/>
        <v>0</v>
      </c>
      <c r="AN321" s="609">
        <f t="shared" si="299"/>
        <v>0</v>
      </c>
      <c r="AO321" s="609">
        <f t="shared" si="300"/>
        <v>0</v>
      </c>
      <c r="AP321" s="611">
        <f t="shared" si="301"/>
        <v>1</v>
      </c>
      <c r="AQ321" s="612">
        <f t="shared" si="302"/>
        <v>0</v>
      </c>
      <c r="AR321" s="613" t="s">
        <v>158</v>
      </c>
      <c r="AS321" s="614">
        <f t="shared" si="282"/>
        <v>100</v>
      </c>
      <c r="AT321" s="615">
        <f t="shared" si="303"/>
        <v>0</v>
      </c>
      <c r="AU321" s="616">
        <f t="shared" si="304"/>
        <v>0</v>
      </c>
      <c r="AV321" s="617"/>
      <c r="AW321" s="611" t="e">
        <f>VLOOKUP(AX321,Sup!#REF!,8,0)</f>
        <v>#REF!</v>
      </c>
      <c r="AX321" s="1018" t="s">
        <v>199</v>
      </c>
      <c r="AY321" s="1140">
        <v>0</v>
      </c>
      <c r="AZ321" s="618"/>
      <c r="BA321" s="618"/>
      <c r="BB321" s="618"/>
      <c r="BC321" s="618">
        <f t="shared" si="305"/>
        <v>0</v>
      </c>
      <c r="BD321" s="618" t="str">
        <f t="shared" si="283"/>
        <v/>
      </c>
      <c r="BE321" s="619">
        <f t="shared" si="306"/>
        <v>0</v>
      </c>
      <c r="BF321" s="1019"/>
      <c r="BG321" s="620"/>
      <c r="BH321" s="621"/>
      <c r="BI321" s="621"/>
      <c r="BJ321" s="621"/>
      <c r="BK321" s="621"/>
      <c r="BL321" s="621"/>
      <c r="BM321" s="980" t="e">
        <f>#REF!+24</f>
        <v>#REF!</v>
      </c>
      <c r="BN321" s="623"/>
      <c r="BO321" s="1020" t="s">
        <v>522</v>
      </c>
      <c r="BP321" s="973" t="str">
        <f t="shared" si="307"/>
        <v>Bau</v>
      </c>
      <c r="BQ321" s="973" t="str">
        <f t="shared" si="308"/>
        <v>Pot</v>
      </c>
      <c r="BR321" s="1021" t="str">
        <f t="shared" si="309"/>
        <v>COMBOWPCPWOBauPot</v>
      </c>
      <c r="BS321" s="675"/>
      <c r="BT321" s="12"/>
      <c r="BU321" s="1017" t="s">
        <v>525</v>
      </c>
      <c r="BV321" s="1017"/>
      <c r="BW321" s="982" t="s">
        <v>507</v>
      </c>
      <c r="BX321" s="1022">
        <f t="shared" si="310"/>
        <v>0</v>
      </c>
      <c r="BY321" s="621" t="e">
        <f>VLOOKUP(B321,#REF!,13,0)</f>
        <v>#REF!</v>
      </c>
      <c r="BZ321" s="1056"/>
      <c r="CA321" s="1181" t="e">
        <f>VLOOKUP(B321,Pedido!$B$16:$L$292,22,0)</f>
        <v>#N/A</v>
      </c>
      <c r="CB321" s="1181"/>
      <c r="CC321" s="1180"/>
      <c r="CD321" s="1180"/>
      <c r="CE321" s="1180"/>
      <c r="CF321" s="1180"/>
      <c r="CG321" s="1177"/>
    </row>
    <row r="322" spans="1:85" s="622" customFormat="1" ht="27" customHeight="1" thickBot="1">
      <c r="A322" s="1239"/>
      <c r="B322" s="962" t="s">
        <v>658</v>
      </c>
      <c r="C322" s="607" t="s">
        <v>665</v>
      </c>
      <c r="D322" s="547" t="s">
        <v>655</v>
      </c>
      <c r="E322" s="642" t="s">
        <v>312</v>
      </c>
      <c r="F322" s="642" t="s">
        <v>61</v>
      </c>
      <c r="G322" s="548">
        <v>900</v>
      </c>
      <c r="H322" s="1160"/>
      <c r="I322" s="549">
        <v>449.9</v>
      </c>
      <c r="J322" s="626" t="str">
        <f t="shared" si="284"/>
        <v/>
      </c>
      <c r="K322" s="627" t="str">
        <f t="shared" si="285"/>
        <v/>
      </c>
      <c r="L322" s="552">
        <f>IF(Pedido!$G$7&gt;14,249.9,295.7)</f>
        <v>295.7</v>
      </c>
      <c r="M322" s="553">
        <f>IF(Pedido!$G$7&gt;14,249.9,295.7)</f>
        <v>295.7</v>
      </c>
      <c r="N322" s="553">
        <f>IF(Pedido!$G$7&gt;14,249.9,295.7)</f>
        <v>295.7</v>
      </c>
      <c r="O322" s="553">
        <f>IF(Pedido!$G$7&gt;14,249.9,295.7)</f>
        <v>295.7</v>
      </c>
      <c r="P322" s="553">
        <f>IF(Pedido!$G$7&gt;14,249.9,295.7)</f>
        <v>295.7</v>
      </c>
      <c r="Q322" s="553">
        <f>IF(Pedido!$G$7&gt;14,249.9,295.7)</f>
        <v>295.7</v>
      </c>
      <c r="R322" s="553">
        <f>IF(Pedido!$G$7&gt;14,249.9,295.7)</f>
        <v>295.7</v>
      </c>
      <c r="S322" s="1254">
        <f>IF(Pedido!$G$7&gt;14,249.9,295.7)</f>
        <v>295.7</v>
      </c>
      <c r="T322" s="1240" t="str">
        <f t="shared" si="286"/>
        <v/>
      </c>
      <c r="U322" s="608" t="str">
        <f t="shared" si="287"/>
        <v/>
      </c>
      <c r="V322" s="1041"/>
      <c r="W322" s="1139"/>
      <c r="X322" s="676"/>
      <c r="Y322" s="628" t="str">
        <f t="shared" si="279"/>
        <v/>
      </c>
      <c r="Z322" s="629"/>
      <c r="AA322" s="609">
        <f t="shared" si="288"/>
        <v>0</v>
      </c>
      <c r="AB322" s="609">
        <f t="shared" si="280"/>
        <v>0</v>
      </c>
      <c r="AC322" s="609">
        <f t="shared" si="281"/>
        <v>0</v>
      </c>
      <c r="AD322" s="609">
        <f t="shared" si="289"/>
        <v>0</v>
      </c>
      <c r="AE322" s="609">
        <f t="shared" si="290"/>
        <v>0</v>
      </c>
      <c r="AF322" s="609">
        <f t="shared" si="291"/>
        <v>0</v>
      </c>
      <c r="AG322" s="610">
        <f t="shared" si="292"/>
        <v>0</v>
      </c>
      <c r="AH322" s="609">
        <f t="shared" si="293"/>
        <v>0</v>
      </c>
      <c r="AI322" s="609">
        <f t="shared" si="294"/>
        <v>0</v>
      </c>
      <c r="AJ322" s="609">
        <f t="shared" si="295"/>
        <v>0</v>
      </c>
      <c r="AK322" s="609">
        <f t="shared" si="296"/>
        <v>0</v>
      </c>
      <c r="AL322" s="609">
        <f t="shared" si="297"/>
        <v>0</v>
      </c>
      <c r="AM322" s="609">
        <f t="shared" si="298"/>
        <v>0</v>
      </c>
      <c r="AN322" s="609">
        <f t="shared" si="299"/>
        <v>0</v>
      </c>
      <c r="AO322" s="609">
        <f t="shared" si="300"/>
        <v>0</v>
      </c>
      <c r="AP322" s="611">
        <f t="shared" si="301"/>
        <v>1</v>
      </c>
      <c r="AQ322" s="612">
        <f t="shared" si="302"/>
        <v>0</v>
      </c>
      <c r="AR322" s="613" t="s">
        <v>158</v>
      </c>
      <c r="AS322" s="614">
        <f t="shared" si="282"/>
        <v>100</v>
      </c>
      <c r="AT322" s="615">
        <f t="shared" si="303"/>
        <v>0</v>
      </c>
      <c r="AU322" s="616">
        <f t="shared" si="304"/>
        <v>0</v>
      </c>
      <c r="AV322" s="617"/>
      <c r="AW322" s="611" t="e">
        <f>VLOOKUP(AX322,Sup!#REF!,8,0)</f>
        <v>#REF!</v>
      </c>
      <c r="AX322" s="1018" t="s">
        <v>199</v>
      </c>
      <c r="AY322" s="1140">
        <v>0</v>
      </c>
      <c r="AZ322" s="618"/>
      <c r="BA322" s="618"/>
      <c r="BB322" s="618"/>
      <c r="BC322" s="618">
        <f t="shared" si="305"/>
        <v>0</v>
      </c>
      <c r="BD322" s="618" t="str">
        <f t="shared" si="283"/>
        <v/>
      </c>
      <c r="BE322" s="619">
        <f t="shared" si="306"/>
        <v>0</v>
      </c>
      <c r="BF322" s="1019"/>
      <c r="BG322" s="620"/>
      <c r="BH322" s="621"/>
      <c r="BI322" s="621"/>
      <c r="BJ322" s="621"/>
      <c r="BK322" s="621"/>
      <c r="BL322" s="621"/>
      <c r="BM322" s="980" t="e">
        <f>#REF!+24</f>
        <v>#REF!</v>
      </c>
      <c r="BN322" s="623"/>
      <c r="BO322" s="1020" t="s">
        <v>522</v>
      </c>
      <c r="BP322" s="973" t="str">
        <f t="shared" si="307"/>
        <v>But</v>
      </c>
      <c r="BQ322" s="973" t="str">
        <f t="shared" si="308"/>
        <v>Pot</v>
      </c>
      <c r="BR322" s="1021" t="str">
        <f t="shared" si="309"/>
        <v>COMBOWPCPWOButPot</v>
      </c>
      <c r="BS322" s="675"/>
      <c r="BT322" s="12"/>
      <c r="BU322" s="1017" t="s">
        <v>525</v>
      </c>
      <c r="BV322" s="1017"/>
      <c r="BW322" s="982" t="s">
        <v>507</v>
      </c>
      <c r="BX322" s="1022">
        <f t="shared" si="310"/>
        <v>0</v>
      </c>
      <c r="BY322" s="621" t="e">
        <f>VLOOKUP(B322,#REF!,13,0)</f>
        <v>#REF!</v>
      </c>
      <c r="BZ322" s="1056"/>
      <c r="CA322" s="1181" t="e">
        <f>VLOOKUP(B322,Pedido!$B$16:$L$292,22,0)</f>
        <v>#N/A</v>
      </c>
      <c r="CB322" s="1181"/>
      <c r="CC322" s="1180"/>
      <c r="CD322" s="1180"/>
      <c r="CE322" s="1180"/>
      <c r="CF322" s="1180"/>
      <c r="CG322" s="1177"/>
    </row>
    <row r="323" spans="1:85" s="622" customFormat="1" ht="27" customHeight="1" thickBot="1">
      <c r="A323" s="1239"/>
      <c r="B323" s="962" t="s">
        <v>659</v>
      </c>
      <c r="C323" s="607" t="s">
        <v>665</v>
      </c>
      <c r="D323" s="547" t="s">
        <v>655</v>
      </c>
      <c r="E323" s="642" t="s">
        <v>591</v>
      </c>
      <c r="F323" s="642" t="s">
        <v>61</v>
      </c>
      <c r="G323" s="548">
        <v>900</v>
      </c>
      <c r="H323" s="1160"/>
      <c r="I323" s="549">
        <v>449.9</v>
      </c>
      <c r="J323" s="626" t="str">
        <f t="shared" si="284"/>
        <v/>
      </c>
      <c r="K323" s="627" t="str">
        <f t="shared" si="285"/>
        <v/>
      </c>
      <c r="L323" s="552">
        <f>IF(Pedido!$G$7&gt;14,249.9,295.7)</f>
        <v>295.7</v>
      </c>
      <c r="M323" s="553">
        <f>IF(Pedido!$G$7&gt;14,249.9,295.7)</f>
        <v>295.7</v>
      </c>
      <c r="N323" s="553">
        <f>IF(Pedido!$G$7&gt;14,249.9,295.7)</f>
        <v>295.7</v>
      </c>
      <c r="O323" s="553">
        <f>IF(Pedido!$G$7&gt;14,249.9,295.7)</f>
        <v>295.7</v>
      </c>
      <c r="P323" s="553">
        <f>IF(Pedido!$G$7&gt;14,249.9,295.7)</f>
        <v>295.7</v>
      </c>
      <c r="Q323" s="553">
        <f>IF(Pedido!$G$7&gt;14,249.9,295.7)</f>
        <v>295.7</v>
      </c>
      <c r="R323" s="553">
        <f>IF(Pedido!$G$7&gt;14,249.9,295.7)</f>
        <v>295.7</v>
      </c>
      <c r="S323" s="1254">
        <f>IF(Pedido!$G$7&gt;14,249.9,295.7)</f>
        <v>295.7</v>
      </c>
      <c r="T323" s="1240" t="str">
        <f t="shared" si="286"/>
        <v/>
      </c>
      <c r="U323" s="608" t="str">
        <f t="shared" si="287"/>
        <v/>
      </c>
      <c r="V323" s="1041"/>
      <c r="W323" s="1139"/>
      <c r="X323" s="676"/>
      <c r="Y323" s="628" t="str">
        <f t="shared" si="279"/>
        <v/>
      </c>
      <c r="Z323" s="629"/>
      <c r="AA323" s="609">
        <f t="shared" si="288"/>
        <v>0</v>
      </c>
      <c r="AB323" s="609">
        <f t="shared" si="280"/>
        <v>0</v>
      </c>
      <c r="AC323" s="609">
        <f t="shared" si="281"/>
        <v>0</v>
      </c>
      <c r="AD323" s="609">
        <f t="shared" si="289"/>
        <v>0</v>
      </c>
      <c r="AE323" s="609">
        <f t="shared" si="290"/>
        <v>0</v>
      </c>
      <c r="AF323" s="609">
        <f t="shared" si="291"/>
        <v>0</v>
      </c>
      <c r="AG323" s="610">
        <f t="shared" si="292"/>
        <v>0</v>
      </c>
      <c r="AH323" s="609">
        <f t="shared" si="293"/>
        <v>0</v>
      </c>
      <c r="AI323" s="609">
        <f t="shared" si="294"/>
        <v>0</v>
      </c>
      <c r="AJ323" s="609">
        <f t="shared" si="295"/>
        <v>0</v>
      </c>
      <c r="AK323" s="609">
        <f t="shared" si="296"/>
        <v>0</v>
      </c>
      <c r="AL323" s="609">
        <f t="shared" si="297"/>
        <v>0</v>
      </c>
      <c r="AM323" s="609">
        <f t="shared" si="298"/>
        <v>0</v>
      </c>
      <c r="AN323" s="609">
        <f t="shared" si="299"/>
        <v>0</v>
      </c>
      <c r="AO323" s="609">
        <f t="shared" si="300"/>
        <v>0</v>
      </c>
      <c r="AP323" s="611">
        <f t="shared" si="301"/>
        <v>1</v>
      </c>
      <c r="AQ323" s="612">
        <f t="shared" si="302"/>
        <v>0</v>
      </c>
      <c r="AR323" s="613" t="s">
        <v>158</v>
      </c>
      <c r="AS323" s="614">
        <f t="shared" si="282"/>
        <v>100</v>
      </c>
      <c r="AT323" s="615">
        <f t="shared" si="303"/>
        <v>0</v>
      </c>
      <c r="AU323" s="616">
        <f t="shared" si="304"/>
        <v>0</v>
      </c>
      <c r="AV323" s="617"/>
      <c r="AW323" s="611" t="e">
        <f>VLOOKUP(AX323,Sup!#REF!,8,0)</f>
        <v>#REF!</v>
      </c>
      <c r="AX323" s="1018" t="s">
        <v>199</v>
      </c>
      <c r="AY323" s="1140">
        <v>0</v>
      </c>
      <c r="AZ323" s="618"/>
      <c r="BA323" s="618"/>
      <c r="BB323" s="618"/>
      <c r="BC323" s="618">
        <f t="shared" si="305"/>
        <v>0</v>
      </c>
      <c r="BD323" s="618" t="str">
        <f t="shared" si="283"/>
        <v/>
      </c>
      <c r="BE323" s="619">
        <f t="shared" si="306"/>
        <v>0</v>
      </c>
      <c r="BF323" s="1019"/>
      <c r="BG323" s="620"/>
      <c r="BH323" s="621"/>
      <c r="BI323" s="621"/>
      <c r="BJ323" s="621"/>
      <c r="BK323" s="621"/>
      <c r="BL323" s="621"/>
      <c r="BM323" s="980" t="e">
        <f>#REF!+24</f>
        <v>#REF!</v>
      </c>
      <c r="BN323" s="623"/>
      <c r="BO323" s="1020" t="s">
        <v>522</v>
      </c>
      <c r="BP323" s="973" t="str">
        <f t="shared" si="307"/>
        <v>Car</v>
      </c>
      <c r="BQ323" s="973" t="str">
        <f t="shared" si="308"/>
        <v>Pot</v>
      </c>
      <c r="BR323" s="1021" t="str">
        <f t="shared" si="309"/>
        <v>COMBOWPCPWOCarPot</v>
      </c>
      <c r="BS323" s="675"/>
      <c r="BT323" s="12"/>
      <c r="BU323" s="1017" t="s">
        <v>525</v>
      </c>
      <c r="BV323" s="1017"/>
      <c r="BW323" s="982" t="s">
        <v>507</v>
      </c>
      <c r="BX323" s="1022">
        <f t="shared" si="310"/>
        <v>0</v>
      </c>
      <c r="BY323" s="621" t="e">
        <f>VLOOKUP(B323,#REF!,13,0)</f>
        <v>#REF!</v>
      </c>
      <c r="BZ323" s="1056"/>
      <c r="CA323" s="1181" t="e">
        <f>VLOOKUP(B323,Pedido!$B$16:$L$292,22,0)</f>
        <v>#N/A</v>
      </c>
      <c r="CB323" s="1181"/>
      <c r="CC323" s="1180"/>
      <c r="CD323" s="1180"/>
      <c r="CE323" s="1180"/>
      <c r="CF323" s="1180"/>
      <c r="CG323" s="1177"/>
    </row>
    <row r="324" spans="1:85" s="622" customFormat="1" ht="27" customHeight="1" thickBot="1">
      <c r="A324" s="1239"/>
      <c r="B324" s="962" t="s">
        <v>660</v>
      </c>
      <c r="C324" s="607" t="s">
        <v>665</v>
      </c>
      <c r="D324" s="547" t="s">
        <v>655</v>
      </c>
      <c r="E324" s="642" t="s">
        <v>125</v>
      </c>
      <c r="F324" s="642" t="s">
        <v>61</v>
      </c>
      <c r="G324" s="548">
        <v>900</v>
      </c>
      <c r="H324" s="1160"/>
      <c r="I324" s="549">
        <v>449.9</v>
      </c>
      <c r="J324" s="626" t="str">
        <f t="shared" si="284"/>
        <v/>
      </c>
      <c r="K324" s="627" t="str">
        <f t="shared" si="285"/>
        <v/>
      </c>
      <c r="L324" s="552">
        <f>IF(Pedido!$G$7&gt;14,249.9,295.7)</f>
        <v>295.7</v>
      </c>
      <c r="M324" s="553">
        <f>IF(Pedido!$G$7&gt;14,249.9,295.7)</f>
        <v>295.7</v>
      </c>
      <c r="N324" s="553">
        <f>IF(Pedido!$G$7&gt;14,249.9,295.7)</f>
        <v>295.7</v>
      </c>
      <c r="O324" s="553">
        <f>IF(Pedido!$G$7&gt;14,249.9,295.7)</f>
        <v>295.7</v>
      </c>
      <c r="P324" s="553">
        <f>IF(Pedido!$G$7&gt;14,249.9,295.7)</f>
        <v>295.7</v>
      </c>
      <c r="Q324" s="553">
        <f>IF(Pedido!$G$7&gt;14,249.9,295.7)</f>
        <v>295.7</v>
      </c>
      <c r="R324" s="553">
        <f>IF(Pedido!$G$7&gt;14,249.9,295.7)</f>
        <v>295.7</v>
      </c>
      <c r="S324" s="1254">
        <f>IF(Pedido!$G$7&gt;14,249.9,295.7)</f>
        <v>295.7</v>
      </c>
      <c r="T324" s="1240" t="str">
        <f t="shared" si="286"/>
        <v/>
      </c>
      <c r="U324" s="608" t="str">
        <f t="shared" si="287"/>
        <v/>
      </c>
      <c r="V324" s="1041"/>
      <c r="W324" s="1139"/>
      <c r="X324" s="676"/>
      <c r="Y324" s="628" t="str">
        <f t="shared" si="279"/>
        <v/>
      </c>
      <c r="Z324" s="629"/>
      <c r="AA324" s="609">
        <f t="shared" si="288"/>
        <v>0</v>
      </c>
      <c r="AB324" s="609">
        <f t="shared" si="280"/>
        <v>0</v>
      </c>
      <c r="AC324" s="609">
        <f t="shared" si="281"/>
        <v>0</v>
      </c>
      <c r="AD324" s="609">
        <f t="shared" si="289"/>
        <v>0</v>
      </c>
      <c r="AE324" s="609">
        <f t="shared" si="290"/>
        <v>0</v>
      </c>
      <c r="AF324" s="609">
        <f t="shared" si="291"/>
        <v>0</v>
      </c>
      <c r="AG324" s="610">
        <f t="shared" si="292"/>
        <v>0</v>
      </c>
      <c r="AH324" s="609">
        <f t="shared" si="293"/>
        <v>0</v>
      </c>
      <c r="AI324" s="609">
        <f t="shared" si="294"/>
        <v>0</v>
      </c>
      <c r="AJ324" s="609">
        <f t="shared" si="295"/>
        <v>0</v>
      </c>
      <c r="AK324" s="609">
        <f t="shared" si="296"/>
        <v>0</v>
      </c>
      <c r="AL324" s="609">
        <f t="shared" si="297"/>
        <v>0</v>
      </c>
      <c r="AM324" s="609">
        <f t="shared" si="298"/>
        <v>0</v>
      </c>
      <c r="AN324" s="609">
        <f t="shared" si="299"/>
        <v>0</v>
      </c>
      <c r="AO324" s="609">
        <f t="shared" si="300"/>
        <v>0</v>
      </c>
      <c r="AP324" s="611">
        <f t="shared" si="301"/>
        <v>1</v>
      </c>
      <c r="AQ324" s="612">
        <f t="shared" si="302"/>
        <v>0</v>
      </c>
      <c r="AR324" s="613" t="s">
        <v>158</v>
      </c>
      <c r="AS324" s="614">
        <f t="shared" si="282"/>
        <v>100</v>
      </c>
      <c r="AT324" s="615">
        <f t="shared" si="303"/>
        <v>0</v>
      </c>
      <c r="AU324" s="616">
        <f t="shared" si="304"/>
        <v>0</v>
      </c>
      <c r="AV324" s="617"/>
      <c r="AW324" s="611" t="e">
        <f>VLOOKUP(AX324,Sup!#REF!,8,0)</f>
        <v>#REF!</v>
      </c>
      <c r="AX324" s="1018" t="s">
        <v>199</v>
      </c>
      <c r="AY324" s="1140">
        <v>0</v>
      </c>
      <c r="AZ324" s="618"/>
      <c r="BA324" s="618"/>
      <c r="BB324" s="618"/>
      <c r="BC324" s="618">
        <f t="shared" si="305"/>
        <v>0</v>
      </c>
      <c r="BD324" s="618" t="str">
        <f t="shared" si="283"/>
        <v/>
      </c>
      <c r="BE324" s="619">
        <f t="shared" si="306"/>
        <v>0</v>
      </c>
      <c r="BF324" s="1019"/>
      <c r="BG324" s="620"/>
      <c r="BH324" s="621"/>
      <c r="BI324" s="621"/>
      <c r="BJ324" s="621"/>
      <c r="BK324" s="621"/>
      <c r="BL324" s="621"/>
      <c r="BM324" s="980" t="e">
        <f>#REF!+24</f>
        <v>#REF!</v>
      </c>
      <c r="BN324" s="623"/>
      <c r="BO324" s="1020" t="s">
        <v>522</v>
      </c>
      <c r="BP324" s="973" t="str">
        <f t="shared" si="307"/>
        <v>Cho</v>
      </c>
      <c r="BQ324" s="973" t="str">
        <f t="shared" si="308"/>
        <v>Pot</v>
      </c>
      <c r="BR324" s="1021" t="str">
        <f t="shared" si="309"/>
        <v>COMBOWPCPWOChoPot</v>
      </c>
      <c r="BS324" s="675"/>
      <c r="BT324" s="12"/>
      <c r="BU324" s="1017" t="s">
        <v>525</v>
      </c>
      <c r="BV324" s="1017"/>
      <c r="BW324" s="982" t="s">
        <v>507</v>
      </c>
      <c r="BX324" s="1022">
        <f t="shared" si="310"/>
        <v>0</v>
      </c>
      <c r="BY324" s="621" t="e">
        <f>VLOOKUP(B324,#REF!,13,0)</f>
        <v>#REF!</v>
      </c>
      <c r="BZ324" s="1056"/>
      <c r="CA324" s="1181" t="e">
        <f>VLOOKUP(B324,Pedido!$B$16:$L$292,22,0)</f>
        <v>#N/A</v>
      </c>
      <c r="CB324" s="1181"/>
      <c r="CC324" s="1180"/>
      <c r="CD324" s="1180"/>
      <c r="CE324" s="1180"/>
      <c r="CF324" s="1180"/>
      <c r="CG324" s="1177"/>
    </row>
    <row r="325" spans="1:85" s="622" customFormat="1" ht="27" customHeight="1" thickBot="1">
      <c r="A325" s="1239"/>
      <c r="B325" s="962" t="s">
        <v>661</v>
      </c>
      <c r="C325" s="607" t="s">
        <v>665</v>
      </c>
      <c r="D325" s="547" t="s">
        <v>655</v>
      </c>
      <c r="E325" s="642" t="s">
        <v>274</v>
      </c>
      <c r="F325" s="642" t="s">
        <v>61</v>
      </c>
      <c r="G325" s="548">
        <v>900</v>
      </c>
      <c r="H325" s="1160"/>
      <c r="I325" s="549">
        <v>449.9</v>
      </c>
      <c r="J325" s="626" t="str">
        <f t="shared" si="284"/>
        <v/>
      </c>
      <c r="K325" s="627" t="str">
        <f t="shared" si="285"/>
        <v/>
      </c>
      <c r="L325" s="552">
        <f>IF(Pedido!$G$7&gt;14,249.9,295.7)</f>
        <v>295.7</v>
      </c>
      <c r="M325" s="553">
        <f>IF(Pedido!$G$7&gt;14,249.9,295.7)</f>
        <v>295.7</v>
      </c>
      <c r="N325" s="553">
        <f>IF(Pedido!$G$7&gt;14,249.9,295.7)</f>
        <v>295.7</v>
      </c>
      <c r="O325" s="553">
        <f>IF(Pedido!$G$7&gt;14,249.9,295.7)</f>
        <v>295.7</v>
      </c>
      <c r="P325" s="553">
        <f>IF(Pedido!$G$7&gt;14,249.9,295.7)</f>
        <v>295.7</v>
      </c>
      <c r="Q325" s="553">
        <f>IF(Pedido!$G$7&gt;14,249.9,295.7)</f>
        <v>295.7</v>
      </c>
      <c r="R325" s="553">
        <f>IF(Pedido!$G$7&gt;14,249.9,295.7)</f>
        <v>295.7</v>
      </c>
      <c r="S325" s="1254">
        <f>IF(Pedido!$G$7&gt;14,249.9,295.7)</f>
        <v>295.7</v>
      </c>
      <c r="T325" s="1240" t="str">
        <f t="shared" si="286"/>
        <v/>
      </c>
      <c r="U325" s="608" t="str">
        <f t="shared" si="287"/>
        <v/>
      </c>
      <c r="V325" s="1041"/>
      <c r="W325" s="1139"/>
      <c r="X325" s="676"/>
      <c r="Y325" s="628" t="str">
        <f t="shared" si="279"/>
        <v/>
      </c>
      <c r="Z325" s="629"/>
      <c r="AA325" s="609">
        <f t="shared" si="288"/>
        <v>0</v>
      </c>
      <c r="AB325" s="609">
        <f t="shared" si="280"/>
        <v>0</v>
      </c>
      <c r="AC325" s="609">
        <f t="shared" si="281"/>
        <v>0</v>
      </c>
      <c r="AD325" s="609">
        <f t="shared" si="289"/>
        <v>0</v>
      </c>
      <c r="AE325" s="609">
        <f t="shared" si="290"/>
        <v>0</v>
      </c>
      <c r="AF325" s="609">
        <f t="shared" si="291"/>
        <v>0</v>
      </c>
      <c r="AG325" s="610">
        <f t="shared" si="292"/>
        <v>0</v>
      </c>
      <c r="AH325" s="609">
        <f t="shared" si="293"/>
        <v>0</v>
      </c>
      <c r="AI325" s="609">
        <f t="shared" si="294"/>
        <v>0</v>
      </c>
      <c r="AJ325" s="609">
        <f t="shared" si="295"/>
        <v>0</v>
      </c>
      <c r="AK325" s="609">
        <f t="shared" si="296"/>
        <v>0</v>
      </c>
      <c r="AL325" s="609">
        <f t="shared" si="297"/>
        <v>0</v>
      </c>
      <c r="AM325" s="609">
        <f t="shared" si="298"/>
        <v>0</v>
      </c>
      <c r="AN325" s="609">
        <f t="shared" si="299"/>
        <v>0</v>
      </c>
      <c r="AO325" s="609">
        <f t="shared" si="300"/>
        <v>0</v>
      </c>
      <c r="AP325" s="611">
        <f t="shared" si="301"/>
        <v>1</v>
      </c>
      <c r="AQ325" s="612">
        <f t="shared" si="302"/>
        <v>0</v>
      </c>
      <c r="AR325" s="613" t="s">
        <v>158</v>
      </c>
      <c r="AS325" s="614">
        <f t="shared" si="282"/>
        <v>100</v>
      </c>
      <c r="AT325" s="615">
        <f t="shared" si="303"/>
        <v>0</v>
      </c>
      <c r="AU325" s="616">
        <f t="shared" si="304"/>
        <v>0</v>
      </c>
      <c r="AV325" s="617"/>
      <c r="AW325" s="611" t="e">
        <f>VLOOKUP(AX325,Sup!#REF!,8,0)</f>
        <v>#REF!</v>
      </c>
      <c r="AX325" s="1018" t="s">
        <v>199</v>
      </c>
      <c r="AY325" s="1140">
        <v>0</v>
      </c>
      <c r="AZ325" s="618"/>
      <c r="BA325" s="618"/>
      <c r="BB325" s="618"/>
      <c r="BC325" s="618">
        <f t="shared" si="305"/>
        <v>0</v>
      </c>
      <c r="BD325" s="618" t="str">
        <f t="shared" si="283"/>
        <v/>
      </c>
      <c r="BE325" s="619">
        <f t="shared" si="306"/>
        <v>0</v>
      </c>
      <c r="BF325" s="1019"/>
      <c r="BG325" s="620"/>
      <c r="BH325" s="621"/>
      <c r="BI325" s="621"/>
      <c r="BJ325" s="621"/>
      <c r="BK325" s="621"/>
      <c r="BL325" s="621"/>
      <c r="BM325" s="980" t="e">
        <f>#REF!+24</f>
        <v>#REF!</v>
      </c>
      <c r="BN325" s="623"/>
      <c r="BO325" s="1020" t="s">
        <v>522</v>
      </c>
      <c r="BP325" s="973" t="str">
        <f t="shared" si="307"/>
        <v>Cho</v>
      </c>
      <c r="BQ325" s="973" t="str">
        <f t="shared" si="308"/>
        <v>Pot</v>
      </c>
      <c r="BR325" s="1021" t="str">
        <f t="shared" si="309"/>
        <v>COMBOWPCPWOChoPot</v>
      </c>
      <c r="BS325" s="675"/>
      <c r="BT325" s="12"/>
      <c r="BU325" s="1017" t="s">
        <v>525</v>
      </c>
      <c r="BV325" s="1017"/>
      <c r="BW325" s="982" t="s">
        <v>507</v>
      </c>
      <c r="BX325" s="1022">
        <f t="shared" si="310"/>
        <v>0</v>
      </c>
      <c r="BY325" s="621" t="e">
        <f>VLOOKUP(B325,#REF!,13,0)</f>
        <v>#REF!</v>
      </c>
      <c r="BZ325" s="1056"/>
      <c r="CA325" s="1181" t="e">
        <f>VLOOKUP(B325,Pedido!$B$16:$L$292,22,0)</f>
        <v>#N/A</v>
      </c>
      <c r="CB325" s="1181"/>
      <c r="CC325" s="1180"/>
      <c r="CD325" s="1180"/>
      <c r="CE325" s="1180"/>
      <c r="CF325" s="1180"/>
      <c r="CG325" s="1177"/>
    </row>
    <row r="326" spans="1:85" s="622" customFormat="1" ht="27" customHeight="1" thickBot="1">
      <c r="A326" s="1239"/>
      <c r="B326" s="962" t="s">
        <v>662</v>
      </c>
      <c r="C326" s="607" t="s">
        <v>665</v>
      </c>
      <c r="D326" s="547" t="s">
        <v>655</v>
      </c>
      <c r="E326" s="642" t="s">
        <v>118</v>
      </c>
      <c r="F326" s="642" t="s">
        <v>61</v>
      </c>
      <c r="G326" s="548">
        <v>900</v>
      </c>
      <c r="H326" s="1160"/>
      <c r="I326" s="549">
        <v>449.9</v>
      </c>
      <c r="J326" s="626" t="str">
        <f t="shared" si="284"/>
        <v/>
      </c>
      <c r="K326" s="627" t="str">
        <f t="shared" si="285"/>
        <v/>
      </c>
      <c r="L326" s="552">
        <f>IF(Pedido!$G$7&gt;14,249.9,295.7)</f>
        <v>295.7</v>
      </c>
      <c r="M326" s="553">
        <f>IF(Pedido!$G$7&gt;14,249.9,295.7)</f>
        <v>295.7</v>
      </c>
      <c r="N326" s="553">
        <f>IF(Pedido!$G$7&gt;14,249.9,295.7)</f>
        <v>295.7</v>
      </c>
      <c r="O326" s="553">
        <f>IF(Pedido!$G$7&gt;14,249.9,295.7)</f>
        <v>295.7</v>
      </c>
      <c r="P326" s="553">
        <f>IF(Pedido!$G$7&gt;14,249.9,295.7)</f>
        <v>295.7</v>
      </c>
      <c r="Q326" s="553">
        <f>IF(Pedido!$G$7&gt;14,249.9,295.7)</f>
        <v>295.7</v>
      </c>
      <c r="R326" s="553">
        <f>IF(Pedido!$G$7&gt;14,249.9,295.7)</f>
        <v>295.7</v>
      </c>
      <c r="S326" s="1254">
        <f>IF(Pedido!$G$7&gt;14,249.9,295.7)</f>
        <v>295.7</v>
      </c>
      <c r="T326" s="1240" t="str">
        <f t="shared" si="286"/>
        <v/>
      </c>
      <c r="U326" s="608" t="str">
        <f t="shared" si="287"/>
        <v/>
      </c>
      <c r="V326" s="1041"/>
      <c r="W326" s="1139"/>
      <c r="X326" s="676"/>
      <c r="Y326" s="628" t="str">
        <f t="shared" si="279"/>
        <v/>
      </c>
      <c r="Z326" s="629"/>
      <c r="AA326" s="609">
        <f t="shared" si="288"/>
        <v>0</v>
      </c>
      <c r="AB326" s="609">
        <f t="shared" si="280"/>
        <v>0</v>
      </c>
      <c r="AC326" s="609">
        <f t="shared" si="281"/>
        <v>0</v>
      </c>
      <c r="AD326" s="609">
        <f t="shared" si="289"/>
        <v>0</v>
      </c>
      <c r="AE326" s="609">
        <f t="shared" si="290"/>
        <v>0</v>
      </c>
      <c r="AF326" s="609">
        <f t="shared" si="291"/>
        <v>0</v>
      </c>
      <c r="AG326" s="610">
        <f t="shared" si="292"/>
        <v>0</v>
      </c>
      <c r="AH326" s="609">
        <f t="shared" si="293"/>
        <v>0</v>
      </c>
      <c r="AI326" s="609">
        <f t="shared" si="294"/>
        <v>0</v>
      </c>
      <c r="AJ326" s="609">
        <f t="shared" si="295"/>
        <v>0</v>
      </c>
      <c r="AK326" s="609">
        <f t="shared" si="296"/>
        <v>0</v>
      </c>
      <c r="AL326" s="609">
        <f t="shared" si="297"/>
        <v>0</v>
      </c>
      <c r="AM326" s="609">
        <f t="shared" si="298"/>
        <v>0</v>
      </c>
      <c r="AN326" s="609">
        <f t="shared" si="299"/>
        <v>0</v>
      </c>
      <c r="AO326" s="609">
        <f t="shared" si="300"/>
        <v>0</v>
      </c>
      <c r="AP326" s="611">
        <f t="shared" si="301"/>
        <v>1</v>
      </c>
      <c r="AQ326" s="612">
        <f t="shared" si="302"/>
        <v>0</v>
      </c>
      <c r="AR326" s="613" t="s">
        <v>158</v>
      </c>
      <c r="AS326" s="614">
        <f t="shared" si="282"/>
        <v>100</v>
      </c>
      <c r="AT326" s="615">
        <f t="shared" si="303"/>
        <v>0</v>
      </c>
      <c r="AU326" s="616">
        <f t="shared" si="304"/>
        <v>0</v>
      </c>
      <c r="AV326" s="617"/>
      <c r="AW326" s="611" t="e">
        <f>VLOOKUP(AX326,Sup!#REF!,8,0)</f>
        <v>#REF!</v>
      </c>
      <c r="AX326" s="1018" t="s">
        <v>199</v>
      </c>
      <c r="AY326" s="1140">
        <v>0</v>
      </c>
      <c r="AZ326" s="618"/>
      <c r="BA326" s="618"/>
      <c r="BB326" s="618"/>
      <c r="BC326" s="618">
        <f t="shared" si="305"/>
        <v>0</v>
      </c>
      <c r="BD326" s="618" t="str">
        <f t="shared" si="283"/>
        <v/>
      </c>
      <c r="BE326" s="619">
        <f t="shared" si="306"/>
        <v>0</v>
      </c>
      <c r="BF326" s="1019"/>
      <c r="BG326" s="620"/>
      <c r="BH326" s="621"/>
      <c r="BI326" s="621"/>
      <c r="BJ326" s="621"/>
      <c r="BK326" s="621"/>
      <c r="BL326" s="621"/>
      <c r="BM326" s="980" t="e">
        <f>#REF!+24</f>
        <v>#REF!</v>
      </c>
      <c r="BN326" s="623"/>
      <c r="BO326" s="1020" t="s">
        <v>522</v>
      </c>
      <c r="BP326" s="973" t="str">
        <f t="shared" si="307"/>
        <v>Coc</v>
      </c>
      <c r="BQ326" s="973" t="str">
        <f t="shared" si="308"/>
        <v>Pot</v>
      </c>
      <c r="BR326" s="1021" t="str">
        <f t="shared" si="309"/>
        <v>COMBOWPCPWOCocPot</v>
      </c>
      <c r="BS326" s="675"/>
      <c r="BT326" s="12"/>
      <c r="BU326" s="1017" t="s">
        <v>525</v>
      </c>
      <c r="BV326" s="1017"/>
      <c r="BW326" s="982" t="s">
        <v>507</v>
      </c>
      <c r="BX326" s="1022">
        <f t="shared" si="310"/>
        <v>0</v>
      </c>
      <c r="BY326" s="621" t="e">
        <f>VLOOKUP(B326,#REF!,13,0)</f>
        <v>#REF!</v>
      </c>
      <c r="BZ326" s="1056"/>
      <c r="CA326" s="1181" t="e">
        <f>VLOOKUP(B326,Pedido!$B$16:$L$292,22,0)</f>
        <v>#N/A</v>
      </c>
      <c r="CB326" s="1181"/>
      <c r="CC326" s="1180"/>
      <c r="CD326" s="1180"/>
      <c r="CE326" s="1180"/>
      <c r="CF326" s="1180"/>
      <c r="CG326" s="1177"/>
    </row>
    <row r="327" spans="1:85" s="622" customFormat="1" ht="27" customHeight="1" thickBot="1">
      <c r="A327" s="1239"/>
      <c r="B327" s="962" t="s">
        <v>663</v>
      </c>
      <c r="C327" s="607" t="s">
        <v>665</v>
      </c>
      <c r="D327" s="547" t="s">
        <v>655</v>
      </c>
      <c r="E327" s="642" t="s">
        <v>126</v>
      </c>
      <c r="F327" s="642" t="s">
        <v>61</v>
      </c>
      <c r="G327" s="548">
        <v>900</v>
      </c>
      <c r="H327" s="1160"/>
      <c r="I327" s="549">
        <v>449.9</v>
      </c>
      <c r="J327" s="626" t="str">
        <f t="shared" si="284"/>
        <v/>
      </c>
      <c r="K327" s="627" t="str">
        <f t="shared" si="285"/>
        <v/>
      </c>
      <c r="L327" s="552">
        <f>IF(Pedido!$G$7&gt;14,249.9,295.7)</f>
        <v>295.7</v>
      </c>
      <c r="M327" s="553">
        <f>IF(Pedido!$G$7&gt;14,249.9,295.7)</f>
        <v>295.7</v>
      </c>
      <c r="N327" s="553">
        <f>IF(Pedido!$G$7&gt;14,249.9,295.7)</f>
        <v>295.7</v>
      </c>
      <c r="O327" s="553">
        <f>IF(Pedido!$G$7&gt;14,249.9,295.7)</f>
        <v>295.7</v>
      </c>
      <c r="P327" s="553">
        <f>IF(Pedido!$G$7&gt;14,249.9,295.7)</f>
        <v>295.7</v>
      </c>
      <c r="Q327" s="553">
        <f>IF(Pedido!$G$7&gt;14,249.9,295.7)</f>
        <v>295.7</v>
      </c>
      <c r="R327" s="553">
        <f>IF(Pedido!$G$7&gt;14,249.9,295.7)</f>
        <v>295.7</v>
      </c>
      <c r="S327" s="1254">
        <f>IF(Pedido!$G$7&gt;14,249.9,295.7)</f>
        <v>295.7</v>
      </c>
      <c r="T327" s="1240" t="str">
        <f t="shared" si="286"/>
        <v/>
      </c>
      <c r="U327" s="608" t="str">
        <f t="shared" si="287"/>
        <v/>
      </c>
      <c r="V327" s="1041"/>
      <c r="W327" s="1139"/>
      <c r="X327" s="676"/>
      <c r="Y327" s="628" t="str">
        <f t="shared" si="279"/>
        <v/>
      </c>
      <c r="Z327" s="629"/>
      <c r="AA327" s="609">
        <f t="shared" si="288"/>
        <v>0</v>
      </c>
      <c r="AB327" s="609">
        <f t="shared" si="280"/>
        <v>0</v>
      </c>
      <c r="AC327" s="609">
        <f t="shared" si="281"/>
        <v>0</v>
      </c>
      <c r="AD327" s="609">
        <f t="shared" si="289"/>
        <v>0</v>
      </c>
      <c r="AE327" s="609">
        <f t="shared" si="290"/>
        <v>0</v>
      </c>
      <c r="AF327" s="609">
        <f t="shared" si="291"/>
        <v>0</v>
      </c>
      <c r="AG327" s="610">
        <f t="shared" si="292"/>
        <v>0</v>
      </c>
      <c r="AH327" s="609">
        <f t="shared" si="293"/>
        <v>0</v>
      </c>
      <c r="AI327" s="609">
        <f t="shared" si="294"/>
        <v>0</v>
      </c>
      <c r="AJ327" s="609">
        <f t="shared" si="295"/>
        <v>0</v>
      </c>
      <c r="AK327" s="609">
        <f t="shared" si="296"/>
        <v>0</v>
      </c>
      <c r="AL327" s="609">
        <f t="shared" si="297"/>
        <v>0</v>
      </c>
      <c r="AM327" s="609">
        <f t="shared" si="298"/>
        <v>0</v>
      </c>
      <c r="AN327" s="609">
        <f t="shared" si="299"/>
        <v>0</v>
      </c>
      <c r="AO327" s="609">
        <f t="shared" si="300"/>
        <v>0</v>
      </c>
      <c r="AP327" s="611">
        <f t="shared" si="301"/>
        <v>1</v>
      </c>
      <c r="AQ327" s="612">
        <f t="shared" si="302"/>
        <v>0</v>
      </c>
      <c r="AR327" s="613" t="s">
        <v>158</v>
      </c>
      <c r="AS327" s="614">
        <f t="shared" si="282"/>
        <v>100</v>
      </c>
      <c r="AT327" s="615">
        <f t="shared" si="303"/>
        <v>0</v>
      </c>
      <c r="AU327" s="616">
        <f t="shared" si="304"/>
        <v>0</v>
      </c>
      <c r="AV327" s="617"/>
      <c r="AW327" s="611" t="e">
        <f>VLOOKUP(AX327,Sup!#REF!,8,0)</f>
        <v>#REF!</v>
      </c>
      <c r="AX327" s="1018" t="s">
        <v>199</v>
      </c>
      <c r="AY327" s="1140">
        <v>0</v>
      </c>
      <c r="AZ327" s="618"/>
      <c r="BA327" s="618"/>
      <c r="BB327" s="618"/>
      <c r="BC327" s="618">
        <f t="shared" si="305"/>
        <v>0</v>
      </c>
      <c r="BD327" s="618" t="str">
        <f t="shared" si="283"/>
        <v/>
      </c>
      <c r="BE327" s="619">
        <f t="shared" si="306"/>
        <v>0</v>
      </c>
      <c r="BF327" s="1019"/>
      <c r="BG327" s="620"/>
      <c r="BH327" s="621"/>
      <c r="BI327" s="621"/>
      <c r="BJ327" s="621"/>
      <c r="BK327" s="621"/>
      <c r="BL327" s="621"/>
      <c r="BM327" s="980" t="e">
        <f>#REF!+24</f>
        <v>#REF!</v>
      </c>
      <c r="BN327" s="623"/>
      <c r="BO327" s="1020" t="s">
        <v>522</v>
      </c>
      <c r="BP327" s="973" t="str">
        <f t="shared" si="307"/>
        <v>Coo</v>
      </c>
      <c r="BQ327" s="973" t="str">
        <f t="shared" si="308"/>
        <v>Pot</v>
      </c>
      <c r="BR327" s="1021" t="str">
        <f t="shared" si="309"/>
        <v>COMBOWPCPWOCooPot</v>
      </c>
      <c r="BS327" s="675"/>
      <c r="BT327" s="12"/>
      <c r="BU327" s="1017" t="s">
        <v>525</v>
      </c>
      <c r="BV327" s="1017"/>
      <c r="BW327" s="982" t="s">
        <v>507</v>
      </c>
      <c r="BX327" s="1022">
        <f t="shared" si="310"/>
        <v>0</v>
      </c>
      <c r="BY327" s="621" t="e">
        <f>VLOOKUP(B327,#REF!,13,0)</f>
        <v>#REF!</v>
      </c>
      <c r="BZ327" s="1056"/>
      <c r="CA327" s="1181" t="e">
        <f>VLOOKUP(B327,Pedido!$B$16:$L$292,22,0)</f>
        <v>#N/A</v>
      </c>
      <c r="CB327" s="1181"/>
      <c r="CC327" s="1180"/>
      <c r="CD327" s="1180"/>
      <c r="CE327" s="1180"/>
      <c r="CF327" s="1180"/>
      <c r="CG327" s="1177"/>
    </row>
    <row r="328" spans="1:85" s="622" customFormat="1" ht="27" customHeight="1" thickBot="1">
      <c r="A328" s="1239"/>
      <c r="B328" s="963" t="s">
        <v>664</v>
      </c>
      <c r="C328" s="624" t="s">
        <v>665</v>
      </c>
      <c r="D328" s="554" t="s">
        <v>655</v>
      </c>
      <c r="E328" s="643" t="s">
        <v>271</v>
      </c>
      <c r="F328" s="643" t="s">
        <v>61</v>
      </c>
      <c r="G328" s="625">
        <v>900</v>
      </c>
      <c r="H328" s="1283"/>
      <c r="I328" s="1278">
        <v>449.9</v>
      </c>
      <c r="J328" s="1279" t="str">
        <f t="shared" si="284"/>
        <v/>
      </c>
      <c r="K328" s="1280" t="str">
        <f t="shared" si="285"/>
        <v/>
      </c>
      <c r="L328" s="1281">
        <f>IF(Pedido!$G$7&gt;14,249.9,295.7)</f>
        <v>295.7</v>
      </c>
      <c r="M328" s="1282">
        <f>IF(Pedido!$G$7&gt;14,249.9,295.7)</f>
        <v>295.7</v>
      </c>
      <c r="N328" s="1282">
        <f>IF(Pedido!$G$7&gt;14,249.9,295.7)</f>
        <v>295.7</v>
      </c>
      <c r="O328" s="1282">
        <f>IF(Pedido!$G$7&gt;14,249.9,295.7)</f>
        <v>295.7</v>
      </c>
      <c r="P328" s="1282">
        <f>IF(Pedido!$G$7&gt;14,249.9,295.7)</f>
        <v>295.7</v>
      </c>
      <c r="Q328" s="1282">
        <f>IF(Pedido!$G$7&gt;14,249.9,295.7)</f>
        <v>295.7</v>
      </c>
      <c r="R328" s="1282">
        <f>IF(Pedido!$G$7&gt;14,249.9,295.7)</f>
        <v>295.7</v>
      </c>
      <c r="S328" s="1284">
        <f>IF(Pedido!$G$7&gt;14,249.9,295.7)</f>
        <v>295.7</v>
      </c>
      <c r="T328" s="1240" t="str">
        <f t="shared" si="286"/>
        <v/>
      </c>
      <c r="U328" s="608" t="str">
        <f t="shared" si="287"/>
        <v/>
      </c>
      <c r="V328" s="1041"/>
      <c r="W328" s="1139"/>
      <c r="X328" s="676"/>
      <c r="Y328" s="628" t="str">
        <f t="shared" si="279"/>
        <v/>
      </c>
      <c r="Z328" s="629"/>
      <c r="AA328" s="609">
        <f t="shared" si="288"/>
        <v>0</v>
      </c>
      <c r="AB328" s="609">
        <f t="shared" si="280"/>
        <v>0</v>
      </c>
      <c r="AC328" s="609">
        <f t="shared" si="281"/>
        <v>0</v>
      </c>
      <c r="AD328" s="609">
        <f t="shared" si="289"/>
        <v>0</v>
      </c>
      <c r="AE328" s="609">
        <f t="shared" si="290"/>
        <v>0</v>
      </c>
      <c r="AF328" s="609">
        <f t="shared" si="291"/>
        <v>0</v>
      </c>
      <c r="AG328" s="610">
        <f t="shared" si="292"/>
        <v>0</v>
      </c>
      <c r="AH328" s="609">
        <f t="shared" si="293"/>
        <v>0</v>
      </c>
      <c r="AI328" s="609">
        <f t="shared" si="294"/>
        <v>0</v>
      </c>
      <c r="AJ328" s="609">
        <f t="shared" si="295"/>
        <v>0</v>
      </c>
      <c r="AK328" s="609">
        <f t="shared" si="296"/>
        <v>0</v>
      </c>
      <c r="AL328" s="609">
        <f t="shared" si="297"/>
        <v>0</v>
      </c>
      <c r="AM328" s="609">
        <f t="shared" si="298"/>
        <v>0</v>
      </c>
      <c r="AN328" s="609">
        <f t="shared" si="299"/>
        <v>0</v>
      </c>
      <c r="AO328" s="609">
        <f t="shared" si="300"/>
        <v>0</v>
      </c>
      <c r="AP328" s="611">
        <f t="shared" si="301"/>
        <v>1</v>
      </c>
      <c r="AQ328" s="612">
        <f t="shared" si="302"/>
        <v>0</v>
      </c>
      <c r="AR328" s="613" t="s">
        <v>158</v>
      </c>
      <c r="AS328" s="614">
        <f t="shared" si="282"/>
        <v>100</v>
      </c>
      <c r="AT328" s="615">
        <f t="shared" si="303"/>
        <v>0</v>
      </c>
      <c r="AU328" s="616">
        <f t="shared" si="304"/>
        <v>0</v>
      </c>
      <c r="AV328" s="617"/>
      <c r="AW328" s="611" t="e">
        <f>VLOOKUP(AX328,Sup!#REF!,8,0)</f>
        <v>#REF!</v>
      </c>
      <c r="AX328" s="1018" t="s">
        <v>199</v>
      </c>
      <c r="AY328" s="1140">
        <v>0</v>
      </c>
      <c r="AZ328" s="618"/>
      <c r="BA328" s="618"/>
      <c r="BB328" s="618"/>
      <c r="BC328" s="618">
        <f t="shared" si="305"/>
        <v>0</v>
      </c>
      <c r="BD328" s="618" t="str">
        <f t="shared" si="283"/>
        <v/>
      </c>
      <c r="BE328" s="619">
        <f t="shared" si="306"/>
        <v>0</v>
      </c>
      <c r="BF328" s="1019"/>
      <c r="BG328" s="620"/>
      <c r="BH328" s="621"/>
      <c r="BI328" s="621"/>
      <c r="BJ328" s="621"/>
      <c r="BK328" s="621"/>
      <c r="BL328" s="621"/>
      <c r="BM328" s="980" t="e">
        <f>#REF!+24</f>
        <v>#REF!</v>
      </c>
      <c r="BN328" s="623"/>
      <c r="BO328" s="1020" t="s">
        <v>522</v>
      </c>
      <c r="BP328" s="973" t="str">
        <f t="shared" si="307"/>
        <v>Doc</v>
      </c>
      <c r="BQ328" s="973" t="str">
        <f t="shared" si="308"/>
        <v>Pot</v>
      </c>
      <c r="BR328" s="1021" t="str">
        <f t="shared" si="309"/>
        <v>COMBOWPCPWODocPot</v>
      </c>
      <c r="BS328" s="675"/>
      <c r="BT328" s="12"/>
      <c r="BU328" s="1017" t="s">
        <v>525</v>
      </c>
      <c r="BV328" s="1017"/>
      <c r="BW328" s="982" t="s">
        <v>507</v>
      </c>
      <c r="BX328" s="1022">
        <f t="shared" si="310"/>
        <v>0</v>
      </c>
      <c r="BY328" s="621" t="e">
        <f>VLOOKUP(B328,#REF!,13,0)</f>
        <v>#REF!</v>
      </c>
      <c r="BZ328" s="1056"/>
      <c r="CA328" s="1181" t="e">
        <f>VLOOKUP(B328,Pedido!$B$16:$L$292,22,0)</f>
        <v>#N/A</v>
      </c>
      <c r="CB328" s="1181"/>
      <c r="CC328" s="1180"/>
      <c r="CD328" s="1180"/>
      <c r="CE328" s="1180"/>
      <c r="CF328" s="1180"/>
      <c r="CG328" s="1177"/>
    </row>
    <row r="329" spans="1:85" s="622" customFormat="1" ht="27" customHeight="1" thickBot="1">
      <c r="A329" s="1239"/>
      <c r="B329" s="962" t="s">
        <v>669</v>
      </c>
      <c r="C329" s="607" t="s">
        <v>666</v>
      </c>
      <c r="D329" s="547" t="s">
        <v>668</v>
      </c>
      <c r="E329" s="642" t="s">
        <v>667</v>
      </c>
      <c r="F329" s="642" t="s">
        <v>61</v>
      </c>
      <c r="G329" s="548">
        <v>900</v>
      </c>
      <c r="H329" s="1160"/>
      <c r="I329" s="549">
        <v>399.9</v>
      </c>
      <c r="J329" s="626" t="str">
        <f t="shared" ref="J329:J337" si="311">IFERROR(IF(T329&lt;&gt;"",I329/T329,IF(AND(Y329="",V329=""),"",IF(V329="",I329/Y329,I329/V329))),"")</f>
        <v/>
      </c>
      <c r="K329" s="627" t="str">
        <f t="shared" ref="K329:K337" si="312">IF(T329="","",IFERROR(1-(T329/I329),0))</f>
        <v/>
      </c>
      <c r="L329" s="552">
        <f>IF(Pedido!$G$7&gt;14,234.9,284.8)</f>
        <v>284.8</v>
      </c>
      <c r="M329" s="553">
        <f>IF(Pedido!$G$7&gt;14,224.9,249.8)</f>
        <v>249.8</v>
      </c>
      <c r="N329" s="553">
        <f>IF(Pedido!$G$7&gt;14,224.9,249.8)</f>
        <v>249.8</v>
      </c>
      <c r="O329" s="553">
        <f>IF(Pedido!$G$7&gt;14,224.9,249.8)</f>
        <v>249.8</v>
      </c>
      <c r="P329" s="553">
        <f>IF(Pedido!$G$7&gt;14,224.9,249.8)</f>
        <v>249.8</v>
      </c>
      <c r="Q329" s="553">
        <f>IF(Pedido!$G$7&gt;14,224.9,249.8)</f>
        <v>249.8</v>
      </c>
      <c r="R329" s="553">
        <f>IF(Pedido!$G$7&gt;14,224.9,249.8)</f>
        <v>249.8</v>
      </c>
      <c r="S329" s="1254">
        <f>IF(Pedido!$G$7&gt;14,224.9,249.8)</f>
        <v>249.8</v>
      </c>
      <c r="T329" s="1240" t="str">
        <f t="shared" ref="T329:T337" si="313">IF(V329&gt;0,V329,IFERROR(IF(AND(W329&lt;&gt;"",X329&lt;&gt;""),AH329/W329,Y329),""))</f>
        <v/>
      </c>
      <c r="U329" s="608" t="str">
        <f t="shared" ref="U329:U337" si="314">IFERROR((T329*W329)/(W329+X329),"")</f>
        <v/>
      </c>
      <c r="V329" s="1041"/>
      <c r="W329" s="1139"/>
      <c r="X329" s="676"/>
      <c r="Y329" s="628" t="str">
        <f t="shared" si="279"/>
        <v/>
      </c>
      <c r="Z329" s="629"/>
      <c r="AA329" s="609">
        <f t="shared" ref="AA329:AA337" si="315">IFERROR(L329*W329,0)</f>
        <v>0</v>
      </c>
      <c r="AB329" s="609">
        <f t="shared" si="280"/>
        <v>0</v>
      </c>
      <c r="AC329" s="609">
        <f t="shared" si="281"/>
        <v>0</v>
      </c>
      <c r="AD329" s="609">
        <f t="shared" ref="AD329:AD337" si="316">IFERROR(X329*T329,0)</f>
        <v>0</v>
      </c>
      <c r="AE329" s="609">
        <f t="shared" ref="AE329:AE337" si="317">IFERROR(W329*H329,0)</f>
        <v>0</v>
      </c>
      <c r="AF329" s="609">
        <f t="shared" ref="AF329:AF337" si="318">IFERROR(1-(AE329/AB329),0)</f>
        <v>0</v>
      </c>
      <c r="AG329" s="610">
        <f t="shared" ref="AG329:AG337" si="319">IFERROR(SUM(W329:X329)*I329,0)</f>
        <v>0</v>
      </c>
      <c r="AH329" s="609">
        <f t="shared" ref="AH329:AH337" si="320">IFERROR(IF(V329&gt;0,V329*W329,(Y329*W329)),0)</f>
        <v>0</v>
      </c>
      <c r="AI329" s="609">
        <f t="shared" ref="AI329:AI337" si="321">IFERROR(SUM(W329)*H329,0)</f>
        <v>0</v>
      </c>
      <c r="AJ329" s="609">
        <f t="shared" ref="AJ329:AJ337" si="322">AH329*$AJ$25</f>
        <v>0</v>
      </c>
      <c r="AK329" s="609">
        <f t="shared" ref="AK329:AK337" si="323">AH329*AK$25</f>
        <v>0</v>
      </c>
      <c r="AL329" s="609">
        <f t="shared" ref="AL329:AL337" si="324">AH329*AL$25</f>
        <v>0</v>
      </c>
      <c r="AM329" s="609">
        <f t="shared" ref="AM329:AM337" si="325">SUM(AJ329:AL329)</f>
        <v>0</v>
      </c>
      <c r="AN329" s="609">
        <f t="shared" ref="AN329:AN337" si="326">AH329-AM329</f>
        <v>0</v>
      </c>
      <c r="AO329" s="609">
        <f t="shared" ref="AO329:AO337" si="327">AN329-AI329</f>
        <v>0</v>
      </c>
      <c r="AP329" s="611">
        <f t="shared" ref="AP329:AP337" si="328">IFERROR(IF(V329&lt;&gt;"",1-(H329/V329),IF(Y329&lt;&gt;"",1-(H329/Y329),1-(H329/L329))),0)</f>
        <v>1</v>
      </c>
      <c r="AQ329" s="612">
        <f t="shared" ref="AQ329:AQ337" si="329">H329/0.75</f>
        <v>0</v>
      </c>
      <c r="AR329" s="613" t="s">
        <v>158</v>
      </c>
      <c r="AS329" s="614">
        <f t="shared" si="282"/>
        <v>100</v>
      </c>
      <c r="AT329" s="615">
        <f t="shared" ref="AT329:AT337" si="330">IFERROR(1-(AI329/AH329),0)</f>
        <v>0</v>
      </c>
      <c r="AU329" s="616">
        <f t="shared" ref="AU329:AU337" si="331">IFERROR(AO329/AH329,0)</f>
        <v>0</v>
      </c>
      <c r="AV329" s="617"/>
      <c r="AW329" s="611" t="e">
        <f>VLOOKUP(AX329,Sup!#REF!,8,0)</f>
        <v>#REF!</v>
      </c>
      <c r="AX329" s="1018" t="s">
        <v>199</v>
      </c>
      <c r="AY329" s="1140">
        <v>0</v>
      </c>
      <c r="AZ329" s="618"/>
      <c r="BA329" s="618"/>
      <c r="BB329" s="618"/>
      <c r="BC329" s="618">
        <f t="shared" ref="BC329:BC337" si="332">IF(BE329&lt;0,BE329,0)</f>
        <v>0</v>
      </c>
      <c r="BD329" s="618" t="str">
        <f t="shared" si="283"/>
        <v/>
      </c>
      <c r="BE329" s="619">
        <f t="shared" ref="BE329:BE337" si="333">IF(V329="",0,(V329*W329)-(BD329*W329))</f>
        <v>0</v>
      </c>
      <c r="BF329" s="1019"/>
      <c r="BG329" s="620"/>
      <c r="BH329" s="621"/>
      <c r="BI329" s="621"/>
      <c r="BJ329" s="621"/>
      <c r="BK329" s="621"/>
      <c r="BL329" s="621"/>
      <c r="BM329" s="980" t="e">
        <f>#REF!+24</f>
        <v>#REF!</v>
      </c>
      <c r="BN329" s="623"/>
      <c r="BO329" s="1020" t="s">
        <v>522</v>
      </c>
      <c r="BP329" s="973" t="str">
        <f t="shared" ref="BP329:BP337" si="334">IF(E329="banoffee",LEFT(E329,4),LEFT(E329,3))</f>
        <v>NEU</v>
      </c>
      <c r="BQ329" s="973" t="str">
        <f t="shared" ref="BQ329:BQ337" si="335">LEFT(F329,3)</f>
        <v>Pot</v>
      </c>
      <c r="BR329" s="1021" t="str">
        <f t="shared" ref="BR329:BR336" si="336">CONCATENATE(BO329,BP329,BQ329)</f>
        <v>COMBOWPCPWONEUPot</v>
      </c>
      <c r="BS329" s="675"/>
      <c r="BT329" s="12"/>
      <c r="BU329" s="1017" t="s">
        <v>525</v>
      </c>
      <c r="BV329" s="1017"/>
      <c r="BW329" s="982" t="s">
        <v>507</v>
      </c>
      <c r="BX329" s="1022">
        <f t="shared" ref="BX329:BX337" si="337">IFERROR(W329*U329,0)</f>
        <v>0</v>
      </c>
      <c r="BY329" s="621" t="e">
        <f>VLOOKUP(B329,#REF!,13,0)</f>
        <v>#REF!</v>
      </c>
      <c r="BZ329" s="1056"/>
      <c r="CA329" s="1181" t="e">
        <f>VLOOKUP(B329,Pedido!$B$16:$L$292,22,0)</f>
        <v>#N/A</v>
      </c>
      <c r="CB329" s="1181"/>
      <c r="CC329" s="1180"/>
      <c r="CD329" s="1180"/>
      <c r="CE329" s="1180"/>
      <c r="CF329" s="1180"/>
      <c r="CG329" s="1177"/>
    </row>
    <row r="330" spans="1:85" s="622" customFormat="1" ht="27" customHeight="1" thickBot="1">
      <c r="A330" s="1239"/>
      <c r="B330" s="962" t="s">
        <v>670</v>
      </c>
      <c r="C330" s="607" t="s">
        <v>666</v>
      </c>
      <c r="D330" s="547" t="s">
        <v>668</v>
      </c>
      <c r="E330" s="642" t="s">
        <v>430</v>
      </c>
      <c r="F330" s="642" t="s">
        <v>61</v>
      </c>
      <c r="G330" s="548">
        <v>900</v>
      </c>
      <c r="H330" s="1160"/>
      <c r="I330" s="549">
        <v>399.9</v>
      </c>
      <c r="J330" s="626" t="str">
        <f t="shared" si="311"/>
        <v/>
      </c>
      <c r="K330" s="627" t="str">
        <f t="shared" si="312"/>
        <v/>
      </c>
      <c r="L330" s="552">
        <f>IF(Pedido!$G$7&gt;14,234.9,284.8)</f>
        <v>284.8</v>
      </c>
      <c r="M330" s="553">
        <f>IF(Pedido!$G$7&gt;14,224.9,249.8)</f>
        <v>249.8</v>
      </c>
      <c r="N330" s="553">
        <f>IF(Pedido!$G$7&gt;14,224.9,249.8)</f>
        <v>249.8</v>
      </c>
      <c r="O330" s="553">
        <f>IF(Pedido!$G$7&gt;14,224.9,249.8)</f>
        <v>249.8</v>
      </c>
      <c r="P330" s="553">
        <f>IF(Pedido!$G$7&gt;14,224.9,249.8)</f>
        <v>249.8</v>
      </c>
      <c r="Q330" s="553">
        <f>IF(Pedido!$G$7&gt;14,224.9,249.8)</f>
        <v>249.8</v>
      </c>
      <c r="R330" s="553">
        <f>IF(Pedido!$G$7&gt;14,224.9,249.8)</f>
        <v>249.8</v>
      </c>
      <c r="S330" s="1254">
        <f>IF(Pedido!$G$7&gt;14,224.9,249.8)</f>
        <v>249.8</v>
      </c>
      <c r="T330" s="1240" t="str">
        <f t="shared" si="313"/>
        <v/>
      </c>
      <c r="U330" s="608" t="str">
        <f t="shared" si="314"/>
        <v/>
      </c>
      <c r="V330" s="1041"/>
      <c r="W330" s="1139"/>
      <c r="X330" s="676"/>
      <c r="Y330" s="628" t="str">
        <f t="shared" si="279"/>
        <v/>
      </c>
      <c r="Z330" s="629"/>
      <c r="AA330" s="609">
        <f t="shared" si="315"/>
        <v>0</v>
      </c>
      <c r="AB330" s="609">
        <f t="shared" si="280"/>
        <v>0</v>
      </c>
      <c r="AC330" s="609">
        <f t="shared" si="281"/>
        <v>0</v>
      </c>
      <c r="AD330" s="609">
        <f t="shared" si="316"/>
        <v>0</v>
      </c>
      <c r="AE330" s="609">
        <f t="shared" si="317"/>
        <v>0</v>
      </c>
      <c r="AF330" s="609">
        <f t="shared" si="318"/>
        <v>0</v>
      </c>
      <c r="AG330" s="610">
        <f t="shared" si="319"/>
        <v>0</v>
      </c>
      <c r="AH330" s="609">
        <f t="shared" si="320"/>
        <v>0</v>
      </c>
      <c r="AI330" s="609">
        <f t="shared" si="321"/>
        <v>0</v>
      </c>
      <c r="AJ330" s="609">
        <f t="shared" si="322"/>
        <v>0</v>
      </c>
      <c r="AK330" s="609">
        <f t="shared" si="323"/>
        <v>0</v>
      </c>
      <c r="AL330" s="609">
        <f t="shared" si="324"/>
        <v>0</v>
      </c>
      <c r="AM330" s="609">
        <f t="shared" si="325"/>
        <v>0</v>
      </c>
      <c r="AN330" s="609">
        <f t="shared" si="326"/>
        <v>0</v>
      </c>
      <c r="AO330" s="609">
        <f t="shared" si="327"/>
        <v>0</v>
      </c>
      <c r="AP330" s="611">
        <f t="shared" si="328"/>
        <v>1</v>
      </c>
      <c r="AQ330" s="612">
        <f t="shared" si="329"/>
        <v>0</v>
      </c>
      <c r="AR330" s="613" t="s">
        <v>158</v>
      </c>
      <c r="AS330" s="614">
        <f t="shared" si="282"/>
        <v>100</v>
      </c>
      <c r="AT330" s="615">
        <f t="shared" si="330"/>
        <v>0</v>
      </c>
      <c r="AU330" s="616">
        <f t="shared" si="331"/>
        <v>0</v>
      </c>
      <c r="AV330" s="617"/>
      <c r="AW330" s="611" t="e">
        <f>VLOOKUP(AX330,Sup!#REF!,8,0)</f>
        <v>#REF!</v>
      </c>
      <c r="AX330" s="1018" t="s">
        <v>199</v>
      </c>
      <c r="AY330" s="1140">
        <v>0</v>
      </c>
      <c r="AZ330" s="618"/>
      <c r="BA330" s="618"/>
      <c r="BB330" s="618"/>
      <c r="BC330" s="618">
        <f t="shared" si="332"/>
        <v>0</v>
      </c>
      <c r="BD330" s="618" t="str">
        <f t="shared" si="283"/>
        <v/>
      </c>
      <c r="BE330" s="619">
        <f t="shared" si="333"/>
        <v>0</v>
      </c>
      <c r="BF330" s="1019"/>
      <c r="BG330" s="620"/>
      <c r="BH330" s="621"/>
      <c r="BI330" s="621"/>
      <c r="BJ330" s="621"/>
      <c r="BK330" s="621"/>
      <c r="BL330" s="621"/>
      <c r="BM330" s="980" t="e">
        <f>#REF!+24</f>
        <v>#REF!</v>
      </c>
      <c r="BN330" s="623"/>
      <c r="BO330" s="1020" t="s">
        <v>522</v>
      </c>
      <c r="BP330" s="973" t="str">
        <f t="shared" si="334"/>
        <v>MOR</v>
      </c>
      <c r="BQ330" s="973" t="str">
        <f t="shared" si="335"/>
        <v>Pot</v>
      </c>
      <c r="BR330" s="1021" t="str">
        <f t="shared" si="336"/>
        <v>COMBOWPCPWOMORPot</v>
      </c>
      <c r="BS330" s="675"/>
      <c r="BT330" s="12"/>
      <c r="BU330" s="1017" t="s">
        <v>525</v>
      </c>
      <c r="BV330" s="1017"/>
      <c r="BW330" s="982" t="s">
        <v>507</v>
      </c>
      <c r="BX330" s="1022">
        <f t="shared" si="337"/>
        <v>0</v>
      </c>
      <c r="BY330" s="621" t="e">
        <f>VLOOKUP(B330,#REF!,13,0)</f>
        <v>#REF!</v>
      </c>
      <c r="BZ330" s="1056"/>
      <c r="CA330" s="1181" t="e">
        <f>VLOOKUP(B330,Pedido!$B$16:$L$292,22,0)</f>
        <v>#N/A</v>
      </c>
      <c r="CB330" s="1181"/>
      <c r="CC330" s="1180"/>
      <c r="CD330" s="1180"/>
      <c r="CE330" s="1180"/>
      <c r="CF330" s="1180"/>
      <c r="CG330" s="1177"/>
    </row>
    <row r="331" spans="1:85" s="622" customFormat="1" ht="27" customHeight="1" thickBot="1">
      <c r="A331" s="1239"/>
      <c r="B331" s="962" t="s">
        <v>671</v>
      </c>
      <c r="C331" s="607" t="s">
        <v>666</v>
      </c>
      <c r="D331" s="547" t="s">
        <v>668</v>
      </c>
      <c r="E331" s="642" t="s">
        <v>429</v>
      </c>
      <c r="F331" s="642" t="s">
        <v>61</v>
      </c>
      <c r="G331" s="548">
        <v>900</v>
      </c>
      <c r="H331" s="1160"/>
      <c r="I331" s="549">
        <v>399.9</v>
      </c>
      <c r="J331" s="626" t="str">
        <f t="shared" si="311"/>
        <v/>
      </c>
      <c r="K331" s="627" t="str">
        <f t="shared" si="312"/>
        <v/>
      </c>
      <c r="L331" s="552">
        <f>IF(Pedido!$G$7&gt;14,234.9,284.8)</f>
        <v>284.8</v>
      </c>
      <c r="M331" s="553">
        <f>IF(Pedido!$G$7&gt;14,224.9,249.8)</f>
        <v>249.8</v>
      </c>
      <c r="N331" s="553">
        <f>IF(Pedido!$G$7&gt;14,224.9,249.8)</f>
        <v>249.8</v>
      </c>
      <c r="O331" s="553">
        <f>IF(Pedido!$G$7&gt;14,224.9,249.8)</f>
        <v>249.8</v>
      </c>
      <c r="P331" s="553">
        <f>IF(Pedido!$G$7&gt;14,224.9,249.8)</f>
        <v>249.8</v>
      </c>
      <c r="Q331" s="553">
        <f>IF(Pedido!$G$7&gt;14,224.9,249.8)</f>
        <v>249.8</v>
      </c>
      <c r="R331" s="553">
        <f>IF(Pedido!$G$7&gt;14,224.9,249.8)</f>
        <v>249.8</v>
      </c>
      <c r="S331" s="1254">
        <f>IF(Pedido!$G$7&gt;14,224.9,249.8)</f>
        <v>249.8</v>
      </c>
      <c r="T331" s="1240" t="str">
        <f t="shared" si="313"/>
        <v/>
      </c>
      <c r="U331" s="608" t="str">
        <f t="shared" si="314"/>
        <v/>
      </c>
      <c r="V331" s="1041"/>
      <c r="W331" s="1139"/>
      <c r="X331" s="676"/>
      <c r="Y331" s="628" t="str">
        <f t="shared" si="279"/>
        <v/>
      </c>
      <c r="Z331" s="629"/>
      <c r="AA331" s="609">
        <f t="shared" si="315"/>
        <v>0</v>
      </c>
      <c r="AB331" s="609">
        <f t="shared" si="280"/>
        <v>0</v>
      </c>
      <c r="AC331" s="609">
        <f t="shared" si="281"/>
        <v>0</v>
      </c>
      <c r="AD331" s="609">
        <f t="shared" si="316"/>
        <v>0</v>
      </c>
      <c r="AE331" s="609">
        <f t="shared" si="317"/>
        <v>0</v>
      </c>
      <c r="AF331" s="609">
        <f t="shared" si="318"/>
        <v>0</v>
      </c>
      <c r="AG331" s="610">
        <f t="shared" si="319"/>
        <v>0</v>
      </c>
      <c r="AH331" s="609">
        <f t="shared" si="320"/>
        <v>0</v>
      </c>
      <c r="AI331" s="609">
        <f t="shared" si="321"/>
        <v>0</v>
      </c>
      <c r="AJ331" s="609">
        <f t="shared" si="322"/>
        <v>0</v>
      </c>
      <c r="AK331" s="609">
        <f t="shared" si="323"/>
        <v>0</v>
      </c>
      <c r="AL331" s="609">
        <f t="shared" si="324"/>
        <v>0</v>
      </c>
      <c r="AM331" s="609">
        <f t="shared" si="325"/>
        <v>0</v>
      </c>
      <c r="AN331" s="609">
        <f t="shared" si="326"/>
        <v>0</v>
      </c>
      <c r="AO331" s="609">
        <f t="shared" si="327"/>
        <v>0</v>
      </c>
      <c r="AP331" s="611">
        <f t="shared" si="328"/>
        <v>1</v>
      </c>
      <c r="AQ331" s="612">
        <f t="shared" si="329"/>
        <v>0</v>
      </c>
      <c r="AR331" s="613" t="s">
        <v>158</v>
      </c>
      <c r="AS331" s="614">
        <f t="shared" si="282"/>
        <v>100</v>
      </c>
      <c r="AT331" s="615">
        <f t="shared" si="330"/>
        <v>0</v>
      </c>
      <c r="AU331" s="616">
        <f t="shared" si="331"/>
        <v>0</v>
      </c>
      <c r="AV331" s="617"/>
      <c r="AW331" s="611" t="e">
        <f>VLOOKUP(AX331,Sup!#REF!,8,0)</f>
        <v>#REF!</v>
      </c>
      <c r="AX331" s="1018" t="s">
        <v>199</v>
      </c>
      <c r="AY331" s="1140">
        <v>0</v>
      </c>
      <c r="AZ331" s="618"/>
      <c r="BA331" s="618"/>
      <c r="BB331" s="618"/>
      <c r="BC331" s="618">
        <f t="shared" si="332"/>
        <v>0</v>
      </c>
      <c r="BD331" s="618" t="str">
        <f t="shared" si="283"/>
        <v/>
      </c>
      <c r="BE331" s="619">
        <f t="shared" si="333"/>
        <v>0</v>
      </c>
      <c r="BF331" s="1019"/>
      <c r="BG331" s="620"/>
      <c r="BH331" s="621"/>
      <c r="BI331" s="621"/>
      <c r="BJ331" s="621"/>
      <c r="BK331" s="621"/>
      <c r="BL331" s="621"/>
      <c r="BM331" s="980" t="e">
        <f>#REF!+24</f>
        <v>#REF!</v>
      </c>
      <c r="BN331" s="623"/>
      <c r="BO331" s="1020" t="s">
        <v>522</v>
      </c>
      <c r="BP331" s="973" t="str">
        <f t="shared" si="334"/>
        <v>COO</v>
      </c>
      <c r="BQ331" s="973" t="str">
        <f t="shared" si="335"/>
        <v>Pot</v>
      </c>
      <c r="BR331" s="1021" t="str">
        <f t="shared" si="336"/>
        <v>COMBOWPCPWOCOOPot</v>
      </c>
      <c r="BS331" s="675"/>
      <c r="BT331" s="12"/>
      <c r="BU331" s="1017" t="s">
        <v>525</v>
      </c>
      <c r="BV331" s="1017"/>
      <c r="BW331" s="982" t="s">
        <v>507</v>
      </c>
      <c r="BX331" s="1022">
        <f t="shared" si="337"/>
        <v>0</v>
      </c>
      <c r="BY331" s="621" t="e">
        <f>VLOOKUP(B331,#REF!,13,0)</f>
        <v>#REF!</v>
      </c>
      <c r="BZ331" s="1056"/>
      <c r="CA331" s="1181" t="e">
        <f>VLOOKUP(B331,Pedido!$B$16:$L$292,22,0)</f>
        <v>#N/A</v>
      </c>
      <c r="CB331" s="1181"/>
      <c r="CC331" s="1180"/>
      <c r="CD331" s="1180"/>
      <c r="CE331" s="1180"/>
      <c r="CF331" s="1180"/>
      <c r="CG331" s="1177"/>
    </row>
    <row r="332" spans="1:85" s="622" customFormat="1" ht="27" customHeight="1" thickBot="1">
      <c r="A332" s="1239"/>
      <c r="B332" s="962" t="s">
        <v>672</v>
      </c>
      <c r="C332" s="607" t="s">
        <v>666</v>
      </c>
      <c r="D332" s="547" t="s">
        <v>668</v>
      </c>
      <c r="E332" s="642" t="s">
        <v>428</v>
      </c>
      <c r="F332" s="642" t="s">
        <v>61</v>
      </c>
      <c r="G332" s="548">
        <v>900</v>
      </c>
      <c r="H332" s="1160"/>
      <c r="I332" s="549">
        <v>399.9</v>
      </c>
      <c r="J332" s="626" t="str">
        <f t="shared" si="311"/>
        <v/>
      </c>
      <c r="K332" s="627" t="str">
        <f t="shared" si="312"/>
        <v/>
      </c>
      <c r="L332" s="552">
        <f>IF(Pedido!$G$7&gt;14,234.9,284.8)</f>
        <v>284.8</v>
      </c>
      <c r="M332" s="553">
        <f>IF(Pedido!$G$7&gt;14,224.9,249.8)</f>
        <v>249.8</v>
      </c>
      <c r="N332" s="553">
        <f>IF(Pedido!$G$7&gt;14,224.9,249.8)</f>
        <v>249.8</v>
      </c>
      <c r="O332" s="553">
        <f>IF(Pedido!$G$7&gt;14,224.9,249.8)</f>
        <v>249.8</v>
      </c>
      <c r="P332" s="553">
        <f>IF(Pedido!$G$7&gt;14,224.9,249.8)</f>
        <v>249.8</v>
      </c>
      <c r="Q332" s="553">
        <f>IF(Pedido!$G$7&gt;14,224.9,249.8)</f>
        <v>249.8</v>
      </c>
      <c r="R332" s="553">
        <f>IF(Pedido!$G$7&gt;14,224.9,249.8)</f>
        <v>249.8</v>
      </c>
      <c r="S332" s="1254">
        <f>IF(Pedido!$G$7&gt;14,224.9,249.8)</f>
        <v>249.8</v>
      </c>
      <c r="T332" s="1240" t="str">
        <f t="shared" si="313"/>
        <v/>
      </c>
      <c r="U332" s="608" t="str">
        <f t="shared" si="314"/>
        <v/>
      </c>
      <c r="V332" s="1041"/>
      <c r="W332" s="1139"/>
      <c r="X332" s="676"/>
      <c r="Y332" s="628" t="str">
        <f t="shared" si="279"/>
        <v/>
      </c>
      <c r="Z332" s="629"/>
      <c r="AA332" s="609">
        <f t="shared" si="315"/>
        <v>0</v>
      </c>
      <c r="AB332" s="609">
        <f t="shared" si="280"/>
        <v>0</v>
      </c>
      <c r="AC332" s="609">
        <f t="shared" si="281"/>
        <v>0</v>
      </c>
      <c r="AD332" s="609">
        <f t="shared" si="316"/>
        <v>0</v>
      </c>
      <c r="AE332" s="609">
        <f t="shared" si="317"/>
        <v>0</v>
      </c>
      <c r="AF332" s="609">
        <f t="shared" si="318"/>
        <v>0</v>
      </c>
      <c r="AG332" s="610">
        <f t="shared" si="319"/>
        <v>0</v>
      </c>
      <c r="AH332" s="609">
        <f t="shared" si="320"/>
        <v>0</v>
      </c>
      <c r="AI332" s="609">
        <f t="shared" si="321"/>
        <v>0</v>
      </c>
      <c r="AJ332" s="609">
        <f t="shared" si="322"/>
        <v>0</v>
      </c>
      <c r="AK332" s="609">
        <f t="shared" si="323"/>
        <v>0</v>
      </c>
      <c r="AL332" s="609">
        <f t="shared" si="324"/>
        <v>0</v>
      </c>
      <c r="AM332" s="609">
        <f t="shared" si="325"/>
        <v>0</v>
      </c>
      <c r="AN332" s="609">
        <f t="shared" si="326"/>
        <v>0</v>
      </c>
      <c r="AO332" s="609">
        <f t="shared" si="327"/>
        <v>0</v>
      </c>
      <c r="AP332" s="611">
        <f t="shared" si="328"/>
        <v>1</v>
      </c>
      <c r="AQ332" s="612">
        <f t="shared" si="329"/>
        <v>0</v>
      </c>
      <c r="AR332" s="613" t="s">
        <v>158</v>
      </c>
      <c r="AS332" s="614">
        <f t="shared" si="282"/>
        <v>100</v>
      </c>
      <c r="AT332" s="615">
        <f t="shared" si="330"/>
        <v>0</v>
      </c>
      <c r="AU332" s="616">
        <f t="shared" si="331"/>
        <v>0</v>
      </c>
      <c r="AV332" s="617"/>
      <c r="AW332" s="611" t="e">
        <f>VLOOKUP(AX332,Sup!#REF!,8,0)</f>
        <v>#REF!</v>
      </c>
      <c r="AX332" s="1018" t="s">
        <v>199</v>
      </c>
      <c r="AY332" s="1140">
        <v>0</v>
      </c>
      <c r="AZ332" s="618"/>
      <c r="BA332" s="618"/>
      <c r="BB332" s="618"/>
      <c r="BC332" s="618">
        <f t="shared" si="332"/>
        <v>0</v>
      </c>
      <c r="BD332" s="618" t="str">
        <f t="shared" si="283"/>
        <v/>
      </c>
      <c r="BE332" s="619">
        <f t="shared" si="333"/>
        <v>0</v>
      </c>
      <c r="BF332" s="1019"/>
      <c r="BG332" s="620"/>
      <c r="BH332" s="621"/>
      <c r="BI332" s="621"/>
      <c r="BJ332" s="621"/>
      <c r="BK332" s="621"/>
      <c r="BL332" s="621"/>
      <c r="BM332" s="980" t="e">
        <f>#REF!+24</f>
        <v>#REF!</v>
      </c>
      <c r="BN332" s="623"/>
      <c r="BO332" s="1020" t="s">
        <v>522</v>
      </c>
      <c r="BP332" s="973" t="str">
        <f t="shared" si="334"/>
        <v>COC</v>
      </c>
      <c r="BQ332" s="973" t="str">
        <f t="shared" si="335"/>
        <v>Pot</v>
      </c>
      <c r="BR332" s="1021" t="str">
        <f t="shared" si="336"/>
        <v>COMBOWPCPWOCOCPot</v>
      </c>
      <c r="BS332" s="675"/>
      <c r="BT332" s="12"/>
      <c r="BU332" s="1017" t="s">
        <v>525</v>
      </c>
      <c r="BV332" s="1017"/>
      <c r="BW332" s="982" t="s">
        <v>507</v>
      </c>
      <c r="BX332" s="1022">
        <f t="shared" si="337"/>
        <v>0</v>
      </c>
      <c r="BY332" s="621" t="e">
        <f>VLOOKUP(B332,#REF!,13,0)</f>
        <v>#REF!</v>
      </c>
      <c r="BZ332" s="1056"/>
      <c r="CA332" s="1181" t="e">
        <f>VLOOKUP(B332,Pedido!$B$16:$L$292,22,0)</f>
        <v>#N/A</v>
      </c>
      <c r="CB332" s="1181"/>
      <c r="CC332" s="1180"/>
      <c r="CD332" s="1180"/>
      <c r="CE332" s="1180"/>
      <c r="CF332" s="1180"/>
      <c r="CG332" s="1177"/>
    </row>
    <row r="333" spans="1:85" s="622" customFormat="1" ht="27" customHeight="1" thickBot="1">
      <c r="A333" s="1239"/>
      <c r="B333" s="962" t="s">
        <v>673</v>
      </c>
      <c r="C333" s="607" t="s">
        <v>666</v>
      </c>
      <c r="D333" s="547" t="s">
        <v>668</v>
      </c>
      <c r="E333" s="642" t="s">
        <v>426</v>
      </c>
      <c r="F333" s="642" t="s">
        <v>61</v>
      </c>
      <c r="G333" s="548">
        <v>900</v>
      </c>
      <c r="H333" s="1160"/>
      <c r="I333" s="549">
        <v>399.9</v>
      </c>
      <c r="J333" s="626" t="str">
        <f t="shared" si="311"/>
        <v/>
      </c>
      <c r="K333" s="627" t="str">
        <f t="shared" si="312"/>
        <v/>
      </c>
      <c r="L333" s="552">
        <f>IF(Pedido!$G$7&gt;14,234.9,284.8)</f>
        <v>284.8</v>
      </c>
      <c r="M333" s="553">
        <f>IF(Pedido!$G$7&gt;14,224.9,249.8)</f>
        <v>249.8</v>
      </c>
      <c r="N333" s="553">
        <f>IF(Pedido!$G$7&gt;14,224.9,249.8)</f>
        <v>249.8</v>
      </c>
      <c r="O333" s="553">
        <f>IF(Pedido!$G$7&gt;14,224.9,249.8)</f>
        <v>249.8</v>
      </c>
      <c r="P333" s="553">
        <f>IF(Pedido!$G$7&gt;14,224.9,249.8)</f>
        <v>249.8</v>
      </c>
      <c r="Q333" s="553">
        <f>IF(Pedido!$G$7&gt;14,224.9,249.8)</f>
        <v>249.8</v>
      </c>
      <c r="R333" s="553">
        <f>IF(Pedido!$G$7&gt;14,224.9,249.8)</f>
        <v>249.8</v>
      </c>
      <c r="S333" s="1254">
        <f>IF(Pedido!$G$7&gt;14,224.9,249.8)</f>
        <v>249.8</v>
      </c>
      <c r="T333" s="1240" t="str">
        <f t="shared" si="313"/>
        <v/>
      </c>
      <c r="U333" s="608" t="str">
        <f t="shared" si="314"/>
        <v/>
      </c>
      <c r="V333" s="1041"/>
      <c r="W333" s="1139"/>
      <c r="X333" s="676"/>
      <c r="Y333" s="628" t="str">
        <f t="shared" si="279"/>
        <v/>
      </c>
      <c r="Z333" s="629"/>
      <c r="AA333" s="609">
        <f t="shared" si="315"/>
        <v>0</v>
      </c>
      <c r="AB333" s="609">
        <f t="shared" si="280"/>
        <v>0</v>
      </c>
      <c r="AC333" s="609">
        <f t="shared" si="281"/>
        <v>0</v>
      </c>
      <c r="AD333" s="609">
        <f t="shared" si="316"/>
        <v>0</v>
      </c>
      <c r="AE333" s="609">
        <f t="shared" si="317"/>
        <v>0</v>
      </c>
      <c r="AF333" s="609">
        <f t="shared" si="318"/>
        <v>0</v>
      </c>
      <c r="AG333" s="610">
        <f t="shared" si="319"/>
        <v>0</v>
      </c>
      <c r="AH333" s="609">
        <f t="shared" si="320"/>
        <v>0</v>
      </c>
      <c r="AI333" s="609">
        <f t="shared" si="321"/>
        <v>0</v>
      </c>
      <c r="AJ333" s="609">
        <f t="shared" si="322"/>
        <v>0</v>
      </c>
      <c r="AK333" s="609">
        <f t="shared" si="323"/>
        <v>0</v>
      </c>
      <c r="AL333" s="609">
        <f t="shared" si="324"/>
        <v>0</v>
      </c>
      <c r="AM333" s="609">
        <f t="shared" si="325"/>
        <v>0</v>
      </c>
      <c r="AN333" s="609">
        <f t="shared" si="326"/>
        <v>0</v>
      </c>
      <c r="AO333" s="609">
        <f t="shared" si="327"/>
        <v>0</v>
      </c>
      <c r="AP333" s="611">
        <f t="shared" si="328"/>
        <v>1</v>
      </c>
      <c r="AQ333" s="612">
        <f t="shared" si="329"/>
        <v>0</v>
      </c>
      <c r="AR333" s="613" t="s">
        <v>158</v>
      </c>
      <c r="AS333" s="614">
        <f t="shared" si="282"/>
        <v>100</v>
      </c>
      <c r="AT333" s="615">
        <f t="shared" si="330"/>
        <v>0</v>
      </c>
      <c r="AU333" s="616">
        <f t="shared" si="331"/>
        <v>0</v>
      </c>
      <c r="AV333" s="617"/>
      <c r="AW333" s="611" t="e">
        <f>VLOOKUP(AX333,Sup!#REF!,8,0)</f>
        <v>#REF!</v>
      </c>
      <c r="AX333" s="1018" t="s">
        <v>199</v>
      </c>
      <c r="AY333" s="1140">
        <v>0</v>
      </c>
      <c r="AZ333" s="618"/>
      <c r="BA333" s="618"/>
      <c r="BB333" s="618"/>
      <c r="BC333" s="618">
        <f t="shared" si="332"/>
        <v>0</v>
      </c>
      <c r="BD333" s="618" t="str">
        <f t="shared" si="283"/>
        <v/>
      </c>
      <c r="BE333" s="619">
        <f t="shared" si="333"/>
        <v>0</v>
      </c>
      <c r="BF333" s="1019"/>
      <c r="BG333" s="620"/>
      <c r="BH333" s="621"/>
      <c r="BI333" s="621"/>
      <c r="BJ333" s="621"/>
      <c r="BK333" s="621"/>
      <c r="BL333" s="621"/>
      <c r="BM333" s="980" t="e">
        <f>#REF!+24</f>
        <v>#REF!</v>
      </c>
      <c r="BN333" s="623"/>
      <c r="BO333" s="1020" t="s">
        <v>522</v>
      </c>
      <c r="BP333" s="973" t="str">
        <f t="shared" si="334"/>
        <v>CAP</v>
      </c>
      <c r="BQ333" s="973" t="str">
        <f t="shared" si="335"/>
        <v>Pot</v>
      </c>
      <c r="BR333" s="1021" t="str">
        <f t="shared" si="336"/>
        <v>COMBOWPCPWOCAPPot</v>
      </c>
      <c r="BS333" s="675"/>
      <c r="BT333" s="12"/>
      <c r="BU333" s="1017" t="s">
        <v>525</v>
      </c>
      <c r="BV333" s="1017"/>
      <c r="BW333" s="982" t="s">
        <v>507</v>
      </c>
      <c r="BX333" s="1022">
        <f t="shared" si="337"/>
        <v>0</v>
      </c>
      <c r="BY333" s="621" t="e">
        <f>VLOOKUP(B333,#REF!,13,0)</f>
        <v>#REF!</v>
      </c>
      <c r="BZ333" s="1056"/>
      <c r="CA333" s="1181" t="e">
        <f>VLOOKUP(B333,Pedido!$B$16:$L$292,22,0)</f>
        <v>#N/A</v>
      </c>
      <c r="CB333" s="1181"/>
      <c r="CC333" s="1180"/>
      <c r="CD333" s="1180"/>
      <c r="CE333" s="1180"/>
      <c r="CF333" s="1180"/>
      <c r="CG333" s="1177"/>
    </row>
    <row r="334" spans="1:85" s="622" customFormat="1" ht="27" customHeight="1" thickBot="1">
      <c r="A334" s="1239"/>
      <c r="B334" s="962" t="s">
        <v>674</v>
      </c>
      <c r="C334" s="607" t="s">
        <v>666</v>
      </c>
      <c r="D334" s="547" t="s">
        <v>668</v>
      </c>
      <c r="E334" s="642" t="s">
        <v>425</v>
      </c>
      <c r="F334" s="642" t="s">
        <v>61</v>
      </c>
      <c r="G334" s="548">
        <v>900</v>
      </c>
      <c r="H334" s="1160"/>
      <c r="I334" s="549">
        <v>399.9</v>
      </c>
      <c r="J334" s="626" t="str">
        <f t="shared" si="311"/>
        <v/>
      </c>
      <c r="K334" s="627" t="str">
        <f t="shared" si="312"/>
        <v/>
      </c>
      <c r="L334" s="552">
        <f>IF(Pedido!$G$7&gt;14,234.9,284.8)</f>
        <v>284.8</v>
      </c>
      <c r="M334" s="553">
        <f>IF(Pedido!$G$7&gt;14,224.9,249.8)</f>
        <v>249.8</v>
      </c>
      <c r="N334" s="553">
        <f>IF(Pedido!$G$7&gt;14,224.9,249.8)</f>
        <v>249.8</v>
      </c>
      <c r="O334" s="553">
        <f>IF(Pedido!$G$7&gt;14,224.9,249.8)</f>
        <v>249.8</v>
      </c>
      <c r="P334" s="553">
        <f>IF(Pedido!$G$7&gt;14,224.9,249.8)</f>
        <v>249.8</v>
      </c>
      <c r="Q334" s="553">
        <f>IF(Pedido!$G$7&gt;14,224.9,249.8)</f>
        <v>249.8</v>
      </c>
      <c r="R334" s="553">
        <f>IF(Pedido!$G$7&gt;14,224.9,249.8)</f>
        <v>249.8</v>
      </c>
      <c r="S334" s="1254">
        <f>IF(Pedido!$G$7&gt;14,224.9,249.8)</f>
        <v>249.8</v>
      </c>
      <c r="T334" s="1240" t="str">
        <f t="shared" si="313"/>
        <v/>
      </c>
      <c r="U334" s="608" t="str">
        <f t="shared" si="314"/>
        <v/>
      </c>
      <c r="V334" s="1041"/>
      <c r="W334" s="1139"/>
      <c r="X334" s="676"/>
      <c r="Y334" s="628" t="str">
        <f t="shared" si="279"/>
        <v/>
      </c>
      <c r="Z334" s="629"/>
      <c r="AA334" s="609">
        <f t="shared" si="315"/>
        <v>0</v>
      </c>
      <c r="AB334" s="609">
        <f t="shared" si="280"/>
        <v>0</v>
      </c>
      <c r="AC334" s="609">
        <f t="shared" si="281"/>
        <v>0</v>
      </c>
      <c r="AD334" s="609">
        <f t="shared" si="316"/>
        <v>0</v>
      </c>
      <c r="AE334" s="609">
        <f t="shared" si="317"/>
        <v>0</v>
      </c>
      <c r="AF334" s="609">
        <f t="shared" si="318"/>
        <v>0</v>
      </c>
      <c r="AG334" s="610">
        <f t="shared" si="319"/>
        <v>0</v>
      </c>
      <c r="AH334" s="609">
        <f t="shared" si="320"/>
        <v>0</v>
      </c>
      <c r="AI334" s="609">
        <f t="shared" si="321"/>
        <v>0</v>
      </c>
      <c r="AJ334" s="609">
        <f t="shared" si="322"/>
        <v>0</v>
      </c>
      <c r="AK334" s="609">
        <f t="shared" si="323"/>
        <v>0</v>
      </c>
      <c r="AL334" s="609">
        <f t="shared" si="324"/>
        <v>0</v>
      </c>
      <c r="AM334" s="609">
        <f t="shared" si="325"/>
        <v>0</v>
      </c>
      <c r="AN334" s="609">
        <f t="shared" si="326"/>
        <v>0</v>
      </c>
      <c r="AO334" s="609">
        <f t="shared" si="327"/>
        <v>0</v>
      </c>
      <c r="AP334" s="611">
        <f t="shared" si="328"/>
        <v>1</v>
      </c>
      <c r="AQ334" s="612">
        <f t="shared" si="329"/>
        <v>0</v>
      </c>
      <c r="AR334" s="613" t="s">
        <v>158</v>
      </c>
      <c r="AS334" s="614">
        <f t="shared" si="282"/>
        <v>100</v>
      </c>
      <c r="AT334" s="615">
        <f t="shared" si="330"/>
        <v>0</v>
      </c>
      <c r="AU334" s="616">
        <f t="shared" si="331"/>
        <v>0</v>
      </c>
      <c r="AV334" s="617"/>
      <c r="AW334" s="611" t="e">
        <f>VLOOKUP(AX334,Sup!#REF!,8,0)</f>
        <v>#REF!</v>
      </c>
      <c r="AX334" s="1018" t="s">
        <v>199</v>
      </c>
      <c r="AY334" s="1140">
        <v>0</v>
      </c>
      <c r="AZ334" s="618"/>
      <c r="BA334" s="618"/>
      <c r="BB334" s="618"/>
      <c r="BC334" s="618">
        <f t="shared" si="332"/>
        <v>0</v>
      </c>
      <c r="BD334" s="618" t="str">
        <f t="shared" si="283"/>
        <v/>
      </c>
      <c r="BE334" s="619">
        <f t="shared" si="333"/>
        <v>0</v>
      </c>
      <c r="BF334" s="1019"/>
      <c r="BG334" s="620"/>
      <c r="BH334" s="621"/>
      <c r="BI334" s="621"/>
      <c r="BJ334" s="621"/>
      <c r="BK334" s="621"/>
      <c r="BL334" s="621"/>
      <c r="BM334" s="980" t="e">
        <f>#REF!+24</f>
        <v>#REF!</v>
      </c>
      <c r="BN334" s="623"/>
      <c r="BO334" s="1020" t="s">
        <v>522</v>
      </c>
      <c r="BP334" s="973" t="str">
        <f t="shared" si="334"/>
        <v>BAU</v>
      </c>
      <c r="BQ334" s="973" t="str">
        <f t="shared" si="335"/>
        <v>Pot</v>
      </c>
      <c r="BR334" s="1021" t="str">
        <f t="shared" si="336"/>
        <v>COMBOWPCPWOBAUPot</v>
      </c>
      <c r="BS334" s="675"/>
      <c r="BT334" s="12"/>
      <c r="BU334" s="1017" t="s">
        <v>525</v>
      </c>
      <c r="BV334" s="1017"/>
      <c r="BW334" s="982" t="s">
        <v>507</v>
      </c>
      <c r="BX334" s="1022">
        <f t="shared" si="337"/>
        <v>0</v>
      </c>
      <c r="BY334" s="621" t="e">
        <f>VLOOKUP(B334,#REF!,13,0)</f>
        <v>#REF!</v>
      </c>
      <c r="BZ334" s="1056"/>
      <c r="CA334" s="1181" t="e">
        <f>VLOOKUP(B334,Pedido!$B$16:$L$292,22,0)</f>
        <v>#N/A</v>
      </c>
      <c r="CB334" s="1181"/>
      <c r="CC334" s="1180"/>
      <c r="CD334" s="1180"/>
      <c r="CE334" s="1180"/>
      <c r="CF334" s="1180"/>
      <c r="CG334" s="1177"/>
    </row>
    <row r="335" spans="1:85" s="622" customFormat="1" ht="27" customHeight="1" thickBot="1">
      <c r="A335" s="1239"/>
      <c r="B335" s="962" t="s">
        <v>706</v>
      </c>
      <c r="C335" s="607" t="s">
        <v>666</v>
      </c>
      <c r="D335" s="547" t="s">
        <v>668</v>
      </c>
      <c r="E335" s="642" t="s">
        <v>427</v>
      </c>
      <c r="F335" s="642" t="s">
        <v>61</v>
      </c>
      <c r="G335" s="548">
        <v>900</v>
      </c>
      <c r="H335" s="1160"/>
      <c r="I335" s="549">
        <v>399.9</v>
      </c>
      <c r="J335" s="626" t="str">
        <f>IFERROR(IF(T335&lt;&gt;"",I335/T335,IF(AND(Y335="",V335=""),"",IF(V335="",I335/Y335,I335/V335))),"")</f>
        <v/>
      </c>
      <c r="K335" s="627" t="str">
        <f>IF(T335="","",IFERROR(1-(T335/I335),0))</f>
        <v/>
      </c>
      <c r="L335" s="552">
        <f>IF(Pedido!$G$7&gt;14,234.9,284.8)</f>
        <v>284.8</v>
      </c>
      <c r="M335" s="553">
        <f>IF(Pedido!$G$7&gt;14,224.9,249.8)</f>
        <v>249.8</v>
      </c>
      <c r="N335" s="553">
        <f>IF(Pedido!$G$7&gt;14,224.9,249.8)</f>
        <v>249.8</v>
      </c>
      <c r="O335" s="553">
        <f>IF(Pedido!$G$7&gt;14,224.9,249.8)</f>
        <v>249.8</v>
      </c>
      <c r="P335" s="553">
        <f>IF(Pedido!$G$7&gt;14,224.9,249.8)</f>
        <v>249.8</v>
      </c>
      <c r="Q335" s="553">
        <f>IF(Pedido!$G$7&gt;14,224.9,249.8)</f>
        <v>249.8</v>
      </c>
      <c r="R335" s="553">
        <f>IF(Pedido!$G$7&gt;14,224.9,249.8)</f>
        <v>249.8</v>
      </c>
      <c r="S335" s="1254">
        <f>IF(Pedido!$G$7&gt;14,224.9,249.8)</f>
        <v>249.8</v>
      </c>
      <c r="T335" s="1240" t="str">
        <f>IF(V335&gt;0,V335,IFERROR(IF(AND(W335&lt;&gt;"",X335&lt;&gt;""),AH335/W335,Y335),""))</f>
        <v/>
      </c>
      <c r="U335" s="608" t="str">
        <f>IFERROR((T335*W335)/(W335+X335),"")</f>
        <v/>
      </c>
      <c r="V335" s="1041"/>
      <c r="W335" s="1139"/>
      <c r="X335" s="676"/>
      <c r="Y335" s="628" t="str">
        <f t="shared" si="279"/>
        <v/>
      </c>
      <c r="Z335" s="629"/>
      <c r="AA335" s="609">
        <f>IFERROR(L335*W335,0)</f>
        <v>0</v>
      </c>
      <c r="AB335" s="609">
        <f t="shared" si="280"/>
        <v>0</v>
      </c>
      <c r="AC335" s="609">
        <f t="shared" si="281"/>
        <v>0</v>
      </c>
      <c r="AD335" s="609">
        <f>IFERROR(X335*T335,0)</f>
        <v>0</v>
      </c>
      <c r="AE335" s="609">
        <f>IFERROR(W335*H335,0)</f>
        <v>0</v>
      </c>
      <c r="AF335" s="609">
        <f>IFERROR(1-(AE335/AB335),0)</f>
        <v>0</v>
      </c>
      <c r="AG335" s="610">
        <f>IFERROR(SUM(W335:X335)*I335,0)</f>
        <v>0</v>
      </c>
      <c r="AH335" s="609">
        <f>IFERROR(IF(V335&gt;0,V335*W335,(Y335*W335)),0)</f>
        <v>0</v>
      </c>
      <c r="AI335" s="609">
        <f>IFERROR(SUM(W335)*H335,0)</f>
        <v>0</v>
      </c>
      <c r="AJ335" s="609">
        <f>AH335*$AJ$25</f>
        <v>0</v>
      </c>
      <c r="AK335" s="609">
        <f>AH335*AK$25</f>
        <v>0</v>
      </c>
      <c r="AL335" s="609">
        <f>AH335*AL$25</f>
        <v>0</v>
      </c>
      <c r="AM335" s="609">
        <f>SUM(AJ335:AL335)</f>
        <v>0</v>
      </c>
      <c r="AN335" s="609">
        <f>AH335-AM335</f>
        <v>0</v>
      </c>
      <c r="AO335" s="609">
        <f>AN335-AI335</f>
        <v>0</v>
      </c>
      <c r="AP335" s="611">
        <f>IFERROR(IF(V335&lt;&gt;"",1-(H335/V335),IF(Y335&lt;&gt;"",1-(H335/Y335),1-(H335/L335))),0)</f>
        <v>1</v>
      </c>
      <c r="AQ335" s="612">
        <f>H335/0.75</f>
        <v>0</v>
      </c>
      <c r="AR335" s="613" t="s">
        <v>158</v>
      </c>
      <c r="AS335" s="614">
        <f t="shared" si="282"/>
        <v>100</v>
      </c>
      <c r="AT335" s="615">
        <f>IFERROR(1-(AI335/AH335),0)</f>
        <v>0</v>
      </c>
      <c r="AU335" s="616">
        <f>IFERROR(AO335/AH335,0)</f>
        <v>0</v>
      </c>
      <c r="AV335" s="617"/>
      <c r="AW335" s="611" t="e">
        <f>VLOOKUP(AX335,Sup!#REF!,8,0)</f>
        <v>#REF!</v>
      </c>
      <c r="AX335" s="1018" t="s">
        <v>199</v>
      </c>
      <c r="AY335" s="1140">
        <v>0</v>
      </c>
      <c r="AZ335" s="618"/>
      <c r="BA335" s="618"/>
      <c r="BB335" s="618"/>
      <c r="BC335" s="618">
        <f>IF(BE335&lt;0,BE335,0)</f>
        <v>0</v>
      </c>
      <c r="BD335" s="618" t="str">
        <f t="shared" si="283"/>
        <v/>
      </c>
      <c r="BE335" s="619">
        <f>IF(V335="",0,(V335*W335)-(BD335*W335))</f>
        <v>0</v>
      </c>
      <c r="BF335" s="1019"/>
      <c r="BG335" s="620"/>
      <c r="BH335" s="621"/>
      <c r="BI335" s="621"/>
      <c r="BJ335" s="621"/>
      <c r="BK335" s="621"/>
      <c r="BL335" s="621"/>
      <c r="BM335" s="980" t="e">
        <f>#REF!+24</f>
        <v>#REF!</v>
      </c>
      <c r="BN335" s="623"/>
      <c r="BO335" s="1020" t="s">
        <v>522</v>
      </c>
      <c r="BP335" s="973" t="str">
        <f t="shared" si="334"/>
        <v>CHO</v>
      </c>
      <c r="BQ335" s="973" t="str">
        <f t="shared" si="335"/>
        <v>Pot</v>
      </c>
      <c r="BR335" s="1021" t="str">
        <f t="shared" si="336"/>
        <v>COMBOWPCPWOCHOPot</v>
      </c>
      <c r="BS335" s="675"/>
      <c r="BT335" s="12"/>
      <c r="BU335" s="1017"/>
      <c r="BV335" s="1017"/>
      <c r="BW335" s="982"/>
      <c r="BX335" s="1022"/>
      <c r="BY335" s="621"/>
      <c r="BZ335" s="1056"/>
      <c r="CA335" s="1181"/>
      <c r="CB335" s="1181"/>
      <c r="CC335" s="1180"/>
      <c r="CD335" s="1180"/>
      <c r="CE335" s="1180"/>
      <c r="CF335" s="1180"/>
      <c r="CG335" s="1177"/>
    </row>
    <row r="336" spans="1:85" s="622" customFormat="1" ht="27" customHeight="1" thickBot="1">
      <c r="A336" s="1239"/>
      <c r="B336" s="962" t="s">
        <v>675</v>
      </c>
      <c r="C336" s="607" t="s">
        <v>666</v>
      </c>
      <c r="D336" s="547" t="s">
        <v>668</v>
      </c>
      <c r="E336" s="642" t="s">
        <v>432</v>
      </c>
      <c r="F336" s="642" t="s">
        <v>61</v>
      </c>
      <c r="G336" s="548">
        <v>900</v>
      </c>
      <c r="H336" s="1160"/>
      <c r="I336" s="549">
        <v>399.9</v>
      </c>
      <c r="J336" s="626" t="str">
        <f t="shared" si="311"/>
        <v/>
      </c>
      <c r="K336" s="627" t="str">
        <f t="shared" si="312"/>
        <v/>
      </c>
      <c r="L336" s="552">
        <f>IF(Pedido!$G$7&gt;14,234.9,284.8)</f>
        <v>284.8</v>
      </c>
      <c r="M336" s="553">
        <f>IF(Pedido!$G$7&gt;14,224.9,249.8)</f>
        <v>249.8</v>
      </c>
      <c r="N336" s="553">
        <f>IF(Pedido!$G$7&gt;14,224.9,249.8)</f>
        <v>249.8</v>
      </c>
      <c r="O336" s="553">
        <f>IF(Pedido!$G$7&gt;14,224.9,249.8)</f>
        <v>249.8</v>
      </c>
      <c r="P336" s="553">
        <f>IF(Pedido!$G$7&gt;14,224.9,249.8)</f>
        <v>249.8</v>
      </c>
      <c r="Q336" s="553">
        <f>IF(Pedido!$G$7&gt;14,224.9,249.8)</f>
        <v>249.8</v>
      </c>
      <c r="R336" s="553">
        <f>IF(Pedido!$G$7&gt;14,224.9,249.8)</f>
        <v>249.8</v>
      </c>
      <c r="S336" s="1254">
        <f>IF(Pedido!$G$7&gt;14,224.9,249.8)</f>
        <v>249.8</v>
      </c>
      <c r="T336" s="1240" t="str">
        <f t="shared" si="313"/>
        <v/>
      </c>
      <c r="U336" s="608" t="str">
        <f t="shared" si="314"/>
        <v/>
      </c>
      <c r="V336" s="1041"/>
      <c r="W336" s="1139"/>
      <c r="X336" s="676"/>
      <c r="Y336" s="628" t="str">
        <f t="shared" si="279"/>
        <v/>
      </c>
      <c r="Z336" s="629"/>
      <c r="AA336" s="609">
        <f t="shared" si="315"/>
        <v>0</v>
      </c>
      <c r="AB336" s="609">
        <f t="shared" si="280"/>
        <v>0</v>
      </c>
      <c r="AC336" s="609">
        <f t="shared" si="281"/>
        <v>0</v>
      </c>
      <c r="AD336" s="609">
        <f t="shared" si="316"/>
        <v>0</v>
      </c>
      <c r="AE336" s="609">
        <f t="shared" si="317"/>
        <v>0</v>
      </c>
      <c r="AF336" s="609">
        <f t="shared" si="318"/>
        <v>0</v>
      </c>
      <c r="AG336" s="610">
        <f t="shared" si="319"/>
        <v>0</v>
      </c>
      <c r="AH336" s="609">
        <f t="shared" si="320"/>
        <v>0</v>
      </c>
      <c r="AI336" s="609">
        <f t="shared" si="321"/>
        <v>0</v>
      </c>
      <c r="AJ336" s="609">
        <f t="shared" si="322"/>
        <v>0</v>
      </c>
      <c r="AK336" s="609">
        <f t="shared" si="323"/>
        <v>0</v>
      </c>
      <c r="AL336" s="609">
        <f t="shared" si="324"/>
        <v>0</v>
      </c>
      <c r="AM336" s="609">
        <f t="shared" si="325"/>
        <v>0</v>
      </c>
      <c r="AN336" s="609">
        <f t="shared" si="326"/>
        <v>0</v>
      </c>
      <c r="AO336" s="609">
        <f t="shared" si="327"/>
        <v>0</v>
      </c>
      <c r="AP336" s="611">
        <f t="shared" si="328"/>
        <v>1</v>
      </c>
      <c r="AQ336" s="612">
        <f t="shared" si="329"/>
        <v>0</v>
      </c>
      <c r="AR336" s="613" t="s">
        <v>158</v>
      </c>
      <c r="AS336" s="614">
        <f t="shared" si="282"/>
        <v>100</v>
      </c>
      <c r="AT336" s="615">
        <f t="shared" si="330"/>
        <v>0</v>
      </c>
      <c r="AU336" s="616">
        <f t="shared" si="331"/>
        <v>0</v>
      </c>
      <c r="AV336" s="617"/>
      <c r="AW336" s="611" t="e">
        <f>VLOOKUP(AX336,Sup!#REF!,8,0)</f>
        <v>#REF!</v>
      </c>
      <c r="AX336" s="1018" t="s">
        <v>199</v>
      </c>
      <c r="AY336" s="1140">
        <v>0</v>
      </c>
      <c r="AZ336" s="618"/>
      <c r="BA336" s="618"/>
      <c r="BB336" s="618"/>
      <c r="BC336" s="618">
        <f t="shared" si="332"/>
        <v>0</v>
      </c>
      <c r="BD336" s="618" t="str">
        <f t="shared" si="283"/>
        <v/>
      </c>
      <c r="BE336" s="619">
        <f t="shared" si="333"/>
        <v>0</v>
      </c>
      <c r="BF336" s="1019"/>
      <c r="BG336" s="620"/>
      <c r="BH336" s="621"/>
      <c r="BI336" s="621"/>
      <c r="BJ336" s="621"/>
      <c r="BK336" s="621"/>
      <c r="BL336" s="621"/>
      <c r="BM336" s="980" t="e">
        <f>#REF!+24</f>
        <v>#REF!</v>
      </c>
      <c r="BN336" s="623"/>
      <c r="BO336" s="1020" t="s">
        <v>522</v>
      </c>
      <c r="BP336" s="973" t="str">
        <f t="shared" si="334"/>
        <v>CHO</v>
      </c>
      <c r="BQ336" s="973" t="str">
        <f t="shared" si="335"/>
        <v>Pot</v>
      </c>
      <c r="BR336" s="1021" t="str">
        <f t="shared" si="336"/>
        <v>COMBOWPCPWOCHOPot</v>
      </c>
      <c r="BS336" s="675"/>
      <c r="BT336" s="12"/>
      <c r="BU336" s="1017" t="s">
        <v>525</v>
      </c>
      <c r="BV336" s="1017"/>
      <c r="BW336" s="982" t="s">
        <v>507</v>
      </c>
      <c r="BX336" s="1022">
        <f t="shared" si="337"/>
        <v>0</v>
      </c>
      <c r="BY336" s="621" t="e">
        <f>VLOOKUP(B336,#REF!,13,0)</f>
        <v>#REF!</v>
      </c>
      <c r="BZ336" s="1056"/>
      <c r="CA336" s="1181" t="e">
        <f>VLOOKUP(B336,Pedido!$B$16:$L$292,22,0)</f>
        <v>#N/A</v>
      </c>
      <c r="CB336" s="1181"/>
      <c r="CC336" s="1180"/>
      <c r="CD336" s="1180"/>
      <c r="CE336" s="1180"/>
      <c r="CF336" s="1180"/>
      <c r="CG336" s="1177"/>
    </row>
    <row r="337" spans="1:85" s="622" customFormat="1" ht="27" customHeight="1">
      <c r="A337" s="1239"/>
      <c r="B337" s="1273" t="s">
        <v>676</v>
      </c>
      <c r="C337" s="1274" t="s">
        <v>666</v>
      </c>
      <c r="D337" s="1275" t="s">
        <v>668</v>
      </c>
      <c r="E337" s="1276" t="s">
        <v>433</v>
      </c>
      <c r="F337" s="1276" t="s">
        <v>61</v>
      </c>
      <c r="G337" s="1277">
        <v>900</v>
      </c>
      <c r="H337" s="1160"/>
      <c r="I337" s="549">
        <v>399.9</v>
      </c>
      <c r="J337" s="626" t="str">
        <f t="shared" si="311"/>
        <v/>
      </c>
      <c r="K337" s="627" t="str">
        <f t="shared" si="312"/>
        <v/>
      </c>
      <c r="L337" s="552">
        <f>IF(Pedido!$G$7&gt;14,234.9,284.8)</f>
        <v>284.8</v>
      </c>
      <c r="M337" s="553">
        <f>IF(Pedido!$G$7&gt;14,224.9,249.8)</f>
        <v>249.8</v>
      </c>
      <c r="N337" s="553">
        <f>IF(Pedido!$G$7&gt;14,224.9,249.8)</f>
        <v>249.8</v>
      </c>
      <c r="O337" s="553">
        <f>IF(Pedido!$G$7&gt;14,224.9,249.8)</f>
        <v>249.8</v>
      </c>
      <c r="P337" s="553">
        <f>IF(Pedido!$G$7&gt;14,224.9,249.8)</f>
        <v>249.8</v>
      </c>
      <c r="Q337" s="553">
        <f>IF(Pedido!$G$7&gt;14,224.9,249.8)</f>
        <v>249.8</v>
      </c>
      <c r="R337" s="553">
        <f>IF(Pedido!$G$7&gt;14,224.9,249.8)</f>
        <v>249.8</v>
      </c>
      <c r="S337" s="1254">
        <f>IF(Pedido!$G$7&gt;14,224.9,249.8)</f>
        <v>249.8</v>
      </c>
      <c r="T337" s="1240" t="str">
        <f t="shared" si="313"/>
        <v/>
      </c>
      <c r="U337" s="608" t="str">
        <f t="shared" si="314"/>
        <v/>
      </c>
      <c r="V337" s="1041"/>
      <c r="W337" s="1139"/>
      <c r="X337" s="676"/>
      <c r="Y337" s="628" t="str">
        <f t="shared" si="279"/>
        <v/>
      </c>
      <c r="Z337" s="629"/>
      <c r="AA337" s="609">
        <f t="shared" si="315"/>
        <v>0</v>
      </c>
      <c r="AB337" s="609">
        <f t="shared" si="280"/>
        <v>0</v>
      </c>
      <c r="AC337" s="609">
        <f t="shared" si="281"/>
        <v>0</v>
      </c>
      <c r="AD337" s="609">
        <f t="shared" si="316"/>
        <v>0</v>
      </c>
      <c r="AE337" s="609">
        <f t="shared" si="317"/>
        <v>0</v>
      </c>
      <c r="AF337" s="609">
        <f t="shared" si="318"/>
        <v>0</v>
      </c>
      <c r="AG337" s="610">
        <f t="shared" si="319"/>
        <v>0</v>
      </c>
      <c r="AH337" s="609">
        <f t="shared" si="320"/>
        <v>0</v>
      </c>
      <c r="AI337" s="609">
        <f t="shared" si="321"/>
        <v>0</v>
      </c>
      <c r="AJ337" s="609">
        <f t="shared" si="322"/>
        <v>0</v>
      </c>
      <c r="AK337" s="609">
        <f t="shared" si="323"/>
        <v>0</v>
      </c>
      <c r="AL337" s="609">
        <f t="shared" si="324"/>
        <v>0</v>
      </c>
      <c r="AM337" s="609">
        <f t="shared" si="325"/>
        <v>0</v>
      </c>
      <c r="AN337" s="609">
        <f t="shared" si="326"/>
        <v>0</v>
      </c>
      <c r="AO337" s="609">
        <f t="shared" si="327"/>
        <v>0</v>
      </c>
      <c r="AP337" s="611">
        <f t="shared" si="328"/>
        <v>1</v>
      </c>
      <c r="AQ337" s="612">
        <f t="shared" si="329"/>
        <v>0</v>
      </c>
      <c r="AR337" s="613" t="s">
        <v>158</v>
      </c>
      <c r="AS337" s="614">
        <f t="shared" si="282"/>
        <v>100</v>
      </c>
      <c r="AT337" s="615">
        <f t="shared" si="330"/>
        <v>0</v>
      </c>
      <c r="AU337" s="616">
        <f t="shared" si="331"/>
        <v>0</v>
      </c>
      <c r="AV337" s="617"/>
      <c r="AW337" s="611" t="e">
        <f>VLOOKUP(AX337,Sup!#REF!,8,0)</f>
        <v>#REF!</v>
      </c>
      <c r="AX337" s="1018" t="s">
        <v>199</v>
      </c>
      <c r="AY337" s="1140">
        <v>0</v>
      </c>
      <c r="AZ337" s="618"/>
      <c r="BA337" s="618"/>
      <c r="BB337" s="618"/>
      <c r="BC337" s="618">
        <f t="shared" si="332"/>
        <v>0</v>
      </c>
      <c r="BD337" s="618" t="str">
        <f t="shared" si="283"/>
        <v/>
      </c>
      <c r="BE337" s="619">
        <f t="shared" si="333"/>
        <v>0</v>
      </c>
      <c r="BF337" s="1019"/>
      <c r="BG337" s="620"/>
      <c r="BH337" s="621"/>
      <c r="BI337" s="621"/>
      <c r="BJ337" s="621"/>
      <c r="BK337" s="621"/>
      <c r="BL337" s="621"/>
      <c r="BM337" s="980" t="e">
        <f>#REF!+24</f>
        <v>#REF!</v>
      </c>
      <c r="BN337" s="623"/>
      <c r="BO337" s="1020" t="s">
        <v>522</v>
      </c>
      <c r="BP337" s="973" t="str">
        <f t="shared" si="334"/>
        <v>DOC</v>
      </c>
      <c r="BQ337" s="973" t="str">
        <f t="shared" si="335"/>
        <v>Pot</v>
      </c>
      <c r="BR337" s="1021" t="str">
        <f>CONCATENATE(BO338,BP337,BQ337)</f>
        <v>COMBOWPCPWODOCPot</v>
      </c>
      <c r="BS337" s="675"/>
      <c r="BT337" s="12"/>
      <c r="BU337" s="1017" t="s">
        <v>525</v>
      </c>
      <c r="BV337" s="1017"/>
      <c r="BW337" s="982" t="s">
        <v>507</v>
      </c>
      <c r="BX337" s="1022">
        <f t="shared" si="337"/>
        <v>0</v>
      </c>
      <c r="BY337" s="621" t="e">
        <f>VLOOKUP(B337,#REF!,13,0)</f>
        <v>#REF!</v>
      </c>
      <c r="BZ337" s="1056"/>
      <c r="CA337" s="1181" t="e">
        <f>VLOOKUP(B337,Pedido!$B$16:$L$292,22,0)</f>
        <v>#N/A</v>
      </c>
      <c r="CB337" s="1181"/>
      <c r="CC337" s="1180"/>
      <c r="CD337" s="1180"/>
      <c r="CE337" s="1180"/>
      <c r="CF337" s="1180"/>
      <c r="CG337" s="1177"/>
    </row>
    <row r="338" spans="1:85" s="622" customFormat="1" ht="27" customHeight="1">
      <c r="A338" s="1239"/>
      <c r="B338" s="1295" t="s">
        <v>698</v>
      </c>
      <c r="C338" s="1295" t="s">
        <v>707</v>
      </c>
      <c r="D338" s="1275" t="s">
        <v>697</v>
      </c>
      <c r="E338" s="642" t="s">
        <v>667</v>
      </c>
      <c r="F338" s="642" t="s">
        <v>61</v>
      </c>
      <c r="G338" s="548">
        <v>900</v>
      </c>
      <c r="H338" s="1153"/>
      <c r="I338" s="549">
        <v>379.9</v>
      </c>
      <c r="J338" s="550" t="str">
        <f t="shared" ref="J338:J345" si="338">IFERROR(IF(T338&lt;&gt;"",I338/T338,IF(AND(Y338="",V338=""),"",IF(V338="",I338/Y338,I338/V338))),"")</f>
        <v/>
      </c>
      <c r="K338" s="551" t="str">
        <f t="shared" ref="K338:K345" si="339">IF(T338="","",IFERROR(1-(T338/I338),0))</f>
        <v/>
      </c>
      <c r="L338" s="552">
        <f>IF(Pedido!$G$7&gt;14,199.9,209.9)</f>
        <v>209.9</v>
      </c>
      <c r="M338" s="553">
        <f>IF(Pedido!$G$7&gt;14,199.9,209.9)</f>
        <v>209.9</v>
      </c>
      <c r="N338" s="553">
        <f>IF(Pedido!$G$7&gt;14,199.9,209.9)</f>
        <v>209.9</v>
      </c>
      <c r="O338" s="553">
        <f>IF(Pedido!$G$7&gt;14,199.9,209.9)</f>
        <v>209.9</v>
      </c>
      <c r="P338" s="553">
        <f>IF(Pedido!$G$7&gt;14,199.9,209.9)</f>
        <v>209.9</v>
      </c>
      <c r="Q338" s="553">
        <f>IF(Pedido!$G$7&gt;14,199.9,209.9)</f>
        <v>209.9</v>
      </c>
      <c r="R338" s="553">
        <f>IF(Pedido!$G$7&gt;14,199.9,209.9)</f>
        <v>209.9</v>
      </c>
      <c r="S338" s="553">
        <f>IF(Pedido!$G$7&gt;14,199.9,209.9)</f>
        <v>209.9</v>
      </c>
      <c r="T338" s="1240" t="str">
        <f t="shared" ref="T338:T346" si="340">IF(V338&gt;0,V338,IFERROR(IF(AND(W338&lt;&gt;"",X338&lt;&gt;""),AH338/W338,Y338),""))</f>
        <v/>
      </c>
      <c r="U338" s="608" t="str">
        <f t="shared" ref="U338:U346" si="341">IFERROR((T338*W338)/(W338+X338),"")</f>
        <v/>
      </c>
      <c r="V338" s="1041"/>
      <c r="W338" s="1139"/>
      <c r="X338" s="676"/>
      <c r="Y338" s="628" t="str">
        <f t="shared" si="279"/>
        <v/>
      </c>
      <c r="Z338" s="629"/>
      <c r="AA338" s="609">
        <f t="shared" ref="AA338:AA346" si="342">IFERROR(L338*W338,0)</f>
        <v>0</v>
      </c>
      <c r="AB338" s="609">
        <f t="shared" si="280"/>
        <v>0</v>
      </c>
      <c r="AC338" s="609">
        <f t="shared" si="281"/>
        <v>0</v>
      </c>
      <c r="AD338" s="609">
        <f t="shared" ref="AD338:AD346" si="343">IFERROR(X338*T338,0)</f>
        <v>0</v>
      </c>
      <c r="AE338" s="609">
        <f t="shared" ref="AE338:AE346" si="344">IFERROR(W338*H338,0)</f>
        <v>0</v>
      </c>
      <c r="AF338" s="609">
        <f t="shared" ref="AF338:AF346" si="345">IFERROR(1-(AE338/AB338),0)</f>
        <v>0</v>
      </c>
      <c r="AG338" s="610">
        <f t="shared" ref="AG338:AG346" si="346">IFERROR(SUM(W338:X338)*I338,0)</f>
        <v>0</v>
      </c>
      <c r="AH338" s="609">
        <f t="shared" ref="AH338:AH346" si="347">IFERROR(IF(V338&gt;0,V338*W338,(Y338*W338)),0)</f>
        <v>0</v>
      </c>
      <c r="AI338" s="609">
        <f t="shared" ref="AI338:AI346" si="348">IFERROR(SUM(W338)*H338,0)</f>
        <v>0</v>
      </c>
      <c r="AJ338" s="609">
        <f t="shared" ref="AJ338:AJ346" si="349">AH338*$AJ$25</f>
        <v>0</v>
      </c>
      <c r="AK338" s="609">
        <f t="shared" ref="AK338:AK346" si="350">AH338*AK$25</f>
        <v>0</v>
      </c>
      <c r="AL338" s="609">
        <f t="shared" ref="AL338:AL346" si="351">AH338*AL$25</f>
        <v>0</v>
      </c>
      <c r="AM338" s="609">
        <f t="shared" ref="AM338:AM346" si="352">SUM(AJ338:AL338)</f>
        <v>0</v>
      </c>
      <c r="AN338" s="609">
        <f t="shared" ref="AN338:AN346" si="353">AH338-AM338</f>
        <v>0</v>
      </c>
      <c r="AO338" s="609">
        <f t="shared" ref="AO338:AO346" si="354">AN338-AI338</f>
        <v>0</v>
      </c>
      <c r="AP338" s="611">
        <f t="shared" ref="AP338:AP346" si="355">IFERROR(IF(V338&lt;&gt;"",1-(H338/V338),IF(Y338&lt;&gt;"",1-(H338/Y338),1-(H338/L338))),0)</f>
        <v>1</v>
      </c>
      <c r="AQ338" s="612">
        <f t="shared" ref="AQ338:AQ346" si="356">H338/0.75</f>
        <v>0</v>
      </c>
      <c r="AR338" s="613" t="s">
        <v>158</v>
      </c>
      <c r="AS338" s="1270">
        <f t="shared" si="282"/>
        <v>100</v>
      </c>
      <c r="AT338" s="1271">
        <f t="shared" ref="AT338:AT346" si="357">IFERROR(1-(AI338/AH338),0)</f>
        <v>0</v>
      </c>
      <c r="AU338" s="1272">
        <f t="shared" ref="AU338:AU346" si="358">IFERROR(AO338/AH338,0)</f>
        <v>0</v>
      </c>
      <c r="AV338" s="617"/>
      <c r="AW338" s="611" t="e">
        <f>VLOOKUP(AX338,Sup!#REF!,8,0)</f>
        <v>#REF!</v>
      </c>
      <c r="AX338" s="1018" t="s">
        <v>199</v>
      </c>
      <c r="AY338" s="1140">
        <v>0</v>
      </c>
      <c r="AZ338" s="618"/>
      <c r="BA338" s="618"/>
      <c r="BB338" s="618"/>
      <c r="BC338" s="618">
        <f t="shared" ref="BC338:BC346" si="359">IF(BE338&lt;0,BE338,0)</f>
        <v>0</v>
      </c>
      <c r="BD338" s="618" t="str">
        <f t="shared" si="283"/>
        <v/>
      </c>
      <c r="BE338" s="619">
        <f t="shared" ref="BE338:BE346" si="360">IF(V338="",0,(V338*W338)-(BD338*W338))</f>
        <v>0</v>
      </c>
      <c r="BF338" s="1019"/>
      <c r="BG338" s="620"/>
      <c r="BH338" s="621"/>
      <c r="BI338" s="621"/>
      <c r="BJ338" s="621"/>
      <c r="BK338" s="621"/>
      <c r="BL338" s="621"/>
      <c r="BM338" s="980" t="e">
        <f>#REF!+24</f>
        <v>#REF!</v>
      </c>
      <c r="BN338" s="623"/>
      <c r="BO338" s="1020" t="s">
        <v>522</v>
      </c>
      <c r="BP338" s="973" t="str">
        <f t="shared" ref="BP338:BP346" si="361">IF(E338="banoffee",LEFT(E338,4),LEFT(E338,3))</f>
        <v>NEU</v>
      </c>
      <c r="BQ338" s="973" t="str">
        <f t="shared" ref="BQ338:BQ346" si="362">LEFT(F338,3)</f>
        <v>Pot</v>
      </c>
      <c r="BR338" s="1021" t="str">
        <f t="shared" ref="BR338:BR345" si="363">CONCATENATE(BO339,BP338,BQ338)</f>
        <v>COMBOWPCPWONEUPot</v>
      </c>
      <c r="BS338" s="675"/>
      <c r="BT338" s="12"/>
      <c r="BU338" s="1017"/>
      <c r="BV338" s="1017"/>
      <c r="BW338" s="982"/>
      <c r="BX338" s="1022"/>
      <c r="BY338" s="621"/>
      <c r="BZ338" s="1056"/>
      <c r="CA338" s="1181"/>
      <c r="CB338" s="1181"/>
      <c r="CC338" s="1180"/>
      <c r="CD338" s="1180"/>
      <c r="CE338" s="1180"/>
      <c r="CF338" s="1180"/>
      <c r="CG338" s="1177"/>
    </row>
    <row r="339" spans="1:85" s="622" customFormat="1" ht="27" customHeight="1">
      <c r="A339" s="1239"/>
      <c r="B339" s="1295" t="s">
        <v>699</v>
      </c>
      <c r="C339" s="1295" t="s">
        <v>707</v>
      </c>
      <c r="D339" s="547" t="s">
        <v>697</v>
      </c>
      <c r="E339" s="642" t="s">
        <v>430</v>
      </c>
      <c r="F339" s="642" t="s">
        <v>61</v>
      </c>
      <c r="G339" s="548">
        <v>900</v>
      </c>
      <c r="H339" s="1153"/>
      <c r="I339" s="549">
        <v>379.9</v>
      </c>
      <c r="J339" s="550" t="str">
        <f t="shared" si="338"/>
        <v/>
      </c>
      <c r="K339" s="551" t="str">
        <f t="shared" si="339"/>
        <v/>
      </c>
      <c r="L339" s="552">
        <f>IF(Pedido!$G$7&gt;14,199.9,209.9)</f>
        <v>209.9</v>
      </c>
      <c r="M339" s="553">
        <f>IF(Pedido!$G$7&gt;14,199.9,209.9)</f>
        <v>209.9</v>
      </c>
      <c r="N339" s="553">
        <f>IF(Pedido!$G$7&gt;14,199.9,209.9)</f>
        <v>209.9</v>
      </c>
      <c r="O339" s="553">
        <f>IF(Pedido!$G$7&gt;14,199.9,209.9)</f>
        <v>209.9</v>
      </c>
      <c r="P339" s="553">
        <f>IF(Pedido!$G$7&gt;14,199.9,209.9)</f>
        <v>209.9</v>
      </c>
      <c r="Q339" s="553">
        <f>IF(Pedido!$G$7&gt;14,199.9,209.9)</f>
        <v>209.9</v>
      </c>
      <c r="R339" s="553">
        <f>IF(Pedido!$G$7&gt;14,199.9,209.9)</f>
        <v>209.9</v>
      </c>
      <c r="S339" s="553">
        <f>IF(Pedido!$G$7&gt;14,199.9,209.9)</f>
        <v>209.9</v>
      </c>
      <c r="T339" s="1240" t="str">
        <f t="shared" si="340"/>
        <v/>
      </c>
      <c r="U339" s="608" t="str">
        <f t="shared" si="341"/>
        <v/>
      </c>
      <c r="V339" s="1041"/>
      <c r="W339" s="1139"/>
      <c r="X339" s="676"/>
      <c r="Y339" s="628" t="str">
        <f t="shared" si="279"/>
        <v/>
      </c>
      <c r="Z339" s="629"/>
      <c r="AA339" s="609">
        <f t="shared" si="342"/>
        <v>0</v>
      </c>
      <c r="AB339" s="609">
        <f t="shared" si="280"/>
        <v>0</v>
      </c>
      <c r="AC339" s="609">
        <f t="shared" si="281"/>
        <v>0</v>
      </c>
      <c r="AD339" s="609">
        <f t="shared" si="343"/>
        <v>0</v>
      </c>
      <c r="AE339" s="609">
        <f t="shared" si="344"/>
        <v>0</v>
      </c>
      <c r="AF339" s="609">
        <f t="shared" si="345"/>
        <v>0</v>
      </c>
      <c r="AG339" s="610">
        <f t="shared" si="346"/>
        <v>0</v>
      </c>
      <c r="AH339" s="609">
        <f t="shared" si="347"/>
        <v>0</v>
      </c>
      <c r="AI339" s="609">
        <f t="shared" si="348"/>
        <v>0</v>
      </c>
      <c r="AJ339" s="609">
        <f t="shared" si="349"/>
        <v>0</v>
      </c>
      <c r="AK339" s="609">
        <f t="shared" si="350"/>
        <v>0</v>
      </c>
      <c r="AL339" s="609">
        <f t="shared" si="351"/>
        <v>0</v>
      </c>
      <c r="AM339" s="609">
        <f t="shared" si="352"/>
        <v>0</v>
      </c>
      <c r="AN339" s="609">
        <f t="shared" si="353"/>
        <v>0</v>
      </c>
      <c r="AO339" s="609">
        <f t="shared" si="354"/>
        <v>0</v>
      </c>
      <c r="AP339" s="611">
        <f t="shared" si="355"/>
        <v>1</v>
      </c>
      <c r="AQ339" s="612">
        <f t="shared" si="356"/>
        <v>0</v>
      </c>
      <c r="AR339" s="613" t="s">
        <v>158</v>
      </c>
      <c r="AS339" s="1270">
        <f t="shared" si="282"/>
        <v>100</v>
      </c>
      <c r="AT339" s="1271">
        <f t="shared" si="357"/>
        <v>0</v>
      </c>
      <c r="AU339" s="1272">
        <f t="shared" si="358"/>
        <v>0</v>
      </c>
      <c r="AV339" s="617"/>
      <c r="AW339" s="611" t="e">
        <f>VLOOKUP(AX339,Sup!#REF!,8,0)</f>
        <v>#REF!</v>
      </c>
      <c r="AX339" s="1018" t="s">
        <v>199</v>
      </c>
      <c r="AY339" s="1140">
        <v>0</v>
      </c>
      <c r="AZ339" s="618"/>
      <c r="BA339" s="618"/>
      <c r="BB339" s="618"/>
      <c r="BC339" s="618">
        <f t="shared" si="359"/>
        <v>0</v>
      </c>
      <c r="BD339" s="618" t="str">
        <f t="shared" si="283"/>
        <v/>
      </c>
      <c r="BE339" s="619">
        <f t="shared" si="360"/>
        <v>0</v>
      </c>
      <c r="BF339" s="1019"/>
      <c r="BG339" s="620"/>
      <c r="BH339" s="621"/>
      <c r="BI339" s="621"/>
      <c r="BJ339" s="621"/>
      <c r="BK339" s="621"/>
      <c r="BL339" s="621"/>
      <c r="BM339" s="980" t="e">
        <f>#REF!+24</f>
        <v>#REF!</v>
      </c>
      <c r="BN339" s="623"/>
      <c r="BO339" s="1020" t="s">
        <v>522</v>
      </c>
      <c r="BP339" s="973" t="str">
        <f t="shared" si="361"/>
        <v>MOR</v>
      </c>
      <c r="BQ339" s="973" t="str">
        <f t="shared" si="362"/>
        <v>Pot</v>
      </c>
      <c r="BR339" s="1021" t="str">
        <f t="shared" si="363"/>
        <v>COMBOWPCPWOMORPot</v>
      </c>
      <c r="BS339" s="675"/>
      <c r="BT339" s="12"/>
      <c r="BU339" s="1017"/>
      <c r="BV339" s="1017"/>
      <c r="BW339" s="982"/>
      <c r="BX339" s="1022"/>
      <c r="BY339" s="621"/>
      <c r="BZ339" s="1056"/>
      <c r="CA339" s="1181"/>
      <c r="CB339" s="1181"/>
      <c r="CC339" s="1180"/>
      <c r="CD339" s="1180"/>
      <c r="CE339" s="1180"/>
      <c r="CF339" s="1180"/>
      <c r="CG339" s="1177"/>
    </row>
    <row r="340" spans="1:85" s="622" customFormat="1" ht="27" customHeight="1">
      <c r="A340" s="1239"/>
      <c r="B340" s="1295" t="s">
        <v>700</v>
      </c>
      <c r="C340" s="1295" t="s">
        <v>707</v>
      </c>
      <c r="D340" s="547" t="s">
        <v>697</v>
      </c>
      <c r="E340" s="642" t="s">
        <v>429</v>
      </c>
      <c r="F340" s="642" t="s">
        <v>61</v>
      </c>
      <c r="G340" s="548">
        <v>900</v>
      </c>
      <c r="H340" s="1153"/>
      <c r="I340" s="549">
        <v>379.9</v>
      </c>
      <c r="J340" s="550" t="str">
        <f t="shared" si="338"/>
        <v/>
      </c>
      <c r="K340" s="551" t="str">
        <f t="shared" si="339"/>
        <v/>
      </c>
      <c r="L340" s="552">
        <f>IF(Pedido!$G$7&gt;14,199.9,209.9)</f>
        <v>209.9</v>
      </c>
      <c r="M340" s="553">
        <f>IF(Pedido!$G$7&gt;14,199.9,209.9)</f>
        <v>209.9</v>
      </c>
      <c r="N340" s="553">
        <f>IF(Pedido!$G$7&gt;14,199.9,209.9)</f>
        <v>209.9</v>
      </c>
      <c r="O340" s="553">
        <f>IF(Pedido!$G$7&gt;14,199.9,209.9)</f>
        <v>209.9</v>
      </c>
      <c r="P340" s="553">
        <f>IF(Pedido!$G$7&gt;14,199.9,209.9)</f>
        <v>209.9</v>
      </c>
      <c r="Q340" s="553">
        <f>IF(Pedido!$G$7&gt;14,199.9,209.9)</f>
        <v>209.9</v>
      </c>
      <c r="R340" s="553">
        <f>IF(Pedido!$G$7&gt;14,199.9,209.9)</f>
        <v>209.9</v>
      </c>
      <c r="S340" s="553">
        <f>IF(Pedido!$G$7&gt;14,199.9,209.9)</f>
        <v>209.9</v>
      </c>
      <c r="T340" s="1240" t="str">
        <f t="shared" si="340"/>
        <v/>
      </c>
      <c r="U340" s="608" t="str">
        <f t="shared" si="341"/>
        <v/>
      </c>
      <c r="V340" s="1041"/>
      <c r="W340" s="1139"/>
      <c r="X340" s="676"/>
      <c r="Y340" s="628" t="str">
        <f t="shared" si="279"/>
        <v/>
      </c>
      <c r="Z340" s="629"/>
      <c r="AA340" s="609">
        <f t="shared" si="342"/>
        <v>0</v>
      </c>
      <c r="AB340" s="609">
        <f t="shared" si="280"/>
        <v>0</v>
      </c>
      <c r="AC340" s="609">
        <f t="shared" si="281"/>
        <v>0</v>
      </c>
      <c r="AD340" s="609">
        <f t="shared" si="343"/>
        <v>0</v>
      </c>
      <c r="AE340" s="609">
        <f t="shared" si="344"/>
        <v>0</v>
      </c>
      <c r="AF340" s="609">
        <f t="shared" si="345"/>
        <v>0</v>
      </c>
      <c r="AG340" s="610">
        <f t="shared" si="346"/>
        <v>0</v>
      </c>
      <c r="AH340" s="609">
        <f t="shared" si="347"/>
        <v>0</v>
      </c>
      <c r="AI340" s="609">
        <f t="shared" si="348"/>
        <v>0</v>
      </c>
      <c r="AJ340" s="609">
        <f t="shared" si="349"/>
        <v>0</v>
      </c>
      <c r="AK340" s="609">
        <f t="shared" si="350"/>
        <v>0</v>
      </c>
      <c r="AL340" s="609">
        <f t="shared" si="351"/>
        <v>0</v>
      </c>
      <c r="AM340" s="609">
        <f t="shared" si="352"/>
        <v>0</v>
      </c>
      <c r="AN340" s="609">
        <f t="shared" si="353"/>
        <v>0</v>
      </c>
      <c r="AO340" s="609">
        <f t="shared" si="354"/>
        <v>0</v>
      </c>
      <c r="AP340" s="611">
        <f t="shared" si="355"/>
        <v>1</v>
      </c>
      <c r="AQ340" s="612">
        <f t="shared" si="356"/>
        <v>0</v>
      </c>
      <c r="AR340" s="613" t="s">
        <v>158</v>
      </c>
      <c r="AS340" s="1270">
        <f t="shared" si="282"/>
        <v>100</v>
      </c>
      <c r="AT340" s="1271">
        <f t="shared" si="357"/>
        <v>0</v>
      </c>
      <c r="AU340" s="1272">
        <f t="shared" si="358"/>
        <v>0</v>
      </c>
      <c r="AV340" s="617"/>
      <c r="AW340" s="611" t="e">
        <f>VLOOKUP(AX340,Sup!#REF!,8,0)</f>
        <v>#REF!</v>
      </c>
      <c r="AX340" s="1018" t="s">
        <v>199</v>
      </c>
      <c r="AY340" s="1140">
        <v>0</v>
      </c>
      <c r="AZ340" s="618"/>
      <c r="BA340" s="618"/>
      <c r="BB340" s="618"/>
      <c r="BC340" s="618">
        <f t="shared" si="359"/>
        <v>0</v>
      </c>
      <c r="BD340" s="618" t="str">
        <f t="shared" si="283"/>
        <v/>
      </c>
      <c r="BE340" s="619">
        <f t="shared" si="360"/>
        <v>0</v>
      </c>
      <c r="BF340" s="1019"/>
      <c r="BG340" s="620"/>
      <c r="BH340" s="621"/>
      <c r="BI340" s="621"/>
      <c r="BJ340" s="621"/>
      <c r="BK340" s="621"/>
      <c r="BL340" s="621"/>
      <c r="BM340" s="980" t="e">
        <f>#REF!+24</f>
        <v>#REF!</v>
      </c>
      <c r="BN340" s="623"/>
      <c r="BO340" s="1020" t="s">
        <v>522</v>
      </c>
      <c r="BP340" s="973" t="str">
        <f t="shared" si="361"/>
        <v>COO</v>
      </c>
      <c r="BQ340" s="973" t="str">
        <f t="shared" si="362"/>
        <v>Pot</v>
      </c>
      <c r="BR340" s="1021" t="str">
        <f t="shared" si="363"/>
        <v>COMBOWPCPWOCOOPot</v>
      </c>
      <c r="BS340" s="675"/>
      <c r="BT340" s="12"/>
      <c r="BU340" s="1017"/>
      <c r="BV340" s="1017"/>
      <c r="BW340" s="982"/>
      <c r="BX340" s="1022"/>
      <c r="BY340" s="621"/>
      <c r="BZ340" s="1056"/>
      <c r="CA340" s="1181"/>
      <c r="CB340" s="1181"/>
      <c r="CC340" s="1180"/>
      <c r="CD340" s="1180"/>
      <c r="CE340" s="1180"/>
      <c r="CF340" s="1180"/>
      <c r="CG340" s="1177"/>
    </row>
    <row r="341" spans="1:85" s="622" customFormat="1" ht="27" customHeight="1">
      <c r="A341" s="1239"/>
      <c r="B341" s="1295" t="s">
        <v>701</v>
      </c>
      <c r="C341" s="1295" t="s">
        <v>707</v>
      </c>
      <c r="D341" s="547" t="s">
        <v>697</v>
      </c>
      <c r="E341" s="642" t="s">
        <v>428</v>
      </c>
      <c r="F341" s="642" t="s">
        <v>61</v>
      </c>
      <c r="G341" s="548">
        <v>900</v>
      </c>
      <c r="H341" s="1153"/>
      <c r="I341" s="549">
        <v>379.9</v>
      </c>
      <c r="J341" s="550" t="str">
        <f t="shared" si="338"/>
        <v/>
      </c>
      <c r="K341" s="551" t="str">
        <f t="shared" si="339"/>
        <v/>
      </c>
      <c r="L341" s="552">
        <f>IF(Pedido!$G$7&gt;14,199.9,209.9)</f>
        <v>209.9</v>
      </c>
      <c r="M341" s="553">
        <f>IF(Pedido!$G$7&gt;14,199.9,209.9)</f>
        <v>209.9</v>
      </c>
      <c r="N341" s="553">
        <f>IF(Pedido!$G$7&gt;14,199.9,209.9)</f>
        <v>209.9</v>
      </c>
      <c r="O341" s="553">
        <f>IF(Pedido!$G$7&gt;14,199.9,209.9)</f>
        <v>209.9</v>
      </c>
      <c r="P341" s="553">
        <f>IF(Pedido!$G$7&gt;14,199.9,209.9)</f>
        <v>209.9</v>
      </c>
      <c r="Q341" s="553">
        <f>IF(Pedido!$G$7&gt;14,199.9,209.9)</f>
        <v>209.9</v>
      </c>
      <c r="R341" s="553">
        <f>IF(Pedido!$G$7&gt;14,199.9,209.9)</f>
        <v>209.9</v>
      </c>
      <c r="S341" s="553">
        <f>IF(Pedido!$G$7&gt;14,199.9,209.9)</f>
        <v>209.9</v>
      </c>
      <c r="T341" s="1240" t="str">
        <f t="shared" si="340"/>
        <v/>
      </c>
      <c r="U341" s="608" t="str">
        <f t="shared" si="341"/>
        <v/>
      </c>
      <c r="V341" s="1041"/>
      <c r="W341" s="1139"/>
      <c r="X341" s="676"/>
      <c r="Y341" s="628" t="str">
        <f t="shared" si="279"/>
        <v/>
      </c>
      <c r="Z341" s="629"/>
      <c r="AA341" s="609">
        <f t="shared" si="342"/>
        <v>0</v>
      </c>
      <c r="AB341" s="609">
        <f t="shared" si="280"/>
        <v>0</v>
      </c>
      <c r="AC341" s="609">
        <f t="shared" si="281"/>
        <v>0</v>
      </c>
      <c r="AD341" s="609">
        <f t="shared" si="343"/>
        <v>0</v>
      </c>
      <c r="AE341" s="609">
        <f t="shared" si="344"/>
        <v>0</v>
      </c>
      <c r="AF341" s="609">
        <f t="shared" si="345"/>
        <v>0</v>
      </c>
      <c r="AG341" s="610">
        <f t="shared" si="346"/>
        <v>0</v>
      </c>
      <c r="AH341" s="609">
        <f t="shared" si="347"/>
        <v>0</v>
      </c>
      <c r="AI341" s="609">
        <f t="shared" si="348"/>
        <v>0</v>
      </c>
      <c r="AJ341" s="609">
        <f t="shared" si="349"/>
        <v>0</v>
      </c>
      <c r="AK341" s="609">
        <f t="shared" si="350"/>
        <v>0</v>
      </c>
      <c r="AL341" s="609">
        <f t="shared" si="351"/>
        <v>0</v>
      </c>
      <c r="AM341" s="609">
        <f t="shared" si="352"/>
        <v>0</v>
      </c>
      <c r="AN341" s="609">
        <f t="shared" si="353"/>
        <v>0</v>
      </c>
      <c r="AO341" s="609">
        <f t="shared" si="354"/>
        <v>0</v>
      </c>
      <c r="AP341" s="611">
        <f t="shared" si="355"/>
        <v>1</v>
      </c>
      <c r="AQ341" s="612">
        <f t="shared" si="356"/>
        <v>0</v>
      </c>
      <c r="AR341" s="613" t="s">
        <v>158</v>
      </c>
      <c r="AS341" s="1270">
        <f t="shared" si="282"/>
        <v>100</v>
      </c>
      <c r="AT341" s="1271">
        <f t="shared" si="357"/>
        <v>0</v>
      </c>
      <c r="AU341" s="1272">
        <f t="shared" si="358"/>
        <v>0</v>
      </c>
      <c r="AV341" s="617"/>
      <c r="AW341" s="611" t="e">
        <f>VLOOKUP(AX341,Sup!#REF!,8,0)</f>
        <v>#REF!</v>
      </c>
      <c r="AX341" s="1018" t="s">
        <v>199</v>
      </c>
      <c r="AY341" s="1140">
        <v>0</v>
      </c>
      <c r="AZ341" s="618"/>
      <c r="BA341" s="618"/>
      <c r="BB341" s="618"/>
      <c r="BC341" s="618">
        <f t="shared" si="359"/>
        <v>0</v>
      </c>
      <c r="BD341" s="618" t="str">
        <f t="shared" si="283"/>
        <v/>
      </c>
      <c r="BE341" s="619">
        <f t="shared" si="360"/>
        <v>0</v>
      </c>
      <c r="BF341" s="1019"/>
      <c r="BG341" s="620"/>
      <c r="BH341" s="621"/>
      <c r="BI341" s="621"/>
      <c r="BJ341" s="621"/>
      <c r="BK341" s="621"/>
      <c r="BL341" s="621"/>
      <c r="BM341" s="980" t="e">
        <f>#REF!+24</f>
        <v>#REF!</v>
      </c>
      <c r="BN341" s="623"/>
      <c r="BO341" s="1020" t="s">
        <v>522</v>
      </c>
      <c r="BP341" s="973" t="str">
        <f t="shared" si="361"/>
        <v>COC</v>
      </c>
      <c r="BQ341" s="973" t="str">
        <f t="shared" si="362"/>
        <v>Pot</v>
      </c>
      <c r="BR341" s="1021" t="str">
        <f t="shared" si="363"/>
        <v>COMBOWPCPWOCOCPot</v>
      </c>
      <c r="BS341" s="675"/>
      <c r="BT341" s="12"/>
      <c r="BU341" s="1017"/>
      <c r="BV341" s="1017"/>
      <c r="BW341" s="982"/>
      <c r="BX341" s="1022"/>
      <c r="BY341" s="621"/>
      <c r="BZ341" s="1056"/>
      <c r="CA341" s="1181"/>
      <c r="CB341" s="1181"/>
      <c r="CC341" s="1180"/>
      <c r="CD341" s="1180"/>
      <c r="CE341" s="1180"/>
      <c r="CF341" s="1180"/>
      <c r="CG341" s="1177"/>
    </row>
    <row r="342" spans="1:85" s="622" customFormat="1" ht="27" customHeight="1">
      <c r="A342" s="1239"/>
      <c r="B342" s="1295" t="s">
        <v>708</v>
      </c>
      <c r="C342" s="1295" t="s">
        <v>707</v>
      </c>
      <c r="D342" s="547" t="s">
        <v>697</v>
      </c>
      <c r="E342" s="642" t="s">
        <v>427</v>
      </c>
      <c r="F342" s="642" t="s">
        <v>61</v>
      </c>
      <c r="G342" s="548">
        <v>900</v>
      </c>
      <c r="H342" s="1153"/>
      <c r="I342" s="549">
        <v>379.9</v>
      </c>
      <c r="J342" s="550" t="str">
        <f t="shared" si="338"/>
        <v/>
      </c>
      <c r="K342" s="551" t="str">
        <f t="shared" si="339"/>
        <v/>
      </c>
      <c r="L342" s="552">
        <f>IF(Pedido!$G$7&gt;14,199.9,209.9)</f>
        <v>209.9</v>
      </c>
      <c r="M342" s="553">
        <f>IF(Pedido!$G$7&gt;14,199.9,209.9)</f>
        <v>209.9</v>
      </c>
      <c r="N342" s="553">
        <f>IF(Pedido!$G$7&gt;14,199.9,209.9)</f>
        <v>209.9</v>
      </c>
      <c r="O342" s="553">
        <f>IF(Pedido!$G$7&gt;14,199.9,209.9)</f>
        <v>209.9</v>
      </c>
      <c r="P342" s="553">
        <f>IF(Pedido!$G$7&gt;14,199.9,209.9)</f>
        <v>209.9</v>
      </c>
      <c r="Q342" s="553">
        <f>IF(Pedido!$G$7&gt;14,199.9,209.9)</f>
        <v>209.9</v>
      </c>
      <c r="R342" s="553">
        <f>IF(Pedido!$G$7&gt;14,199.9,209.9)</f>
        <v>209.9</v>
      </c>
      <c r="S342" s="553">
        <f>IF(Pedido!$G$7&gt;14,199.9,209.9)</f>
        <v>209.9</v>
      </c>
      <c r="T342" s="1240" t="str">
        <f t="shared" si="340"/>
        <v/>
      </c>
      <c r="U342" s="608" t="str">
        <f t="shared" si="341"/>
        <v/>
      </c>
      <c r="V342" s="1041"/>
      <c r="W342" s="1139"/>
      <c r="X342" s="676"/>
      <c r="Y342" s="628" t="str">
        <f t="shared" si="279"/>
        <v/>
      </c>
      <c r="Z342" s="629"/>
      <c r="AA342" s="609">
        <f t="shared" si="342"/>
        <v>0</v>
      </c>
      <c r="AB342" s="609">
        <f t="shared" si="280"/>
        <v>0</v>
      </c>
      <c r="AC342" s="609">
        <f t="shared" si="281"/>
        <v>0</v>
      </c>
      <c r="AD342" s="609">
        <f t="shared" si="343"/>
        <v>0</v>
      </c>
      <c r="AE342" s="609">
        <f t="shared" si="344"/>
        <v>0</v>
      </c>
      <c r="AF342" s="609">
        <f t="shared" si="345"/>
        <v>0</v>
      </c>
      <c r="AG342" s="610">
        <f t="shared" si="346"/>
        <v>0</v>
      </c>
      <c r="AH342" s="609">
        <f t="shared" si="347"/>
        <v>0</v>
      </c>
      <c r="AI342" s="609">
        <f t="shared" si="348"/>
        <v>0</v>
      </c>
      <c r="AJ342" s="609">
        <f t="shared" si="349"/>
        <v>0</v>
      </c>
      <c r="AK342" s="609">
        <f t="shared" si="350"/>
        <v>0</v>
      </c>
      <c r="AL342" s="609">
        <f t="shared" si="351"/>
        <v>0</v>
      </c>
      <c r="AM342" s="609">
        <f t="shared" si="352"/>
        <v>0</v>
      </c>
      <c r="AN342" s="609">
        <f t="shared" si="353"/>
        <v>0</v>
      </c>
      <c r="AO342" s="609">
        <f t="shared" si="354"/>
        <v>0</v>
      </c>
      <c r="AP342" s="611">
        <f t="shared" si="355"/>
        <v>1</v>
      </c>
      <c r="AQ342" s="612">
        <f t="shared" si="356"/>
        <v>0</v>
      </c>
      <c r="AR342" s="613" t="s">
        <v>158</v>
      </c>
      <c r="AS342" s="1270">
        <f t="shared" si="282"/>
        <v>100</v>
      </c>
      <c r="AT342" s="1271">
        <f t="shared" si="357"/>
        <v>0</v>
      </c>
      <c r="AU342" s="1272">
        <f t="shared" si="358"/>
        <v>0</v>
      </c>
      <c r="AV342" s="617"/>
      <c r="AW342" s="611" t="e">
        <f>VLOOKUP(AX342,Sup!#REF!,8,0)</f>
        <v>#REF!</v>
      </c>
      <c r="AX342" s="1018" t="s">
        <v>199</v>
      </c>
      <c r="AY342" s="1140">
        <v>0</v>
      </c>
      <c r="AZ342" s="618"/>
      <c r="BA342" s="618"/>
      <c r="BB342" s="618"/>
      <c r="BC342" s="618">
        <f t="shared" si="359"/>
        <v>0</v>
      </c>
      <c r="BD342" s="618" t="str">
        <f t="shared" si="283"/>
        <v/>
      </c>
      <c r="BE342" s="619">
        <f t="shared" si="360"/>
        <v>0</v>
      </c>
      <c r="BF342" s="1019"/>
      <c r="BG342" s="620"/>
      <c r="BH342" s="621"/>
      <c r="BI342" s="621"/>
      <c r="BJ342" s="621"/>
      <c r="BK342" s="621"/>
      <c r="BL342" s="621"/>
      <c r="BM342" s="980" t="e">
        <f>#REF!+24</f>
        <v>#REF!</v>
      </c>
      <c r="BN342" s="623"/>
      <c r="BO342" s="1020" t="s">
        <v>522</v>
      </c>
      <c r="BP342" s="973" t="str">
        <f t="shared" si="361"/>
        <v>CHO</v>
      </c>
      <c r="BQ342" s="973" t="str">
        <f t="shared" si="362"/>
        <v>Pot</v>
      </c>
      <c r="BR342" s="1021" t="str">
        <f t="shared" si="363"/>
        <v>COMBOWPCPWOCHOPot</v>
      </c>
      <c r="BS342" s="675"/>
      <c r="BT342" s="12"/>
      <c r="BU342" s="1017"/>
      <c r="BV342" s="1017"/>
      <c r="BW342" s="982"/>
      <c r="BX342" s="1022"/>
      <c r="BY342" s="621"/>
      <c r="BZ342" s="1056"/>
      <c r="CA342" s="1181"/>
      <c r="CB342" s="1181"/>
      <c r="CC342" s="1180"/>
      <c r="CD342" s="1180"/>
      <c r="CE342" s="1180"/>
      <c r="CF342" s="1180"/>
      <c r="CG342" s="1177"/>
    </row>
    <row r="343" spans="1:85" s="622" customFormat="1" ht="27" customHeight="1">
      <c r="A343" s="1239"/>
      <c r="B343" s="1295" t="s">
        <v>702</v>
      </c>
      <c r="C343" s="1295" t="s">
        <v>707</v>
      </c>
      <c r="D343" s="547" t="s">
        <v>697</v>
      </c>
      <c r="E343" s="642" t="s">
        <v>426</v>
      </c>
      <c r="F343" s="642" t="s">
        <v>61</v>
      </c>
      <c r="G343" s="548">
        <v>900</v>
      </c>
      <c r="H343" s="1153"/>
      <c r="I343" s="549">
        <v>379.9</v>
      </c>
      <c r="J343" s="550" t="str">
        <f t="shared" si="338"/>
        <v/>
      </c>
      <c r="K343" s="551" t="str">
        <f t="shared" si="339"/>
        <v/>
      </c>
      <c r="L343" s="552">
        <f>IF(Pedido!$G$7&gt;14,199.9,209.9)</f>
        <v>209.9</v>
      </c>
      <c r="M343" s="553">
        <f>IF(Pedido!$G$7&gt;14,199.9,209.9)</f>
        <v>209.9</v>
      </c>
      <c r="N343" s="553">
        <f>IF(Pedido!$G$7&gt;14,199.9,209.9)</f>
        <v>209.9</v>
      </c>
      <c r="O343" s="553">
        <f>IF(Pedido!$G$7&gt;14,199.9,209.9)</f>
        <v>209.9</v>
      </c>
      <c r="P343" s="553">
        <f>IF(Pedido!$G$7&gt;14,199.9,209.9)</f>
        <v>209.9</v>
      </c>
      <c r="Q343" s="553">
        <f>IF(Pedido!$G$7&gt;14,199.9,209.9)</f>
        <v>209.9</v>
      </c>
      <c r="R343" s="553">
        <f>IF(Pedido!$G$7&gt;14,199.9,209.9)</f>
        <v>209.9</v>
      </c>
      <c r="S343" s="553">
        <f>IF(Pedido!$G$7&gt;14,199.9,209.9)</f>
        <v>209.9</v>
      </c>
      <c r="T343" s="1240" t="str">
        <f t="shared" si="340"/>
        <v/>
      </c>
      <c r="U343" s="608" t="str">
        <f t="shared" si="341"/>
        <v/>
      </c>
      <c r="V343" s="1041"/>
      <c r="W343" s="1139"/>
      <c r="X343" s="676"/>
      <c r="Y343" s="628" t="str">
        <f t="shared" si="279"/>
        <v/>
      </c>
      <c r="Z343" s="629"/>
      <c r="AA343" s="609">
        <f t="shared" si="342"/>
        <v>0</v>
      </c>
      <c r="AB343" s="609">
        <f t="shared" si="280"/>
        <v>0</v>
      </c>
      <c r="AC343" s="609">
        <f t="shared" si="281"/>
        <v>0</v>
      </c>
      <c r="AD343" s="609">
        <f t="shared" si="343"/>
        <v>0</v>
      </c>
      <c r="AE343" s="609">
        <f t="shared" si="344"/>
        <v>0</v>
      </c>
      <c r="AF343" s="609">
        <f t="shared" si="345"/>
        <v>0</v>
      </c>
      <c r="AG343" s="610">
        <f t="shared" si="346"/>
        <v>0</v>
      </c>
      <c r="AH343" s="609">
        <f t="shared" si="347"/>
        <v>0</v>
      </c>
      <c r="AI343" s="609">
        <f t="shared" si="348"/>
        <v>0</v>
      </c>
      <c r="AJ343" s="609">
        <f t="shared" si="349"/>
        <v>0</v>
      </c>
      <c r="AK343" s="609">
        <f t="shared" si="350"/>
        <v>0</v>
      </c>
      <c r="AL343" s="609">
        <f t="shared" si="351"/>
        <v>0</v>
      </c>
      <c r="AM343" s="609">
        <f t="shared" si="352"/>
        <v>0</v>
      </c>
      <c r="AN343" s="609">
        <f t="shared" si="353"/>
        <v>0</v>
      </c>
      <c r="AO343" s="609">
        <f t="shared" si="354"/>
        <v>0</v>
      </c>
      <c r="AP343" s="611">
        <f t="shared" si="355"/>
        <v>1</v>
      </c>
      <c r="AQ343" s="612">
        <f t="shared" si="356"/>
        <v>0</v>
      </c>
      <c r="AR343" s="613" t="s">
        <v>158</v>
      </c>
      <c r="AS343" s="1270">
        <f t="shared" si="282"/>
        <v>100</v>
      </c>
      <c r="AT343" s="1271">
        <f t="shared" si="357"/>
        <v>0</v>
      </c>
      <c r="AU343" s="1272">
        <f t="shared" si="358"/>
        <v>0</v>
      </c>
      <c r="AV343" s="617"/>
      <c r="AW343" s="611" t="e">
        <f>VLOOKUP(AX343,Sup!#REF!,8,0)</f>
        <v>#REF!</v>
      </c>
      <c r="AX343" s="1018" t="s">
        <v>199</v>
      </c>
      <c r="AY343" s="1140">
        <v>0</v>
      </c>
      <c r="AZ343" s="618"/>
      <c r="BA343" s="618"/>
      <c r="BB343" s="618"/>
      <c r="BC343" s="618">
        <f t="shared" si="359"/>
        <v>0</v>
      </c>
      <c r="BD343" s="618" t="str">
        <f t="shared" si="283"/>
        <v/>
      </c>
      <c r="BE343" s="619">
        <f t="shared" si="360"/>
        <v>0</v>
      </c>
      <c r="BF343" s="1019"/>
      <c r="BG343" s="620"/>
      <c r="BH343" s="621"/>
      <c r="BI343" s="621"/>
      <c r="BJ343" s="621"/>
      <c r="BK343" s="621"/>
      <c r="BL343" s="621"/>
      <c r="BM343" s="980" t="e">
        <f>#REF!+24</f>
        <v>#REF!</v>
      </c>
      <c r="BN343" s="623"/>
      <c r="BO343" s="1020" t="s">
        <v>522</v>
      </c>
      <c r="BP343" s="973" t="str">
        <f t="shared" si="361"/>
        <v>CAP</v>
      </c>
      <c r="BQ343" s="973" t="str">
        <f t="shared" si="362"/>
        <v>Pot</v>
      </c>
      <c r="BR343" s="1021" t="str">
        <f t="shared" si="363"/>
        <v>COMBOWPCPWOCAPPot</v>
      </c>
      <c r="BS343" s="675"/>
      <c r="BT343" s="12"/>
      <c r="BU343" s="1017"/>
      <c r="BV343" s="1017"/>
      <c r="BW343" s="982"/>
      <c r="BX343" s="1022"/>
      <c r="BY343" s="621"/>
      <c r="BZ343" s="1056"/>
      <c r="CA343" s="1181"/>
      <c r="CB343" s="1181"/>
      <c r="CC343" s="1180"/>
      <c r="CD343" s="1180"/>
      <c r="CE343" s="1180"/>
      <c r="CF343" s="1180"/>
      <c r="CG343" s="1177"/>
    </row>
    <row r="344" spans="1:85" s="622" customFormat="1" ht="27" customHeight="1">
      <c r="A344" s="1239"/>
      <c r="B344" s="1295" t="s">
        <v>703</v>
      </c>
      <c r="C344" s="1295" t="s">
        <v>707</v>
      </c>
      <c r="D344" s="547" t="s">
        <v>697</v>
      </c>
      <c r="E344" s="642" t="s">
        <v>425</v>
      </c>
      <c r="F344" s="642" t="s">
        <v>61</v>
      </c>
      <c r="G344" s="548">
        <v>900</v>
      </c>
      <c r="H344" s="1153"/>
      <c r="I344" s="549">
        <v>379.9</v>
      </c>
      <c r="J344" s="550" t="str">
        <f t="shared" si="338"/>
        <v/>
      </c>
      <c r="K344" s="551" t="str">
        <f t="shared" si="339"/>
        <v/>
      </c>
      <c r="L344" s="552">
        <f>IF(Pedido!$G$7&gt;14,199.9,209.9)</f>
        <v>209.9</v>
      </c>
      <c r="M344" s="553">
        <f>IF(Pedido!$G$7&gt;14,199.9,209.9)</f>
        <v>209.9</v>
      </c>
      <c r="N344" s="553">
        <f>IF(Pedido!$G$7&gt;14,199.9,209.9)</f>
        <v>209.9</v>
      </c>
      <c r="O344" s="553">
        <f>IF(Pedido!$G$7&gt;14,199.9,209.9)</f>
        <v>209.9</v>
      </c>
      <c r="P344" s="553">
        <f>IF(Pedido!$G$7&gt;14,199.9,209.9)</f>
        <v>209.9</v>
      </c>
      <c r="Q344" s="553">
        <f>IF(Pedido!$G$7&gt;14,199.9,209.9)</f>
        <v>209.9</v>
      </c>
      <c r="R344" s="553">
        <f>IF(Pedido!$G$7&gt;14,199.9,209.9)</f>
        <v>209.9</v>
      </c>
      <c r="S344" s="553">
        <f>IF(Pedido!$G$7&gt;14,199.9,209.9)</f>
        <v>209.9</v>
      </c>
      <c r="T344" s="1240" t="str">
        <f t="shared" si="340"/>
        <v/>
      </c>
      <c r="U344" s="608" t="str">
        <f t="shared" si="341"/>
        <v/>
      </c>
      <c r="V344" s="1041"/>
      <c r="W344" s="1139"/>
      <c r="X344" s="676"/>
      <c r="Y344" s="628" t="str">
        <f t="shared" si="279"/>
        <v/>
      </c>
      <c r="Z344" s="629"/>
      <c r="AA344" s="609">
        <f t="shared" si="342"/>
        <v>0</v>
      </c>
      <c r="AB344" s="609">
        <f t="shared" si="280"/>
        <v>0</v>
      </c>
      <c r="AC344" s="609">
        <f t="shared" si="281"/>
        <v>0</v>
      </c>
      <c r="AD344" s="609">
        <f t="shared" si="343"/>
        <v>0</v>
      </c>
      <c r="AE344" s="609">
        <f t="shared" si="344"/>
        <v>0</v>
      </c>
      <c r="AF344" s="609">
        <f t="shared" si="345"/>
        <v>0</v>
      </c>
      <c r="AG344" s="610">
        <f t="shared" si="346"/>
        <v>0</v>
      </c>
      <c r="AH344" s="609">
        <f t="shared" si="347"/>
        <v>0</v>
      </c>
      <c r="AI344" s="609">
        <f t="shared" si="348"/>
        <v>0</v>
      </c>
      <c r="AJ344" s="609">
        <f t="shared" si="349"/>
        <v>0</v>
      </c>
      <c r="AK344" s="609">
        <f t="shared" si="350"/>
        <v>0</v>
      </c>
      <c r="AL344" s="609">
        <f t="shared" si="351"/>
        <v>0</v>
      </c>
      <c r="AM344" s="609">
        <f t="shared" si="352"/>
        <v>0</v>
      </c>
      <c r="AN344" s="609">
        <f t="shared" si="353"/>
        <v>0</v>
      </c>
      <c r="AO344" s="609">
        <f t="shared" si="354"/>
        <v>0</v>
      </c>
      <c r="AP344" s="611">
        <f t="shared" si="355"/>
        <v>1</v>
      </c>
      <c r="AQ344" s="612">
        <f t="shared" si="356"/>
        <v>0</v>
      </c>
      <c r="AR344" s="613" t="s">
        <v>158</v>
      </c>
      <c r="AS344" s="1270">
        <f t="shared" si="282"/>
        <v>100</v>
      </c>
      <c r="AT344" s="1271">
        <f t="shared" si="357"/>
        <v>0</v>
      </c>
      <c r="AU344" s="1272">
        <f t="shared" si="358"/>
        <v>0</v>
      </c>
      <c r="AV344" s="617"/>
      <c r="AW344" s="611" t="e">
        <f>VLOOKUP(AX344,Sup!#REF!,8,0)</f>
        <v>#REF!</v>
      </c>
      <c r="AX344" s="1018" t="s">
        <v>199</v>
      </c>
      <c r="AY344" s="1140">
        <v>0</v>
      </c>
      <c r="AZ344" s="618"/>
      <c r="BA344" s="618"/>
      <c r="BB344" s="618"/>
      <c r="BC344" s="618">
        <f t="shared" si="359"/>
        <v>0</v>
      </c>
      <c r="BD344" s="618" t="str">
        <f t="shared" si="283"/>
        <v/>
      </c>
      <c r="BE344" s="619">
        <f t="shared" si="360"/>
        <v>0</v>
      </c>
      <c r="BF344" s="1019"/>
      <c r="BG344" s="620"/>
      <c r="BH344" s="621"/>
      <c r="BI344" s="621"/>
      <c r="BJ344" s="621"/>
      <c r="BK344" s="621"/>
      <c r="BL344" s="621"/>
      <c r="BM344" s="980" t="e">
        <f>#REF!+24</f>
        <v>#REF!</v>
      </c>
      <c r="BN344" s="623"/>
      <c r="BO344" s="1020" t="s">
        <v>522</v>
      </c>
      <c r="BP344" s="973" t="str">
        <f t="shared" si="361"/>
        <v>BAU</v>
      </c>
      <c r="BQ344" s="973" t="str">
        <f t="shared" si="362"/>
        <v>Pot</v>
      </c>
      <c r="BR344" s="1021" t="str">
        <f t="shared" si="363"/>
        <v>COMBOWPCPWOBAUPot</v>
      </c>
      <c r="BS344" s="675"/>
      <c r="BT344" s="12"/>
      <c r="BU344" s="1017"/>
      <c r="BV344" s="1017"/>
      <c r="BW344" s="982"/>
      <c r="BX344" s="1022"/>
      <c r="BY344" s="621"/>
      <c r="BZ344" s="1056"/>
      <c r="CA344" s="1181"/>
      <c r="CB344" s="1181"/>
      <c r="CC344" s="1180"/>
      <c r="CD344" s="1180"/>
      <c r="CE344" s="1180"/>
      <c r="CF344" s="1180"/>
      <c r="CG344" s="1177"/>
    </row>
    <row r="345" spans="1:85" s="622" customFormat="1" ht="27" customHeight="1">
      <c r="A345" s="1239"/>
      <c r="B345" s="1295" t="s">
        <v>704</v>
      </c>
      <c r="C345" s="1295" t="s">
        <v>707</v>
      </c>
      <c r="D345" s="547" t="s">
        <v>697</v>
      </c>
      <c r="E345" s="642" t="s">
        <v>432</v>
      </c>
      <c r="F345" s="642" t="s">
        <v>61</v>
      </c>
      <c r="G345" s="548">
        <v>900</v>
      </c>
      <c r="H345" s="1153"/>
      <c r="I345" s="549">
        <v>379.9</v>
      </c>
      <c r="J345" s="550" t="str">
        <f t="shared" si="338"/>
        <v/>
      </c>
      <c r="K345" s="551" t="str">
        <f t="shared" si="339"/>
        <v/>
      </c>
      <c r="L345" s="552">
        <f>IF(Pedido!$G$7&gt;14,199.9,209.9)</f>
        <v>209.9</v>
      </c>
      <c r="M345" s="553">
        <f>IF(Pedido!$G$7&gt;14,199.9,209.9)</f>
        <v>209.9</v>
      </c>
      <c r="N345" s="553">
        <f>IF(Pedido!$G$7&gt;14,199.9,209.9)</f>
        <v>209.9</v>
      </c>
      <c r="O345" s="553">
        <f>IF(Pedido!$G$7&gt;14,199.9,209.9)</f>
        <v>209.9</v>
      </c>
      <c r="P345" s="553">
        <f>IF(Pedido!$G$7&gt;14,199.9,209.9)</f>
        <v>209.9</v>
      </c>
      <c r="Q345" s="553">
        <f>IF(Pedido!$G$7&gt;14,199.9,209.9)</f>
        <v>209.9</v>
      </c>
      <c r="R345" s="553">
        <f>IF(Pedido!$G$7&gt;14,199.9,209.9)</f>
        <v>209.9</v>
      </c>
      <c r="S345" s="553">
        <f>IF(Pedido!$G$7&gt;14,199.9,209.9)</f>
        <v>209.9</v>
      </c>
      <c r="T345" s="1240" t="str">
        <f t="shared" si="340"/>
        <v/>
      </c>
      <c r="U345" s="608" t="str">
        <f t="shared" si="341"/>
        <v/>
      </c>
      <c r="V345" s="1041"/>
      <c r="W345" s="1139"/>
      <c r="X345" s="676"/>
      <c r="Y345" s="628" t="str">
        <f t="shared" si="279"/>
        <v/>
      </c>
      <c r="Z345" s="629"/>
      <c r="AA345" s="609">
        <f t="shared" si="342"/>
        <v>0</v>
      </c>
      <c r="AB345" s="609">
        <f t="shared" si="280"/>
        <v>0</v>
      </c>
      <c r="AC345" s="609">
        <f t="shared" si="281"/>
        <v>0</v>
      </c>
      <c r="AD345" s="609">
        <f t="shared" si="343"/>
        <v>0</v>
      </c>
      <c r="AE345" s="609">
        <f t="shared" si="344"/>
        <v>0</v>
      </c>
      <c r="AF345" s="609">
        <f t="shared" si="345"/>
        <v>0</v>
      </c>
      <c r="AG345" s="610">
        <f t="shared" si="346"/>
        <v>0</v>
      </c>
      <c r="AH345" s="609">
        <f t="shared" si="347"/>
        <v>0</v>
      </c>
      <c r="AI345" s="609">
        <f t="shared" si="348"/>
        <v>0</v>
      </c>
      <c r="AJ345" s="609">
        <f t="shared" si="349"/>
        <v>0</v>
      </c>
      <c r="AK345" s="609">
        <f t="shared" si="350"/>
        <v>0</v>
      </c>
      <c r="AL345" s="609">
        <f t="shared" si="351"/>
        <v>0</v>
      </c>
      <c r="AM345" s="609">
        <f t="shared" si="352"/>
        <v>0</v>
      </c>
      <c r="AN345" s="609">
        <f t="shared" si="353"/>
        <v>0</v>
      </c>
      <c r="AO345" s="609">
        <f t="shared" si="354"/>
        <v>0</v>
      </c>
      <c r="AP345" s="611">
        <f t="shared" si="355"/>
        <v>1</v>
      </c>
      <c r="AQ345" s="612">
        <f t="shared" si="356"/>
        <v>0</v>
      </c>
      <c r="AR345" s="613" t="s">
        <v>158</v>
      </c>
      <c r="AS345" s="1270">
        <f t="shared" si="282"/>
        <v>100</v>
      </c>
      <c r="AT345" s="1271">
        <f t="shared" si="357"/>
        <v>0</v>
      </c>
      <c r="AU345" s="1272">
        <f t="shared" si="358"/>
        <v>0</v>
      </c>
      <c r="AV345" s="617"/>
      <c r="AW345" s="611" t="e">
        <f>VLOOKUP(AX345,Sup!#REF!,8,0)</f>
        <v>#REF!</v>
      </c>
      <c r="AX345" s="1018" t="s">
        <v>199</v>
      </c>
      <c r="AY345" s="1140">
        <v>0</v>
      </c>
      <c r="AZ345" s="618"/>
      <c r="BA345" s="618"/>
      <c r="BB345" s="618"/>
      <c r="BC345" s="618">
        <f t="shared" si="359"/>
        <v>0</v>
      </c>
      <c r="BD345" s="618" t="str">
        <f t="shared" si="283"/>
        <v/>
      </c>
      <c r="BE345" s="619">
        <f t="shared" si="360"/>
        <v>0</v>
      </c>
      <c r="BF345" s="1019"/>
      <c r="BG345" s="620"/>
      <c r="BH345" s="621"/>
      <c r="BI345" s="621"/>
      <c r="BJ345" s="621"/>
      <c r="BK345" s="621"/>
      <c r="BL345" s="621"/>
      <c r="BM345" s="980" t="e">
        <f>#REF!+24</f>
        <v>#REF!</v>
      </c>
      <c r="BN345" s="623"/>
      <c r="BO345" s="1020" t="s">
        <v>522</v>
      </c>
      <c r="BP345" s="973" t="str">
        <f t="shared" si="361"/>
        <v>CHO</v>
      </c>
      <c r="BQ345" s="973" t="str">
        <f t="shared" si="362"/>
        <v>Pot</v>
      </c>
      <c r="BR345" s="1021" t="str">
        <f t="shared" si="363"/>
        <v>COMBOWPCPWOCHOPot</v>
      </c>
      <c r="BS345" s="675"/>
      <c r="BT345" s="12"/>
      <c r="BU345" s="1017"/>
      <c r="BV345" s="1017"/>
      <c r="BW345" s="982"/>
      <c r="BX345" s="1022"/>
      <c r="BY345" s="621"/>
      <c r="BZ345" s="1056"/>
      <c r="CA345" s="1181"/>
      <c r="CB345" s="1181"/>
      <c r="CC345" s="1180"/>
      <c r="CD345" s="1180"/>
      <c r="CE345" s="1180"/>
      <c r="CF345" s="1180"/>
      <c r="CG345" s="1177"/>
    </row>
    <row r="346" spans="1:85" s="622" customFormat="1" ht="27" customHeight="1">
      <c r="A346" s="1239"/>
      <c r="B346" s="1295" t="s">
        <v>705</v>
      </c>
      <c r="C346" s="1295" t="s">
        <v>707</v>
      </c>
      <c r="D346" s="547" t="s">
        <v>697</v>
      </c>
      <c r="E346" s="642" t="s">
        <v>433</v>
      </c>
      <c r="F346" s="642" t="s">
        <v>61</v>
      </c>
      <c r="G346" s="548">
        <v>900</v>
      </c>
      <c r="H346" s="1153"/>
      <c r="I346" s="549">
        <v>379.9</v>
      </c>
      <c r="J346" s="550"/>
      <c r="K346" s="551"/>
      <c r="L346" s="552">
        <f>IF(Pedido!$G$7&gt;14,199.9,209.9)</f>
        <v>209.9</v>
      </c>
      <c r="M346" s="553">
        <f>IF(Pedido!$G$7&gt;14,199.9,209.9)</f>
        <v>209.9</v>
      </c>
      <c r="N346" s="553">
        <f>IF(Pedido!$G$7&gt;14,199.9,209.9)</f>
        <v>209.9</v>
      </c>
      <c r="O346" s="553">
        <f>IF(Pedido!$G$7&gt;14,199.9,209.9)</f>
        <v>209.9</v>
      </c>
      <c r="P346" s="553">
        <f>IF(Pedido!$G$7&gt;14,199.9,209.9)</f>
        <v>209.9</v>
      </c>
      <c r="Q346" s="553">
        <f>IF(Pedido!$G$7&gt;14,199.9,209.9)</f>
        <v>209.9</v>
      </c>
      <c r="R346" s="553">
        <f>IF(Pedido!$G$7&gt;14,199.9,209.9)</f>
        <v>209.9</v>
      </c>
      <c r="S346" s="553">
        <f>IF(Pedido!$G$7&gt;14,199.9,209.9)</f>
        <v>209.9</v>
      </c>
      <c r="T346" s="1240" t="str">
        <f t="shared" si="340"/>
        <v/>
      </c>
      <c r="U346" s="608" t="str">
        <f t="shared" si="341"/>
        <v/>
      </c>
      <c r="V346" s="1041"/>
      <c r="W346" s="1139"/>
      <c r="X346" s="676"/>
      <c r="Y346" s="628" t="str">
        <f t="shared" si="279"/>
        <v/>
      </c>
      <c r="Z346" s="629"/>
      <c r="AA346" s="609">
        <f t="shared" si="342"/>
        <v>0</v>
      </c>
      <c r="AB346" s="609">
        <f t="shared" si="280"/>
        <v>0</v>
      </c>
      <c r="AC346" s="609">
        <f t="shared" si="281"/>
        <v>0</v>
      </c>
      <c r="AD346" s="609">
        <f t="shared" si="343"/>
        <v>0</v>
      </c>
      <c r="AE346" s="609">
        <f t="shared" si="344"/>
        <v>0</v>
      </c>
      <c r="AF346" s="609">
        <f t="shared" si="345"/>
        <v>0</v>
      </c>
      <c r="AG346" s="610">
        <f t="shared" si="346"/>
        <v>0</v>
      </c>
      <c r="AH346" s="609">
        <f t="shared" si="347"/>
        <v>0</v>
      </c>
      <c r="AI346" s="609">
        <f t="shared" si="348"/>
        <v>0</v>
      </c>
      <c r="AJ346" s="609">
        <f t="shared" si="349"/>
        <v>0</v>
      </c>
      <c r="AK346" s="609">
        <f t="shared" si="350"/>
        <v>0</v>
      </c>
      <c r="AL346" s="609">
        <f t="shared" si="351"/>
        <v>0</v>
      </c>
      <c r="AM346" s="609">
        <f t="shared" si="352"/>
        <v>0</v>
      </c>
      <c r="AN346" s="609">
        <f t="shared" si="353"/>
        <v>0</v>
      </c>
      <c r="AO346" s="609">
        <f t="shared" si="354"/>
        <v>0</v>
      </c>
      <c r="AP346" s="611">
        <f t="shared" si="355"/>
        <v>1</v>
      </c>
      <c r="AQ346" s="612">
        <f t="shared" si="356"/>
        <v>0</v>
      </c>
      <c r="AR346" s="613" t="s">
        <v>158</v>
      </c>
      <c r="AS346" s="1270">
        <f t="shared" si="282"/>
        <v>100</v>
      </c>
      <c r="AT346" s="1271">
        <f t="shared" si="357"/>
        <v>0</v>
      </c>
      <c r="AU346" s="1272">
        <f t="shared" si="358"/>
        <v>0</v>
      </c>
      <c r="AV346" s="617"/>
      <c r="AW346" s="611" t="e">
        <f>VLOOKUP(AX346,Sup!#REF!,8,0)</f>
        <v>#REF!</v>
      </c>
      <c r="AX346" s="1018" t="s">
        <v>199</v>
      </c>
      <c r="AY346" s="1140">
        <v>0</v>
      </c>
      <c r="AZ346" s="618"/>
      <c r="BA346" s="618"/>
      <c r="BB346" s="618"/>
      <c r="BC346" s="618">
        <f t="shared" si="359"/>
        <v>0</v>
      </c>
      <c r="BD346" s="618" t="str">
        <f t="shared" si="283"/>
        <v/>
      </c>
      <c r="BE346" s="619">
        <f t="shared" si="360"/>
        <v>0</v>
      </c>
      <c r="BF346" s="1019"/>
      <c r="BG346" s="620"/>
      <c r="BH346" s="621"/>
      <c r="BI346" s="621"/>
      <c r="BJ346" s="621"/>
      <c r="BK346" s="621"/>
      <c r="BL346" s="621"/>
      <c r="BM346" s="980" t="e">
        <f>#REF!+24</f>
        <v>#REF!</v>
      </c>
      <c r="BN346" s="623"/>
      <c r="BO346" s="1020" t="s">
        <v>522</v>
      </c>
      <c r="BP346" s="973" t="str">
        <f t="shared" si="361"/>
        <v>DOC</v>
      </c>
      <c r="BQ346" s="973" t="str">
        <f t="shared" si="362"/>
        <v>Pot</v>
      </c>
      <c r="BR346" s="1021" t="str">
        <f>CONCATENATE(BO346,BP346,BQ346)</f>
        <v>COMBOWPCPWODOCPot</v>
      </c>
      <c r="BS346" s="675"/>
      <c r="BT346" s="12"/>
      <c r="BU346" s="1017"/>
      <c r="BV346" s="1017"/>
      <c r="BW346" s="982"/>
      <c r="BX346" s="1022"/>
      <c r="BY346" s="621"/>
      <c r="BZ346" s="1056"/>
      <c r="CA346" s="1181"/>
      <c r="CB346" s="1181"/>
      <c r="CC346" s="1180"/>
      <c r="CD346" s="1180"/>
      <c r="CE346" s="1180"/>
      <c r="CF346" s="1180"/>
      <c r="CG346" s="1177"/>
    </row>
    <row r="347" spans="1:85" ht="51.75" customHeight="1" thickBot="1">
      <c r="A347" s="524"/>
      <c r="B347" s="140" t="s">
        <v>153</v>
      </c>
      <c r="C347" s="140" t="str">
        <f>LEFT(B347,6)</f>
        <v>PPOWPN</v>
      </c>
      <c r="D347" s="369" t="s">
        <v>227</v>
      </c>
      <c r="E347" s="370" t="s">
        <v>70</v>
      </c>
      <c r="F347" s="371" t="s">
        <v>61</v>
      </c>
      <c r="G347" s="373">
        <v>900</v>
      </c>
      <c r="H347" s="1153">
        <v>94.07</v>
      </c>
      <c r="I347" s="129">
        <v>349.9</v>
      </c>
      <c r="J347" s="130" t="str">
        <f>IFERROR(IF(T347&lt;&gt;"",I347/T347,IF(AND(Y347="",V347=""),"",IF(V347="",I347/Y347,I347/V347))),"")</f>
        <v/>
      </c>
      <c r="K347" s="131" t="str">
        <f>IF(T347="","",IFERROR(1-(T347/I347),0))</f>
        <v/>
      </c>
      <c r="L347" s="241">
        <v>264.89999999999998</v>
      </c>
      <c r="M347" s="473">
        <f>P347</f>
        <v>233.9</v>
      </c>
      <c r="N347" s="473">
        <f>P347</f>
        <v>233.9</v>
      </c>
      <c r="O347" s="473">
        <f>P347</f>
        <v>233.9</v>
      </c>
      <c r="P347" s="132">
        <v>233.9</v>
      </c>
      <c r="Q347" s="132">
        <v>215.9</v>
      </c>
      <c r="R347" s="132">
        <v>211.9</v>
      </c>
      <c r="S347" s="133">
        <v>204.9</v>
      </c>
      <c r="T347" s="134" t="str">
        <f>IF(V347&gt;0,V347,IFERROR(IF(AND(W347&lt;&gt;"",X347&lt;&gt;""),AH347/W347,Y347),""))</f>
        <v/>
      </c>
      <c r="U347" s="135" t="str">
        <f>IFERROR((T347*W347)/(W347+X347),"")</f>
        <v/>
      </c>
      <c r="V347" s="575"/>
      <c r="W347" s="694"/>
      <c r="X347" s="170"/>
      <c r="Y347" s="122" t="str">
        <f t="shared" si="279"/>
        <v/>
      </c>
      <c r="Z347" s="224">
        <f>IF(X347&gt;W347,-1,IF(W347=0,0,IF(U347&lt;(H347/0.75),-1,IF(W347&lt;=3,0,0.0001))))</f>
        <v>0</v>
      </c>
      <c r="AA347" s="136">
        <f>IFERROR(L347*W347,0)</f>
        <v>0</v>
      </c>
      <c r="AB347" s="136">
        <f t="shared" si="280"/>
        <v>0</v>
      </c>
      <c r="AC347" s="136">
        <f t="shared" si="281"/>
        <v>0</v>
      </c>
      <c r="AD347" s="136">
        <f>IFERROR(X347*T347,0)</f>
        <v>0</v>
      </c>
      <c r="AE347" s="136">
        <f>IFERROR(W347*H347,0)</f>
        <v>0</v>
      </c>
      <c r="AF347" s="136">
        <f>IFERROR(1-(AE347/AB347),0)</f>
        <v>0</v>
      </c>
      <c r="AG347" s="137">
        <f>IFERROR(SUM(W347:X347)*I347,0)</f>
        <v>0</v>
      </c>
      <c r="AH347" s="136">
        <f>IFERROR(IF(V347&gt;0,V347*W347,(Y347*W347)),0)</f>
        <v>0</v>
      </c>
      <c r="AI347" s="136">
        <f>IFERROR(SUM(W347)*H347,0)</f>
        <v>0</v>
      </c>
      <c r="AJ347" s="136">
        <f>AH347*$AJ$25</f>
        <v>0</v>
      </c>
      <c r="AK347" s="136">
        <f>AH347*AK$25</f>
        <v>0</v>
      </c>
      <c r="AL347" s="136">
        <f>AH347*AL$25</f>
        <v>0</v>
      </c>
      <c r="AM347" s="136">
        <f>SUM(AJ347:AL347)</f>
        <v>0</v>
      </c>
      <c r="AN347" s="136">
        <f>AH347-AM347</f>
        <v>0</v>
      </c>
      <c r="AO347" s="136">
        <f>AN347-AI347</f>
        <v>0</v>
      </c>
      <c r="AP347" s="138">
        <f>IFERROR(IF(V347&lt;&gt;"",1-(H347/V347),IF(Y347&lt;&gt;"",1-(H347/Y347),1-(H347/L347))),0)</f>
        <v>0.64488486221215546</v>
      </c>
      <c r="AQ347" s="139">
        <f>H347/0.75</f>
        <v>125.42666666666666</v>
      </c>
      <c r="AR347" s="537">
        <v>4</v>
      </c>
      <c r="AS347" s="519">
        <f t="shared" si="282"/>
        <v>64.488486221215553</v>
      </c>
      <c r="AT347" s="106">
        <f>IFERROR(1-(AI347/AH347),0)</f>
        <v>0</v>
      </c>
      <c r="AU347" s="109">
        <f>IFERROR(AO347/AH347,0)</f>
        <v>0</v>
      </c>
      <c r="AV347" s="110"/>
      <c r="AW347" s="138" t="e">
        <f>VLOOKUP(AX347,Sup!#REF!,8,0)</f>
        <v>#REF!</v>
      </c>
      <c r="AX347" s="1008" t="s">
        <v>199</v>
      </c>
      <c r="AY347" s="556">
        <v>0</v>
      </c>
      <c r="AZ347" s="41"/>
      <c r="BA347" s="41"/>
      <c r="BB347" s="41"/>
      <c r="BC347" s="41">
        <f>IF(BE347&lt;0,BE347,0)</f>
        <v>0</v>
      </c>
      <c r="BD347" s="41" t="str">
        <f t="shared" si="283"/>
        <v/>
      </c>
      <c r="BE347" s="42">
        <f>IF(V347="",0,(V347*W347)-(BD347*W347))</f>
        <v>0</v>
      </c>
      <c r="BF347" s="971"/>
      <c r="BG347" s="236"/>
      <c r="BH347" s="12"/>
      <c r="BI347" s="12"/>
      <c r="BJ347" s="12"/>
      <c r="BK347" s="12"/>
      <c r="BL347" s="12"/>
      <c r="BM347" s="980" t="e">
        <f>#REF!+24</f>
        <v>#REF!</v>
      </c>
      <c r="BN347" s="367"/>
      <c r="BO347" s="1020"/>
      <c r="BP347" s="12"/>
      <c r="BQ347" s="12"/>
      <c r="BR347" s="12"/>
      <c r="BS347" s="973"/>
      <c r="BT347" s="12"/>
      <c r="BU347" s="12"/>
      <c r="BV347" s="12"/>
      <c r="BW347" s="982" t="s">
        <v>392</v>
      </c>
      <c r="BX347" s="983">
        <f>IFERROR(W347*U347,0)</f>
        <v>0</v>
      </c>
      <c r="BY347" s="12" t="e">
        <f>VLOOKUP(B347,#REF!,13,0)</f>
        <v>#REF!</v>
      </c>
      <c r="BZ347" s="1056">
        <v>194.9</v>
      </c>
      <c r="CA347" s="1181" t="e">
        <f>VLOOKUP(B347,Pedido!$B$16:$L$292,22,0)</f>
        <v>#N/A</v>
      </c>
    </row>
    <row r="348" spans="1:85" ht="51.75" customHeight="1" thickBot="1">
      <c r="A348" s="524"/>
      <c r="B348" s="140" t="s">
        <v>154</v>
      </c>
      <c r="C348" s="140" t="str">
        <f>LEFT(B348,6)</f>
        <v>PPOWPN</v>
      </c>
      <c r="D348" s="369" t="s">
        <v>227</v>
      </c>
      <c r="E348" s="370" t="s">
        <v>125</v>
      </c>
      <c r="F348" s="371" t="s">
        <v>61</v>
      </c>
      <c r="G348" s="373">
        <v>900</v>
      </c>
      <c r="H348" s="1152">
        <v>94.07</v>
      </c>
      <c r="I348" s="129">
        <v>349.9</v>
      </c>
      <c r="J348" s="130" t="str">
        <f>IFERROR(IF(T348&lt;&gt;"",I348/T348,IF(AND(Y348="",V348=""),"",IF(V348="",I348/Y348,I348/V348))),"")</f>
        <v/>
      </c>
      <c r="K348" s="131" t="str">
        <f>IF(T348="","",IFERROR(1-(T348/I348),0))</f>
        <v/>
      </c>
      <c r="L348" s="241">
        <v>264.89999999999998</v>
      </c>
      <c r="M348" s="473">
        <f>P348</f>
        <v>233.9</v>
      </c>
      <c r="N348" s="473">
        <f>P348</f>
        <v>233.9</v>
      </c>
      <c r="O348" s="473">
        <f>P348</f>
        <v>233.9</v>
      </c>
      <c r="P348" s="132">
        <v>233.9</v>
      </c>
      <c r="Q348" s="132">
        <v>215.9</v>
      </c>
      <c r="R348" s="132">
        <v>211.9</v>
      </c>
      <c r="S348" s="133">
        <v>204.9</v>
      </c>
      <c r="T348" s="101" t="str">
        <f>IF(V348&gt;0,V348,IFERROR(IF(AND(W348&lt;&gt;"",X348&lt;&gt;""),AH348/W348,Y348),""))</f>
        <v/>
      </c>
      <c r="U348" s="102" t="str">
        <f>IFERROR((T348*W348)/(W348+X348),"")</f>
        <v/>
      </c>
      <c r="V348" s="575"/>
      <c r="W348" s="696"/>
      <c r="X348" s="171"/>
      <c r="Y348" s="103" t="str">
        <f t="shared" si="279"/>
        <v/>
      </c>
      <c r="Z348" s="225">
        <f>IF(X348&gt;W348,-1,IF(W348=0,0,IF(U348&lt;(H348/0.75),-1,IF(W348&lt;=3,0,0.0001))))</f>
        <v>0</v>
      </c>
      <c r="AA348" s="136">
        <f>IFERROR(L348*W348,0)</f>
        <v>0</v>
      </c>
      <c r="AB348" s="136">
        <f t="shared" si="280"/>
        <v>0</v>
      </c>
      <c r="AC348" s="136">
        <f t="shared" si="281"/>
        <v>0</v>
      </c>
      <c r="AD348" s="136">
        <f>IFERROR(X348*T348,0)</f>
        <v>0</v>
      </c>
      <c r="AE348" s="136">
        <f>IFERROR(W348*H348,0)</f>
        <v>0</v>
      </c>
      <c r="AF348" s="136">
        <f>IFERROR(1-(AE348/AB348),0)</f>
        <v>0</v>
      </c>
      <c r="AG348" s="137">
        <f>IFERROR(SUM(W348:X348)*I348,0)</f>
        <v>0</v>
      </c>
      <c r="AH348" s="136">
        <f>IFERROR(IF(V348&gt;0,V348*W348,(Y348*W348)),0)</f>
        <v>0</v>
      </c>
      <c r="AI348" s="136">
        <f>IFERROR(SUM(W348)*H348,0)</f>
        <v>0</v>
      </c>
      <c r="AJ348" s="136">
        <f>AH348*$AJ$25</f>
        <v>0</v>
      </c>
      <c r="AK348" s="136">
        <f>AH348*AK$25</f>
        <v>0</v>
      </c>
      <c r="AL348" s="136">
        <f>AH348*AL$25</f>
        <v>0</v>
      </c>
      <c r="AM348" s="136">
        <f>SUM(AJ348:AL348)</f>
        <v>0</v>
      </c>
      <c r="AN348" s="136">
        <f>AH348-AM348</f>
        <v>0</v>
      </c>
      <c r="AO348" s="136">
        <f>AN348-AI348</f>
        <v>0</v>
      </c>
      <c r="AP348" s="138">
        <f>IFERROR(IF(V348&lt;&gt;"",1-(H348/V348),IF(Y348&lt;&gt;"",1-(H348/Y348),1-(H348/L348))),0)</f>
        <v>0.64488486221215546</v>
      </c>
      <c r="AQ348" s="139">
        <f>H348/0.75</f>
        <v>125.42666666666666</v>
      </c>
      <c r="AR348" s="537">
        <v>4</v>
      </c>
      <c r="AS348" s="202">
        <f t="shared" si="282"/>
        <v>64.488486221215553</v>
      </c>
      <c r="AT348" s="197">
        <f>IFERROR(1-(AI348/AH348),0)</f>
        <v>0</v>
      </c>
      <c r="AU348" s="199">
        <f>IFERROR(AO348/AH348,0)</f>
        <v>0</v>
      </c>
      <c r="AV348" s="110"/>
      <c r="AW348" s="138" t="e">
        <f>VLOOKUP(AX348,Sup!#REF!,8,0)</f>
        <v>#REF!</v>
      </c>
      <c r="AX348" s="1008" t="s">
        <v>199</v>
      </c>
      <c r="AY348" s="556">
        <v>0</v>
      </c>
      <c r="AZ348" s="35"/>
      <c r="BA348" s="35"/>
      <c r="BB348" s="35"/>
      <c r="BC348" s="35">
        <f>IF(BE348&lt;0,BE348,0)</f>
        <v>0</v>
      </c>
      <c r="BD348" s="35" t="str">
        <f t="shared" si="283"/>
        <v/>
      </c>
      <c r="BE348" s="45">
        <f>IF(V348="",0,(V348*W348)-(BD348*W348))</f>
        <v>0</v>
      </c>
      <c r="BF348" s="971"/>
      <c r="BG348" s="236"/>
      <c r="BH348" s="12"/>
      <c r="BI348" s="12"/>
      <c r="BJ348" s="12"/>
      <c r="BK348" s="12"/>
      <c r="BL348" s="12"/>
      <c r="BM348" s="980" t="e">
        <f t="shared" ref="BM348:BM383" si="364">BM347+24</f>
        <v>#REF!</v>
      </c>
      <c r="BN348" s="367"/>
      <c r="BO348" s="981"/>
      <c r="BP348" s="12"/>
      <c r="BQ348" s="12"/>
      <c r="BR348" s="12"/>
      <c r="BS348" s="973"/>
      <c r="BT348" s="12"/>
      <c r="BU348" s="12"/>
      <c r="BV348" s="12"/>
      <c r="BW348" s="982" t="s">
        <v>392</v>
      </c>
      <c r="BX348" s="983">
        <f>IFERROR(W348*U348,0)</f>
        <v>0</v>
      </c>
      <c r="BY348" s="12" t="e">
        <f>VLOOKUP(B348,#REF!,13,0)</f>
        <v>#REF!</v>
      </c>
      <c r="BZ348" s="1056">
        <v>194.9</v>
      </c>
      <c r="CA348" s="1181" t="e">
        <f>VLOOKUP(B348,Pedido!$B$16:$L$292,22,0)</f>
        <v>#N/A</v>
      </c>
    </row>
    <row r="349" spans="1:85" ht="51.75" customHeight="1" thickBot="1">
      <c r="A349" s="524"/>
      <c r="B349" s="114" t="s">
        <v>155</v>
      </c>
      <c r="C349" s="114" t="str">
        <f>LEFT(B349,6)</f>
        <v>PPOWPH</v>
      </c>
      <c r="D349" s="378" t="s">
        <v>156</v>
      </c>
      <c r="E349" s="379" t="s">
        <v>70</v>
      </c>
      <c r="F349" s="380" t="s">
        <v>61</v>
      </c>
      <c r="G349" s="381">
        <v>900</v>
      </c>
      <c r="H349" s="1152">
        <v>116.6</v>
      </c>
      <c r="I349" s="115">
        <v>429.9</v>
      </c>
      <c r="J349" s="116" t="str">
        <f>IFERROR(IF(T349&lt;&gt;"",I349/T349,IF(AND(Y349="",V349=""),"",IF(V349="",I349/Y349,I349/V349))),"")</f>
        <v/>
      </c>
      <c r="K349" s="117" t="str">
        <f>IF(T349="","",IFERROR(1-(T349/I349),0))</f>
        <v/>
      </c>
      <c r="L349" s="239">
        <v>321.89999999999998</v>
      </c>
      <c r="M349" s="472">
        <f>P349</f>
        <v>283.89999999999998</v>
      </c>
      <c r="N349" s="472">
        <f>P349</f>
        <v>283.89999999999998</v>
      </c>
      <c r="O349" s="472">
        <f>P349</f>
        <v>283.89999999999998</v>
      </c>
      <c r="P349" s="118">
        <v>283.89999999999998</v>
      </c>
      <c r="Q349" s="118">
        <v>262.89999999999998</v>
      </c>
      <c r="R349" s="118">
        <v>258.89999999999998</v>
      </c>
      <c r="S349" s="119">
        <v>249.9</v>
      </c>
      <c r="T349" s="134" t="str">
        <f>IF(V349&gt;0,V349,IFERROR(IF(AND(W349&lt;&gt;"",X349&lt;&gt;""),AH349/W349,Y349),""))</f>
        <v/>
      </c>
      <c r="U349" s="135" t="str">
        <f>IFERROR((T349*W349)/(W349+X349),"")</f>
        <v/>
      </c>
      <c r="V349" s="1108"/>
      <c r="W349" s="694"/>
      <c r="X349" s="170"/>
      <c r="Y349" s="122" t="str">
        <f t="shared" si="279"/>
        <v/>
      </c>
      <c r="Z349" s="224">
        <f>IF(X349&gt;W349,-1,IF(W349=0,0,IF(U349&lt;(H349/0.75),-1,IF(W349&lt;=3,0,0.0001))))</f>
        <v>0</v>
      </c>
      <c r="AA349" s="123">
        <f>IFERROR(L349*W349,0)</f>
        <v>0</v>
      </c>
      <c r="AB349" s="123">
        <f t="shared" si="280"/>
        <v>0</v>
      </c>
      <c r="AC349" s="123">
        <f t="shared" si="281"/>
        <v>0</v>
      </c>
      <c r="AD349" s="123">
        <f>IFERROR(X349*T349,0)</f>
        <v>0</v>
      </c>
      <c r="AE349" s="123">
        <f>IFERROR(W349*H349,0)</f>
        <v>0</v>
      </c>
      <c r="AF349" s="123">
        <f>IFERROR(1-(AE349/AB349),0)</f>
        <v>0</v>
      </c>
      <c r="AG349" s="124">
        <f>IFERROR(SUM(W349:X349)*I349,0)</f>
        <v>0</v>
      </c>
      <c r="AH349" s="123">
        <f>IFERROR(IF(V349&gt;0,V349*W349,(Y349*W349)),0)</f>
        <v>0</v>
      </c>
      <c r="AI349" s="123">
        <f>IFERROR(SUM(W349)*H349,0)</f>
        <v>0</v>
      </c>
      <c r="AJ349" s="123">
        <f>AH349*$AJ$25</f>
        <v>0</v>
      </c>
      <c r="AK349" s="123">
        <f>AH349*AK$25</f>
        <v>0</v>
      </c>
      <c r="AL349" s="123">
        <f>AH349*AL$25</f>
        <v>0</v>
      </c>
      <c r="AM349" s="123">
        <f>SUM(AJ349:AL349)</f>
        <v>0</v>
      </c>
      <c r="AN349" s="123">
        <f>AH349-AM349</f>
        <v>0</v>
      </c>
      <c r="AO349" s="123">
        <f>AN349-AI349</f>
        <v>0</v>
      </c>
      <c r="AP349" s="125">
        <f>IFERROR(IF(V349&lt;&gt;"",1-(H349/V349),IF(Y349&lt;&gt;"",1-(H349/Y349),1-(H349/L349))),0)</f>
        <v>0.63777570674122397</v>
      </c>
      <c r="AQ349" s="126">
        <f>H349/0.75</f>
        <v>155.46666666666667</v>
      </c>
      <c r="AR349" s="535">
        <v>4</v>
      </c>
      <c r="AS349" s="202">
        <f t="shared" si="282"/>
        <v>63.777570674122394</v>
      </c>
      <c r="AT349" s="197">
        <f>IFERROR(1-(AI349/AH349),0)</f>
        <v>0</v>
      </c>
      <c r="AU349" s="199">
        <f>IFERROR(AO349/AH349,0)</f>
        <v>0</v>
      </c>
      <c r="AV349" s="110"/>
      <c r="AW349" s="125" t="e">
        <f>VLOOKUP(AX349,Sup!#REF!,8,0)</f>
        <v>#REF!</v>
      </c>
      <c r="AX349" s="991" t="s">
        <v>197</v>
      </c>
      <c r="AY349" s="556">
        <v>0</v>
      </c>
      <c r="AZ349" s="41"/>
      <c r="BA349" s="41"/>
      <c r="BB349" s="41"/>
      <c r="BC349" s="41">
        <f>IF(BE349&lt;0,BE349,0)</f>
        <v>0</v>
      </c>
      <c r="BD349" s="41" t="str">
        <f t="shared" si="283"/>
        <v/>
      </c>
      <c r="BE349" s="42">
        <f>IF(V349="",0,(V349*W349)-(BD349*W349))</f>
        <v>0</v>
      </c>
      <c r="BF349" s="971"/>
      <c r="BG349" s="236"/>
      <c r="BH349" s="12"/>
      <c r="BI349" s="12"/>
      <c r="BJ349" s="12"/>
      <c r="BK349" s="12"/>
      <c r="BL349" s="12"/>
      <c r="BM349" s="980" t="e">
        <f t="shared" si="364"/>
        <v>#REF!</v>
      </c>
      <c r="BN349" s="367"/>
      <c r="BO349" s="981"/>
      <c r="BP349" s="12"/>
      <c r="BQ349" s="12"/>
      <c r="BR349" s="12"/>
      <c r="BS349" s="973"/>
      <c r="BT349" s="12"/>
      <c r="BU349" s="12"/>
      <c r="BV349" s="12"/>
      <c r="BW349" s="982" t="s">
        <v>392</v>
      </c>
      <c r="BX349" s="983">
        <f>IFERROR(W349*U349,0)</f>
        <v>0</v>
      </c>
      <c r="BY349" s="12" t="e">
        <f>VLOOKUP(B349,#REF!,13,0)</f>
        <v>#REF!</v>
      </c>
      <c r="BZ349" s="1055">
        <v>239.9</v>
      </c>
      <c r="CA349" s="1181" t="e">
        <f>VLOOKUP(B349,Pedido!$B$16:$L$292,22,0)</f>
        <v>#N/A</v>
      </c>
    </row>
    <row r="350" spans="1:85" ht="51.75" customHeight="1" thickBot="1">
      <c r="A350" s="689"/>
      <c r="B350" s="336" t="s">
        <v>157</v>
      </c>
      <c r="C350" s="336" t="str">
        <f>LEFT(B350,6)</f>
        <v>PPOWPH</v>
      </c>
      <c r="D350" s="958" t="s">
        <v>156</v>
      </c>
      <c r="E350" s="959" t="s">
        <v>125</v>
      </c>
      <c r="F350" s="960" t="s">
        <v>61</v>
      </c>
      <c r="G350" s="961">
        <v>900</v>
      </c>
      <c r="H350" s="1174">
        <v>116.6</v>
      </c>
      <c r="I350" s="337">
        <v>429.9</v>
      </c>
      <c r="J350" s="338" t="str">
        <f>IFERROR(IF(T350&lt;&gt;"",I350/T350,IF(AND(Y350="",V350=""),"",IF(V350="",I350/Y350,I350/V350))),"")</f>
        <v/>
      </c>
      <c r="K350" s="339" t="str">
        <f>IF(T350="","",IFERROR(1-(T350/I350),0))</f>
        <v/>
      </c>
      <c r="L350" s="340">
        <v>321.89999999999998</v>
      </c>
      <c r="M350" s="482">
        <f>P350</f>
        <v>283.89999999999998</v>
      </c>
      <c r="N350" s="482">
        <f>P350</f>
        <v>283.89999999999998</v>
      </c>
      <c r="O350" s="482">
        <f>P350</f>
        <v>283.89999999999998</v>
      </c>
      <c r="P350" s="341">
        <v>283.89999999999998</v>
      </c>
      <c r="Q350" s="341">
        <v>262.89999999999998</v>
      </c>
      <c r="R350" s="341">
        <v>258.89999999999998</v>
      </c>
      <c r="S350" s="342">
        <v>249.9</v>
      </c>
      <c r="T350" s="343" t="str">
        <f>IF(V350&gt;0,V350,IFERROR(IF(AND(W350&lt;&gt;"",X350&lt;&gt;""),AH350/W350,Y350),""))</f>
        <v/>
      </c>
      <c r="U350" s="344" t="str">
        <f>IFERROR((T350*W350)/(W350+X350),"")</f>
        <v/>
      </c>
      <c r="V350" s="1115"/>
      <c r="W350" s="1116"/>
      <c r="X350" s="635"/>
      <c r="Y350" s="345" t="str">
        <f t="shared" si="279"/>
        <v/>
      </c>
      <c r="Z350" s="346">
        <f>IF(X350&gt;W350,-1,IF(W350=0,0,IF(U350&lt;(H350/0.75),-1,IF(W350&lt;=3,0,0.0001))))</f>
        <v>0</v>
      </c>
      <c r="AA350" s="347">
        <f>IFERROR(L350*W350,0)</f>
        <v>0</v>
      </c>
      <c r="AB350" s="347">
        <f t="shared" si="280"/>
        <v>0</v>
      </c>
      <c r="AC350" s="347">
        <f t="shared" si="281"/>
        <v>0</v>
      </c>
      <c r="AD350" s="347">
        <f>IFERROR(X350*T350,0)</f>
        <v>0</v>
      </c>
      <c r="AE350" s="347">
        <f>IFERROR(W350*H350,0)</f>
        <v>0</v>
      </c>
      <c r="AF350" s="347">
        <f>IFERROR(1-(AE350/AB350),0)</f>
        <v>0</v>
      </c>
      <c r="AG350" s="348">
        <f>IFERROR(SUM(W350:X350)*I350,0)</f>
        <v>0</v>
      </c>
      <c r="AH350" s="347">
        <f>IFERROR(IF(V350&gt;0,V350*W350,(Y350*W350)),0)</f>
        <v>0</v>
      </c>
      <c r="AI350" s="347">
        <f>IFERROR(SUM(W350)*H350,0)</f>
        <v>0</v>
      </c>
      <c r="AJ350" s="347">
        <f>AH350*$AJ$25</f>
        <v>0</v>
      </c>
      <c r="AK350" s="347">
        <f>AH350*AK$25</f>
        <v>0</v>
      </c>
      <c r="AL350" s="347">
        <f>AH350*AL$25</f>
        <v>0</v>
      </c>
      <c r="AM350" s="347">
        <f>SUM(AJ350:AL350)</f>
        <v>0</v>
      </c>
      <c r="AN350" s="347">
        <f>AH350-AM350</f>
        <v>0</v>
      </c>
      <c r="AO350" s="347">
        <f>AN350-AI350</f>
        <v>0</v>
      </c>
      <c r="AP350" s="349">
        <f>IFERROR(IF(V350&lt;&gt;"",1-(H350/V350),IF(Y350&lt;&gt;"",1-(H350/Y350),1-(H350/L350))),0)</f>
        <v>0.63777570674122397</v>
      </c>
      <c r="AQ350" s="350">
        <f>H350/0.75</f>
        <v>155.46666666666667</v>
      </c>
      <c r="AR350" s="546">
        <v>4</v>
      </c>
      <c r="AS350" s="528">
        <f t="shared" si="282"/>
        <v>63.777570674122394</v>
      </c>
      <c r="AT350" s="529">
        <f>IFERROR(1-(AI350/AH350),0)</f>
        <v>0</v>
      </c>
      <c r="AU350" s="530">
        <f>IFERROR(AO350/AH350,0)</f>
        <v>0</v>
      </c>
      <c r="AV350" s="351"/>
      <c r="AW350" s="349" t="e">
        <f>VLOOKUP(AX350,Sup!#REF!,8,0)</f>
        <v>#REF!</v>
      </c>
      <c r="AX350" s="1005" t="s">
        <v>197</v>
      </c>
      <c r="AY350" s="1023">
        <v>0</v>
      </c>
      <c r="AZ350" s="1024"/>
      <c r="BA350" s="1024"/>
      <c r="BB350" s="1024"/>
      <c r="BC350" s="1024">
        <f>IF(BE350&lt;0,BE350,0)</f>
        <v>0</v>
      </c>
      <c r="BD350" s="1024" t="str">
        <f t="shared" si="283"/>
        <v/>
      </c>
      <c r="BE350" s="1025">
        <f>IF(V350="",0,(V350*W350)-(BD350*W350))</f>
        <v>0</v>
      </c>
      <c r="BF350" s="1026"/>
      <c r="BG350" s="1027"/>
      <c r="BH350" s="1028"/>
      <c r="BI350" s="1028"/>
      <c r="BJ350" s="1028"/>
      <c r="BK350" s="1028"/>
      <c r="BL350" s="1028"/>
      <c r="BM350" s="1029" t="e">
        <f t="shared" si="364"/>
        <v>#REF!</v>
      </c>
      <c r="BN350" s="1030"/>
      <c r="BO350" s="1031"/>
      <c r="BP350" s="1028"/>
      <c r="BQ350" s="1028"/>
      <c r="BR350" s="1028"/>
      <c r="BS350" s="1032"/>
      <c r="BT350" s="1028"/>
      <c r="BU350" s="1028"/>
      <c r="BV350" s="1028"/>
      <c r="BW350" s="1033" t="s">
        <v>392</v>
      </c>
      <c r="BX350" s="1034">
        <f>IFERROR(W350*U350,0)</f>
        <v>0</v>
      </c>
      <c r="BY350" s="1028" t="e">
        <f>VLOOKUP(B350,#REF!,13,0)</f>
        <v>#REF!</v>
      </c>
      <c r="BZ350" s="1070">
        <v>239.9</v>
      </c>
      <c r="CA350" s="1181" t="e">
        <f>VLOOKUP(B350,Pedido!$B$16:$L$292,22,0)</f>
        <v>#N/A</v>
      </c>
    </row>
    <row r="351" spans="1:85" ht="15" customHeight="1">
      <c r="BM351" s="461" t="e">
        <f t="shared" si="364"/>
        <v>#REF!</v>
      </c>
    </row>
    <row r="352" spans="1:85" ht="15" customHeight="1">
      <c r="BM352" s="461" t="e">
        <f t="shared" si="364"/>
        <v>#REF!</v>
      </c>
    </row>
    <row r="353" spans="65:65" ht="15" customHeight="1">
      <c r="BM353" s="461" t="e">
        <f t="shared" si="364"/>
        <v>#REF!</v>
      </c>
    </row>
    <row r="354" spans="65:65" ht="15" customHeight="1">
      <c r="BM354" s="461" t="e">
        <f t="shared" si="364"/>
        <v>#REF!</v>
      </c>
    </row>
    <row r="355" spans="65:65" ht="15" customHeight="1">
      <c r="BM355" s="461" t="e">
        <f t="shared" si="364"/>
        <v>#REF!</v>
      </c>
    </row>
    <row r="356" spans="65:65" ht="15" customHeight="1">
      <c r="BM356" s="461" t="e">
        <f t="shared" si="364"/>
        <v>#REF!</v>
      </c>
    </row>
    <row r="357" spans="65:65" ht="15" customHeight="1">
      <c r="BM357" s="461" t="e">
        <f t="shared" si="364"/>
        <v>#REF!</v>
      </c>
    </row>
    <row r="358" spans="65:65" ht="15" customHeight="1">
      <c r="BM358" s="461" t="e">
        <f t="shared" si="364"/>
        <v>#REF!</v>
      </c>
    </row>
    <row r="359" spans="65:65" ht="15" customHeight="1">
      <c r="BM359" s="461" t="e">
        <f t="shared" si="364"/>
        <v>#REF!</v>
      </c>
    </row>
    <row r="360" spans="65:65" ht="15" customHeight="1">
      <c r="BM360" s="461" t="e">
        <f t="shared" si="364"/>
        <v>#REF!</v>
      </c>
    </row>
    <row r="361" spans="65:65" ht="15" customHeight="1">
      <c r="BM361" s="461" t="e">
        <f t="shared" si="364"/>
        <v>#REF!</v>
      </c>
    </row>
    <row r="362" spans="65:65" ht="15" customHeight="1">
      <c r="BM362" s="461" t="e">
        <f t="shared" si="364"/>
        <v>#REF!</v>
      </c>
    </row>
    <row r="363" spans="65:65" ht="15" customHeight="1">
      <c r="BM363" s="461" t="e">
        <f t="shared" si="364"/>
        <v>#REF!</v>
      </c>
    </row>
    <row r="364" spans="65:65" ht="15" customHeight="1">
      <c r="BM364" s="461" t="e">
        <f t="shared" si="364"/>
        <v>#REF!</v>
      </c>
    </row>
    <row r="365" spans="65:65" ht="15" customHeight="1">
      <c r="BM365" s="461" t="e">
        <f t="shared" si="364"/>
        <v>#REF!</v>
      </c>
    </row>
    <row r="366" spans="65:65" ht="15" customHeight="1">
      <c r="BM366" s="461" t="e">
        <f t="shared" si="364"/>
        <v>#REF!</v>
      </c>
    </row>
    <row r="367" spans="65:65" ht="15" customHeight="1">
      <c r="BM367" s="461" t="e">
        <f t="shared" si="364"/>
        <v>#REF!</v>
      </c>
    </row>
    <row r="368" spans="65:65" ht="15" customHeight="1">
      <c r="BM368" s="461" t="e">
        <f t="shared" si="364"/>
        <v>#REF!</v>
      </c>
    </row>
    <row r="369" spans="1:78" ht="15" customHeight="1">
      <c r="A369" s="52"/>
      <c r="B369" s="258"/>
      <c r="C369" s="12"/>
      <c r="D369" s="12"/>
      <c r="E369" s="53"/>
      <c r="F369" s="53"/>
      <c r="G369" s="12"/>
      <c r="H369" s="926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23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BM369" s="461" t="e">
        <f t="shared" si="364"/>
        <v>#REF!</v>
      </c>
      <c r="BS369" s="578"/>
      <c r="BZ369" s="973"/>
    </row>
    <row r="370" spans="1:78" ht="15" customHeight="1">
      <c r="BM370" s="461" t="e">
        <f t="shared" si="364"/>
        <v>#REF!</v>
      </c>
      <c r="BS370" s="578"/>
    </row>
    <row r="371" spans="1:78" ht="15" customHeight="1">
      <c r="BM371" s="461" t="e">
        <f t="shared" si="364"/>
        <v>#REF!</v>
      </c>
      <c r="BS371" s="578"/>
    </row>
    <row r="372" spans="1:78" ht="17.399999999999999">
      <c r="A372" s="49"/>
      <c r="B372" s="249"/>
      <c r="C372" s="19"/>
      <c r="D372" s="19"/>
      <c r="E372" s="20"/>
      <c r="F372" s="20"/>
      <c r="G372" s="19"/>
      <c r="H372" s="927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220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22"/>
      <c r="AQ372" s="22"/>
      <c r="AR372" s="365"/>
      <c r="AS372" s="21"/>
      <c r="AT372" s="22"/>
      <c r="AU372" s="19"/>
      <c r="AV372" s="19"/>
      <c r="AW372" s="19"/>
      <c r="AX372" s="464"/>
      <c r="AY372" s="19"/>
      <c r="AZ372" s="1141">
        <f>SUM(AZ61:AZ368)</f>
        <v>0</v>
      </c>
      <c r="BA372" s="1141">
        <f>SUM(BA61:BA368)</f>
        <v>0</v>
      </c>
      <c r="BB372" s="1141">
        <f>SUM(BB61:BB368)</f>
        <v>0</v>
      </c>
      <c r="BC372" s="1141">
        <f>SUM(BC61:BC368)</f>
        <v>0</v>
      </c>
      <c r="BD372" s="1141"/>
      <c r="BE372" s="1141">
        <f>SUM(BE61:BE368)</f>
        <v>0</v>
      </c>
      <c r="BF372" s="17"/>
      <c r="BM372" s="461" t="e">
        <f t="shared" si="364"/>
        <v>#REF!</v>
      </c>
      <c r="BS372" s="578"/>
      <c r="BZ372" s="717"/>
    </row>
    <row r="373" spans="1:78">
      <c r="A373" s="49"/>
      <c r="B373" s="249"/>
      <c r="C373" s="19"/>
      <c r="D373" s="19"/>
      <c r="E373" s="20"/>
      <c r="F373" s="20"/>
      <c r="G373" s="19"/>
      <c r="H373" s="927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220"/>
      <c r="AA373" s="724" cm="1">
        <f t="array" ref="AA373">SUM(IFERROR(AA61:AA368,""))</f>
        <v>0</v>
      </c>
      <c r="AB373" s="19" cm="1">
        <f t="array" ref="AB373">SUM(IFERROR(AB61:AB368,""))</f>
        <v>0</v>
      </c>
      <c r="AC373" s="24">
        <f t="array" ref="AC373">SUM(IFERROR(AC61:AC368,""))</f>
        <v>0</v>
      </c>
      <c r="AD373" s="20" cm="1">
        <f t="array" ref="AD373">SUM(IFERROR(AD61:AD368,""))</f>
        <v>0</v>
      </c>
      <c r="AE373" s="24" cm="1">
        <f t="array" ref="AE373">SUM(IFERROR(AE61:AE368,""))</f>
        <v>0</v>
      </c>
      <c r="AF373" s="36">
        <f t="array" ref="AF373">IFERROR(1-(AE373/AB373),0)</f>
        <v>0</v>
      </c>
      <c r="AG373" s="19" cm="1">
        <f t="array" ref="AG373">SUM(IFERROR(AG61:AG368,""))</f>
        <v>0</v>
      </c>
      <c r="AH373" s="19" cm="1">
        <f t="array" ref="AH373">SUM(IFERROR(AH61:AH368,""))</f>
        <v>0</v>
      </c>
      <c r="AI373" s="19" cm="1">
        <f t="array" ref="AI373">SUM(IFERROR(AI61:AI368,""))</f>
        <v>0</v>
      </c>
      <c r="AJ373" s="19" cm="1">
        <f t="array" ref="AJ373">SUM(IFERROR(AJ61:AJ368,""))</f>
        <v>0</v>
      </c>
      <c r="AK373" s="19" cm="1">
        <f t="array" ref="AK373">SUM(IFERROR(AK61:AK368,""))</f>
        <v>0</v>
      </c>
      <c r="AL373" s="19" cm="1">
        <f t="array" ref="AL373">SUM(IFERROR(AL61:AL368,""))</f>
        <v>0</v>
      </c>
      <c r="AM373" s="19" cm="1">
        <f t="array" ref="AM373">SUM(IFERROR(AM61:AM368,""))</f>
        <v>0</v>
      </c>
      <c r="AN373" s="19" cm="1">
        <f t="array" ref="AN373">SUM(IFERROR(AN61:AN368,""))</f>
        <v>0</v>
      </c>
      <c r="AO373" s="19" cm="1">
        <f t="array" ref="AO373">SUM(IFERROR(AO61:AO368,""))</f>
        <v>0</v>
      </c>
      <c r="AP373" s="19"/>
      <c r="AQ373" s="19"/>
      <c r="AR373" s="19"/>
      <c r="AS373" s="19"/>
      <c r="AT373" s="37">
        <f>IFERROR(1-(AI373/AH373),0)</f>
        <v>0</v>
      </c>
      <c r="AU373" s="36">
        <f>IFERROR(AO373/AH373,0)</f>
        <v>0</v>
      </c>
      <c r="AV373" s="19"/>
      <c r="AW373" s="19"/>
      <c r="AX373" s="464"/>
      <c r="AY373" s="19"/>
      <c r="AZ373" s="19"/>
      <c r="BA373" s="19"/>
      <c r="BB373" s="19"/>
      <c r="BC373" s="19"/>
      <c r="BD373" s="19"/>
      <c r="BE373" s="19" t="e">
        <f>BE372*Sup!#REF!</f>
        <v>#REF!</v>
      </c>
      <c r="BF373" s="17"/>
      <c r="BM373" s="461" t="e">
        <f t="shared" si="364"/>
        <v>#REF!</v>
      </c>
      <c r="BS373" s="578"/>
      <c r="BZ373" s="717"/>
    </row>
    <row r="374" spans="1:78" ht="15.6">
      <c r="D374" s="5"/>
      <c r="E374" s="6"/>
      <c r="F374" s="6"/>
      <c r="G374" s="6"/>
      <c r="H374" s="928"/>
      <c r="I374" s="5"/>
      <c r="J374" s="7"/>
      <c r="K374" s="7"/>
      <c r="L374" s="5"/>
      <c r="M374" s="5"/>
      <c r="N374" s="5"/>
      <c r="O374" s="5"/>
      <c r="P374" s="5"/>
      <c r="Q374" s="5"/>
      <c r="R374" s="5"/>
      <c r="S374" s="5"/>
      <c r="T374" s="8"/>
      <c r="U374" s="8"/>
      <c r="V374" s="8"/>
      <c r="W374" s="9"/>
      <c r="X374" s="9"/>
      <c r="Y374" s="8"/>
      <c r="Z374" s="233"/>
      <c r="AA374" s="19"/>
      <c r="AB374" s="33"/>
      <c r="AC374" s="1142" t="e">
        <f>Sup!#REF!</f>
        <v>#REF!</v>
      </c>
      <c r="AD374" s="17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464"/>
      <c r="AY374" s="19"/>
      <c r="AZ374" s="19"/>
      <c r="BA374" s="19"/>
      <c r="BB374" s="19"/>
      <c r="BC374" s="19"/>
      <c r="BD374" s="19"/>
      <c r="BE374" s="19"/>
      <c r="BM374" s="461" t="e">
        <f t="shared" si="364"/>
        <v>#REF!</v>
      </c>
      <c r="BS374" s="578"/>
      <c r="BZ374" s="1071"/>
    </row>
    <row r="375" spans="1:78" ht="15" customHeight="1">
      <c r="W375" s="1143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7"/>
      <c r="AY375" s="46"/>
      <c r="AZ375" s="46">
        <f>Cálculo!AZ369</f>
        <v>0</v>
      </c>
      <c r="BA375" s="46">
        <f>Cálculo!BA369</f>
        <v>0</v>
      </c>
      <c r="BB375" s="46">
        <f>Cálculo!BB369</f>
        <v>0</v>
      </c>
      <c r="BC375" s="46">
        <f>Cálculo!BC369</f>
        <v>0</v>
      </c>
      <c r="BD375" s="46">
        <f>Cálculo!BD369</f>
        <v>0</v>
      </c>
      <c r="BE375" s="46">
        <f>Cálculo!BE369</f>
        <v>0</v>
      </c>
      <c r="BM375" s="461" t="e">
        <f t="shared" si="364"/>
        <v>#REF!</v>
      </c>
      <c r="BS375" s="578"/>
    </row>
    <row r="376" spans="1:78" ht="15" customHeight="1"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7"/>
      <c r="AY376" s="46"/>
      <c r="AZ376" s="46"/>
      <c r="BA376" s="46"/>
      <c r="BB376" s="46"/>
      <c r="BC376" s="46"/>
      <c r="BD376" s="46"/>
      <c r="BE376" s="46"/>
      <c r="BM376" s="461" t="e">
        <f t="shared" si="364"/>
        <v>#REF!</v>
      </c>
      <c r="BS376" s="578"/>
    </row>
    <row r="377" spans="1:78" ht="15" customHeight="1">
      <c r="BM377" s="461" t="e">
        <f t="shared" si="364"/>
        <v>#REF!</v>
      </c>
      <c r="BS377" s="578"/>
    </row>
    <row r="378" spans="1:78" ht="15" customHeight="1">
      <c r="BM378" s="461" t="e">
        <f t="shared" si="364"/>
        <v>#REF!</v>
      </c>
      <c r="BS378" s="578"/>
    </row>
    <row r="379" spans="1:78" ht="15" customHeight="1">
      <c r="BM379" s="461" t="e">
        <f t="shared" si="364"/>
        <v>#REF!</v>
      </c>
      <c r="BS379" s="578"/>
    </row>
    <row r="380" spans="1:78" ht="15" customHeight="1">
      <c r="BM380" s="461" t="e">
        <f t="shared" si="364"/>
        <v>#REF!</v>
      </c>
      <c r="BS380" s="578"/>
    </row>
    <row r="381" spans="1:78" ht="15" customHeight="1">
      <c r="BM381" s="461" t="e">
        <f t="shared" si="364"/>
        <v>#REF!</v>
      </c>
      <c r="BS381" s="578"/>
    </row>
    <row r="382" spans="1:78" ht="15" customHeight="1">
      <c r="BM382" s="461" t="e">
        <f t="shared" si="364"/>
        <v>#REF!</v>
      </c>
      <c r="BS382" s="578"/>
    </row>
    <row r="383" spans="1:78" ht="15" customHeight="1">
      <c r="BM383" s="461" t="e">
        <f t="shared" si="364"/>
        <v>#REF!</v>
      </c>
      <c r="BS383" s="578"/>
    </row>
    <row r="384" spans="1:78" ht="15" customHeight="1">
      <c r="BM384" s="461" t="e">
        <f t="shared" ref="BM384:BM447" si="365">BM383+24</f>
        <v>#REF!</v>
      </c>
      <c r="BS384" s="578"/>
    </row>
    <row r="385" spans="65:71" ht="15" customHeight="1">
      <c r="BM385" s="461" t="e">
        <f t="shared" si="365"/>
        <v>#REF!</v>
      </c>
      <c r="BS385" s="578"/>
    </row>
    <row r="386" spans="65:71" ht="15" customHeight="1">
      <c r="BM386" s="461" t="e">
        <f t="shared" si="365"/>
        <v>#REF!</v>
      </c>
      <c r="BS386" s="578"/>
    </row>
    <row r="387" spans="65:71" ht="15" customHeight="1">
      <c r="BM387" s="461" t="e">
        <f t="shared" si="365"/>
        <v>#REF!</v>
      </c>
      <c r="BS387" s="578"/>
    </row>
    <row r="388" spans="65:71" ht="15" customHeight="1">
      <c r="BM388" s="461" t="e">
        <f t="shared" si="365"/>
        <v>#REF!</v>
      </c>
      <c r="BS388" s="578"/>
    </row>
    <row r="389" spans="65:71" ht="15" customHeight="1">
      <c r="BM389" s="461" t="e">
        <f t="shared" si="365"/>
        <v>#REF!</v>
      </c>
      <c r="BS389" s="578"/>
    </row>
    <row r="390" spans="65:71" ht="15" customHeight="1">
      <c r="BM390" s="461" t="e">
        <f t="shared" si="365"/>
        <v>#REF!</v>
      </c>
      <c r="BS390" s="578"/>
    </row>
    <row r="391" spans="65:71" ht="15" customHeight="1">
      <c r="BM391" s="461" t="e">
        <f t="shared" si="365"/>
        <v>#REF!</v>
      </c>
      <c r="BS391" s="578"/>
    </row>
    <row r="392" spans="65:71" ht="15" customHeight="1">
      <c r="BM392" s="461" t="e">
        <f t="shared" si="365"/>
        <v>#REF!</v>
      </c>
      <c r="BS392" s="578"/>
    </row>
    <row r="393" spans="65:71" ht="15" customHeight="1">
      <c r="BM393" s="461" t="e">
        <f t="shared" si="365"/>
        <v>#REF!</v>
      </c>
      <c r="BS393" s="578"/>
    </row>
    <row r="394" spans="65:71" ht="15" customHeight="1">
      <c r="BM394" s="461" t="e">
        <f t="shared" si="365"/>
        <v>#REF!</v>
      </c>
      <c r="BS394" s="578"/>
    </row>
    <row r="395" spans="65:71" ht="15" customHeight="1">
      <c r="BM395" s="461" t="e">
        <f t="shared" si="365"/>
        <v>#REF!</v>
      </c>
      <c r="BS395" s="578"/>
    </row>
    <row r="396" spans="65:71" ht="15" customHeight="1">
      <c r="BM396" s="461" t="e">
        <f t="shared" si="365"/>
        <v>#REF!</v>
      </c>
      <c r="BS396" s="578"/>
    </row>
    <row r="397" spans="65:71" ht="15" customHeight="1">
      <c r="BM397" s="461" t="e">
        <f t="shared" si="365"/>
        <v>#REF!</v>
      </c>
      <c r="BS397" s="578"/>
    </row>
    <row r="398" spans="65:71" ht="15" customHeight="1">
      <c r="BM398" s="461" t="e">
        <f t="shared" si="365"/>
        <v>#REF!</v>
      </c>
      <c r="BS398" s="578"/>
    </row>
    <row r="399" spans="65:71" ht="15" customHeight="1">
      <c r="BM399" s="461" t="e">
        <f t="shared" si="365"/>
        <v>#REF!</v>
      </c>
      <c r="BS399" s="578"/>
    </row>
    <row r="400" spans="65:71" ht="15" customHeight="1">
      <c r="BM400" s="461" t="e">
        <f t="shared" si="365"/>
        <v>#REF!</v>
      </c>
      <c r="BS400" s="578"/>
    </row>
    <row r="401" spans="65:71" ht="15" customHeight="1">
      <c r="BM401" s="461" t="e">
        <f t="shared" si="365"/>
        <v>#REF!</v>
      </c>
      <c r="BS401" s="578"/>
    </row>
    <row r="402" spans="65:71" ht="15" customHeight="1">
      <c r="BM402" s="461" t="e">
        <f t="shared" si="365"/>
        <v>#REF!</v>
      </c>
      <c r="BS402" s="578"/>
    </row>
    <row r="403" spans="65:71" ht="15" customHeight="1">
      <c r="BM403" s="461" t="e">
        <f t="shared" si="365"/>
        <v>#REF!</v>
      </c>
      <c r="BS403" s="578"/>
    </row>
    <row r="404" spans="65:71" ht="15" customHeight="1">
      <c r="BM404" s="461" t="e">
        <f t="shared" si="365"/>
        <v>#REF!</v>
      </c>
      <c r="BS404" s="578"/>
    </row>
    <row r="405" spans="65:71" ht="15" customHeight="1">
      <c r="BM405" s="461" t="e">
        <f t="shared" si="365"/>
        <v>#REF!</v>
      </c>
      <c r="BS405" s="578"/>
    </row>
    <row r="406" spans="65:71" ht="15" customHeight="1">
      <c r="BM406" s="461" t="e">
        <f t="shared" si="365"/>
        <v>#REF!</v>
      </c>
      <c r="BS406" s="578"/>
    </row>
    <row r="407" spans="65:71" ht="15" customHeight="1">
      <c r="BM407" s="461" t="e">
        <f t="shared" si="365"/>
        <v>#REF!</v>
      </c>
      <c r="BS407" s="578"/>
    </row>
    <row r="408" spans="65:71" ht="15" customHeight="1">
      <c r="BM408" s="461" t="e">
        <f t="shared" si="365"/>
        <v>#REF!</v>
      </c>
      <c r="BS408" s="578"/>
    </row>
    <row r="409" spans="65:71" ht="15" customHeight="1">
      <c r="BM409" s="461" t="e">
        <f t="shared" si="365"/>
        <v>#REF!</v>
      </c>
      <c r="BS409" s="578"/>
    </row>
    <row r="410" spans="65:71" ht="15" customHeight="1">
      <c r="BM410" s="461" t="e">
        <f t="shared" si="365"/>
        <v>#REF!</v>
      </c>
      <c r="BS410" s="578"/>
    </row>
    <row r="411" spans="65:71" ht="15" customHeight="1">
      <c r="BM411" s="461" t="e">
        <f t="shared" si="365"/>
        <v>#REF!</v>
      </c>
      <c r="BS411" s="578"/>
    </row>
    <row r="412" spans="65:71" ht="15" customHeight="1">
      <c r="BM412" s="461" t="e">
        <f t="shared" si="365"/>
        <v>#REF!</v>
      </c>
      <c r="BS412" s="578"/>
    </row>
    <row r="413" spans="65:71" ht="15" customHeight="1">
      <c r="BM413" s="461" t="e">
        <f t="shared" si="365"/>
        <v>#REF!</v>
      </c>
      <c r="BS413" s="578"/>
    </row>
    <row r="414" spans="65:71" ht="15" customHeight="1">
      <c r="BM414" s="461" t="e">
        <f t="shared" si="365"/>
        <v>#REF!</v>
      </c>
      <c r="BS414" s="578"/>
    </row>
    <row r="415" spans="65:71" ht="15" customHeight="1">
      <c r="BM415" s="461" t="e">
        <f t="shared" si="365"/>
        <v>#REF!</v>
      </c>
      <c r="BS415" s="578"/>
    </row>
    <row r="416" spans="65:71" ht="15" customHeight="1">
      <c r="BM416" s="461" t="e">
        <f t="shared" si="365"/>
        <v>#REF!</v>
      </c>
      <c r="BS416" s="578"/>
    </row>
    <row r="417" spans="65:71" ht="15" customHeight="1">
      <c r="BM417" s="461" t="e">
        <f t="shared" si="365"/>
        <v>#REF!</v>
      </c>
      <c r="BS417" s="578"/>
    </row>
    <row r="418" spans="65:71" ht="15" customHeight="1">
      <c r="BM418" s="461" t="e">
        <f t="shared" si="365"/>
        <v>#REF!</v>
      </c>
      <c r="BS418" s="578"/>
    </row>
    <row r="419" spans="65:71" ht="15" customHeight="1">
      <c r="BM419" s="461" t="e">
        <f t="shared" si="365"/>
        <v>#REF!</v>
      </c>
      <c r="BS419" s="578"/>
    </row>
    <row r="420" spans="65:71" ht="15" customHeight="1">
      <c r="BM420" s="461" t="e">
        <f t="shared" si="365"/>
        <v>#REF!</v>
      </c>
    </row>
    <row r="421" spans="65:71" ht="15" customHeight="1">
      <c r="BM421" s="461" t="e">
        <f t="shared" si="365"/>
        <v>#REF!</v>
      </c>
    </row>
    <row r="422" spans="65:71" ht="15" customHeight="1">
      <c r="BM422" s="461" t="e">
        <f t="shared" si="365"/>
        <v>#REF!</v>
      </c>
    </row>
    <row r="423" spans="65:71" ht="15" customHeight="1">
      <c r="BM423" s="461" t="e">
        <f t="shared" si="365"/>
        <v>#REF!</v>
      </c>
    </row>
    <row r="424" spans="65:71" ht="15" customHeight="1">
      <c r="BM424" s="461" t="e">
        <f t="shared" si="365"/>
        <v>#REF!</v>
      </c>
    </row>
    <row r="425" spans="65:71" ht="15" customHeight="1">
      <c r="BM425" s="461" t="e">
        <f t="shared" si="365"/>
        <v>#REF!</v>
      </c>
    </row>
    <row r="426" spans="65:71" ht="15" customHeight="1">
      <c r="BM426" s="461" t="e">
        <f t="shared" si="365"/>
        <v>#REF!</v>
      </c>
    </row>
    <row r="427" spans="65:71" ht="15" customHeight="1">
      <c r="BM427" s="461" t="e">
        <f t="shared" si="365"/>
        <v>#REF!</v>
      </c>
    </row>
    <row r="428" spans="65:71" ht="15" customHeight="1">
      <c r="BM428" s="461" t="e">
        <f t="shared" si="365"/>
        <v>#REF!</v>
      </c>
    </row>
    <row r="429" spans="65:71" ht="15" customHeight="1">
      <c r="BM429" s="461" t="e">
        <f t="shared" si="365"/>
        <v>#REF!</v>
      </c>
    </row>
    <row r="430" spans="65:71" ht="15" customHeight="1">
      <c r="BM430" s="461" t="e">
        <f t="shared" si="365"/>
        <v>#REF!</v>
      </c>
    </row>
    <row r="431" spans="65:71" ht="15" customHeight="1">
      <c r="BM431" s="461" t="e">
        <f t="shared" si="365"/>
        <v>#REF!</v>
      </c>
    </row>
    <row r="432" spans="65:71" ht="15" customHeight="1">
      <c r="BM432" s="461" t="e">
        <f t="shared" si="365"/>
        <v>#REF!</v>
      </c>
    </row>
    <row r="433" spans="65:65" ht="15" customHeight="1">
      <c r="BM433" s="461" t="e">
        <f t="shared" si="365"/>
        <v>#REF!</v>
      </c>
    </row>
    <row r="434" spans="65:65" ht="15" customHeight="1">
      <c r="BM434" s="461" t="e">
        <f t="shared" si="365"/>
        <v>#REF!</v>
      </c>
    </row>
    <row r="435" spans="65:65" ht="15" customHeight="1">
      <c r="BM435" s="461" t="e">
        <f t="shared" si="365"/>
        <v>#REF!</v>
      </c>
    </row>
    <row r="436" spans="65:65" ht="15" customHeight="1">
      <c r="BM436" s="461" t="e">
        <f t="shared" si="365"/>
        <v>#REF!</v>
      </c>
    </row>
    <row r="437" spans="65:65" ht="15" customHeight="1">
      <c r="BM437" s="461" t="e">
        <f t="shared" si="365"/>
        <v>#REF!</v>
      </c>
    </row>
    <row r="438" spans="65:65" ht="15" customHeight="1">
      <c r="BM438" s="461" t="e">
        <f t="shared" si="365"/>
        <v>#REF!</v>
      </c>
    </row>
    <row r="439" spans="65:65" ht="15" customHeight="1">
      <c r="BM439" s="461" t="e">
        <f t="shared" si="365"/>
        <v>#REF!</v>
      </c>
    </row>
    <row r="440" spans="65:65" ht="15" customHeight="1">
      <c r="BM440" s="461" t="e">
        <f t="shared" si="365"/>
        <v>#REF!</v>
      </c>
    </row>
    <row r="441" spans="65:65" ht="15" customHeight="1">
      <c r="BM441" s="461" t="e">
        <f t="shared" si="365"/>
        <v>#REF!</v>
      </c>
    </row>
    <row r="442" spans="65:65" ht="15" customHeight="1">
      <c r="BM442" s="461" t="e">
        <f t="shared" si="365"/>
        <v>#REF!</v>
      </c>
    </row>
    <row r="443" spans="65:65" ht="15" customHeight="1">
      <c r="BM443" s="461" t="e">
        <f t="shared" si="365"/>
        <v>#REF!</v>
      </c>
    </row>
    <row r="444" spans="65:65" ht="15" customHeight="1">
      <c r="BM444" s="461" t="e">
        <f t="shared" si="365"/>
        <v>#REF!</v>
      </c>
    </row>
    <row r="445" spans="65:65" ht="15" customHeight="1">
      <c r="BM445" s="461" t="e">
        <f t="shared" si="365"/>
        <v>#REF!</v>
      </c>
    </row>
    <row r="446" spans="65:65" ht="15" customHeight="1">
      <c r="BM446" s="461" t="e">
        <f t="shared" si="365"/>
        <v>#REF!</v>
      </c>
    </row>
    <row r="447" spans="65:65" ht="15" customHeight="1">
      <c r="BM447" s="461" t="e">
        <f t="shared" si="365"/>
        <v>#REF!</v>
      </c>
    </row>
    <row r="448" spans="65:65" ht="15" customHeight="1">
      <c r="BM448" s="461" t="e">
        <f t="shared" ref="BM448:BM511" si="366">BM447+24</f>
        <v>#REF!</v>
      </c>
    </row>
    <row r="449" spans="65:65" ht="15" customHeight="1">
      <c r="BM449" s="461" t="e">
        <f t="shared" si="366"/>
        <v>#REF!</v>
      </c>
    </row>
    <row r="450" spans="65:65" ht="15" customHeight="1">
      <c r="BM450" s="461" t="e">
        <f t="shared" si="366"/>
        <v>#REF!</v>
      </c>
    </row>
    <row r="451" spans="65:65" ht="15" customHeight="1">
      <c r="BM451" s="461" t="e">
        <f t="shared" si="366"/>
        <v>#REF!</v>
      </c>
    </row>
    <row r="452" spans="65:65" ht="15" customHeight="1">
      <c r="BM452" s="461" t="e">
        <f t="shared" si="366"/>
        <v>#REF!</v>
      </c>
    </row>
    <row r="453" spans="65:65" ht="15" customHeight="1">
      <c r="BM453" s="461" t="e">
        <f t="shared" si="366"/>
        <v>#REF!</v>
      </c>
    </row>
    <row r="454" spans="65:65" ht="15" customHeight="1">
      <c r="BM454" s="461" t="e">
        <f t="shared" si="366"/>
        <v>#REF!</v>
      </c>
    </row>
    <row r="455" spans="65:65" ht="15" customHeight="1">
      <c r="BM455" s="461" t="e">
        <f t="shared" si="366"/>
        <v>#REF!</v>
      </c>
    </row>
    <row r="456" spans="65:65" ht="15" customHeight="1">
      <c r="BM456" s="461" t="e">
        <f t="shared" si="366"/>
        <v>#REF!</v>
      </c>
    </row>
    <row r="457" spans="65:65" ht="15" customHeight="1">
      <c r="BM457" s="461" t="e">
        <f t="shared" si="366"/>
        <v>#REF!</v>
      </c>
    </row>
    <row r="458" spans="65:65" ht="15" customHeight="1">
      <c r="BM458" s="461" t="e">
        <f t="shared" si="366"/>
        <v>#REF!</v>
      </c>
    </row>
    <row r="459" spans="65:65" ht="15" customHeight="1">
      <c r="BM459" s="461" t="e">
        <f t="shared" si="366"/>
        <v>#REF!</v>
      </c>
    </row>
    <row r="460" spans="65:65" ht="15" customHeight="1">
      <c r="BM460" s="461" t="e">
        <f t="shared" si="366"/>
        <v>#REF!</v>
      </c>
    </row>
    <row r="461" spans="65:65" ht="15" customHeight="1">
      <c r="BM461" s="461" t="e">
        <f t="shared" si="366"/>
        <v>#REF!</v>
      </c>
    </row>
    <row r="462" spans="65:65" ht="15" customHeight="1">
      <c r="BM462" s="461" t="e">
        <f t="shared" si="366"/>
        <v>#REF!</v>
      </c>
    </row>
    <row r="463" spans="65:65" ht="15" customHeight="1">
      <c r="BM463" s="461" t="e">
        <f t="shared" si="366"/>
        <v>#REF!</v>
      </c>
    </row>
    <row r="464" spans="65:65" ht="15" customHeight="1">
      <c r="BM464" s="461" t="e">
        <f t="shared" si="366"/>
        <v>#REF!</v>
      </c>
    </row>
    <row r="465" spans="65:65" ht="15" customHeight="1">
      <c r="BM465" s="461" t="e">
        <f t="shared" si="366"/>
        <v>#REF!</v>
      </c>
    </row>
    <row r="466" spans="65:65" ht="15" customHeight="1">
      <c r="BM466" s="461" t="e">
        <f t="shared" si="366"/>
        <v>#REF!</v>
      </c>
    </row>
    <row r="467" spans="65:65" ht="15" customHeight="1">
      <c r="BM467" s="461" t="e">
        <f t="shared" si="366"/>
        <v>#REF!</v>
      </c>
    </row>
    <row r="468" spans="65:65" ht="15" customHeight="1">
      <c r="BM468" s="461" t="e">
        <f t="shared" si="366"/>
        <v>#REF!</v>
      </c>
    </row>
    <row r="469" spans="65:65" ht="15" customHeight="1">
      <c r="BM469" s="461" t="e">
        <f t="shared" si="366"/>
        <v>#REF!</v>
      </c>
    </row>
    <row r="470" spans="65:65" ht="15" customHeight="1">
      <c r="BM470" s="461" t="e">
        <f t="shared" si="366"/>
        <v>#REF!</v>
      </c>
    </row>
    <row r="471" spans="65:65" ht="15" customHeight="1">
      <c r="BM471" s="461" t="e">
        <f t="shared" si="366"/>
        <v>#REF!</v>
      </c>
    </row>
    <row r="472" spans="65:65" ht="15" customHeight="1">
      <c r="BM472" s="461" t="e">
        <f t="shared" si="366"/>
        <v>#REF!</v>
      </c>
    </row>
    <row r="473" spans="65:65" ht="15" customHeight="1">
      <c r="BM473" s="461" t="e">
        <f t="shared" si="366"/>
        <v>#REF!</v>
      </c>
    </row>
    <row r="474" spans="65:65" ht="15" customHeight="1">
      <c r="BM474" s="461" t="e">
        <f t="shared" si="366"/>
        <v>#REF!</v>
      </c>
    </row>
    <row r="475" spans="65:65" ht="15" customHeight="1">
      <c r="BM475" s="461" t="e">
        <f t="shared" si="366"/>
        <v>#REF!</v>
      </c>
    </row>
    <row r="476" spans="65:65" ht="15" customHeight="1">
      <c r="BM476" s="461" t="e">
        <f t="shared" si="366"/>
        <v>#REF!</v>
      </c>
    </row>
    <row r="477" spans="65:65" ht="15" customHeight="1">
      <c r="BM477" s="461" t="e">
        <f t="shared" si="366"/>
        <v>#REF!</v>
      </c>
    </row>
    <row r="478" spans="65:65" ht="15" customHeight="1">
      <c r="BM478" s="461" t="e">
        <f t="shared" si="366"/>
        <v>#REF!</v>
      </c>
    </row>
    <row r="479" spans="65:65" ht="15" customHeight="1">
      <c r="BM479" s="461" t="e">
        <f t="shared" si="366"/>
        <v>#REF!</v>
      </c>
    </row>
    <row r="480" spans="65:65" ht="15" customHeight="1">
      <c r="BM480" s="461" t="e">
        <f t="shared" si="366"/>
        <v>#REF!</v>
      </c>
    </row>
    <row r="481" spans="65:65" ht="15" customHeight="1">
      <c r="BM481" s="461" t="e">
        <f t="shared" si="366"/>
        <v>#REF!</v>
      </c>
    </row>
    <row r="482" spans="65:65" ht="15" customHeight="1">
      <c r="BM482" s="461" t="e">
        <f t="shared" si="366"/>
        <v>#REF!</v>
      </c>
    </row>
    <row r="483" spans="65:65" ht="15" customHeight="1">
      <c r="BM483" s="461" t="e">
        <f t="shared" si="366"/>
        <v>#REF!</v>
      </c>
    </row>
    <row r="484" spans="65:65" ht="15" customHeight="1">
      <c r="BM484" s="461" t="e">
        <f t="shared" si="366"/>
        <v>#REF!</v>
      </c>
    </row>
    <row r="485" spans="65:65" ht="15" customHeight="1">
      <c r="BM485" s="461" t="e">
        <f t="shared" si="366"/>
        <v>#REF!</v>
      </c>
    </row>
    <row r="486" spans="65:65" ht="15" customHeight="1">
      <c r="BM486" s="461" t="e">
        <f t="shared" si="366"/>
        <v>#REF!</v>
      </c>
    </row>
    <row r="487" spans="65:65" ht="15" customHeight="1">
      <c r="BM487" s="461" t="e">
        <f t="shared" si="366"/>
        <v>#REF!</v>
      </c>
    </row>
    <row r="488" spans="65:65" ht="15" customHeight="1">
      <c r="BM488" s="461" t="e">
        <f t="shared" si="366"/>
        <v>#REF!</v>
      </c>
    </row>
    <row r="489" spans="65:65" ht="15" customHeight="1">
      <c r="BM489" s="461" t="e">
        <f t="shared" si="366"/>
        <v>#REF!</v>
      </c>
    </row>
    <row r="490" spans="65:65" ht="15" customHeight="1">
      <c r="BM490" s="461" t="e">
        <f t="shared" si="366"/>
        <v>#REF!</v>
      </c>
    </row>
    <row r="491" spans="65:65" ht="15" customHeight="1">
      <c r="BM491" s="461" t="e">
        <f t="shared" si="366"/>
        <v>#REF!</v>
      </c>
    </row>
    <row r="492" spans="65:65" ht="15" customHeight="1">
      <c r="BM492" s="461" t="e">
        <f t="shared" si="366"/>
        <v>#REF!</v>
      </c>
    </row>
    <row r="493" spans="65:65" ht="15" customHeight="1">
      <c r="BM493" s="461" t="e">
        <f t="shared" si="366"/>
        <v>#REF!</v>
      </c>
    </row>
    <row r="494" spans="65:65" ht="15" customHeight="1">
      <c r="BM494" s="461" t="e">
        <f t="shared" si="366"/>
        <v>#REF!</v>
      </c>
    </row>
    <row r="495" spans="65:65" ht="15" customHeight="1">
      <c r="BM495" s="461" t="e">
        <f t="shared" si="366"/>
        <v>#REF!</v>
      </c>
    </row>
    <row r="496" spans="65:65" ht="15" customHeight="1">
      <c r="BM496" s="461" t="e">
        <f t="shared" si="366"/>
        <v>#REF!</v>
      </c>
    </row>
    <row r="497" spans="65:65" ht="15" customHeight="1">
      <c r="BM497" s="461" t="e">
        <f t="shared" si="366"/>
        <v>#REF!</v>
      </c>
    </row>
    <row r="498" spans="65:65" ht="15" customHeight="1">
      <c r="BM498" s="461" t="e">
        <f t="shared" si="366"/>
        <v>#REF!</v>
      </c>
    </row>
    <row r="499" spans="65:65" ht="15" customHeight="1">
      <c r="BM499" s="461" t="e">
        <f t="shared" si="366"/>
        <v>#REF!</v>
      </c>
    </row>
    <row r="500" spans="65:65" ht="15" customHeight="1">
      <c r="BM500" s="461" t="e">
        <f t="shared" si="366"/>
        <v>#REF!</v>
      </c>
    </row>
    <row r="501" spans="65:65" ht="15" customHeight="1">
      <c r="BM501" s="461" t="e">
        <f t="shared" si="366"/>
        <v>#REF!</v>
      </c>
    </row>
    <row r="502" spans="65:65" ht="15" customHeight="1">
      <c r="BM502" s="461" t="e">
        <f t="shared" si="366"/>
        <v>#REF!</v>
      </c>
    </row>
    <row r="503" spans="65:65" ht="15" customHeight="1">
      <c r="BM503" s="461" t="e">
        <f t="shared" si="366"/>
        <v>#REF!</v>
      </c>
    </row>
    <row r="504" spans="65:65" ht="15" customHeight="1">
      <c r="BM504" s="461" t="e">
        <f t="shared" si="366"/>
        <v>#REF!</v>
      </c>
    </row>
    <row r="505" spans="65:65" ht="15" customHeight="1">
      <c r="BM505" s="461" t="e">
        <f t="shared" si="366"/>
        <v>#REF!</v>
      </c>
    </row>
    <row r="506" spans="65:65" ht="15" customHeight="1">
      <c r="BM506" s="461" t="e">
        <f t="shared" si="366"/>
        <v>#REF!</v>
      </c>
    </row>
    <row r="507" spans="65:65" ht="15" customHeight="1">
      <c r="BM507" s="461" t="e">
        <f t="shared" si="366"/>
        <v>#REF!</v>
      </c>
    </row>
    <row r="508" spans="65:65" ht="15" customHeight="1">
      <c r="BM508" s="461" t="e">
        <f t="shared" si="366"/>
        <v>#REF!</v>
      </c>
    </row>
    <row r="509" spans="65:65" ht="15" customHeight="1">
      <c r="BM509" s="461" t="e">
        <f t="shared" si="366"/>
        <v>#REF!</v>
      </c>
    </row>
    <row r="510" spans="65:65" ht="15" customHeight="1">
      <c r="BM510" s="461" t="e">
        <f t="shared" si="366"/>
        <v>#REF!</v>
      </c>
    </row>
    <row r="511" spans="65:65" ht="15" customHeight="1">
      <c r="BM511" s="461" t="e">
        <f t="shared" si="366"/>
        <v>#REF!</v>
      </c>
    </row>
    <row r="512" spans="65:65" ht="15" customHeight="1">
      <c r="BM512" s="461" t="e">
        <f t="shared" ref="BM512:BM575" si="367">BM511+24</f>
        <v>#REF!</v>
      </c>
    </row>
    <row r="513" spans="65:65" ht="15" customHeight="1">
      <c r="BM513" s="461" t="e">
        <f t="shared" si="367"/>
        <v>#REF!</v>
      </c>
    </row>
    <row r="514" spans="65:65" ht="15" customHeight="1">
      <c r="BM514" s="461" t="e">
        <f t="shared" si="367"/>
        <v>#REF!</v>
      </c>
    </row>
    <row r="515" spans="65:65" ht="15" customHeight="1">
      <c r="BM515" s="461" t="e">
        <f t="shared" si="367"/>
        <v>#REF!</v>
      </c>
    </row>
    <row r="516" spans="65:65" ht="15" customHeight="1">
      <c r="BM516" s="461" t="e">
        <f t="shared" si="367"/>
        <v>#REF!</v>
      </c>
    </row>
    <row r="517" spans="65:65" ht="15" customHeight="1">
      <c r="BM517" s="461" t="e">
        <f t="shared" si="367"/>
        <v>#REF!</v>
      </c>
    </row>
    <row r="518" spans="65:65" ht="15" customHeight="1">
      <c r="BM518" s="461" t="e">
        <f t="shared" si="367"/>
        <v>#REF!</v>
      </c>
    </row>
    <row r="519" spans="65:65" ht="15" customHeight="1">
      <c r="BM519" s="461" t="e">
        <f t="shared" si="367"/>
        <v>#REF!</v>
      </c>
    </row>
    <row r="520" spans="65:65" ht="15" customHeight="1">
      <c r="BM520" s="461" t="e">
        <f t="shared" si="367"/>
        <v>#REF!</v>
      </c>
    </row>
    <row r="521" spans="65:65" ht="15" customHeight="1">
      <c r="BM521" s="461" t="e">
        <f t="shared" si="367"/>
        <v>#REF!</v>
      </c>
    </row>
    <row r="522" spans="65:65" ht="15" customHeight="1">
      <c r="BM522" s="461" t="e">
        <f t="shared" si="367"/>
        <v>#REF!</v>
      </c>
    </row>
    <row r="523" spans="65:65" ht="15" customHeight="1">
      <c r="BM523" s="461" t="e">
        <f t="shared" si="367"/>
        <v>#REF!</v>
      </c>
    </row>
    <row r="524" spans="65:65" ht="15" customHeight="1">
      <c r="BM524" s="461" t="e">
        <f t="shared" si="367"/>
        <v>#REF!</v>
      </c>
    </row>
    <row r="525" spans="65:65" ht="15" customHeight="1">
      <c r="BM525" s="461" t="e">
        <f t="shared" si="367"/>
        <v>#REF!</v>
      </c>
    </row>
    <row r="526" spans="65:65" ht="15" customHeight="1">
      <c r="BM526" s="461" t="e">
        <f t="shared" si="367"/>
        <v>#REF!</v>
      </c>
    </row>
    <row r="527" spans="65:65" ht="15" customHeight="1">
      <c r="BM527" s="461" t="e">
        <f t="shared" si="367"/>
        <v>#REF!</v>
      </c>
    </row>
    <row r="528" spans="65:65" ht="15" customHeight="1">
      <c r="BM528" s="461" t="e">
        <f t="shared" si="367"/>
        <v>#REF!</v>
      </c>
    </row>
    <row r="529" spans="65:65" ht="15" customHeight="1">
      <c r="BM529" s="461" t="e">
        <f t="shared" si="367"/>
        <v>#REF!</v>
      </c>
    </row>
    <row r="530" spans="65:65" ht="15" customHeight="1">
      <c r="BM530" s="461" t="e">
        <f t="shared" si="367"/>
        <v>#REF!</v>
      </c>
    </row>
    <row r="531" spans="65:65" ht="15" customHeight="1">
      <c r="BM531" s="461" t="e">
        <f t="shared" si="367"/>
        <v>#REF!</v>
      </c>
    </row>
    <row r="532" spans="65:65" ht="15" customHeight="1">
      <c r="BM532" s="461" t="e">
        <f t="shared" si="367"/>
        <v>#REF!</v>
      </c>
    </row>
    <row r="533" spans="65:65" ht="15" customHeight="1">
      <c r="BM533" s="461" t="e">
        <f t="shared" si="367"/>
        <v>#REF!</v>
      </c>
    </row>
    <row r="534" spans="65:65" ht="15" customHeight="1">
      <c r="BM534" s="461" t="e">
        <f t="shared" si="367"/>
        <v>#REF!</v>
      </c>
    </row>
    <row r="535" spans="65:65" ht="15" customHeight="1">
      <c r="BM535" s="461" t="e">
        <f t="shared" si="367"/>
        <v>#REF!</v>
      </c>
    </row>
    <row r="536" spans="65:65" ht="15" customHeight="1">
      <c r="BM536" s="461" t="e">
        <f t="shared" si="367"/>
        <v>#REF!</v>
      </c>
    </row>
    <row r="537" spans="65:65" ht="15" customHeight="1">
      <c r="BM537" s="461" t="e">
        <f t="shared" si="367"/>
        <v>#REF!</v>
      </c>
    </row>
    <row r="538" spans="65:65" ht="15" customHeight="1">
      <c r="BM538" s="461" t="e">
        <f t="shared" si="367"/>
        <v>#REF!</v>
      </c>
    </row>
    <row r="539" spans="65:65" ht="15" customHeight="1">
      <c r="BM539" s="461" t="e">
        <f t="shared" si="367"/>
        <v>#REF!</v>
      </c>
    </row>
    <row r="540" spans="65:65" ht="15" customHeight="1">
      <c r="BM540" s="461" t="e">
        <f t="shared" si="367"/>
        <v>#REF!</v>
      </c>
    </row>
    <row r="541" spans="65:65" ht="15" customHeight="1">
      <c r="BM541" s="461" t="e">
        <f t="shared" si="367"/>
        <v>#REF!</v>
      </c>
    </row>
    <row r="542" spans="65:65" ht="15" customHeight="1">
      <c r="BM542" s="461" t="e">
        <f t="shared" si="367"/>
        <v>#REF!</v>
      </c>
    </row>
    <row r="543" spans="65:65" ht="15" customHeight="1">
      <c r="BM543" s="461" t="e">
        <f t="shared" si="367"/>
        <v>#REF!</v>
      </c>
    </row>
    <row r="544" spans="65:65" ht="15" customHeight="1">
      <c r="BM544" s="461" t="e">
        <f t="shared" si="367"/>
        <v>#REF!</v>
      </c>
    </row>
    <row r="545" spans="65:65" ht="15" customHeight="1">
      <c r="BM545" s="461" t="e">
        <f t="shared" si="367"/>
        <v>#REF!</v>
      </c>
    </row>
    <row r="546" spans="65:65" ht="15" customHeight="1">
      <c r="BM546" s="461" t="e">
        <f t="shared" si="367"/>
        <v>#REF!</v>
      </c>
    </row>
    <row r="547" spans="65:65" ht="15" customHeight="1">
      <c r="BM547" s="461" t="e">
        <f t="shared" si="367"/>
        <v>#REF!</v>
      </c>
    </row>
    <row r="548" spans="65:65" ht="15" customHeight="1">
      <c r="BM548" s="461" t="e">
        <f t="shared" si="367"/>
        <v>#REF!</v>
      </c>
    </row>
    <row r="549" spans="65:65" ht="15" customHeight="1">
      <c r="BM549" s="461" t="e">
        <f t="shared" si="367"/>
        <v>#REF!</v>
      </c>
    </row>
    <row r="550" spans="65:65" ht="15" customHeight="1">
      <c r="BM550" s="461" t="e">
        <f t="shared" si="367"/>
        <v>#REF!</v>
      </c>
    </row>
    <row r="551" spans="65:65" ht="15" customHeight="1">
      <c r="BM551" s="461" t="e">
        <f t="shared" si="367"/>
        <v>#REF!</v>
      </c>
    </row>
    <row r="552" spans="65:65" ht="15" customHeight="1">
      <c r="BM552" s="461" t="e">
        <f t="shared" si="367"/>
        <v>#REF!</v>
      </c>
    </row>
    <row r="553" spans="65:65" ht="15" customHeight="1">
      <c r="BM553" s="461" t="e">
        <f t="shared" si="367"/>
        <v>#REF!</v>
      </c>
    </row>
    <row r="554" spans="65:65" ht="15" customHeight="1">
      <c r="BM554" s="461" t="e">
        <f t="shared" si="367"/>
        <v>#REF!</v>
      </c>
    </row>
    <row r="555" spans="65:65" ht="15" customHeight="1">
      <c r="BM555" s="461" t="e">
        <f t="shared" si="367"/>
        <v>#REF!</v>
      </c>
    </row>
    <row r="556" spans="65:65" ht="15" customHeight="1">
      <c r="BM556" s="461" t="e">
        <f t="shared" si="367"/>
        <v>#REF!</v>
      </c>
    </row>
    <row r="557" spans="65:65" ht="15" customHeight="1">
      <c r="BM557" s="461" t="e">
        <f t="shared" si="367"/>
        <v>#REF!</v>
      </c>
    </row>
    <row r="558" spans="65:65" ht="15" customHeight="1">
      <c r="BM558" s="461" t="e">
        <f t="shared" si="367"/>
        <v>#REF!</v>
      </c>
    </row>
    <row r="559" spans="65:65" ht="15" customHeight="1">
      <c r="BM559" s="461" t="e">
        <f t="shared" si="367"/>
        <v>#REF!</v>
      </c>
    </row>
    <row r="560" spans="65:65" ht="15" customHeight="1">
      <c r="BM560" s="461" t="e">
        <f t="shared" si="367"/>
        <v>#REF!</v>
      </c>
    </row>
    <row r="561" spans="65:65" ht="15" customHeight="1">
      <c r="BM561" s="461" t="e">
        <f t="shared" si="367"/>
        <v>#REF!</v>
      </c>
    </row>
    <row r="562" spans="65:65" ht="15" customHeight="1">
      <c r="BM562" s="461" t="e">
        <f t="shared" si="367"/>
        <v>#REF!</v>
      </c>
    </row>
    <row r="563" spans="65:65" ht="15" customHeight="1">
      <c r="BM563" s="461" t="e">
        <f t="shared" si="367"/>
        <v>#REF!</v>
      </c>
    </row>
    <row r="564" spans="65:65" ht="15" customHeight="1">
      <c r="BM564" s="461" t="e">
        <f t="shared" si="367"/>
        <v>#REF!</v>
      </c>
    </row>
    <row r="565" spans="65:65" ht="15" customHeight="1">
      <c r="BM565" s="461" t="e">
        <f t="shared" si="367"/>
        <v>#REF!</v>
      </c>
    </row>
    <row r="566" spans="65:65" ht="15" customHeight="1">
      <c r="BM566" s="461" t="e">
        <f t="shared" si="367"/>
        <v>#REF!</v>
      </c>
    </row>
    <row r="567" spans="65:65" ht="15" customHeight="1">
      <c r="BM567" s="461" t="e">
        <f t="shared" si="367"/>
        <v>#REF!</v>
      </c>
    </row>
    <row r="568" spans="65:65" ht="15" customHeight="1">
      <c r="BM568" s="461" t="e">
        <f t="shared" si="367"/>
        <v>#REF!</v>
      </c>
    </row>
    <row r="569" spans="65:65" ht="15" customHeight="1">
      <c r="BM569" s="461" t="e">
        <f t="shared" si="367"/>
        <v>#REF!</v>
      </c>
    </row>
    <row r="570" spans="65:65" ht="15" customHeight="1">
      <c r="BM570" s="461" t="e">
        <f t="shared" si="367"/>
        <v>#REF!</v>
      </c>
    </row>
    <row r="571" spans="65:65" ht="15" customHeight="1">
      <c r="BM571" s="461" t="e">
        <f t="shared" si="367"/>
        <v>#REF!</v>
      </c>
    </row>
    <row r="572" spans="65:65" ht="15" customHeight="1">
      <c r="BM572" s="461" t="e">
        <f t="shared" si="367"/>
        <v>#REF!</v>
      </c>
    </row>
    <row r="573" spans="65:65" ht="15" customHeight="1">
      <c r="BM573" s="461" t="e">
        <f t="shared" si="367"/>
        <v>#REF!</v>
      </c>
    </row>
    <row r="574" spans="65:65" ht="15" customHeight="1">
      <c r="BM574" s="461" t="e">
        <f t="shared" si="367"/>
        <v>#REF!</v>
      </c>
    </row>
    <row r="575" spans="65:65" ht="15" customHeight="1">
      <c r="BM575" s="461" t="e">
        <f t="shared" si="367"/>
        <v>#REF!</v>
      </c>
    </row>
    <row r="576" spans="65:65" ht="15" customHeight="1">
      <c r="BM576" s="461" t="e">
        <f t="shared" ref="BM576:BM639" si="368">BM575+24</f>
        <v>#REF!</v>
      </c>
    </row>
    <row r="577" spans="65:65" ht="15" customHeight="1">
      <c r="BM577" s="461" t="e">
        <f t="shared" si="368"/>
        <v>#REF!</v>
      </c>
    </row>
    <row r="578" spans="65:65" ht="15" customHeight="1">
      <c r="BM578" s="461" t="e">
        <f t="shared" si="368"/>
        <v>#REF!</v>
      </c>
    </row>
    <row r="579" spans="65:65" ht="15" customHeight="1">
      <c r="BM579" s="461" t="e">
        <f t="shared" si="368"/>
        <v>#REF!</v>
      </c>
    </row>
    <row r="580" spans="65:65" ht="15" customHeight="1">
      <c r="BM580" s="461" t="e">
        <f t="shared" si="368"/>
        <v>#REF!</v>
      </c>
    </row>
    <row r="581" spans="65:65" ht="15" customHeight="1">
      <c r="BM581" s="461" t="e">
        <f t="shared" si="368"/>
        <v>#REF!</v>
      </c>
    </row>
    <row r="582" spans="65:65" ht="15" customHeight="1">
      <c r="BM582" s="461" t="e">
        <f t="shared" si="368"/>
        <v>#REF!</v>
      </c>
    </row>
    <row r="583" spans="65:65" ht="15" customHeight="1">
      <c r="BM583" s="461" t="e">
        <f t="shared" si="368"/>
        <v>#REF!</v>
      </c>
    </row>
    <row r="584" spans="65:65" ht="15" customHeight="1">
      <c r="BM584" s="461" t="e">
        <f t="shared" si="368"/>
        <v>#REF!</v>
      </c>
    </row>
    <row r="585" spans="65:65" ht="15" customHeight="1">
      <c r="BM585" s="461" t="e">
        <f t="shared" si="368"/>
        <v>#REF!</v>
      </c>
    </row>
    <row r="586" spans="65:65" ht="15" customHeight="1">
      <c r="BM586" s="461" t="e">
        <f t="shared" si="368"/>
        <v>#REF!</v>
      </c>
    </row>
    <row r="587" spans="65:65" ht="15" customHeight="1">
      <c r="BM587" s="461" t="e">
        <f t="shared" si="368"/>
        <v>#REF!</v>
      </c>
    </row>
    <row r="588" spans="65:65" ht="15" customHeight="1">
      <c r="BM588" s="461" t="e">
        <f t="shared" si="368"/>
        <v>#REF!</v>
      </c>
    </row>
    <row r="589" spans="65:65" ht="15" customHeight="1">
      <c r="BM589" s="461" t="e">
        <f t="shared" si="368"/>
        <v>#REF!</v>
      </c>
    </row>
    <row r="590" spans="65:65" ht="15" customHeight="1">
      <c r="BM590" s="461" t="e">
        <f t="shared" si="368"/>
        <v>#REF!</v>
      </c>
    </row>
    <row r="591" spans="65:65" ht="15" customHeight="1">
      <c r="BM591" s="461" t="e">
        <f t="shared" si="368"/>
        <v>#REF!</v>
      </c>
    </row>
    <row r="592" spans="65:65" ht="15" customHeight="1">
      <c r="BM592" s="461" t="e">
        <f t="shared" si="368"/>
        <v>#REF!</v>
      </c>
    </row>
    <row r="593" spans="65:65" ht="15" customHeight="1">
      <c r="BM593" s="461" t="e">
        <f t="shared" si="368"/>
        <v>#REF!</v>
      </c>
    </row>
    <row r="594" spans="65:65" ht="15" customHeight="1">
      <c r="BM594" s="461" t="e">
        <f t="shared" si="368"/>
        <v>#REF!</v>
      </c>
    </row>
    <row r="595" spans="65:65" ht="15" customHeight="1">
      <c r="BM595" s="461" t="e">
        <f t="shared" si="368"/>
        <v>#REF!</v>
      </c>
    </row>
    <row r="596" spans="65:65" ht="15" customHeight="1">
      <c r="BM596" s="461" t="e">
        <f t="shared" si="368"/>
        <v>#REF!</v>
      </c>
    </row>
    <row r="597" spans="65:65" ht="15" customHeight="1">
      <c r="BM597" s="461" t="e">
        <f t="shared" si="368"/>
        <v>#REF!</v>
      </c>
    </row>
    <row r="598" spans="65:65" ht="15" customHeight="1">
      <c r="BM598" s="461" t="e">
        <f t="shared" si="368"/>
        <v>#REF!</v>
      </c>
    </row>
    <row r="599" spans="65:65" ht="15" customHeight="1">
      <c r="BM599" s="461" t="e">
        <f t="shared" si="368"/>
        <v>#REF!</v>
      </c>
    </row>
    <row r="600" spans="65:65" ht="15" customHeight="1">
      <c r="BM600" s="461" t="e">
        <f t="shared" si="368"/>
        <v>#REF!</v>
      </c>
    </row>
    <row r="601" spans="65:65" ht="15" customHeight="1">
      <c r="BM601" s="461" t="e">
        <f t="shared" si="368"/>
        <v>#REF!</v>
      </c>
    </row>
    <row r="602" spans="65:65" ht="15" customHeight="1">
      <c r="BM602" s="461" t="e">
        <f t="shared" si="368"/>
        <v>#REF!</v>
      </c>
    </row>
    <row r="603" spans="65:65" ht="15" customHeight="1">
      <c r="BM603" s="461" t="e">
        <f t="shared" si="368"/>
        <v>#REF!</v>
      </c>
    </row>
    <row r="604" spans="65:65" ht="15" customHeight="1">
      <c r="BM604" s="461" t="e">
        <f t="shared" si="368"/>
        <v>#REF!</v>
      </c>
    </row>
    <row r="605" spans="65:65" ht="15" customHeight="1">
      <c r="BM605" s="461" t="e">
        <f t="shared" si="368"/>
        <v>#REF!</v>
      </c>
    </row>
    <row r="606" spans="65:65" ht="15" customHeight="1">
      <c r="BM606" s="461" t="e">
        <f t="shared" si="368"/>
        <v>#REF!</v>
      </c>
    </row>
    <row r="607" spans="65:65" ht="15" customHeight="1">
      <c r="BM607" s="461" t="e">
        <f t="shared" si="368"/>
        <v>#REF!</v>
      </c>
    </row>
    <row r="608" spans="65:65" ht="15" customHeight="1">
      <c r="BM608" s="461" t="e">
        <f t="shared" si="368"/>
        <v>#REF!</v>
      </c>
    </row>
    <row r="609" spans="65:65" ht="15" customHeight="1">
      <c r="BM609" s="461" t="e">
        <f t="shared" si="368"/>
        <v>#REF!</v>
      </c>
    </row>
    <row r="610" spans="65:65" ht="15" customHeight="1">
      <c r="BM610" s="461" t="e">
        <f t="shared" si="368"/>
        <v>#REF!</v>
      </c>
    </row>
    <row r="611" spans="65:65" ht="15" customHeight="1">
      <c r="BM611" s="461" t="e">
        <f t="shared" si="368"/>
        <v>#REF!</v>
      </c>
    </row>
    <row r="612" spans="65:65" ht="15" customHeight="1">
      <c r="BM612" s="461" t="e">
        <f t="shared" si="368"/>
        <v>#REF!</v>
      </c>
    </row>
    <row r="613" spans="65:65" ht="15" customHeight="1">
      <c r="BM613" s="461" t="e">
        <f t="shared" si="368"/>
        <v>#REF!</v>
      </c>
    </row>
    <row r="614" spans="65:65" ht="15" customHeight="1">
      <c r="BM614" s="461" t="e">
        <f t="shared" si="368"/>
        <v>#REF!</v>
      </c>
    </row>
    <row r="615" spans="65:65" ht="15" customHeight="1">
      <c r="BM615" s="461" t="e">
        <f t="shared" si="368"/>
        <v>#REF!</v>
      </c>
    </row>
    <row r="616" spans="65:65" ht="15" customHeight="1">
      <c r="BM616" s="461" t="e">
        <f t="shared" si="368"/>
        <v>#REF!</v>
      </c>
    </row>
    <row r="617" spans="65:65" ht="15" customHeight="1">
      <c r="BM617" s="461" t="e">
        <f t="shared" si="368"/>
        <v>#REF!</v>
      </c>
    </row>
    <row r="618" spans="65:65" ht="15" customHeight="1">
      <c r="BM618" s="461" t="e">
        <f t="shared" si="368"/>
        <v>#REF!</v>
      </c>
    </row>
    <row r="619" spans="65:65" ht="15" customHeight="1">
      <c r="BM619" s="461" t="e">
        <f t="shared" si="368"/>
        <v>#REF!</v>
      </c>
    </row>
    <row r="620" spans="65:65" ht="15" customHeight="1">
      <c r="BM620" s="461" t="e">
        <f t="shared" si="368"/>
        <v>#REF!</v>
      </c>
    </row>
    <row r="621" spans="65:65" ht="15" customHeight="1">
      <c r="BM621" s="461" t="e">
        <f t="shared" si="368"/>
        <v>#REF!</v>
      </c>
    </row>
    <row r="622" spans="65:65" ht="15" customHeight="1">
      <c r="BM622" s="461" t="e">
        <f t="shared" si="368"/>
        <v>#REF!</v>
      </c>
    </row>
    <row r="623" spans="65:65" ht="15" customHeight="1">
      <c r="BM623" s="461" t="e">
        <f t="shared" si="368"/>
        <v>#REF!</v>
      </c>
    </row>
    <row r="624" spans="65:65" ht="15" customHeight="1">
      <c r="BM624" s="461" t="e">
        <f t="shared" si="368"/>
        <v>#REF!</v>
      </c>
    </row>
    <row r="625" spans="65:65" ht="15" customHeight="1">
      <c r="BM625" s="461" t="e">
        <f t="shared" si="368"/>
        <v>#REF!</v>
      </c>
    </row>
    <row r="626" spans="65:65" ht="15" customHeight="1">
      <c r="BM626" s="461" t="e">
        <f t="shared" si="368"/>
        <v>#REF!</v>
      </c>
    </row>
    <row r="627" spans="65:65" ht="15" customHeight="1">
      <c r="BM627" s="461" t="e">
        <f t="shared" si="368"/>
        <v>#REF!</v>
      </c>
    </row>
    <row r="628" spans="65:65" ht="15" customHeight="1">
      <c r="BM628" s="461" t="e">
        <f t="shared" si="368"/>
        <v>#REF!</v>
      </c>
    </row>
    <row r="629" spans="65:65" ht="15" customHeight="1">
      <c r="BM629" s="461" t="e">
        <f t="shared" si="368"/>
        <v>#REF!</v>
      </c>
    </row>
    <row r="630" spans="65:65" ht="15" customHeight="1">
      <c r="BM630" s="461" t="e">
        <f t="shared" si="368"/>
        <v>#REF!</v>
      </c>
    </row>
    <row r="631" spans="65:65" ht="15" customHeight="1">
      <c r="BM631" s="461" t="e">
        <f t="shared" si="368"/>
        <v>#REF!</v>
      </c>
    </row>
    <row r="632" spans="65:65" ht="15" customHeight="1">
      <c r="BM632" s="461" t="e">
        <f t="shared" si="368"/>
        <v>#REF!</v>
      </c>
    </row>
    <row r="633" spans="65:65" ht="15" customHeight="1">
      <c r="BM633" s="461" t="e">
        <f t="shared" si="368"/>
        <v>#REF!</v>
      </c>
    </row>
    <row r="634" spans="65:65" ht="15" customHeight="1">
      <c r="BM634" s="461" t="e">
        <f t="shared" si="368"/>
        <v>#REF!</v>
      </c>
    </row>
    <row r="635" spans="65:65" ht="15" customHeight="1">
      <c r="BM635" s="461" t="e">
        <f t="shared" si="368"/>
        <v>#REF!</v>
      </c>
    </row>
    <row r="636" spans="65:65" ht="15" customHeight="1">
      <c r="BM636" s="461" t="e">
        <f t="shared" si="368"/>
        <v>#REF!</v>
      </c>
    </row>
    <row r="637" spans="65:65" ht="15" customHeight="1">
      <c r="BM637" s="461" t="e">
        <f t="shared" si="368"/>
        <v>#REF!</v>
      </c>
    </row>
    <row r="638" spans="65:65" ht="15" customHeight="1">
      <c r="BM638" s="461" t="e">
        <f t="shared" si="368"/>
        <v>#REF!</v>
      </c>
    </row>
    <row r="639" spans="65:65" ht="15" customHeight="1">
      <c r="BM639" s="461" t="e">
        <f t="shared" si="368"/>
        <v>#REF!</v>
      </c>
    </row>
    <row r="640" spans="65:65" ht="15" customHeight="1">
      <c r="BM640" s="461" t="e">
        <f t="shared" ref="BM640:BM703" si="369">BM639+24</f>
        <v>#REF!</v>
      </c>
    </row>
    <row r="641" spans="65:65" ht="15" customHeight="1">
      <c r="BM641" s="461" t="e">
        <f t="shared" si="369"/>
        <v>#REF!</v>
      </c>
    </row>
    <row r="642" spans="65:65" ht="15" customHeight="1">
      <c r="BM642" s="461" t="e">
        <f t="shared" si="369"/>
        <v>#REF!</v>
      </c>
    </row>
    <row r="643" spans="65:65" ht="15" customHeight="1">
      <c r="BM643" s="461" t="e">
        <f t="shared" si="369"/>
        <v>#REF!</v>
      </c>
    </row>
    <row r="644" spans="65:65" ht="15" customHeight="1">
      <c r="BM644" s="461" t="e">
        <f t="shared" si="369"/>
        <v>#REF!</v>
      </c>
    </row>
    <row r="645" spans="65:65" ht="15" customHeight="1">
      <c r="BM645" s="461" t="e">
        <f t="shared" si="369"/>
        <v>#REF!</v>
      </c>
    </row>
    <row r="646" spans="65:65" ht="15" customHeight="1">
      <c r="BM646" s="461" t="e">
        <f t="shared" si="369"/>
        <v>#REF!</v>
      </c>
    </row>
    <row r="647" spans="65:65" ht="15" customHeight="1">
      <c r="BM647" s="461" t="e">
        <f t="shared" si="369"/>
        <v>#REF!</v>
      </c>
    </row>
    <row r="648" spans="65:65" ht="15" customHeight="1">
      <c r="BM648" s="461" t="e">
        <f t="shared" si="369"/>
        <v>#REF!</v>
      </c>
    </row>
    <row r="649" spans="65:65" ht="15" customHeight="1">
      <c r="BM649" s="461" t="e">
        <f t="shared" si="369"/>
        <v>#REF!</v>
      </c>
    </row>
    <row r="650" spans="65:65" ht="15" customHeight="1">
      <c r="BM650" s="461" t="e">
        <f t="shared" si="369"/>
        <v>#REF!</v>
      </c>
    </row>
    <row r="651" spans="65:65" ht="15" customHeight="1">
      <c r="BM651" s="461" t="e">
        <f t="shared" si="369"/>
        <v>#REF!</v>
      </c>
    </row>
    <row r="652" spans="65:65" ht="15" customHeight="1">
      <c r="BM652" s="461" t="e">
        <f t="shared" si="369"/>
        <v>#REF!</v>
      </c>
    </row>
    <row r="653" spans="65:65" ht="15" customHeight="1">
      <c r="BM653" s="461" t="e">
        <f t="shared" si="369"/>
        <v>#REF!</v>
      </c>
    </row>
    <row r="654" spans="65:65" ht="15" customHeight="1">
      <c r="BM654" s="461" t="e">
        <f t="shared" si="369"/>
        <v>#REF!</v>
      </c>
    </row>
    <row r="655" spans="65:65" ht="15" customHeight="1">
      <c r="BM655" s="461" t="e">
        <f t="shared" si="369"/>
        <v>#REF!</v>
      </c>
    </row>
    <row r="656" spans="65:65" ht="15" customHeight="1">
      <c r="BM656" s="461" t="e">
        <f t="shared" si="369"/>
        <v>#REF!</v>
      </c>
    </row>
    <row r="657" spans="65:65" ht="15" customHeight="1">
      <c r="BM657" s="461" t="e">
        <f t="shared" si="369"/>
        <v>#REF!</v>
      </c>
    </row>
    <row r="658" spans="65:65" ht="15" customHeight="1">
      <c r="BM658" s="461" t="e">
        <f t="shared" si="369"/>
        <v>#REF!</v>
      </c>
    </row>
    <row r="659" spans="65:65" ht="15" customHeight="1">
      <c r="BM659" s="461" t="e">
        <f t="shared" si="369"/>
        <v>#REF!</v>
      </c>
    </row>
    <row r="660" spans="65:65" ht="15" customHeight="1">
      <c r="BM660" s="461" t="e">
        <f t="shared" si="369"/>
        <v>#REF!</v>
      </c>
    </row>
    <row r="661" spans="65:65" ht="15" customHeight="1">
      <c r="BM661" s="461" t="e">
        <f t="shared" si="369"/>
        <v>#REF!</v>
      </c>
    </row>
    <row r="662" spans="65:65" ht="15" customHeight="1">
      <c r="BM662" s="461" t="e">
        <f t="shared" si="369"/>
        <v>#REF!</v>
      </c>
    </row>
    <row r="663" spans="65:65" ht="15" customHeight="1">
      <c r="BM663" s="461" t="e">
        <f t="shared" si="369"/>
        <v>#REF!</v>
      </c>
    </row>
    <row r="664" spans="65:65" ht="15" customHeight="1">
      <c r="BM664" s="461" t="e">
        <f t="shared" si="369"/>
        <v>#REF!</v>
      </c>
    </row>
    <row r="665" spans="65:65" ht="15" customHeight="1">
      <c r="BM665" s="461" t="e">
        <f t="shared" si="369"/>
        <v>#REF!</v>
      </c>
    </row>
    <row r="666" spans="65:65" ht="15" customHeight="1">
      <c r="BM666" s="461" t="e">
        <f t="shared" si="369"/>
        <v>#REF!</v>
      </c>
    </row>
    <row r="667" spans="65:65" ht="15" customHeight="1">
      <c r="BM667" s="461" t="e">
        <f t="shared" si="369"/>
        <v>#REF!</v>
      </c>
    </row>
    <row r="668" spans="65:65" ht="15" customHeight="1">
      <c r="BM668" s="461" t="e">
        <f t="shared" si="369"/>
        <v>#REF!</v>
      </c>
    </row>
    <row r="669" spans="65:65" ht="15" customHeight="1">
      <c r="BM669" s="461" t="e">
        <f t="shared" si="369"/>
        <v>#REF!</v>
      </c>
    </row>
    <row r="670" spans="65:65" ht="15" customHeight="1">
      <c r="BM670" s="461" t="e">
        <f t="shared" si="369"/>
        <v>#REF!</v>
      </c>
    </row>
    <row r="671" spans="65:65" ht="15" customHeight="1">
      <c r="BM671" s="461" t="e">
        <f t="shared" si="369"/>
        <v>#REF!</v>
      </c>
    </row>
    <row r="672" spans="65:65" ht="15" customHeight="1">
      <c r="BM672" s="461" t="e">
        <f t="shared" si="369"/>
        <v>#REF!</v>
      </c>
    </row>
    <row r="673" spans="65:65" ht="15" customHeight="1">
      <c r="BM673" s="461" t="e">
        <f t="shared" si="369"/>
        <v>#REF!</v>
      </c>
    </row>
    <row r="674" spans="65:65" ht="15" customHeight="1">
      <c r="BM674" s="461" t="e">
        <f t="shared" si="369"/>
        <v>#REF!</v>
      </c>
    </row>
    <row r="675" spans="65:65" ht="15" customHeight="1">
      <c r="BM675" s="461" t="e">
        <f t="shared" si="369"/>
        <v>#REF!</v>
      </c>
    </row>
    <row r="676" spans="65:65" ht="15" customHeight="1">
      <c r="BM676" s="461" t="e">
        <f t="shared" si="369"/>
        <v>#REF!</v>
      </c>
    </row>
    <row r="677" spans="65:65" ht="15" customHeight="1">
      <c r="BM677" s="461" t="e">
        <f t="shared" si="369"/>
        <v>#REF!</v>
      </c>
    </row>
    <row r="678" spans="65:65" ht="15" customHeight="1">
      <c r="BM678" s="461" t="e">
        <f t="shared" si="369"/>
        <v>#REF!</v>
      </c>
    </row>
    <row r="679" spans="65:65" ht="15" customHeight="1">
      <c r="BM679" s="461" t="e">
        <f t="shared" si="369"/>
        <v>#REF!</v>
      </c>
    </row>
    <row r="680" spans="65:65" ht="15" customHeight="1">
      <c r="BM680" s="461" t="e">
        <f t="shared" si="369"/>
        <v>#REF!</v>
      </c>
    </row>
    <row r="681" spans="65:65" ht="15" customHeight="1">
      <c r="BM681" s="461" t="e">
        <f t="shared" si="369"/>
        <v>#REF!</v>
      </c>
    </row>
    <row r="682" spans="65:65" ht="15" customHeight="1">
      <c r="BM682" s="461" t="e">
        <f t="shared" si="369"/>
        <v>#REF!</v>
      </c>
    </row>
    <row r="683" spans="65:65" ht="15" customHeight="1">
      <c r="BM683" s="461" t="e">
        <f t="shared" si="369"/>
        <v>#REF!</v>
      </c>
    </row>
    <row r="684" spans="65:65" ht="15" customHeight="1">
      <c r="BM684" s="461" t="e">
        <f t="shared" si="369"/>
        <v>#REF!</v>
      </c>
    </row>
    <row r="685" spans="65:65" ht="15" customHeight="1">
      <c r="BM685" s="461" t="e">
        <f t="shared" si="369"/>
        <v>#REF!</v>
      </c>
    </row>
    <row r="686" spans="65:65" ht="15" customHeight="1">
      <c r="BM686" s="461" t="e">
        <f t="shared" si="369"/>
        <v>#REF!</v>
      </c>
    </row>
    <row r="687" spans="65:65" ht="15" customHeight="1">
      <c r="BM687" s="461" t="e">
        <f t="shared" si="369"/>
        <v>#REF!</v>
      </c>
    </row>
    <row r="688" spans="65:65" ht="15" customHeight="1">
      <c r="BM688" s="461" t="e">
        <f t="shared" si="369"/>
        <v>#REF!</v>
      </c>
    </row>
    <row r="689" spans="65:65" ht="15" customHeight="1">
      <c r="BM689" s="461" t="e">
        <f t="shared" si="369"/>
        <v>#REF!</v>
      </c>
    </row>
    <row r="690" spans="65:65" ht="15" customHeight="1">
      <c r="BM690" s="461" t="e">
        <f t="shared" si="369"/>
        <v>#REF!</v>
      </c>
    </row>
    <row r="691" spans="65:65" ht="15" customHeight="1">
      <c r="BM691" s="461" t="e">
        <f t="shared" si="369"/>
        <v>#REF!</v>
      </c>
    </row>
    <row r="692" spans="65:65" ht="15" customHeight="1">
      <c r="BM692" s="461" t="e">
        <f t="shared" si="369"/>
        <v>#REF!</v>
      </c>
    </row>
    <row r="693" spans="65:65" ht="15" customHeight="1">
      <c r="BM693" s="461" t="e">
        <f t="shared" si="369"/>
        <v>#REF!</v>
      </c>
    </row>
    <row r="694" spans="65:65" ht="15" customHeight="1">
      <c r="BM694" s="461" t="e">
        <f t="shared" si="369"/>
        <v>#REF!</v>
      </c>
    </row>
    <row r="695" spans="65:65" ht="15" customHeight="1">
      <c r="BM695" s="461" t="e">
        <f t="shared" si="369"/>
        <v>#REF!</v>
      </c>
    </row>
    <row r="696" spans="65:65" ht="15" customHeight="1">
      <c r="BM696" s="461" t="e">
        <f t="shared" si="369"/>
        <v>#REF!</v>
      </c>
    </row>
    <row r="697" spans="65:65" ht="15" customHeight="1">
      <c r="BM697" s="461" t="e">
        <f t="shared" si="369"/>
        <v>#REF!</v>
      </c>
    </row>
    <row r="698" spans="65:65" ht="15" customHeight="1">
      <c r="BM698" s="461" t="e">
        <f t="shared" si="369"/>
        <v>#REF!</v>
      </c>
    </row>
    <row r="699" spans="65:65" ht="15" customHeight="1">
      <c r="BM699" s="461" t="e">
        <f t="shared" si="369"/>
        <v>#REF!</v>
      </c>
    </row>
    <row r="700" spans="65:65" ht="15" customHeight="1">
      <c r="BM700" s="461" t="e">
        <f t="shared" si="369"/>
        <v>#REF!</v>
      </c>
    </row>
    <row r="701" spans="65:65" ht="15" customHeight="1">
      <c r="BM701" s="461" t="e">
        <f t="shared" si="369"/>
        <v>#REF!</v>
      </c>
    </row>
    <row r="702" spans="65:65" ht="15" customHeight="1">
      <c r="BM702" s="461" t="e">
        <f t="shared" si="369"/>
        <v>#REF!</v>
      </c>
    </row>
    <row r="703" spans="65:65" ht="15" customHeight="1">
      <c r="BM703" s="461" t="e">
        <f t="shared" si="369"/>
        <v>#REF!</v>
      </c>
    </row>
    <row r="704" spans="65:65" ht="15" customHeight="1">
      <c r="BM704" s="461" t="e">
        <f t="shared" ref="BM704:BM729" si="370">BM703+24</f>
        <v>#REF!</v>
      </c>
    </row>
    <row r="705" spans="65:65" ht="15" customHeight="1">
      <c r="BM705" s="461" t="e">
        <f t="shared" si="370"/>
        <v>#REF!</v>
      </c>
    </row>
    <row r="706" spans="65:65" ht="15" customHeight="1">
      <c r="BM706" s="461" t="e">
        <f t="shared" si="370"/>
        <v>#REF!</v>
      </c>
    </row>
    <row r="707" spans="65:65" ht="15" customHeight="1">
      <c r="BM707" s="461" t="e">
        <f t="shared" si="370"/>
        <v>#REF!</v>
      </c>
    </row>
    <row r="708" spans="65:65" ht="15" customHeight="1">
      <c r="BM708" s="461" t="e">
        <f t="shared" si="370"/>
        <v>#REF!</v>
      </c>
    </row>
    <row r="709" spans="65:65" ht="15" customHeight="1">
      <c r="BM709" s="461" t="e">
        <f t="shared" si="370"/>
        <v>#REF!</v>
      </c>
    </row>
    <row r="710" spans="65:65" ht="15" customHeight="1">
      <c r="BM710" s="461" t="e">
        <f t="shared" si="370"/>
        <v>#REF!</v>
      </c>
    </row>
    <row r="711" spans="65:65" ht="15" customHeight="1">
      <c r="BM711" s="461" t="e">
        <f t="shared" si="370"/>
        <v>#REF!</v>
      </c>
    </row>
    <row r="712" spans="65:65" ht="15" customHeight="1">
      <c r="BM712" s="461" t="e">
        <f t="shared" si="370"/>
        <v>#REF!</v>
      </c>
    </row>
    <row r="713" spans="65:65" ht="15" customHeight="1">
      <c r="BM713" s="461" t="e">
        <f t="shared" si="370"/>
        <v>#REF!</v>
      </c>
    </row>
    <row r="714" spans="65:65" ht="15" customHeight="1">
      <c r="BM714" s="461" t="e">
        <f t="shared" si="370"/>
        <v>#REF!</v>
      </c>
    </row>
    <row r="715" spans="65:65" ht="15" customHeight="1">
      <c r="BM715" s="461" t="e">
        <f t="shared" si="370"/>
        <v>#REF!</v>
      </c>
    </row>
    <row r="716" spans="65:65" ht="15" customHeight="1">
      <c r="BM716" s="461" t="e">
        <f t="shared" si="370"/>
        <v>#REF!</v>
      </c>
    </row>
    <row r="717" spans="65:65" ht="15" customHeight="1">
      <c r="BM717" s="461" t="e">
        <f t="shared" si="370"/>
        <v>#REF!</v>
      </c>
    </row>
    <row r="718" spans="65:65" ht="15" customHeight="1">
      <c r="BM718" s="461" t="e">
        <f t="shared" si="370"/>
        <v>#REF!</v>
      </c>
    </row>
    <row r="719" spans="65:65" ht="15" customHeight="1">
      <c r="BM719" s="461" t="e">
        <f t="shared" si="370"/>
        <v>#REF!</v>
      </c>
    </row>
    <row r="720" spans="65:65" ht="15" customHeight="1">
      <c r="BM720" s="461" t="e">
        <f t="shared" si="370"/>
        <v>#REF!</v>
      </c>
    </row>
    <row r="721" spans="65:65" ht="15" customHeight="1">
      <c r="BM721" s="461" t="e">
        <f t="shared" si="370"/>
        <v>#REF!</v>
      </c>
    </row>
    <row r="722" spans="65:65" ht="15" customHeight="1">
      <c r="BM722" s="461" t="e">
        <f t="shared" si="370"/>
        <v>#REF!</v>
      </c>
    </row>
    <row r="723" spans="65:65" ht="15" customHeight="1">
      <c r="BM723" s="461" t="e">
        <f t="shared" si="370"/>
        <v>#REF!</v>
      </c>
    </row>
    <row r="724" spans="65:65" ht="15" customHeight="1">
      <c r="BM724" s="461" t="e">
        <f t="shared" si="370"/>
        <v>#REF!</v>
      </c>
    </row>
    <row r="725" spans="65:65" ht="15" customHeight="1">
      <c r="BM725" s="461" t="e">
        <f t="shared" si="370"/>
        <v>#REF!</v>
      </c>
    </row>
    <row r="726" spans="65:65" ht="15" customHeight="1">
      <c r="BM726" s="461" t="e">
        <f t="shared" si="370"/>
        <v>#REF!</v>
      </c>
    </row>
    <row r="727" spans="65:65" ht="15" customHeight="1">
      <c r="BM727" s="461" t="e">
        <f t="shared" si="370"/>
        <v>#REF!</v>
      </c>
    </row>
    <row r="728" spans="65:65" ht="15" customHeight="1">
      <c r="BM728" s="461" t="e">
        <f t="shared" si="370"/>
        <v>#REF!</v>
      </c>
    </row>
    <row r="729" spans="65:65" ht="15" customHeight="1">
      <c r="BM729" s="461" t="e">
        <f t="shared" si="370"/>
        <v>#REF!</v>
      </c>
    </row>
  </sheetData>
  <sheetProtection algorithmName="SHA-512" hashValue="ZR8IvoUvKrkr1+HF+nvANaTRbzkDQPy3p7bQ0DrbCUs8cnb6aUVSK9+27l4VToL1tqWgcB0CwXUF0eGoA9ANsA==" saltValue="ZALz3EhtNv6e2PyDbAunsA==" spinCount="100000" sheet="1" objects="1" scenarios="1" selectLockedCells="1"/>
  <mergeCells count="12">
    <mergeCell ref="T25:Z25"/>
    <mergeCell ref="AX25:BZ25"/>
    <mergeCell ref="BZ26:BZ27"/>
    <mergeCell ref="A106:A118"/>
    <mergeCell ref="A119:A121"/>
    <mergeCell ref="M25:S25"/>
    <mergeCell ref="A197:A202"/>
    <mergeCell ref="F9:I9"/>
    <mergeCell ref="F14:I14"/>
    <mergeCell ref="A25:A27"/>
    <mergeCell ref="D25:G25"/>
    <mergeCell ref="I25:L25"/>
  </mergeCells>
  <conditionalFormatting sqref="A24 A61 E276:E279">
    <cfRule type="cellIs" dxfId="90" priority="93" operator="equal">
      <formula>"Fora de linha"</formula>
    </cfRule>
  </conditionalFormatting>
  <conditionalFormatting sqref="B28:B32 B36:B42 B48:B60">
    <cfRule type="duplicateValues" dxfId="89" priority="59"/>
    <cfRule type="duplicateValues" dxfId="88" priority="58"/>
    <cfRule type="duplicateValues" dxfId="87" priority="62"/>
    <cfRule type="duplicateValues" dxfId="86" priority="63"/>
    <cfRule type="duplicateValues" dxfId="85" priority="60"/>
  </conditionalFormatting>
  <conditionalFormatting sqref="B33:B35">
    <cfRule type="duplicateValues" dxfId="84" priority="15"/>
    <cfRule type="duplicateValues" dxfId="83" priority="14"/>
    <cfRule type="duplicateValues" dxfId="82" priority="17"/>
    <cfRule type="duplicateValues" dxfId="81" priority="18"/>
    <cfRule type="duplicateValues" dxfId="80" priority="13"/>
  </conditionalFormatting>
  <conditionalFormatting sqref="B43:B47">
    <cfRule type="duplicateValues" dxfId="79" priority="2"/>
    <cfRule type="duplicateValues" dxfId="78" priority="3"/>
    <cfRule type="duplicateValues" dxfId="77" priority="4"/>
    <cfRule type="duplicateValues" dxfId="76" priority="6"/>
    <cfRule type="duplicateValues" dxfId="75" priority="7"/>
  </conditionalFormatting>
  <conditionalFormatting sqref="B210:B213">
    <cfRule type="duplicateValues" dxfId="74" priority="97"/>
  </conditionalFormatting>
  <conditionalFormatting sqref="B234">
    <cfRule type="duplicateValues" dxfId="73" priority="98"/>
  </conditionalFormatting>
  <conditionalFormatting sqref="B276:B319">
    <cfRule type="duplicateValues" dxfId="72" priority="3483"/>
    <cfRule type="duplicateValues" dxfId="71" priority="3482"/>
    <cfRule type="duplicateValues" dxfId="70" priority="3484"/>
    <cfRule type="duplicateValues" dxfId="69" priority="3485"/>
  </conditionalFormatting>
  <conditionalFormatting sqref="B320:B328">
    <cfRule type="duplicateValues" dxfId="68" priority="35"/>
    <cfRule type="duplicateValues" dxfId="67" priority="34"/>
    <cfRule type="duplicateValues" dxfId="66" priority="32"/>
    <cfRule type="duplicateValues" dxfId="65" priority="33"/>
    <cfRule type="duplicateValues" dxfId="64" priority="30"/>
  </conditionalFormatting>
  <conditionalFormatting sqref="B329:B346">
    <cfRule type="duplicateValues" dxfId="63" priority="24"/>
    <cfRule type="duplicateValues" dxfId="62" priority="26"/>
    <cfRule type="duplicateValues" dxfId="61" priority="27"/>
    <cfRule type="duplicateValues" dxfId="60" priority="28"/>
    <cfRule type="duplicateValues" dxfId="59" priority="29"/>
  </conditionalFormatting>
  <conditionalFormatting sqref="B369:B1048576 B1:B27 B61:B167 B173:B319 B347:B350">
    <cfRule type="duplicateValues" dxfId="58" priority="68"/>
  </conditionalFormatting>
  <conditionalFormatting sqref="B369:B1048576 B1:B27 B235:B275 B173:B209 B214:B233 B61:B167 B347:B350">
    <cfRule type="duplicateValues" dxfId="57" priority="77"/>
    <cfRule type="duplicateValues" dxfId="56" priority="76"/>
  </conditionalFormatting>
  <conditionalFormatting sqref="B369:B1048576 B235:B275 B347:B350">
    <cfRule type="duplicateValues" dxfId="55" priority="74"/>
    <cfRule type="duplicateValues" dxfId="54" priority="75"/>
  </conditionalFormatting>
  <conditionalFormatting sqref="B28:G32 B36:G42 B48:G60">
    <cfRule type="cellIs" dxfId="53" priority="61" operator="equal">
      <formula>"Fora de linha"</formula>
    </cfRule>
  </conditionalFormatting>
  <conditionalFormatting sqref="B33:G35">
    <cfRule type="cellIs" dxfId="52" priority="16" operator="equal">
      <formula>"Fora de linha"</formula>
    </cfRule>
  </conditionalFormatting>
  <conditionalFormatting sqref="B43:G47">
    <cfRule type="cellIs" dxfId="51" priority="5" operator="equal">
      <formula>"Fora de linha"</formula>
    </cfRule>
  </conditionalFormatting>
  <conditionalFormatting sqref="C28:C32 C36:C42 C48:C60">
    <cfRule type="duplicateValues" dxfId="50" priority="66"/>
    <cfRule type="duplicateValues" dxfId="49" priority="65"/>
    <cfRule type="duplicateValues" dxfId="48" priority="64"/>
    <cfRule type="duplicateValues" dxfId="47" priority="67"/>
  </conditionalFormatting>
  <conditionalFormatting sqref="C33:C35">
    <cfRule type="duplicateValues" dxfId="46" priority="19"/>
    <cfRule type="duplicateValues" dxfId="45" priority="22"/>
    <cfRule type="duplicateValues" dxfId="44" priority="21"/>
    <cfRule type="duplicateValues" dxfId="43" priority="20"/>
  </conditionalFormatting>
  <conditionalFormatting sqref="C43:C47">
    <cfRule type="duplicateValues" dxfId="42" priority="11"/>
    <cfRule type="duplicateValues" dxfId="41" priority="10"/>
    <cfRule type="duplicateValues" dxfId="40" priority="9"/>
    <cfRule type="duplicateValues" dxfId="39" priority="8"/>
  </conditionalFormatting>
  <conditionalFormatting sqref="C276:C287">
    <cfRule type="duplicateValues" dxfId="38" priority="39"/>
    <cfRule type="duplicateValues" dxfId="37" priority="40"/>
  </conditionalFormatting>
  <conditionalFormatting sqref="C288:C319">
    <cfRule type="duplicateValues" dxfId="36" priority="3490"/>
    <cfRule type="duplicateValues" dxfId="35" priority="3491"/>
    <cfRule type="duplicateValues" dxfId="34" priority="3492"/>
    <cfRule type="duplicateValues" dxfId="33" priority="3493"/>
    <cfRule type="duplicateValues" dxfId="32" priority="3494"/>
  </conditionalFormatting>
  <conditionalFormatting sqref="D24 F24:G24 W24:X24 Z24 AD24:AG24 AI24:AK24 AM24 AO24 W26:X26 Z26 A65 A119 D347:G347 J347:K347 W347">
    <cfRule type="cellIs" dxfId="31" priority="94" operator="equal">
      <formula>"Fora de linha"</formula>
    </cfRule>
  </conditionalFormatting>
  <conditionalFormatting sqref="D26:G35">
    <cfRule type="cellIs" dxfId="30" priority="23" operator="equal">
      <formula>"Fora de linha"</formula>
    </cfRule>
  </conditionalFormatting>
  <conditionalFormatting sqref="D43:G188">
    <cfRule type="cellIs" dxfId="29" priority="12" operator="equal">
      <formula>"Fora de linha"</formula>
    </cfRule>
  </conditionalFormatting>
  <conditionalFormatting sqref="D190:G196">
    <cfRule type="cellIs" dxfId="28" priority="73" operator="equal">
      <formula>"Fora de linha"</formula>
    </cfRule>
  </conditionalFormatting>
  <conditionalFormatting sqref="E4">
    <cfRule type="containsText" dxfId="27" priority="80" operator="containsText" text="creatina">
      <formula>NOT(ISERROR(SEARCH("creatina",E4)))</formula>
    </cfRule>
    <cfRule type="containsText" dxfId="26" priority="78" operator="containsText" text="Pedido bloqueado, Qtd. de Creapure excede o permitido">
      <formula>NOT(ISERROR(SEARCH("Pedido bloqueado, Qtd. de Creapure excede o permitido",E4)))</formula>
    </cfRule>
    <cfRule type="containsText" dxfId="25" priority="79" operator="containsText" text="reprovado">
      <formula>NOT(ISERROR(SEARCH("reprovado",E4)))</formula>
    </cfRule>
  </conditionalFormatting>
  <conditionalFormatting sqref="E13">
    <cfRule type="cellIs" dxfId="24" priority="89" operator="greaterThan">
      <formula>100</formula>
    </cfRule>
  </conditionalFormatting>
  <conditionalFormatting sqref="E19">
    <cfRule type="cellIs" dxfId="23" priority="88" operator="greaterThan">
      <formula>100</formula>
    </cfRule>
  </conditionalFormatting>
  <conditionalFormatting sqref="E23">
    <cfRule type="containsText" dxfId="22" priority="81" operator="containsText" text="REPROVADO">
      <formula>NOT(ISERROR(SEARCH("REPROVADO",E23)))</formula>
    </cfRule>
  </conditionalFormatting>
  <conditionalFormatting sqref="E288:E291">
    <cfRule type="cellIs" dxfId="21" priority="37" operator="equal">
      <formula>"Fora de linha"</formula>
    </cfRule>
  </conditionalFormatting>
  <conditionalFormatting sqref="E311:E319">
    <cfRule type="cellIs" dxfId="20" priority="36" operator="equal">
      <formula>"Fora de linha"</formula>
    </cfRule>
  </conditionalFormatting>
  <conditionalFormatting sqref="F276:F346">
    <cfRule type="containsText" dxfId="19" priority="25" operator="containsText" text="work">
      <formula>NOT(ISERROR(SEARCH("work",F276)))</formula>
    </cfRule>
  </conditionalFormatting>
  <conditionalFormatting sqref="J26:K180">
    <cfRule type="cellIs" dxfId="18" priority="1" operator="equal">
      <formula>"Fora de linha"</formula>
    </cfRule>
  </conditionalFormatting>
  <conditionalFormatting sqref="J182:K188">
    <cfRule type="cellIs" dxfId="17" priority="86" operator="equal">
      <formula>"Fora de linha"</formula>
    </cfRule>
  </conditionalFormatting>
  <conditionalFormatting sqref="J190:K196">
    <cfRule type="cellIs" dxfId="16" priority="72" operator="equal">
      <formula>"Fora de linha"</formula>
    </cfRule>
  </conditionalFormatting>
  <conditionalFormatting sqref="J24:S24">
    <cfRule type="cellIs" dxfId="15" priority="87" operator="equal">
      <formula>"Fora de linha"</formula>
    </cfRule>
  </conditionalFormatting>
  <conditionalFormatting sqref="W65:W222">
    <cfRule type="cellIs" dxfId="14" priority="82" operator="equal">
      <formula>"Fora de linha"</formula>
    </cfRule>
    <cfRule type="cellIs" dxfId="13" priority="83" operator="equal">
      <formula>"Disponível"</formula>
    </cfRule>
    <cfRule type="cellIs" dxfId="12" priority="84" operator="equal">
      <formula>"Indisponível"</formula>
    </cfRule>
  </conditionalFormatting>
  <conditionalFormatting sqref="W26:X26 Z26 W347">
    <cfRule type="cellIs" dxfId="11" priority="95" operator="equal">
      <formula>"Disponível"</formula>
    </cfRule>
    <cfRule type="cellIs" dxfId="10" priority="96" operator="equal">
      <formula>"Indisponível"</formula>
    </cfRule>
  </conditionalFormatting>
  <conditionalFormatting sqref="Z61:Z350">
    <cfRule type="cellIs" dxfId="9" priority="55" operator="greaterThan">
      <formula>0</formula>
    </cfRule>
  </conditionalFormatting>
  <conditionalFormatting sqref="Z65:Z350">
    <cfRule type="cellIs" dxfId="8" priority="56" operator="equal">
      <formula>-1</formula>
    </cfRule>
  </conditionalFormatting>
  <conditionalFormatting sqref="AS28:AS350">
    <cfRule type="colorScale" priority="3495">
      <colorScale>
        <cfvo type="min"/>
        <cfvo type="percentile" val="50"/>
        <cfvo type="max"/>
        <color rgb="FFFF9966"/>
        <color rgb="FFFFEB84"/>
        <color rgb="FF87FF61"/>
      </colorScale>
    </cfRule>
  </conditionalFormatting>
  <conditionalFormatting sqref="AS372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8:BB350">
    <cfRule type="cellIs" dxfId="7" priority="85" operator="greaterThan">
      <formula>0</formula>
    </cfRule>
  </conditionalFormatting>
  <conditionalFormatting sqref="BQ22">
    <cfRule type="cellIs" dxfId="6" priority="70" operator="lessThan">
      <formula>$BQ$15</formula>
    </cfRule>
    <cfRule type="cellIs" dxfId="5" priority="71" operator="greaterThan">
      <formula>$BQ$15</formula>
    </cfRule>
  </conditionalFormatting>
  <conditionalFormatting sqref="BZ24">
    <cfRule type="cellIs" dxfId="4" priority="49" operator="equal">
      <formula>"Fora de linha"</formula>
    </cfRule>
  </conditionalFormatting>
  <dataValidations xWindow="1725" yWindow="703" count="67">
    <dataValidation type="decimal" allowBlank="1" showInputMessage="1" showErrorMessage="1" error="VALOR ABAIXO DO MÍNIMO PERMITIDO!" sqref="V268:V275" xr:uid="{CEE652DB-A6C4-41A7-9457-32522AE42F5C}">
      <formula1>334.9</formula1>
      <formula2>1000</formula2>
    </dataValidation>
    <dataValidation type="decimal" allowBlank="1" showInputMessage="1" showErrorMessage="1" error="VALOR ABAIXO DO MÍNIMO PERMITIDO!" sqref="V259:V267" xr:uid="{5598518D-DD4B-482D-BD38-7FDBECE734AD}">
      <formula1>194.9</formula1>
      <formula2>1000</formula2>
    </dataValidation>
    <dataValidation type="decimal" allowBlank="1" showInputMessage="1" showErrorMessage="1" sqref="V245:V252" xr:uid="{D77928E0-35A2-4AD1-A925-0793796F2977}">
      <formula1>88.9</formula1>
      <formula2>1000</formula2>
    </dataValidation>
    <dataValidation type="decimal" allowBlank="1" showInputMessage="1" showErrorMessage="1" sqref="V223:V234" xr:uid="{9AAA6617-E221-4CE0-AAF0-9B9FE2EA4168}">
      <formula1>124.9</formula1>
      <formula2>1000</formula2>
    </dataValidation>
    <dataValidation type="decimal" allowBlank="1" showInputMessage="1" showErrorMessage="1" sqref="V168:V170 V56:V58 V60" xr:uid="{76235DCC-1D4A-4C9E-B406-9AC84C69098F}">
      <formula1>136.9</formula1>
      <formula2>1000</formula2>
    </dataValidation>
    <dataValidation type="decimal" allowBlank="1" showInputMessage="1" showErrorMessage="1" sqref="V155" xr:uid="{F602E8D1-75CC-4989-B748-0DBFBA06791D}">
      <formula1>41.9</formula1>
      <formula2>1000</formula2>
    </dataValidation>
    <dataValidation type="decimal" allowBlank="1" showInputMessage="1" showErrorMessage="1" sqref="V144:V151" xr:uid="{AEEF16D1-FBED-4E2C-9ACF-A47E2FD68F54}">
      <formula1>54.9</formula1>
      <formula2>1000</formula2>
    </dataValidation>
    <dataValidation type="decimal" allowBlank="1" showInputMessage="1" showErrorMessage="1" sqref="V138" xr:uid="{6FEB7EE0-F952-4311-848C-CB3986661FF5}">
      <formula1>27.9</formula1>
      <formula2>1000</formula2>
    </dataValidation>
    <dataValidation type="decimal" allowBlank="1" showInputMessage="1" showErrorMessage="1" sqref="V135 V61 V137" xr:uid="{2E78CF12-25BA-4B51-85F1-2EB17E90CF10}">
      <formula1>16.9</formula1>
      <formula2>1000</formula2>
    </dataValidation>
    <dataValidation type="decimal" allowBlank="1" showInputMessage="1" showErrorMessage="1" sqref="V134" xr:uid="{89877A91-AE64-46EF-AAC7-5958064FAA4E}">
      <formula1>68.9</formula1>
      <formula2>1000</formula2>
    </dataValidation>
    <dataValidation type="decimal" allowBlank="1" showInputMessage="1" showErrorMessage="1" sqref="V119" xr:uid="{F71C5030-FDB6-442A-9BC9-B66449510F49}">
      <formula1>31.9</formula1>
      <formula2>1000</formula2>
    </dataValidation>
    <dataValidation type="decimal" allowBlank="1" showInputMessage="1" showErrorMessage="1" sqref="V102:V109 V173:V180 V214:V222" xr:uid="{4A195101-E92F-44B3-B37F-A34BD6AD1A6F}">
      <formula1>69.9</formula1>
      <formula2>1000</formula2>
    </dataValidation>
    <dataValidation type="decimal" allowBlank="1" showInputMessage="1" showErrorMessage="1" sqref="V99:V101 V139:V143" xr:uid="{2E739732-2D95-483E-AA52-D80CD640152E}">
      <formula1>30.9</formula1>
      <formula2>1000</formula2>
    </dataValidation>
    <dataValidation type="decimal" allowBlank="1" showInputMessage="1" showErrorMessage="1" sqref="V89:V93 V96:V98" xr:uid="{EB439BB6-1132-45DB-AFF8-EB368E11822C}">
      <formula1>65.9</formula1>
      <formula2>1000</formula2>
    </dataValidation>
    <dataValidation type="decimal" allowBlank="1" showInputMessage="1" showErrorMessage="1" sqref="V77" xr:uid="{D178A2D6-5F6D-4B6D-885A-09CD47B7D9FD}">
      <formula1>38.9</formula1>
      <formula2>1000</formula2>
    </dataValidation>
    <dataValidation type="decimal" allowBlank="1" showInputMessage="1" showErrorMessage="1" error="VALOR ABAIXO DO MÍNIMO PERMITIDO!" sqref="V72" xr:uid="{EB622E32-DFF4-4B1C-B892-4158394BEC1A}">
      <formula1>55.9</formula1>
      <formula2>1000</formula2>
    </dataValidation>
    <dataValidation type="decimal" allowBlank="1" showInputMessage="1" showErrorMessage="1" error="VALOR ABAIXO DO MÍNIMO PERMITIDO!" sqref="V69" xr:uid="{83CB1723-98B6-412B-AC15-D7C15EEA2F30}">
      <formula1>47.9</formula1>
      <formula2>1000</formula2>
    </dataValidation>
    <dataValidation type="decimal" allowBlank="1" showInputMessage="1" showErrorMessage="1" sqref="V66:V68 V156" xr:uid="{12DD9FE5-9723-45C3-B5E1-EE2ADE6EB79D}">
      <formula1>39.9</formula1>
      <formula2>1000</formula2>
    </dataValidation>
    <dataValidation type="decimal" allowBlank="1" showInputMessage="1" showErrorMessage="1" sqref="V63:V64" xr:uid="{4ABC30E5-34ED-4ABC-AFDA-EDB1F56CFD04}">
      <formula1>9.9</formula1>
      <formula2>1000</formula2>
    </dataValidation>
    <dataValidation type="decimal" allowBlank="1" showInputMessage="1" showErrorMessage="1" sqref="V59:W59" xr:uid="{FF624145-CC87-439D-8A1D-4E663D2F30C9}">
      <formula1>128</formula1>
      <formula2>1000</formula2>
    </dataValidation>
    <dataValidation type="decimal" allowBlank="1" showInputMessage="1" showErrorMessage="1" sqref="W56:W58 W60" xr:uid="{F045CE12-B39E-45A4-8AAC-20447E1E93AA}">
      <formula1>136</formula1>
      <formula2>1000</formula2>
    </dataValidation>
    <dataValidation type="decimal" allowBlank="1" showInputMessage="1" showErrorMessage="1" sqref="V50 V54" xr:uid="{1DA4480D-6074-492F-84CB-39D6E51CBFE6}">
      <formula1>86</formula1>
      <formula2>1000</formula2>
    </dataValidation>
    <dataValidation type="decimal" allowBlank="1" showInputMessage="1" showErrorMessage="1" sqref="V51:V53 V55 V43:V49" xr:uid="{0628569F-AF13-4845-A06A-4AA31877886C}">
      <formula1>99</formula1>
      <formula2>1000</formula2>
    </dataValidation>
    <dataValidation type="decimal" allowBlank="1" showInputMessage="1" showErrorMessage="1" error="VALOR ABAIXO DO MÍNIMO PERMITIDO!" sqref="V71" xr:uid="{E32D7449-ED43-452D-8831-B2BCB3160958}">
      <formula1>158.9</formula1>
      <formula2>1000</formula2>
    </dataValidation>
    <dataValidation type="decimal" allowBlank="1" showInputMessage="1" showErrorMessage="1" error="VALOR ABAIXO DO MÍNIMO PERMITIDO!" sqref="V70" xr:uid="{5A6E0BBC-2C13-4F76-A8A8-C27FF00F3C09}">
      <formula1>63.9</formula1>
      <formula2>1000</formula2>
    </dataValidation>
    <dataValidation type="decimal" allowBlank="1" showInputMessage="1" showErrorMessage="1" sqref="V37:V42" xr:uid="{8DB696CC-E81F-4751-B10C-D76A72191DAE}">
      <formula1>74</formula1>
      <formula2>1000</formula2>
    </dataValidation>
    <dataValidation type="decimal" allowBlank="1" showInputMessage="1" showErrorMessage="1" sqref="V36" xr:uid="{9329E881-B0F8-4871-94C4-9D5E634414A8}">
      <formula1>57</formula1>
      <formula2>1000</formula2>
    </dataValidation>
    <dataValidation type="decimal" allowBlank="1" showInputMessage="1" showErrorMessage="1" sqref="V32:V35" xr:uid="{E4968B81-C7EC-4B04-B268-D8334541BCC4}">
      <formula1>236</formula1>
      <formula2>1000</formula2>
    </dataValidation>
    <dataValidation type="decimal" allowBlank="1" showInputMessage="1" showErrorMessage="1" sqref="V28:V31" xr:uid="{F00718A6-A295-4B24-BDB2-3191F32A076B}">
      <formula1>322</formula1>
      <formula2>1000</formula2>
    </dataValidation>
    <dataValidation type="decimal" allowBlank="1" showInputMessage="1" showErrorMessage="1" error="VALOR ABAIXO DO MÍNIMO PERMITIDO!" sqref="V73" xr:uid="{A5EC89E0-A5EF-4B5E-BC8F-322E981440A9}">
      <formula1>141.9</formula1>
      <formula2>1000</formula2>
    </dataValidation>
    <dataValidation type="decimal" allowBlank="1" showInputMessage="1" showErrorMessage="1" sqref="V78:V85" xr:uid="{83A92C2F-B42B-4B8C-876C-898954E32D12}">
      <formula1>59.9</formula1>
      <formula2>1000</formula2>
    </dataValidation>
    <dataValidation allowBlank="1" showInputMessage="1" showErrorMessage="1" promptTitle="*** ATENÇÃO ***" prompt="Cada unidade digitada corresponde a 1 display com 10 unidades de Energy Gel." sqref="W78:W85" xr:uid="{9EDC377E-8CE4-4671-BE27-DC4BE0DEF295}"/>
    <dataValidation type="decimal" allowBlank="1" showInputMessage="1" showErrorMessage="1" error="VALOR ABAIXO DO MÍNIMO PERMITIDO!" sqref="V235:V244" xr:uid="{90BE4B42-236D-4763-BEAD-1B989DD08915}">
      <formula1>229.9</formula1>
      <formula2>1000</formula2>
    </dataValidation>
    <dataValidation allowBlank="1" showInputMessage="1" showErrorMessage="1" promptTitle="*** ATENÇÃO ***" prompt="Cada unidade digitada corresponde a 1 display com 12 unidades de Protein Bar." sqref="W163:W167" xr:uid="{98FC697C-1D21-4052-A8FA-9E208C5E7876}"/>
    <dataValidation type="decimal" allowBlank="1" showInputMessage="1" showErrorMessage="1" sqref="V163:V167" xr:uid="{3434989D-C61A-4C52-AF34-DEC91F37854B}">
      <formula1>85.9</formula1>
      <formula2>1000</formula2>
    </dataValidation>
    <dataValidation type="decimal" allowBlank="1" showInputMessage="1" showErrorMessage="1" sqref="V116:V118 V181:V188" xr:uid="{0FB0FBAD-14A6-4420-8D7A-B6B9F104D796}">
      <formula1>84.9</formula1>
      <formula2>1000</formula2>
    </dataValidation>
    <dataValidation type="decimal" allowBlank="1" showInputMessage="1" showErrorMessage="1" sqref="V113:V115" xr:uid="{7A9480B1-97C6-4E67-8ED0-D9512B86FB8B}">
      <formula1>75.9</formula1>
      <formula2>1000</formula2>
    </dataValidation>
    <dataValidation type="decimal" allowBlank="1" showInputMessage="1" showErrorMessage="1" sqref="V189:V196" xr:uid="{B8C7BE61-2DF0-4940-89D0-4A128507D2A2}">
      <formula1>154.9</formula1>
      <formula2>1000</formula2>
    </dataValidation>
    <dataValidation type="decimal" allowBlank="1" showInputMessage="1" showErrorMessage="1" error="VALOR ABAIXO DO MÍNIMO PERMITIDO!" sqref="V203:V213" xr:uid="{58B4FC26-5278-4573-8B52-567890CE5E98}">
      <formula1>58.9</formula1>
      <formula2>1000</formula2>
    </dataValidation>
    <dataValidation type="decimal" allowBlank="1" showInputMessage="1" showErrorMessage="1" error="VALOR ABAIXO DO MÍNIMO PERMITIDO!" sqref="V75" xr:uid="{9F2C83DF-D66B-4C3C-A084-B237CD1E9BB7}">
      <formula1>65.9</formula1>
      <formula2>1000</formula2>
    </dataValidation>
    <dataValidation type="decimal" allowBlank="1" showInputMessage="1" showErrorMessage="1" sqref="V152:V154" xr:uid="{F8561B0A-4C87-4D8C-9BD7-6810D93F6C04}">
      <formula1>139.9</formula1>
      <formula2>1000</formula2>
    </dataValidation>
    <dataValidation type="decimal" allowBlank="1" showInputMessage="1" showErrorMessage="1" sqref="V171:V172" xr:uid="{AAD3188C-6EFA-462A-862E-B397438A5A21}">
      <formula1>99.9</formula1>
      <formula2>1000</formula2>
    </dataValidation>
    <dataValidation type="whole" allowBlank="1" showInputMessage="1" showErrorMessage="1" promptTitle="*** ATENÇÃO ***" prompt="Cada unidade digitada corresponde a 1 display com 10 unidades de sachês." sqref="W173 W197:W199 W149:W151 W139:W143 W245:W252 W203:W213" xr:uid="{7AC367A4-B753-4D36-B3A0-A80B9D831C60}">
      <formula1>1</formula1>
      <formula2>100</formula2>
    </dataValidation>
    <dataValidation type="whole" allowBlank="1" showInputMessage="1" showErrorMessage="1" promptTitle="ATENÇÃO" prompt="Cada unidade digitada corresponde a 1 display com 10 unidades de sachês." sqref="W174:W180" xr:uid="{7DA4FBE3-F896-4819-ABF2-69E6F32BC453}">
      <formula1>1</formula1>
      <formula2>100</formula2>
    </dataValidation>
    <dataValidation type="list" allowBlank="1" showInputMessage="1" showErrorMessage="1" sqref="F14" xr:uid="{686467B4-C91E-4EA3-B050-8932E9BA9CBF}">
      <formula1>$BK$14:$BK$15</formula1>
    </dataValidation>
    <dataValidation type="decimal" allowBlank="1" showInputMessage="1" showErrorMessage="1" sqref="V349:V350" xr:uid="{7C7B8F2D-6075-4E4F-A448-0D4AD92212B7}">
      <formula1>239.9</formula1>
      <formula2>1000</formula2>
    </dataValidation>
    <dataValidation type="decimal" allowBlank="1" showInputMessage="1" showErrorMessage="1" sqref="V347:V348" xr:uid="{C5436CAB-B4A3-4CD2-B790-ABBC67BD0DFD}">
      <formula1>194.9</formula1>
      <formula2>1000</formula2>
    </dataValidation>
    <dataValidation type="decimal" allowBlank="1" showInputMessage="1" showErrorMessage="1" sqref="V253:V258" xr:uid="{644BEE8A-4C8F-4D86-86CE-56D835D21BF1}">
      <formula1>104.9</formula1>
      <formula2>1000</formula2>
    </dataValidation>
    <dataValidation type="decimal" allowBlank="1" showInputMessage="1" showErrorMessage="1" sqref="V200:V202" xr:uid="{0EB850D4-6549-46C0-A025-295EC07B0BF2}">
      <formula1>98.9</formula1>
      <formula2>1000</formula2>
    </dataValidation>
    <dataValidation type="decimal" allowBlank="1" showInputMessage="1" showErrorMessage="1" sqref="V157:V162" xr:uid="{7C6FBB67-A2D4-45C7-A07E-5F7D413EB902}">
      <formula1>5</formula1>
      <formula2>1000</formula2>
    </dataValidation>
    <dataValidation type="decimal" allowBlank="1" showInputMessage="1" showErrorMessage="1" sqref="V136" xr:uid="{E8E90141-5F47-4630-B519-B17B26CF5B4D}">
      <formula1>42.9</formula1>
      <formula2>1000</formula2>
    </dataValidation>
    <dataValidation type="decimal" allowBlank="1" showInputMessage="1" showErrorMessage="1" sqref="V86:V88 V94:V95" xr:uid="{EE6205A4-2425-483F-914B-103377C1A949}">
      <formula1>37.9</formula1>
      <formula2>1000</formula2>
    </dataValidation>
    <dataValidation type="decimal" allowBlank="1" showInputMessage="1" showErrorMessage="1" sqref="V120:V121 V124" xr:uid="{D4DD9B0A-D431-4580-A304-FF05D2FF5D73}">
      <formula1>26.9</formula1>
      <formula2>1000</formula2>
    </dataValidation>
    <dataValidation type="decimal" allowBlank="1" showInputMessage="1" showErrorMessage="1" sqref="V110:V112" xr:uid="{A02A8E5E-1FE0-4B42-8757-0630D6145C15}">
      <formula1>159.9</formula1>
      <formula2>1000</formula2>
    </dataValidation>
    <dataValidation type="decimal" allowBlank="1" showInputMessage="1" showErrorMessage="1" sqref="V197:V199" xr:uid="{71F63A3C-1C5A-4593-9D0F-B94C9154BFE8}">
      <formula1>67.9</formula1>
      <formula2>1000</formula2>
    </dataValidation>
    <dataValidation type="decimal" allowBlank="1" showInputMessage="1" showErrorMessage="1" sqref="V76" xr:uid="{C078D4B6-0A8B-4CF4-A3FE-A84CDA1243A9}">
      <formula1>17.9</formula1>
      <formula2>1000</formula2>
    </dataValidation>
    <dataValidation type="decimal" allowBlank="1" showInputMessage="1" showErrorMessage="1" sqref="V123" xr:uid="{18D4EDD7-A7C2-4E0B-A705-81D14F2D6C7F}">
      <formula1>32.9</formula1>
      <formula2>1000</formula2>
    </dataValidation>
    <dataValidation type="decimal" allowBlank="1" showInputMessage="1" showErrorMessage="1" sqref="V65 V122" xr:uid="{AE1C14B5-C58A-4E80-9866-E9CF479BC722}">
      <formula1>29.9</formula1>
      <formula2>1000</formula2>
    </dataValidation>
    <dataValidation type="decimal" allowBlank="1" showInputMessage="1" showErrorMessage="1" sqref="V62" xr:uid="{E6902205-33B8-4D91-9EE0-CEC1EAA481FD}">
      <formula1>11.9</formula1>
      <formula2>1000</formula2>
    </dataValidation>
    <dataValidation type="decimal" allowBlank="1" showInputMessage="1" showErrorMessage="1" error="VALOR ABAIXO DO MÍNIMO PERMITIDO!" sqref="V74" xr:uid="{5113CAB8-C5D4-4840-8397-864ED215BFF0}">
      <formula1>27.9</formula1>
      <formula2>1000</formula2>
    </dataValidation>
    <dataValidation type="decimal" operator="greaterThan" allowBlank="1" showInputMessage="1" showErrorMessage="1" prompt="Digite um número - Esse campo aceita apenas números." sqref="E5:E7" xr:uid="{4C7E2912-E4FE-4B02-8A0F-6EDD8C3F0CBB}">
      <formula1>0</formula1>
    </dataValidation>
    <dataValidation type="list" allowBlank="1" showErrorMessage="1" sqref="E14" xr:uid="{BE246204-9F00-456C-A80E-7FF329DB7906}">
      <formula1>IF($E$9="A prazo",formadepgto,"")</formula1>
    </dataValidation>
    <dataValidation type="custom" allowBlank="1" showInputMessage="1" prompt="ATENÇÃO - Condição não aprovada!" sqref="T190 T174 T182" xr:uid="{A5DEB617-9D6F-4E66-8905-3D6F9F89986D}">
      <formula1>T174&gt;=(H174/0.75)</formula1>
    </dataValidation>
    <dataValidation type="list" allowBlank="1" showErrorMessage="1" sqref="E9" xr:uid="{266D8D69-1BC4-4674-BE89-6B1116E8FF86}">
      <formula1>condpgto</formula1>
    </dataValidation>
    <dataValidation type="decimal" allowBlank="1" showInputMessage="1" showErrorMessage="1" sqref="V125:V133" xr:uid="{2454F075-10E1-4212-90A8-DF64ACB0F439}">
      <formula1>61.9</formula1>
      <formula2>1000</formula2>
    </dataValidation>
    <dataValidation type="decimal" allowBlank="1" showInputMessage="1" showErrorMessage="1" error="VALOR ABAIXO DO MÍNIMO PERMITIDO!" sqref="V276:V346" xr:uid="{DB9432E5-8B19-4802-B9DE-335A5A1FB8BA}">
      <formula1>273.9</formula1>
      <formula2>1000</formula2>
    </dataValidation>
    <dataValidation type="list" allowBlank="1" showInputMessage="1" showErrorMessage="1" sqref="X157:X162" xr:uid="{71944D98-6308-41A9-9592-7FA524CC40BB}">
      <formula1>$BM$157:$BM$727</formula1>
    </dataValidation>
  </dataValidations>
  <pageMargins left="0.511811024" right="0.511811024" top="0.78740157499999996" bottom="0.78740157499999996" header="0" footer="0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xWindow="1725" yWindow="703" count="3">
        <x14:dataValidation type="list" allowBlank="1" showErrorMessage="1" xr:uid="{28DE8AE6-A5A7-4C9A-8410-5921BB82B879}">
          <x14:formula1>
            <xm:f>Sup!$N$2:$N$9</xm:f>
          </x14:formula1>
          <xm:sqref>E10</xm:sqref>
        </x14:dataValidation>
        <x14:dataValidation type="list" allowBlank="1" showErrorMessage="1" xr:uid="{7CAA0DAD-5542-4CC6-A9CA-6F4F3E18C68B}">
          <x14:formula1>
            <xm:f>Sup!$A$2:$A$3</xm:f>
          </x14:formula1>
          <xm:sqref>E8</xm:sqref>
        </x14:dataValidation>
        <x14:dataValidation type="list" allowBlank="1" showErrorMessage="1" xr:uid="{059A4CC9-5ABC-4791-B17A-E478CFF9E408}">
          <x14:formula1>
            <xm:f>IF(E14="Boleto",IF(AX15&gt;Sup!L1,b_100k,IF(AX15&gt;Sup!K1,b_75k,IF(AX15&gt;Sup!J1,b_50k,IF(AX15&gt;Sup!I1,b_25k,IF(AX15&gt;Sup!H1,b_10k,IF(AX15&gt;Sup!G1,b_5001,IF(AX15&gt;Sup!F1,b_3k,IF(AX15&gt;Sup!E1,b_1k,)))))))),IF(E14="C. Crédito",ccr,""))</xm:f>
          </x14:formula1>
          <xm:sqref>E15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AA1A0-088A-4A04-AF7A-1B0E58625637}">
  <sheetPr codeName="Planilha5">
    <tabColor theme="1" tint="0.34998626667073579"/>
  </sheetPr>
  <dimension ref="A1:AB31"/>
  <sheetViews>
    <sheetView showGridLines="0" showRowColHeaders="0" zoomScale="115" zoomScaleNormal="115" workbookViewId="0">
      <selection activeCell="B10" sqref="B10"/>
    </sheetView>
  </sheetViews>
  <sheetFormatPr defaultColWidth="9.28515625" defaultRowHeight="10.199999999999999"/>
  <cols>
    <col min="1" max="1" width="5.28515625" style="581" customWidth="1"/>
    <col min="2" max="2" width="25.140625" style="581" bestFit="1" customWidth="1"/>
    <col min="3" max="3" width="18.140625" style="581" customWidth="1"/>
    <col min="4" max="4" width="5.140625" style="581" customWidth="1"/>
    <col min="5" max="5" width="11.85546875" style="581" customWidth="1"/>
    <col min="6" max="16384" width="9.28515625" style="581"/>
  </cols>
  <sheetData>
    <row r="1" spans="1:28">
      <c r="A1" s="582"/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82"/>
      <c r="R1" s="582"/>
      <c r="S1" s="582"/>
      <c r="T1" s="582"/>
      <c r="U1" s="582"/>
      <c r="V1" s="582"/>
      <c r="W1" s="582"/>
      <c r="X1" s="582"/>
      <c r="Y1" s="582"/>
      <c r="Z1" s="582"/>
      <c r="AA1" s="582"/>
      <c r="AB1" s="582"/>
    </row>
    <row r="2" spans="1:28" ht="13.8">
      <c r="A2" s="582"/>
      <c r="B2" s="583"/>
      <c r="C2" s="583"/>
      <c r="D2" s="583"/>
      <c r="E2" s="583"/>
      <c r="F2" s="583"/>
      <c r="G2" s="582"/>
      <c r="H2" s="582"/>
      <c r="I2" s="582"/>
      <c r="J2" s="582"/>
      <c r="K2" s="582"/>
      <c r="L2" s="582"/>
      <c r="M2" s="582"/>
      <c r="N2" s="582"/>
      <c r="O2" s="582"/>
      <c r="P2" s="582"/>
      <c r="Q2" s="582"/>
      <c r="R2" s="582"/>
      <c r="S2" s="582"/>
      <c r="T2" s="582"/>
      <c r="U2" s="582"/>
      <c r="V2" s="582"/>
      <c r="W2" s="582"/>
      <c r="X2" s="582"/>
      <c r="Y2" s="582"/>
      <c r="Z2" s="582"/>
      <c r="AA2" s="582"/>
      <c r="AB2" s="582"/>
    </row>
    <row r="3" spans="1:28" ht="13.8">
      <c r="A3" s="582"/>
      <c r="B3" s="584" t="s">
        <v>396</v>
      </c>
      <c r="C3" s="584" t="s">
        <v>397</v>
      </c>
      <c r="D3" s="584"/>
      <c r="E3" s="584" t="s">
        <v>398</v>
      </c>
      <c r="F3" s="583"/>
      <c r="G3" s="582"/>
      <c r="H3" s="582"/>
      <c r="I3" s="582"/>
      <c r="J3" s="582"/>
      <c r="K3" s="582"/>
      <c r="L3" s="582"/>
      <c r="M3" s="582"/>
      <c r="N3" s="582"/>
      <c r="O3" s="582"/>
      <c r="P3" s="582"/>
      <c r="Q3" s="582"/>
      <c r="R3" s="582"/>
      <c r="S3" s="582"/>
      <c r="T3" s="582"/>
      <c r="U3" s="582"/>
      <c r="V3" s="582"/>
      <c r="W3" s="582"/>
      <c r="X3" s="582"/>
      <c r="Y3" s="582"/>
      <c r="Z3" s="582"/>
      <c r="AA3" s="582"/>
      <c r="AB3" s="582"/>
    </row>
    <row r="4" spans="1:28" ht="13.8">
      <c r="A4" s="582"/>
      <c r="B4" s="889" t="s">
        <v>735</v>
      </c>
      <c r="C4" s="890" t="e">
        <f>SUMIF(Pedido!#REF!,BU!B4,Pedido!#REF!)</f>
        <v>#REF!</v>
      </c>
      <c r="D4" s="890"/>
      <c r="E4" s="585">
        <f t="shared" ref="E4:E9" si="0">IFERROR(C4/$C$14,0)</f>
        <v>0</v>
      </c>
      <c r="F4" s="583"/>
      <c r="G4" s="582"/>
      <c r="H4" s="582"/>
      <c r="I4" s="582"/>
      <c r="J4" s="582"/>
      <c r="K4" s="582"/>
      <c r="L4" s="582"/>
      <c r="M4" s="582"/>
      <c r="N4" s="582"/>
      <c r="O4" s="582"/>
      <c r="P4" s="582"/>
      <c r="Q4" s="582"/>
      <c r="R4" s="582"/>
      <c r="S4" s="582"/>
      <c r="T4" s="582"/>
      <c r="U4" s="582"/>
      <c r="V4" s="582"/>
      <c r="W4" s="582"/>
      <c r="X4" s="582"/>
      <c r="Y4" s="582"/>
      <c r="Z4" s="582"/>
      <c r="AA4" s="582"/>
      <c r="AB4" s="582"/>
    </row>
    <row r="5" spans="1:28" ht="13.8">
      <c r="A5" s="582"/>
      <c r="B5" s="891" t="s">
        <v>506</v>
      </c>
      <c r="C5" s="900" t="e">
        <f>SUMIF(Pedido!#REF!,BU!B5,Pedido!#REF!)</f>
        <v>#REF!</v>
      </c>
      <c r="D5" s="892"/>
      <c r="E5" s="585">
        <f t="shared" si="0"/>
        <v>0</v>
      </c>
      <c r="F5" s="583"/>
      <c r="G5" s="582"/>
      <c r="H5" s="582"/>
      <c r="I5" s="582"/>
      <c r="J5" s="582"/>
      <c r="K5" s="582"/>
      <c r="L5" s="582"/>
      <c r="M5" s="582"/>
      <c r="N5" s="582"/>
      <c r="O5" s="582"/>
      <c r="P5" s="582"/>
      <c r="Q5" s="582"/>
      <c r="R5" s="582"/>
      <c r="S5" s="582"/>
      <c r="T5" s="582"/>
      <c r="U5" s="582"/>
      <c r="V5" s="582"/>
      <c r="W5" s="582"/>
      <c r="X5" s="582"/>
      <c r="Y5" s="582"/>
      <c r="Z5" s="582"/>
      <c r="AA5" s="582"/>
      <c r="AB5" s="582"/>
    </row>
    <row r="6" spans="1:28" ht="13.8">
      <c r="A6" s="582"/>
      <c r="B6" s="893" t="s">
        <v>736</v>
      </c>
      <c r="C6" s="898" t="e">
        <f>SUMIF(Pedido!#REF!,BU!B6,Pedido!#REF!)</f>
        <v>#REF!</v>
      </c>
      <c r="D6" s="894"/>
      <c r="E6" s="585">
        <f t="shared" si="0"/>
        <v>0</v>
      </c>
      <c r="F6" s="583"/>
      <c r="G6" s="582"/>
      <c r="H6" s="582"/>
      <c r="I6" s="582"/>
      <c r="J6" s="582"/>
      <c r="K6" s="582"/>
      <c r="L6" s="582"/>
      <c r="M6" s="582"/>
      <c r="N6" s="582"/>
      <c r="O6" s="582"/>
      <c r="P6" s="582"/>
      <c r="Q6" s="582"/>
      <c r="R6" s="582"/>
      <c r="S6" s="582"/>
      <c r="T6" s="582"/>
      <c r="U6" s="582"/>
      <c r="V6" s="582"/>
      <c r="W6" s="582"/>
      <c r="X6" s="582"/>
      <c r="Y6" s="582"/>
      <c r="Z6" s="582"/>
      <c r="AA6" s="582"/>
      <c r="AB6" s="582"/>
    </row>
    <row r="7" spans="1:28" ht="13.8">
      <c r="A7" s="582"/>
      <c r="B7" s="895" t="s">
        <v>737</v>
      </c>
      <c r="C7" s="892" t="e">
        <f>SUMIF(Pedido!#REF!,BU!B7,Pedido!#REF!)</f>
        <v>#REF!</v>
      </c>
      <c r="D7" s="896"/>
      <c r="E7" s="585">
        <f t="shared" si="0"/>
        <v>0</v>
      </c>
      <c r="F7" s="583"/>
      <c r="G7" s="582"/>
      <c r="H7" s="582"/>
      <c r="I7" s="582"/>
      <c r="J7" s="582"/>
      <c r="K7" s="582"/>
      <c r="L7" s="582"/>
      <c r="M7" s="582"/>
      <c r="N7" s="582"/>
      <c r="O7" s="582"/>
      <c r="P7" s="582"/>
      <c r="Q7" s="582"/>
      <c r="R7" s="582"/>
      <c r="S7" s="582"/>
      <c r="T7" s="582"/>
      <c r="U7" s="582"/>
      <c r="V7" s="582"/>
      <c r="W7" s="582"/>
      <c r="X7" s="582"/>
      <c r="Y7" s="582"/>
      <c r="Z7" s="582"/>
      <c r="AA7" s="582"/>
      <c r="AB7" s="582"/>
    </row>
    <row r="8" spans="1:28" ht="13.8">
      <c r="A8" s="582"/>
      <c r="B8" s="897" t="s">
        <v>738</v>
      </c>
      <c r="C8" s="894" t="e">
        <f>SUMIF(Pedido!#REF!,BU!B8,Pedido!#REF!)</f>
        <v>#REF!</v>
      </c>
      <c r="D8" s="898"/>
      <c r="E8" s="585">
        <f t="shared" si="0"/>
        <v>0</v>
      </c>
      <c r="F8" s="583"/>
      <c r="G8" s="582"/>
      <c r="H8" s="582"/>
      <c r="I8" s="582"/>
      <c r="J8" s="582"/>
      <c r="K8" s="582"/>
      <c r="L8" s="582"/>
      <c r="M8" s="582"/>
      <c r="N8" s="582"/>
      <c r="O8" s="582"/>
      <c r="P8" s="582"/>
      <c r="Q8" s="582"/>
      <c r="R8" s="582"/>
      <c r="S8" s="582"/>
      <c r="T8" s="582"/>
      <c r="U8" s="582"/>
      <c r="V8" s="582"/>
      <c r="W8" s="582"/>
      <c r="X8" s="582"/>
      <c r="Y8" s="582"/>
      <c r="Z8" s="582"/>
      <c r="AA8" s="582"/>
      <c r="AB8" s="582"/>
    </row>
    <row r="9" spans="1:28" ht="13.8">
      <c r="A9" s="582"/>
      <c r="B9" s="899" t="s">
        <v>739</v>
      </c>
      <c r="C9" s="896" t="e">
        <f>SUMIF(Pedido!#REF!,BU!B9,Pedido!#REF!)</f>
        <v>#REF!</v>
      </c>
      <c r="D9" s="900"/>
      <c r="E9" s="585">
        <f t="shared" si="0"/>
        <v>0</v>
      </c>
      <c r="F9" s="583"/>
      <c r="G9" s="582"/>
      <c r="H9" s="582"/>
      <c r="I9" s="582"/>
      <c r="J9" s="582"/>
      <c r="K9" s="582"/>
      <c r="L9" s="582"/>
      <c r="M9" s="582"/>
      <c r="N9" s="582"/>
      <c r="O9" s="582"/>
      <c r="P9" s="582"/>
      <c r="Q9" s="582"/>
      <c r="R9" s="582"/>
      <c r="S9" s="582"/>
      <c r="T9" s="582"/>
      <c r="U9" s="582"/>
      <c r="V9" s="582"/>
      <c r="W9" s="582"/>
      <c r="X9" s="582"/>
      <c r="Y9" s="582"/>
      <c r="Z9" s="582"/>
      <c r="AA9" s="582"/>
      <c r="AB9" s="582"/>
    </row>
    <row r="10" spans="1:28" ht="13.8">
      <c r="A10" s="582"/>
      <c r="B10" s="901"/>
      <c r="C10" s="902"/>
      <c r="D10" s="902"/>
      <c r="E10" s="903"/>
      <c r="F10" s="583"/>
      <c r="G10" s="582"/>
      <c r="H10" s="582"/>
      <c r="I10" s="582"/>
      <c r="J10" s="582"/>
      <c r="K10" s="582"/>
      <c r="L10" s="582"/>
      <c r="M10" s="582"/>
      <c r="N10" s="582"/>
      <c r="O10" s="582"/>
      <c r="P10" s="582"/>
      <c r="Q10" s="582"/>
      <c r="R10" s="582"/>
      <c r="S10" s="582"/>
      <c r="T10" s="582"/>
      <c r="U10" s="582"/>
      <c r="V10" s="582"/>
      <c r="W10" s="582"/>
      <c r="X10" s="582"/>
      <c r="Y10" s="582"/>
      <c r="Z10" s="582"/>
      <c r="AA10" s="582"/>
      <c r="AB10" s="582"/>
    </row>
    <row r="11" spans="1:28" ht="13.8">
      <c r="A11" s="582"/>
      <c r="B11" s="904"/>
      <c r="C11" s="905"/>
      <c r="D11" s="905"/>
      <c r="E11" s="906"/>
      <c r="F11" s="583"/>
      <c r="G11" s="582"/>
      <c r="H11" s="582"/>
      <c r="I11" s="582"/>
      <c r="J11" s="582"/>
      <c r="K11" s="582"/>
      <c r="L11" s="582"/>
      <c r="M11" s="582"/>
      <c r="N11" s="582"/>
      <c r="O11" s="582"/>
      <c r="P11" s="582"/>
      <c r="Q11" s="582"/>
      <c r="R11" s="582"/>
      <c r="S11" s="582"/>
      <c r="T11" s="582"/>
      <c r="U11" s="582"/>
      <c r="V11" s="582"/>
      <c r="W11" s="582"/>
      <c r="X11" s="582"/>
      <c r="Y11" s="582"/>
      <c r="Z11" s="582"/>
      <c r="AA11" s="582"/>
      <c r="AB11" s="582"/>
    </row>
    <row r="12" spans="1:28" ht="13.8">
      <c r="A12" s="582"/>
      <c r="B12" s="915"/>
      <c r="C12" s="907"/>
      <c r="D12" s="907"/>
      <c r="E12" s="908"/>
      <c r="F12" s="583"/>
      <c r="G12" s="582"/>
      <c r="H12" s="582"/>
      <c r="I12" s="582"/>
      <c r="J12" s="582"/>
      <c r="K12" s="582"/>
      <c r="L12" s="582"/>
      <c r="M12" s="582"/>
      <c r="N12" s="582"/>
      <c r="O12" s="582"/>
      <c r="P12" s="582"/>
      <c r="Q12" s="582"/>
      <c r="R12" s="582"/>
      <c r="S12" s="582"/>
      <c r="T12" s="582"/>
      <c r="U12" s="582"/>
      <c r="V12" s="582"/>
      <c r="W12" s="582"/>
      <c r="X12" s="582"/>
      <c r="Y12" s="582"/>
      <c r="Z12" s="582"/>
      <c r="AA12" s="582"/>
      <c r="AB12" s="582"/>
    </row>
    <row r="13" spans="1:28" ht="13.8">
      <c r="A13" s="582"/>
      <c r="B13" s="909"/>
      <c r="C13" s="910"/>
      <c r="D13" s="910"/>
      <c r="E13" s="911"/>
      <c r="F13" s="583"/>
      <c r="G13" s="582"/>
      <c r="H13" s="582"/>
      <c r="I13" s="582"/>
      <c r="J13" s="582"/>
      <c r="K13" s="582"/>
      <c r="L13" s="582"/>
      <c r="M13" s="582"/>
      <c r="N13" s="582"/>
      <c r="O13" s="582"/>
      <c r="P13" s="582"/>
      <c r="Q13" s="582"/>
      <c r="R13" s="582"/>
      <c r="S13" s="582"/>
      <c r="T13" s="582"/>
      <c r="U13" s="582"/>
      <c r="V13" s="582"/>
      <c r="W13" s="582"/>
      <c r="X13" s="582"/>
      <c r="Y13" s="582"/>
      <c r="Z13" s="582"/>
      <c r="AA13" s="582"/>
      <c r="AB13" s="582"/>
    </row>
    <row r="14" spans="1:28" ht="13.8">
      <c r="A14" s="582"/>
      <c r="B14" s="912" t="s">
        <v>399</v>
      </c>
      <c r="C14" s="913" t="e">
        <f>SUM(C4:C11)</f>
        <v>#REF!</v>
      </c>
      <c r="D14" s="913"/>
      <c r="E14" s="914">
        <f>SUM(E4:E9,E10:E12)-E12</f>
        <v>0</v>
      </c>
      <c r="F14" s="582"/>
      <c r="G14" s="582"/>
      <c r="H14" s="582"/>
      <c r="I14" s="582"/>
      <c r="J14" s="582"/>
      <c r="K14" s="582"/>
      <c r="L14" s="582"/>
      <c r="M14" s="582"/>
      <c r="N14" s="582"/>
      <c r="O14" s="582"/>
      <c r="P14" s="582"/>
      <c r="Q14" s="582"/>
      <c r="R14" s="582"/>
      <c r="S14" s="582"/>
      <c r="T14" s="582"/>
      <c r="U14" s="582"/>
      <c r="V14" s="582"/>
      <c r="W14" s="582"/>
      <c r="X14" s="582"/>
      <c r="Y14" s="582"/>
      <c r="Z14" s="582"/>
      <c r="AA14" s="582"/>
      <c r="AB14" s="582"/>
    </row>
    <row r="15" spans="1:28">
      <c r="A15" s="582"/>
      <c r="B15" s="582"/>
      <c r="C15" s="582"/>
      <c r="D15" s="582"/>
      <c r="E15" s="888"/>
      <c r="F15" s="582"/>
      <c r="G15" s="582"/>
      <c r="H15" s="582"/>
      <c r="I15" s="582"/>
      <c r="J15" s="582"/>
      <c r="K15" s="582"/>
      <c r="L15" s="582"/>
      <c r="M15" s="582"/>
      <c r="N15" s="582"/>
      <c r="O15" s="582"/>
      <c r="P15" s="582"/>
      <c r="Q15" s="582"/>
      <c r="R15" s="582"/>
      <c r="S15" s="582"/>
      <c r="T15" s="582"/>
      <c r="U15" s="582"/>
      <c r="V15" s="582"/>
      <c r="W15" s="582"/>
      <c r="X15" s="582"/>
      <c r="Y15" s="582"/>
      <c r="Z15" s="582"/>
      <c r="AA15" s="582"/>
      <c r="AB15" s="582"/>
    </row>
    <row r="16" spans="1:28">
      <c r="A16" s="582"/>
      <c r="B16" s="582"/>
      <c r="C16" s="582"/>
      <c r="D16" s="582"/>
      <c r="E16" s="582"/>
      <c r="F16" s="582"/>
      <c r="G16" s="582"/>
      <c r="H16" s="582"/>
      <c r="I16" s="582"/>
      <c r="J16" s="582"/>
      <c r="K16" s="582"/>
      <c r="L16" s="582"/>
      <c r="M16" s="582"/>
      <c r="N16" s="582"/>
      <c r="O16" s="582"/>
      <c r="P16" s="582"/>
      <c r="Q16" s="582"/>
      <c r="R16" s="582"/>
      <c r="S16" s="582"/>
      <c r="T16" s="582"/>
      <c r="U16" s="582"/>
      <c r="V16" s="582"/>
      <c r="W16" s="582"/>
      <c r="X16" s="582"/>
      <c r="Y16" s="582"/>
      <c r="Z16" s="582"/>
      <c r="AA16" s="582"/>
      <c r="AB16" s="582"/>
    </row>
    <row r="17" spans="1:28">
      <c r="A17" s="582"/>
      <c r="B17" s="582"/>
      <c r="C17" s="872"/>
      <c r="D17" s="872"/>
      <c r="E17" s="582"/>
      <c r="F17" s="582"/>
      <c r="G17" s="582"/>
      <c r="H17" s="582"/>
      <c r="I17" s="582"/>
      <c r="J17" s="582"/>
      <c r="K17" s="582"/>
      <c r="L17" s="582"/>
      <c r="M17" s="582"/>
      <c r="N17" s="582"/>
      <c r="O17" s="582"/>
      <c r="P17" s="582"/>
      <c r="Q17" s="582"/>
      <c r="R17" s="582"/>
      <c r="S17" s="582"/>
      <c r="T17" s="582"/>
      <c r="U17" s="582"/>
      <c r="V17" s="582"/>
      <c r="W17" s="582"/>
      <c r="X17" s="582"/>
      <c r="Y17" s="582"/>
      <c r="Z17" s="582"/>
      <c r="AA17" s="582"/>
      <c r="AB17" s="582"/>
    </row>
    <row r="18" spans="1:28">
      <c r="A18" s="582"/>
      <c r="B18" s="582"/>
      <c r="C18" s="582"/>
      <c r="D18" s="582"/>
      <c r="E18" s="582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582"/>
      <c r="Q18" s="582"/>
      <c r="R18" s="582"/>
      <c r="S18" s="582"/>
      <c r="T18" s="582"/>
      <c r="U18" s="582"/>
      <c r="V18" s="582"/>
      <c r="W18" s="582"/>
      <c r="X18" s="582"/>
      <c r="Y18" s="582"/>
      <c r="Z18" s="582"/>
      <c r="AA18" s="582"/>
      <c r="AB18" s="582"/>
    </row>
    <row r="19" spans="1:28">
      <c r="A19" s="582"/>
      <c r="B19" s="582"/>
      <c r="C19" s="582"/>
      <c r="D19" s="582"/>
      <c r="E19" s="582"/>
      <c r="F19" s="582"/>
      <c r="G19" s="582"/>
      <c r="H19" s="582"/>
      <c r="I19" s="582"/>
      <c r="J19" s="582"/>
      <c r="K19" s="582"/>
      <c r="L19" s="582"/>
      <c r="M19" s="582"/>
      <c r="N19" s="582"/>
      <c r="O19" s="582"/>
      <c r="P19" s="582"/>
      <c r="Q19" s="582"/>
      <c r="R19" s="582"/>
      <c r="S19" s="582"/>
      <c r="T19" s="582"/>
      <c r="U19" s="582"/>
      <c r="V19" s="582"/>
      <c r="W19" s="582"/>
      <c r="X19" s="582"/>
      <c r="Y19" s="582"/>
      <c r="Z19" s="582"/>
      <c r="AA19" s="582"/>
      <c r="AB19" s="582"/>
    </row>
    <row r="20" spans="1:28">
      <c r="A20" s="582"/>
      <c r="B20" s="582"/>
      <c r="C20" s="582"/>
      <c r="D20" s="582"/>
      <c r="E20" s="582"/>
      <c r="F20" s="582"/>
      <c r="G20" s="582"/>
      <c r="H20" s="582"/>
      <c r="I20" s="582"/>
      <c r="J20" s="582"/>
      <c r="K20" s="582"/>
      <c r="L20" s="582"/>
      <c r="M20" s="582"/>
      <c r="N20" s="582"/>
      <c r="O20" s="582"/>
      <c r="P20" s="582"/>
      <c r="Q20" s="582"/>
      <c r="R20" s="582"/>
      <c r="S20" s="582"/>
      <c r="T20" s="582"/>
      <c r="U20" s="582"/>
      <c r="V20" s="582"/>
      <c r="W20" s="582"/>
      <c r="X20" s="582"/>
      <c r="Y20" s="582"/>
      <c r="Z20" s="582"/>
      <c r="AA20" s="582"/>
      <c r="AB20" s="582"/>
    </row>
    <row r="21" spans="1:28">
      <c r="A21" s="582"/>
      <c r="B21" s="582"/>
      <c r="C21" s="582"/>
      <c r="D21" s="582"/>
      <c r="E21" s="582"/>
      <c r="F21" s="582"/>
      <c r="G21" s="582"/>
      <c r="H21" s="582"/>
      <c r="I21" s="582"/>
      <c r="J21" s="582"/>
      <c r="K21" s="582"/>
      <c r="L21" s="582"/>
      <c r="M21" s="582"/>
      <c r="N21" s="582"/>
      <c r="O21" s="582"/>
      <c r="P21" s="582"/>
      <c r="Q21" s="582"/>
      <c r="R21" s="582"/>
      <c r="S21" s="582"/>
      <c r="T21" s="582"/>
      <c r="U21" s="582"/>
      <c r="V21" s="582"/>
      <c r="W21" s="582"/>
      <c r="X21" s="582"/>
      <c r="Y21" s="582"/>
      <c r="Z21" s="582"/>
      <c r="AA21" s="582"/>
      <c r="AB21" s="582"/>
    </row>
    <row r="22" spans="1:28">
      <c r="A22" s="582"/>
      <c r="B22" s="582"/>
      <c r="C22" s="582"/>
      <c r="D22" s="582"/>
      <c r="E22" s="582"/>
      <c r="F22" s="582"/>
      <c r="G22" s="582"/>
      <c r="H22" s="582"/>
      <c r="I22" s="582"/>
      <c r="J22" s="582"/>
      <c r="K22" s="582"/>
      <c r="L22" s="582"/>
      <c r="M22" s="582"/>
      <c r="N22" s="582"/>
      <c r="O22" s="582"/>
      <c r="P22" s="582"/>
      <c r="Q22" s="582"/>
      <c r="R22" s="582"/>
      <c r="S22" s="582"/>
      <c r="T22" s="582"/>
      <c r="U22" s="582"/>
      <c r="V22" s="582"/>
      <c r="W22" s="582"/>
      <c r="X22" s="582"/>
      <c r="Y22" s="582"/>
      <c r="Z22" s="582"/>
      <c r="AA22" s="582"/>
      <c r="AB22" s="582"/>
    </row>
    <row r="23" spans="1:28">
      <c r="A23" s="582"/>
      <c r="B23" s="582"/>
      <c r="C23" s="582"/>
      <c r="D23" s="582"/>
      <c r="E23" s="582"/>
      <c r="F23" s="582"/>
      <c r="G23" s="582"/>
      <c r="H23" s="582"/>
      <c r="I23" s="582"/>
      <c r="J23" s="582"/>
      <c r="K23" s="582"/>
      <c r="L23" s="582"/>
      <c r="M23" s="582"/>
      <c r="N23" s="582"/>
      <c r="O23" s="582"/>
      <c r="P23" s="582"/>
      <c r="Q23" s="582"/>
      <c r="R23" s="582"/>
      <c r="S23" s="582"/>
      <c r="T23" s="582"/>
      <c r="U23" s="582"/>
      <c r="V23" s="582"/>
      <c r="W23" s="582"/>
      <c r="X23" s="582"/>
      <c r="Y23" s="582"/>
      <c r="Z23" s="582"/>
      <c r="AA23" s="582"/>
      <c r="AB23" s="582"/>
    </row>
    <row r="24" spans="1:28">
      <c r="A24" s="582"/>
      <c r="B24" s="582"/>
      <c r="C24" s="582"/>
      <c r="D24" s="582"/>
      <c r="E24" s="582"/>
      <c r="F24" s="582"/>
      <c r="G24" s="582"/>
      <c r="H24" s="582"/>
      <c r="I24" s="582"/>
      <c r="J24" s="582"/>
      <c r="K24" s="582"/>
      <c r="L24" s="582"/>
      <c r="M24" s="582"/>
      <c r="N24" s="582"/>
      <c r="O24" s="582"/>
      <c r="P24" s="582"/>
      <c r="Q24" s="582"/>
      <c r="R24" s="582"/>
      <c r="S24" s="582"/>
      <c r="T24" s="582"/>
      <c r="U24" s="582"/>
      <c r="V24" s="582"/>
      <c r="W24" s="582"/>
      <c r="X24" s="582"/>
      <c r="Y24" s="582"/>
      <c r="Z24" s="582"/>
      <c r="AA24" s="582"/>
      <c r="AB24" s="582"/>
    </row>
    <row r="25" spans="1:28">
      <c r="A25" s="582"/>
      <c r="B25" s="582"/>
      <c r="C25" s="582"/>
      <c r="D25" s="582"/>
      <c r="E25" s="582"/>
      <c r="F25" s="582"/>
      <c r="G25" s="582"/>
      <c r="H25" s="582"/>
      <c r="I25" s="582"/>
      <c r="J25" s="582"/>
      <c r="K25" s="582"/>
      <c r="L25" s="582"/>
      <c r="M25" s="582"/>
      <c r="N25" s="582"/>
      <c r="O25" s="582"/>
      <c r="P25" s="582"/>
      <c r="Q25" s="582"/>
      <c r="R25" s="582"/>
      <c r="S25" s="582"/>
      <c r="T25" s="582"/>
      <c r="U25" s="582"/>
      <c r="V25" s="582"/>
      <c r="W25" s="582"/>
      <c r="X25" s="582"/>
      <c r="Y25" s="582"/>
      <c r="Z25" s="582"/>
      <c r="AA25" s="582"/>
      <c r="AB25" s="582"/>
    </row>
    <row r="26" spans="1:28">
      <c r="A26" s="582"/>
      <c r="B26" s="582"/>
      <c r="C26" s="582"/>
      <c r="D26" s="582"/>
      <c r="E26" s="582"/>
      <c r="F26" s="582"/>
      <c r="G26" s="582"/>
      <c r="H26" s="582"/>
      <c r="I26" s="582"/>
      <c r="J26" s="582"/>
      <c r="K26" s="582"/>
      <c r="L26" s="582"/>
      <c r="M26" s="582"/>
      <c r="N26" s="582"/>
      <c r="O26" s="582"/>
      <c r="P26" s="582"/>
      <c r="Q26" s="582"/>
      <c r="R26" s="582"/>
      <c r="S26" s="582"/>
      <c r="T26" s="582"/>
      <c r="U26" s="582"/>
      <c r="V26" s="582"/>
      <c r="W26" s="582"/>
      <c r="X26" s="582"/>
      <c r="Y26" s="582"/>
      <c r="Z26" s="582"/>
      <c r="AA26" s="582"/>
      <c r="AB26" s="582"/>
    </row>
    <row r="27" spans="1:28">
      <c r="A27" s="582"/>
      <c r="B27" s="582"/>
      <c r="C27" s="582"/>
      <c r="D27" s="582"/>
      <c r="E27" s="582"/>
      <c r="F27" s="582"/>
      <c r="G27" s="582"/>
      <c r="H27" s="582"/>
      <c r="I27" s="582"/>
      <c r="J27" s="582"/>
      <c r="K27" s="582"/>
      <c r="L27" s="582"/>
      <c r="M27" s="582"/>
      <c r="N27" s="582"/>
      <c r="O27" s="582"/>
      <c r="P27" s="582"/>
      <c r="Q27" s="582"/>
      <c r="R27" s="582"/>
      <c r="S27" s="582"/>
      <c r="T27" s="582"/>
      <c r="U27" s="582"/>
      <c r="V27" s="582"/>
      <c r="W27" s="582"/>
      <c r="X27" s="582"/>
      <c r="Y27" s="582"/>
      <c r="Z27" s="582"/>
      <c r="AA27" s="582"/>
      <c r="AB27" s="582"/>
    </row>
    <row r="28" spans="1:28">
      <c r="A28" s="582"/>
      <c r="B28" s="582"/>
      <c r="C28" s="582"/>
      <c r="D28" s="582"/>
      <c r="E28" s="582"/>
      <c r="F28" s="582"/>
      <c r="G28" s="582"/>
      <c r="H28" s="582"/>
      <c r="I28" s="582"/>
      <c r="J28" s="582"/>
      <c r="K28" s="582"/>
      <c r="L28" s="582"/>
      <c r="M28" s="582"/>
      <c r="N28" s="582"/>
      <c r="O28" s="582"/>
      <c r="P28" s="582"/>
      <c r="Q28" s="582"/>
      <c r="R28" s="582"/>
      <c r="S28" s="582"/>
      <c r="T28" s="582"/>
      <c r="U28" s="582"/>
      <c r="V28" s="582"/>
      <c r="W28" s="582"/>
      <c r="X28" s="582"/>
      <c r="Y28" s="582"/>
      <c r="Z28" s="582"/>
      <c r="AA28" s="582"/>
      <c r="AB28" s="582"/>
    </row>
    <row r="29" spans="1:28">
      <c r="A29" s="582"/>
      <c r="B29" s="582"/>
      <c r="C29" s="582"/>
      <c r="D29" s="582"/>
      <c r="E29" s="582"/>
      <c r="F29" s="582"/>
      <c r="G29" s="582"/>
      <c r="H29" s="582"/>
      <c r="I29" s="582"/>
      <c r="J29" s="582"/>
      <c r="K29" s="582"/>
      <c r="L29" s="582"/>
      <c r="M29" s="582"/>
      <c r="N29" s="582"/>
      <c r="O29" s="582"/>
      <c r="P29" s="582"/>
      <c r="Q29" s="582"/>
      <c r="R29" s="582"/>
      <c r="S29" s="582"/>
      <c r="T29" s="582"/>
      <c r="U29" s="582"/>
      <c r="V29" s="582"/>
      <c r="W29" s="582"/>
      <c r="X29" s="582"/>
      <c r="Y29" s="582"/>
      <c r="Z29" s="582"/>
      <c r="AA29" s="582"/>
      <c r="AB29" s="582"/>
    </row>
    <row r="30" spans="1:28">
      <c r="A30" s="582"/>
      <c r="B30" s="582"/>
      <c r="C30" s="582"/>
      <c r="D30" s="582"/>
      <c r="E30" s="582"/>
      <c r="F30" s="582"/>
      <c r="G30" s="582"/>
      <c r="H30" s="582"/>
      <c r="I30" s="582"/>
      <c r="J30" s="582"/>
      <c r="K30" s="582"/>
      <c r="L30" s="582"/>
      <c r="M30" s="582"/>
      <c r="N30" s="582"/>
      <c r="O30" s="582"/>
      <c r="P30" s="582"/>
      <c r="Q30" s="582"/>
      <c r="R30" s="582"/>
      <c r="S30" s="582"/>
      <c r="T30" s="582"/>
      <c r="U30" s="582"/>
      <c r="V30" s="582"/>
      <c r="W30" s="582"/>
      <c r="X30" s="582"/>
      <c r="Y30" s="582"/>
      <c r="Z30" s="582"/>
      <c r="AA30" s="582"/>
      <c r="AB30" s="582"/>
    </row>
    <row r="31" spans="1:28">
      <c r="A31" s="582"/>
      <c r="B31" s="582"/>
      <c r="C31" s="582"/>
      <c r="D31" s="582"/>
      <c r="E31" s="582"/>
      <c r="F31" s="582"/>
      <c r="G31" s="582"/>
      <c r="H31" s="582"/>
      <c r="I31" s="582"/>
      <c r="J31" s="582"/>
      <c r="K31" s="582"/>
      <c r="L31" s="582"/>
      <c r="M31" s="582"/>
      <c r="N31" s="582"/>
      <c r="O31" s="582"/>
      <c r="P31" s="582"/>
      <c r="Q31" s="582"/>
      <c r="R31" s="582"/>
      <c r="S31" s="582"/>
      <c r="T31" s="582"/>
      <c r="U31" s="582"/>
      <c r="V31" s="582"/>
      <c r="W31" s="582"/>
      <c r="X31" s="582"/>
      <c r="Y31" s="582"/>
      <c r="Z31" s="582"/>
      <c r="AA31" s="582"/>
      <c r="AB31" s="582"/>
    </row>
  </sheetData>
  <sheetProtection algorithmName="SHA-512" hashValue="KOvvXTgqp9UO/M3eDMZmZKtLbySbmqUBdYQ07SMv7eJC+jH0k5VFyQSCTNEthY4aYSnitIi3j0hSFDYVXE7kcg==" saltValue="cc9u3eQhFWYr4sJfNFUgGA==" spinCount="100000" sheet="1" objects="1" scenarios="1"/>
  <sortState xmlns:xlrd2="http://schemas.microsoft.com/office/spreadsheetml/2017/richdata2" ref="B5:B9">
    <sortCondition ref="B4:B9"/>
  </sortState>
  <conditionalFormatting sqref="E4:E11">
    <cfRule type="iconSet" priority="2">
      <iconSet iconSet="3Arrows">
        <cfvo type="percent" val="0"/>
        <cfvo type="percent" val="33"/>
        <cfvo type="percent" val="67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C691E-C87B-4C0D-80F9-6EFC1D76A9F6}">
  <sheetPr codeName="Planilha6">
    <tabColor rgb="FFC00000"/>
  </sheetPr>
  <dimension ref="B3:N75"/>
  <sheetViews>
    <sheetView showGridLines="0" zoomScale="70" zoomScaleNormal="70" workbookViewId="0">
      <selection activeCell="F38" sqref="F38"/>
    </sheetView>
  </sheetViews>
  <sheetFormatPr defaultColWidth="10.7109375" defaultRowHeight="15.6"/>
  <cols>
    <col min="1" max="1" width="10.7109375" style="1190"/>
    <col min="2" max="2" width="68.7109375" style="1190" customWidth="1"/>
    <col min="3" max="3" width="20.140625" style="1190" bestFit="1" customWidth="1"/>
    <col min="4" max="4" width="13.140625" style="1190" customWidth="1"/>
    <col min="5" max="5" width="14.140625" style="1190" bestFit="1" customWidth="1"/>
    <col min="6" max="6" width="24.85546875" style="1190" customWidth="1"/>
    <col min="7" max="7" width="22.7109375" style="1190" customWidth="1"/>
    <col min="8" max="8" width="21" style="1190" bestFit="1" customWidth="1"/>
    <col min="9" max="9" width="13.140625" style="1190" customWidth="1"/>
    <col min="10" max="10" width="20.7109375" style="1190" bestFit="1" customWidth="1"/>
    <col min="11" max="11" width="26.85546875" style="1190" bestFit="1" customWidth="1"/>
    <col min="12" max="13" width="24.140625" style="1190" bestFit="1" customWidth="1"/>
    <col min="14" max="14" width="20" style="1190" bestFit="1" customWidth="1"/>
    <col min="15" max="16384" width="10.7109375" style="1190"/>
  </cols>
  <sheetData>
    <row r="3" spans="2:14">
      <c r="B3" s="1188" t="s">
        <v>555</v>
      </c>
      <c r="C3" s="1188" t="s">
        <v>556</v>
      </c>
      <c r="D3" s="1189" t="s">
        <v>557</v>
      </c>
      <c r="E3" s="1189" t="s">
        <v>558</v>
      </c>
      <c r="F3" s="1189" t="s">
        <v>559</v>
      </c>
      <c r="H3" s="1191" t="s">
        <v>555</v>
      </c>
    </row>
    <row r="4" spans="2:14">
      <c r="B4" s="1192" t="s">
        <v>560</v>
      </c>
      <c r="C4" s="1193">
        <v>1.3937999999999999</v>
      </c>
      <c r="D4" s="1194">
        <v>0.19</v>
      </c>
      <c r="E4" s="1194">
        <v>7.0000000000000007E-2</v>
      </c>
      <c r="F4" s="1195">
        <v>0</v>
      </c>
      <c r="H4" s="1196" t="e">
        <f>#REF!</f>
        <v>#REF!</v>
      </c>
    </row>
    <row r="5" spans="2:14">
      <c r="B5" s="1192" t="s">
        <v>561</v>
      </c>
      <c r="C5" s="1193">
        <v>0.80330000000000001</v>
      </c>
      <c r="D5" s="1194">
        <v>0.18</v>
      </c>
      <c r="E5" s="1194">
        <v>7.0000000000000007E-2</v>
      </c>
      <c r="F5" s="1192"/>
    </row>
    <row r="6" spans="2:14">
      <c r="B6" s="1192" t="s">
        <v>562</v>
      </c>
      <c r="C6" s="1193">
        <v>0.93730000000000002</v>
      </c>
      <c r="D6" s="1194">
        <v>0.2</v>
      </c>
      <c r="E6" s="1194">
        <v>7.0000000000000007E-2</v>
      </c>
      <c r="F6" s="1192"/>
    </row>
    <row r="7" spans="2:14">
      <c r="B7" s="1192" t="s">
        <v>563</v>
      </c>
      <c r="C7" s="1193">
        <v>0.66339999999999999</v>
      </c>
      <c r="D7" s="1194">
        <v>0.18</v>
      </c>
      <c r="E7" s="1194">
        <v>0.12</v>
      </c>
      <c r="F7" s="1192"/>
    </row>
    <row r="8" spans="2:14">
      <c r="B8" s="1192" t="s">
        <v>564</v>
      </c>
      <c r="C8" s="1193">
        <v>0.45519999999999999</v>
      </c>
      <c r="D8" s="1194">
        <v>0.17</v>
      </c>
      <c r="E8" s="1194">
        <v>7.0000000000000007E-2</v>
      </c>
      <c r="F8" s="1192"/>
    </row>
    <row r="9" spans="2:14">
      <c r="B9" s="1192" t="s">
        <v>565</v>
      </c>
      <c r="C9" s="1193">
        <v>0.85489999999999999</v>
      </c>
      <c r="D9" s="1194">
        <v>0.22</v>
      </c>
      <c r="E9" s="1194">
        <v>0.12</v>
      </c>
      <c r="F9" s="1192"/>
    </row>
    <row r="10" spans="2:14">
      <c r="B10" s="1192" t="s">
        <v>566</v>
      </c>
      <c r="C10" s="1193">
        <v>0.72940000000000005</v>
      </c>
      <c r="D10" s="1194">
        <v>0.18</v>
      </c>
      <c r="E10" s="1194">
        <v>0.12</v>
      </c>
      <c r="F10" s="1192"/>
    </row>
    <row r="11" spans="2:14">
      <c r="B11" s="1192"/>
      <c r="C11" s="1193"/>
      <c r="D11" s="1194"/>
      <c r="E11" s="1194"/>
      <c r="F11" s="1192"/>
    </row>
    <row r="12" spans="2:14" ht="16.2" thickBot="1">
      <c r="B12" s="1192"/>
      <c r="C12" s="1193"/>
      <c r="D12" s="1194"/>
      <c r="E12" s="1194"/>
      <c r="F12" s="1192"/>
    </row>
    <row r="13" spans="2:14" s="1197" customFormat="1" ht="35.25" customHeight="1" thickBot="1">
      <c r="B13" s="1894" t="s">
        <v>567</v>
      </c>
      <c r="C13" s="1895"/>
      <c r="D13" s="1895"/>
      <c r="E13" s="1895"/>
      <c r="F13" s="1895"/>
      <c r="G13" s="1895"/>
      <c r="H13" s="1895"/>
      <c r="I13" s="1895"/>
      <c r="J13" s="1895"/>
      <c r="K13" s="1895"/>
      <c r="L13" s="1895"/>
      <c r="M13" s="1895"/>
      <c r="N13" s="1896"/>
    </row>
    <row r="14" spans="2:14" s="1197" customFormat="1" ht="16.5" hidden="1" customHeight="1" thickBot="1">
      <c r="B14" s="1198"/>
      <c r="C14" s="1199"/>
      <c r="D14" s="1199"/>
      <c r="E14" s="1199"/>
      <c r="F14" s="1199"/>
      <c r="G14" s="1199"/>
      <c r="H14" s="1199"/>
      <c r="I14" s="1199"/>
      <c r="J14" s="1199"/>
      <c r="K14" s="1199"/>
      <c r="L14" s="1199"/>
      <c r="M14" s="1199"/>
      <c r="N14" s="1200"/>
    </row>
    <row r="15" spans="2:14" s="1203" customFormat="1" ht="24" hidden="1" thickBot="1">
      <c r="B15" s="1897" t="s">
        <v>568</v>
      </c>
      <c r="C15" s="1898"/>
      <c r="D15" s="1201"/>
      <c r="E15" s="1201"/>
      <c r="F15" s="1201"/>
      <c r="G15" s="1201"/>
      <c r="H15" s="1201"/>
      <c r="I15" s="1201"/>
      <c r="J15" s="1201"/>
      <c r="K15" s="1201"/>
      <c r="L15" s="1201"/>
      <c r="M15" s="1201"/>
      <c r="N15" s="1202"/>
    </row>
    <row r="16" spans="2:14" s="1208" customFormat="1" ht="18.75" hidden="1" customHeight="1">
      <c r="B16" s="1204" t="s">
        <v>569</v>
      </c>
      <c r="C16" s="1205">
        <v>0.18</v>
      </c>
      <c r="D16" s="1206"/>
      <c r="E16" s="1206"/>
      <c r="F16" s="1206"/>
      <c r="G16" s="1206"/>
      <c r="H16" s="1206"/>
      <c r="I16" s="1206"/>
      <c r="J16" s="1206"/>
      <c r="K16" s="1206"/>
      <c r="L16" s="1206"/>
      <c r="M16" s="1206"/>
      <c r="N16" s="1207"/>
    </row>
    <row r="17" spans="2:14" s="1208" customFormat="1" ht="18.75" hidden="1" customHeight="1" thickBot="1">
      <c r="B17" s="1209" t="s">
        <v>570</v>
      </c>
      <c r="C17" s="1210">
        <v>7.0000000000000007E-2</v>
      </c>
      <c r="D17" s="1206"/>
      <c r="E17" s="1206"/>
      <c r="F17" s="1206"/>
      <c r="G17" s="1206"/>
      <c r="H17" s="1206"/>
      <c r="I17" s="1206"/>
      <c r="J17" s="1206"/>
      <c r="K17" s="1206"/>
      <c r="L17" s="1206"/>
      <c r="M17" s="1206"/>
      <c r="N17" s="1207"/>
    </row>
    <row r="18" spans="2:14" ht="16.2" hidden="1" thickBot="1">
      <c r="B18" s="1211"/>
      <c r="C18" s="1212"/>
      <c r="D18" s="1212"/>
      <c r="E18" s="1212"/>
      <c r="F18" s="1212"/>
      <c r="G18" s="1212"/>
      <c r="H18" s="1212"/>
      <c r="I18" s="1212"/>
      <c r="J18" s="1212"/>
      <c r="K18" s="1212"/>
      <c r="L18" s="1212"/>
      <c r="M18" s="1212"/>
      <c r="N18" s="1213"/>
    </row>
    <row r="19" spans="2:14" ht="57" customHeight="1" thickBot="1">
      <c r="B19" s="1214" t="s">
        <v>571</v>
      </c>
      <c r="C19" s="1215" t="s">
        <v>572</v>
      </c>
      <c r="D19" s="1215" t="s">
        <v>573</v>
      </c>
      <c r="E19" s="1215" t="s">
        <v>574</v>
      </c>
      <c r="F19" s="1215" t="s">
        <v>575</v>
      </c>
      <c r="G19" s="1215" t="s">
        <v>576</v>
      </c>
      <c r="H19" s="1216" t="s">
        <v>577</v>
      </c>
      <c r="I19" s="1217" t="s">
        <v>578</v>
      </c>
      <c r="J19" s="1218" t="s">
        <v>579</v>
      </c>
      <c r="K19" s="1219" t="s">
        <v>580</v>
      </c>
      <c r="L19" s="1220" t="s">
        <v>581</v>
      </c>
      <c r="M19" s="1220" t="s">
        <v>582</v>
      </c>
      <c r="N19" s="1221" t="s">
        <v>583</v>
      </c>
    </row>
    <row r="20" spans="2:14">
      <c r="B20" s="1222" t="e">
        <f>CONCATENATE(#REF!," ",#REF!)</f>
        <v>#REF!</v>
      </c>
      <c r="C20" s="1223" t="e">
        <f>(#REF!*#REF!)+(#REF!*#REF!)</f>
        <v>#REF!</v>
      </c>
      <c r="D20" s="1223">
        <v>0</v>
      </c>
      <c r="E20" s="1223">
        <v>0</v>
      </c>
      <c r="F20" s="1223">
        <v>0</v>
      </c>
      <c r="G20" s="1223">
        <v>0</v>
      </c>
      <c r="H20" s="1224" t="e">
        <f t="shared" ref="H20:H26" si="0">(C20+D20+E20+F20)-(G20)</f>
        <v>#REF!</v>
      </c>
      <c r="I20" s="1225" t="e">
        <f t="shared" ref="I20:I53" si="1">VLOOKUP($H$4,$B$4:$C$10,2,0)</f>
        <v>#REF!</v>
      </c>
      <c r="J20" s="1226" t="e">
        <f t="shared" ref="J20:J26" si="2">(H20*I20)</f>
        <v>#REF!</v>
      </c>
      <c r="K20" s="1227">
        <f>IFERROR(((H20+(H20*$E$20))*(1+(VLOOKUP($H$4,$B$4:$C$12,2,0)))),0)</f>
        <v>0</v>
      </c>
      <c r="L20" s="1228">
        <f t="shared" ref="L20:L26" si="3">IFERROR(K20*VLOOKUP($H$4,$B$4:$E$12,3,0),0)</f>
        <v>0</v>
      </c>
      <c r="M20" s="1229">
        <f t="shared" ref="M20:M26" si="4">IFERROR(C20*(VLOOKUP($H$4,$B$4:$F$12,4,0)),0)</f>
        <v>0</v>
      </c>
      <c r="N20" s="1230">
        <f t="shared" ref="N20:N26" si="5">(L20-M20)</f>
        <v>0</v>
      </c>
    </row>
    <row r="21" spans="2:14">
      <c r="B21" s="1222" t="e">
        <f>CONCATENATE(#REF!," ",#REF!)</f>
        <v>#REF!</v>
      </c>
      <c r="C21" s="1223" t="e">
        <f>(#REF!*#REF!)+(#REF!*#REF!)</f>
        <v>#REF!</v>
      </c>
      <c r="D21" s="1223">
        <v>0</v>
      </c>
      <c r="E21" s="1223">
        <v>0</v>
      </c>
      <c r="F21" s="1223">
        <v>0</v>
      </c>
      <c r="G21" s="1223">
        <v>0</v>
      </c>
      <c r="H21" s="1224" t="e">
        <f t="shared" si="0"/>
        <v>#REF!</v>
      </c>
      <c r="I21" s="1225" t="e">
        <f t="shared" si="1"/>
        <v>#REF!</v>
      </c>
      <c r="J21" s="1226" t="e">
        <f t="shared" si="2"/>
        <v>#REF!</v>
      </c>
      <c r="K21" s="1227">
        <f>IFERROR(((H21+(H21*$E$30))*(1+(VLOOKUP($H$4,$B$4:$C$12,2,0)))),0)</f>
        <v>0</v>
      </c>
      <c r="L21" s="1228">
        <f t="shared" si="3"/>
        <v>0</v>
      </c>
      <c r="M21" s="1229">
        <f t="shared" si="4"/>
        <v>0</v>
      </c>
      <c r="N21" s="1230">
        <f t="shared" si="5"/>
        <v>0</v>
      </c>
    </row>
    <row r="22" spans="2:14">
      <c r="B22" s="1222" t="e">
        <f>CONCATENATE(#REF!," ",#REF!)</f>
        <v>#REF!</v>
      </c>
      <c r="C22" s="1223" t="e">
        <f>(#REF!*#REF!)+(#REF!*#REF!)</f>
        <v>#REF!</v>
      </c>
      <c r="D22" s="1223">
        <v>0</v>
      </c>
      <c r="E22" s="1223">
        <v>0</v>
      </c>
      <c r="F22" s="1223">
        <v>0</v>
      </c>
      <c r="G22" s="1223">
        <v>0</v>
      </c>
      <c r="H22" s="1224" t="e">
        <f t="shared" si="0"/>
        <v>#REF!</v>
      </c>
      <c r="I22" s="1225" t="e">
        <f t="shared" si="1"/>
        <v>#REF!</v>
      </c>
      <c r="J22" s="1226" t="e">
        <f t="shared" si="2"/>
        <v>#REF!</v>
      </c>
      <c r="K22" s="1227">
        <f>IFERROR(((H22+(H22*$E$22))*(1+(VLOOKUP($H$4,$B$4:$C$12,2,0)))),0)</f>
        <v>0</v>
      </c>
      <c r="L22" s="1228">
        <f t="shared" si="3"/>
        <v>0</v>
      </c>
      <c r="M22" s="1229">
        <f t="shared" si="4"/>
        <v>0</v>
      </c>
      <c r="N22" s="1230">
        <f t="shared" si="5"/>
        <v>0</v>
      </c>
    </row>
    <row r="23" spans="2:14">
      <c r="B23" s="1222" t="e">
        <f>CONCATENATE(#REF!," ",#REF!)</f>
        <v>#REF!</v>
      </c>
      <c r="C23" s="1223" t="e">
        <f>(#REF!*#REF!)+(#REF!*#REF!)</f>
        <v>#REF!</v>
      </c>
      <c r="D23" s="1223">
        <v>0</v>
      </c>
      <c r="E23" s="1223">
        <v>0</v>
      </c>
      <c r="F23" s="1223">
        <v>0</v>
      </c>
      <c r="G23" s="1223">
        <v>0</v>
      </c>
      <c r="H23" s="1224" t="e">
        <f t="shared" si="0"/>
        <v>#REF!</v>
      </c>
      <c r="I23" s="1225" t="e">
        <f t="shared" si="1"/>
        <v>#REF!</v>
      </c>
      <c r="J23" s="1226" t="e">
        <f t="shared" si="2"/>
        <v>#REF!</v>
      </c>
      <c r="K23" s="1227">
        <f>IFERROR(((H23+(H23*$E$30))*(1+(VLOOKUP($H$4,$B$4:$C$12,2,0)))),0)</f>
        <v>0</v>
      </c>
      <c r="L23" s="1228">
        <f t="shared" si="3"/>
        <v>0</v>
      </c>
      <c r="M23" s="1229">
        <f t="shared" si="4"/>
        <v>0</v>
      </c>
      <c r="N23" s="1230">
        <f t="shared" si="5"/>
        <v>0</v>
      </c>
    </row>
    <row r="24" spans="2:14">
      <c r="B24" s="1222" t="e">
        <f>CONCATENATE(#REF!," ",#REF!)</f>
        <v>#REF!</v>
      </c>
      <c r="C24" s="1223" t="e">
        <f>(#REF!*#REF!)+(#REF!*#REF!)</f>
        <v>#REF!</v>
      </c>
      <c r="D24" s="1223">
        <v>0</v>
      </c>
      <c r="E24" s="1223">
        <v>0</v>
      </c>
      <c r="F24" s="1223">
        <v>0</v>
      </c>
      <c r="G24" s="1223">
        <v>0</v>
      </c>
      <c r="H24" s="1224" t="e">
        <f t="shared" si="0"/>
        <v>#REF!</v>
      </c>
      <c r="I24" s="1225" t="e">
        <f t="shared" si="1"/>
        <v>#REF!</v>
      </c>
      <c r="J24" s="1226" t="e">
        <f t="shared" si="2"/>
        <v>#REF!</v>
      </c>
      <c r="K24" s="1227">
        <f>IFERROR(((H24+(H24*$E$30))*(1+(VLOOKUP($H$4,$B$4:$C$12,2,0)))),0)</f>
        <v>0</v>
      </c>
      <c r="L24" s="1228">
        <f t="shared" si="3"/>
        <v>0</v>
      </c>
      <c r="M24" s="1229">
        <f t="shared" si="4"/>
        <v>0</v>
      </c>
      <c r="N24" s="1230">
        <f t="shared" si="5"/>
        <v>0</v>
      </c>
    </row>
    <row r="25" spans="2:14">
      <c r="B25" s="1222" t="e">
        <f>CONCATENATE(#REF!," ",#REF!)</f>
        <v>#REF!</v>
      </c>
      <c r="C25" s="1223" t="e">
        <f>(#REF!*#REF!)+(#REF!*#REF!)</f>
        <v>#REF!</v>
      </c>
      <c r="D25" s="1223">
        <v>0</v>
      </c>
      <c r="E25" s="1223">
        <v>0</v>
      </c>
      <c r="F25" s="1223">
        <v>0</v>
      </c>
      <c r="G25" s="1223">
        <v>0</v>
      </c>
      <c r="H25" s="1224" t="e">
        <f t="shared" si="0"/>
        <v>#REF!</v>
      </c>
      <c r="I25" s="1225" t="e">
        <f t="shared" si="1"/>
        <v>#REF!</v>
      </c>
      <c r="J25" s="1226" t="e">
        <f t="shared" si="2"/>
        <v>#REF!</v>
      </c>
      <c r="K25" s="1227">
        <f>IFERROR(((H25+(H25*$E$30))*(1+(VLOOKUP($H$4,$B$4:$C$12,2,0)))),0)</f>
        <v>0</v>
      </c>
      <c r="L25" s="1228">
        <f t="shared" si="3"/>
        <v>0</v>
      </c>
      <c r="M25" s="1229">
        <f t="shared" si="4"/>
        <v>0</v>
      </c>
      <c r="N25" s="1230">
        <f t="shared" si="5"/>
        <v>0</v>
      </c>
    </row>
    <row r="26" spans="2:14">
      <c r="B26" s="1222" t="e">
        <f>CONCATENATE(#REF!," ",#REF!)</f>
        <v>#REF!</v>
      </c>
      <c r="C26" s="1223" t="e">
        <f>(#REF!*#REF!)+(#REF!*#REF!)</f>
        <v>#REF!</v>
      </c>
      <c r="D26" s="1223">
        <v>0</v>
      </c>
      <c r="E26" s="1223">
        <v>0</v>
      </c>
      <c r="F26" s="1223">
        <v>0</v>
      </c>
      <c r="G26" s="1223">
        <v>0</v>
      </c>
      <c r="H26" s="1224" t="e">
        <f t="shared" si="0"/>
        <v>#REF!</v>
      </c>
      <c r="I26" s="1225" t="e">
        <f t="shared" si="1"/>
        <v>#REF!</v>
      </c>
      <c r="J26" s="1226" t="e">
        <f t="shared" si="2"/>
        <v>#REF!</v>
      </c>
      <c r="K26" s="1227">
        <f>IFERROR(((H26+(H26*$E$30))*(1+(VLOOKUP($H$4,$B$4:$C$12,2,0)))),0)</f>
        <v>0</v>
      </c>
      <c r="L26" s="1228">
        <f t="shared" si="3"/>
        <v>0</v>
      </c>
      <c r="M26" s="1229">
        <f t="shared" si="4"/>
        <v>0</v>
      </c>
      <c r="N26" s="1230">
        <f t="shared" si="5"/>
        <v>0</v>
      </c>
    </row>
    <row r="27" spans="2:14">
      <c r="B27" s="1222" t="e">
        <f>CONCATENATE(#REF!," ",#REF!)</f>
        <v>#REF!</v>
      </c>
      <c r="C27" s="1223" t="e">
        <f>(#REF!*#REF!)+(#REF!*#REF!)</f>
        <v>#REF!</v>
      </c>
      <c r="D27" s="1223">
        <v>0</v>
      </c>
      <c r="E27" s="1223">
        <v>0</v>
      </c>
      <c r="F27" s="1223">
        <v>0</v>
      </c>
      <c r="G27" s="1223">
        <v>0</v>
      </c>
      <c r="H27" s="1224" t="e">
        <f t="shared" ref="H27:H37" si="6">(C27+D27+E27+F27)-(G27)</f>
        <v>#REF!</v>
      </c>
      <c r="I27" s="1225" t="e">
        <f t="shared" si="1"/>
        <v>#REF!</v>
      </c>
      <c r="J27" s="1226" t="e">
        <f t="shared" ref="J27:J37" si="7">(H27*I27)</f>
        <v>#REF!</v>
      </c>
      <c r="K27" s="1227">
        <f t="shared" ref="K27:K37" si="8">IFERROR(((H27+(H27*$E$30))*(1+(VLOOKUP($H$4,$B$4:$C$12,2,0)))),0)</f>
        <v>0</v>
      </c>
      <c r="L27" s="1228">
        <f t="shared" ref="L27:L37" si="9">IFERROR(K27*VLOOKUP($H$4,$B$4:$E$12,3,0),0)</f>
        <v>0</v>
      </c>
      <c r="M27" s="1229">
        <f t="shared" ref="M27:M37" si="10">IFERROR(C27*(VLOOKUP($H$4,$B$4:$F$12,4,0)),0)</f>
        <v>0</v>
      </c>
      <c r="N27" s="1230">
        <f t="shared" ref="N27:N37" si="11">(L27-M27)</f>
        <v>0</v>
      </c>
    </row>
    <row r="28" spans="2:14">
      <c r="B28" s="1222" t="e">
        <f>CONCATENATE(#REF!," ",#REF!)</f>
        <v>#REF!</v>
      </c>
      <c r="C28" s="1223" t="e">
        <f>(#REF!*#REF!)+(#REF!*#REF!)</f>
        <v>#REF!</v>
      </c>
      <c r="D28" s="1223">
        <v>0</v>
      </c>
      <c r="E28" s="1223">
        <v>0</v>
      </c>
      <c r="F28" s="1223">
        <v>0</v>
      </c>
      <c r="G28" s="1223">
        <v>0</v>
      </c>
      <c r="H28" s="1224" t="e">
        <f t="shared" si="6"/>
        <v>#REF!</v>
      </c>
      <c r="I28" s="1225" t="e">
        <f t="shared" si="1"/>
        <v>#REF!</v>
      </c>
      <c r="J28" s="1226" t="e">
        <f t="shared" si="7"/>
        <v>#REF!</v>
      </c>
      <c r="K28" s="1227">
        <f t="shared" si="8"/>
        <v>0</v>
      </c>
      <c r="L28" s="1228">
        <f t="shared" si="9"/>
        <v>0</v>
      </c>
      <c r="M28" s="1229">
        <f t="shared" si="10"/>
        <v>0</v>
      </c>
      <c r="N28" s="1230">
        <f t="shared" si="11"/>
        <v>0</v>
      </c>
    </row>
    <row r="29" spans="2:14">
      <c r="B29" s="1222" t="e">
        <f>CONCATENATE(#REF!," ",#REF!)</f>
        <v>#REF!</v>
      </c>
      <c r="C29" s="1223" t="e">
        <f>(#REF!*#REF!)+(#REF!*#REF!)</f>
        <v>#REF!</v>
      </c>
      <c r="D29" s="1223">
        <v>0</v>
      </c>
      <c r="E29" s="1223">
        <v>0</v>
      </c>
      <c r="F29" s="1223">
        <v>0</v>
      </c>
      <c r="G29" s="1223">
        <v>0</v>
      </c>
      <c r="H29" s="1224" t="e">
        <f t="shared" si="6"/>
        <v>#REF!</v>
      </c>
      <c r="I29" s="1225" t="e">
        <f t="shared" si="1"/>
        <v>#REF!</v>
      </c>
      <c r="J29" s="1226" t="e">
        <f t="shared" si="7"/>
        <v>#REF!</v>
      </c>
      <c r="K29" s="1227">
        <f t="shared" si="8"/>
        <v>0</v>
      </c>
      <c r="L29" s="1228">
        <f t="shared" si="9"/>
        <v>0</v>
      </c>
      <c r="M29" s="1229">
        <f t="shared" si="10"/>
        <v>0</v>
      </c>
      <c r="N29" s="1230">
        <f t="shared" si="11"/>
        <v>0</v>
      </c>
    </row>
    <row r="30" spans="2:14">
      <c r="B30" s="1222" t="e">
        <f>CONCATENATE(#REF!," ",#REF!)</f>
        <v>#REF!</v>
      </c>
      <c r="C30" s="1223" t="e">
        <f>(#REF!*#REF!)+(#REF!*#REF!)</f>
        <v>#REF!</v>
      </c>
      <c r="D30" s="1223">
        <v>0</v>
      </c>
      <c r="E30" s="1223">
        <v>0</v>
      </c>
      <c r="F30" s="1223">
        <v>0</v>
      </c>
      <c r="G30" s="1223">
        <v>0</v>
      </c>
      <c r="H30" s="1224" t="e">
        <f t="shared" si="6"/>
        <v>#REF!</v>
      </c>
      <c r="I30" s="1225" t="e">
        <f t="shared" si="1"/>
        <v>#REF!</v>
      </c>
      <c r="J30" s="1226" t="e">
        <f t="shared" si="7"/>
        <v>#REF!</v>
      </c>
      <c r="K30" s="1227">
        <f t="shared" si="8"/>
        <v>0</v>
      </c>
      <c r="L30" s="1228">
        <f t="shared" si="9"/>
        <v>0</v>
      </c>
      <c r="M30" s="1229">
        <f t="shared" si="10"/>
        <v>0</v>
      </c>
      <c r="N30" s="1230">
        <f t="shared" si="11"/>
        <v>0</v>
      </c>
    </row>
    <row r="31" spans="2:14">
      <c r="B31" s="1222" t="e">
        <f>CONCATENATE(#REF!," ",#REF!)</f>
        <v>#REF!</v>
      </c>
      <c r="C31" s="1223" t="e">
        <f>(#REF!*#REF!)+(#REF!*#REF!)</f>
        <v>#REF!</v>
      </c>
      <c r="D31" s="1223">
        <v>0</v>
      </c>
      <c r="E31" s="1223">
        <v>0</v>
      </c>
      <c r="F31" s="1223">
        <v>0</v>
      </c>
      <c r="G31" s="1223">
        <v>0</v>
      </c>
      <c r="H31" s="1224" t="e">
        <f t="shared" si="6"/>
        <v>#REF!</v>
      </c>
      <c r="I31" s="1225" t="e">
        <f t="shared" si="1"/>
        <v>#REF!</v>
      </c>
      <c r="J31" s="1226" t="e">
        <f t="shared" si="7"/>
        <v>#REF!</v>
      </c>
      <c r="K31" s="1227">
        <f t="shared" si="8"/>
        <v>0</v>
      </c>
      <c r="L31" s="1228">
        <f t="shared" si="9"/>
        <v>0</v>
      </c>
      <c r="M31" s="1229">
        <f t="shared" si="10"/>
        <v>0</v>
      </c>
      <c r="N31" s="1230">
        <f t="shared" si="11"/>
        <v>0</v>
      </c>
    </row>
    <row r="32" spans="2:14">
      <c r="B32" s="1222" t="e">
        <f>CONCATENATE(#REF!," ",#REF!)</f>
        <v>#REF!</v>
      </c>
      <c r="C32" s="1223" t="e">
        <f>(#REF!*#REF!)+(#REF!*#REF!)</f>
        <v>#REF!</v>
      </c>
      <c r="D32" s="1223">
        <v>0</v>
      </c>
      <c r="E32" s="1223">
        <v>0</v>
      </c>
      <c r="F32" s="1223">
        <v>0</v>
      </c>
      <c r="G32" s="1223">
        <v>0</v>
      </c>
      <c r="H32" s="1224" t="e">
        <f t="shared" si="6"/>
        <v>#REF!</v>
      </c>
      <c r="I32" s="1225" t="e">
        <f t="shared" si="1"/>
        <v>#REF!</v>
      </c>
      <c r="J32" s="1226" t="e">
        <f t="shared" si="7"/>
        <v>#REF!</v>
      </c>
      <c r="K32" s="1227">
        <f t="shared" si="8"/>
        <v>0</v>
      </c>
      <c r="L32" s="1228">
        <f t="shared" si="9"/>
        <v>0</v>
      </c>
      <c r="M32" s="1229">
        <f t="shared" si="10"/>
        <v>0</v>
      </c>
      <c r="N32" s="1230">
        <f t="shared" si="11"/>
        <v>0</v>
      </c>
    </row>
    <row r="33" spans="2:14">
      <c r="B33" s="1222" t="e">
        <f>CONCATENATE(#REF!," ",#REF!)</f>
        <v>#REF!</v>
      </c>
      <c r="C33" s="1223" t="e">
        <f>(#REF!*#REF!)+(#REF!*#REF!)</f>
        <v>#REF!</v>
      </c>
      <c r="D33" s="1223">
        <v>0</v>
      </c>
      <c r="E33" s="1223">
        <v>0</v>
      </c>
      <c r="F33" s="1223">
        <v>0</v>
      </c>
      <c r="G33" s="1223">
        <v>0</v>
      </c>
      <c r="H33" s="1224" t="e">
        <f t="shared" si="6"/>
        <v>#REF!</v>
      </c>
      <c r="I33" s="1225" t="e">
        <f t="shared" si="1"/>
        <v>#REF!</v>
      </c>
      <c r="J33" s="1226" t="e">
        <f t="shared" si="7"/>
        <v>#REF!</v>
      </c>
      <c r="K33" s="1227">
        <f t="shared" si="8"/>
        <v>0</v>
      </c>
      <c r="L33" s="1228">
        <f t="shared" si="9"/>
        <v>0</v>
      </c>
      <c r="M33" s="1229">
        <f t="shared" si="10"/>
        <v>0</v>
      </c>
      <c r="N33" s="1230">
        <f t="shared" si="11"/>
        <v>0</v>
      </c>
    </row>
    <row r="34" spans="2:14">
      <c r="B34" s="1222" t="e">
        <f>CONCATENATE(#REF!," ",#REF!)</f>
        <v>#REF!</v>
      </c>
      <c r="C34" s="1223" t="e">
        <f>(#REF!*#REF!)+(#REF!*#REF!)</f>
        <v>#REF!</v>
      </c>
      <c r="D34" s="1223">
        <v>0</v>
      </c>
      <c r="E34" s="1223">
        <v>0</v>
      </c>
      <c r="F34" s="1223">
        <v>0</v>
      </c>
      <c r="G34" s="1223">
        <v>0</v>
      </c>
      <c r="H34" s="1224" t="e">
        <f t="shared" si="6"/>
        <v>#REF!</v>
      </c>
      <c r="I34" s="1225" t="e">
        <f t="shared" si="1"/>
        <v>#REF!</v>
      </c>
      <c r="J34" s="1226" t="e">
        <f t="shared" si="7"/>
        <v>#REF!</v>
      </c>
      <c r="K34" s="1227">
        <f t="shared" si="8"/>
        <v>0</v>
      </c>
      <c r="L34" s="1228">
        <f t="shared" si="9"/>
        <v>0</v>
      </c>
      <c r="M34" s="1229">
        <f t="shared" si="10"/>
        <v>0</v>
      </c>
      <c r="N34" s="1230">
        <f t="shared" si="11"/>
        <v>0</v>
      </c>
    </row>
    <row r="35" spans="2:14">
      <c r="B35" s="1222" t="e">
        <f>CONCATENATE(#REF!," ",#REF!)</f>
        <v>#REF!</v>
      </c>
      <c r="C35" s="1223" t="e">
        <f>(#REF!*#REF!)+(#REF!*#REF!)</f>
        <v>#REF!</v>
      </c>
      <c r="D35" s="1223">
        <v>0</v>
      </c>
      <c r="E35" s="1223">
        <v>0</v>
      </c>
      <c r="F35" s="1223">
        <v>0</v>
      </c>
      <c r="G35" s="1223">
        <v>0</v>
      </c>
      <c r="H35" s="1224" t="e">
        <f t="shared" si="6"/>
        <v>#REF!</v>
      </c>
      <c r="I35" s="1225" t="e">
        <f t="shared" si="1"/>
        <v>#REF!</v>
      </c>
      <c r="J35" s="1226" t="e">
        <f t="shared" si="7"/>
        <v>#REF!</v>
      </c>
      <c r="K35" s="1227">
        <f t="shared" si="8"/>
        <v>0</v>
      </c>
      <c r="L35" s="1228">
        <f t="shared" si="9"/>
        <v>0</v>
      </c>
      <c r="M35" s="1229">
        <f t="shared" si="10"/>
        <v>0</v>
      </c>
      <c r="N35" s="1230">
        <f t="shared" si="11"/>
        <v>0</v>
      </c>
    </row>
    <row r="36" spans="2:14">
      <c r="B36" s="1222" t="e">
        <f>CONCATENATE(#REF!," ",#REF!)</f>
        <v>#REF!</v>
      </c>
      <c r="C36" s="1223" t="e">
        <f>(#REF!*#REF!)+(#REF!*#REF!)</f>
        <v>#REF!</v>
      </c>
      <c r="D36" s="1223">
        <v>0</v>
      </c>
      <c r="E36" s="1223">
        <v>0</v>
      </c>
      <c r="F36" s="1223">
        <v>0</v>
      </c>
      <c r="G36" s="1223">
        <v>0</v>
      </c>
      <c r="H36" s="1224" t="e">
        <f t="shared" si="6"/>
        <v>#REF!</v>
      </c>
      <c r="I36" s="1225" t="e">
        <f t="shared" si="1"/>
        <v>#REF!</v>
      </c>
      <c r="J36" s="1226" t="e">
        <f t="shared" si="7"/>
        <v>#REF!</v>
      </c>
      <c r="K36" s="1227">
        <f t="shared" si="8"/>
        <v>0</v>
      </c>
      <c r="L36" s="1228">
        <f t="shared" si="9"/>
        <v>0</v>
      </c>
      <c r="M36" s="1229">
        <f t="shared" si="10"/>
        <v>0</v>
      </c>
      <c r="N36" s="1230">
        <f t="shared" si="11"/>
        <v>0</v>
      </c>
    </row>
    <row r="37" spans="2:14">
      <c r="B37" s="1222" t="e">
        <f>CONCATENATE(#REF!," ",#REF!)</f>
        <v>#REF!</v>
      </c>
      <c r="C37" s="1223" t="e">
        <f>(#REF!*#REF!)+(#REF!*#REF!)</f>
        <v>#REF!</v>
      </c>
      <c r="D37" s="1223">
        <v>0</v>
      </c>
      <c r="E37" s="1223">
        <v>0</v>
      </c>
      <c r="F37" s="1223">
        <v>0</v>
      </c>
      <c r="G37" s="1223">
        <v>0</v>
      </c>
      <c r="H37" s="1224" t="e">
        <f t="shared" si="6"/>
        <v>#REF!</v>
      </c>
      <c r="I37" s="1225" t="e">
        <f t="shared" si="1"/>
        <v>#REF!</v>
      </c>
      <c r="J37" s="1226" t="e">
        <f t="shared" si="7"/>
        <v>#REF!</v>
      </c>
      <c r="K37" s="1227">
        <f t="shared" si="8"/>
        <v>0</v>
      </c>
      <c r="L37" s="1228">
        <f t="shared" si="9"/>
        <v>0</v>
      </c>
      <c r="M37" s="1229">
        <f t="shared" si="10"/>
        <v>0</v>
      </c>
      <c r="N37" s="1230">
        <f t="shared" si="11"/>
        <v>0</v>
      </c>
    </row>
    <row r="38" spans="2:14">
      <c r="B38" s="1222" t="e">
        <f>CONCATENATE(#REF!," ",#REF!)</f>
        <v>#REF!</v>
      </c>
      <c r="C38" s="1223" t="e">
        <f>(#REF!*#REF!)+(#REF!*#REF!)</f>
        <v>#REF!</v>
      </c>
      <c r="D38" s="1223">
        <v>0</v>
      </c>
      <c r="E38" s="1223">
        <v>0</v>
      </c>
      <c r="F38" s="1223">
        <v>0</v>
      </c>
      <c r="G38" s="1223">
        <v>0</v>
      </c>
      <c r="H38" s="1224" t="e">
        <f t="shared" ref="H38:H53" si="12">(C38+D38+E38+F38)-(G38)</f>
        <v>#REF!</v>
      </c>
      <c r="I38" s="1225" t="e">
        <f t="shared" si="1"/>
        <v>#REF!</v>
      </c>
      <c r="J38" s="1226" t="e">
        <f t="shared" ref="J38:J53" si="13">(H38*I38)</f>
        <v>#REF!</v>
      </c>
      <c r="K38" s="1227">
        <f t="shared" ref="K38:K53" si="14">IFERROR(((H38+(H38*$E$30))*(1+(VLOOKUP($H$4,$B$4:$C$12,2,0)))),0)</f>
        <v>0</v>
      </c>
      <c r="L38" s="1228">
        <f t="shared" ref="L38:L53" si="15">IFERROR(K38*VLOOKUP($H$4,$B$4:$E$12,3,0),0)</f>
        <v>0</v>
      </c>
      <c r="M38" s="1229">
        <f t="shared" ref="M38:M53" si="16">IFERROR(C38*(VLOOKUP($H$4,$B$4:$F$12,4,0)),0)</f>
        <v>0</v>
      </c>
      <c r="N38" s="1230">
        <f t="shared" ref="N38:N53" si="17">(L38-M38)</f>
        <v>0</v>
      </c>
    </row>
    <row r="39" spans="2:14">
      <c r="B39" s="1222" t="e">
        <f>CONCATENATE(#REF!," ",#REF!)</f>
        <v>#REF!</v>
      </c>
      <c r="C39" s="1223" t="e">
        <f>(#REF!*#REF!)+(#REF!*#REF!)</f>
        <v>#REF!</v>
      </c>
      <c r="D39" s="1223">
        <v>0</v>
      </c>
      <c r="E39" s="1223">
        <v>0</v>
      </c>
      <c r="F39" s="1223">
        <v>0</v>
      </c>
      <c r="G39" s="1223">
        <v>0</v>
      </c>
      <c r="H39" s="1224" t="e">
        <f t="shared" si="12"/>
        <v>#REF!</v>
      </c>
      <c r="I39" s="1225" t="e">
        <f t="shared" si="1"/>
        <v>#REF!</v>
      </c>
      <c r="J39" s="1226" t="e">
        <f t="shared" si="13"/>
        <v>#REF!</v>
      </c>
      <c r="K39" s="1227">
        <f t="shared" si="14"/>
        <v>0</v>
      </c>
      <c r="L39" s="1228">
        <f t="shared" si="15"/>
        <v>0</v>
      </c>
      <c r="M39" s="1229">
        <f t="shared" si="16"/>
        <v>0</v>
      </c>
      <c r="N39" s="1230">
        <f t="shared" si="17"/>
        <v>0</v>
      </c>
    </row>
    <row r="40" spans="2:14">
      <c r="B40" s="1222" t="e">
        <f>CONCATENATE(#REF!," ",#REF!)</f>
        <v>#REF!</v>
      </c>
      <c r="C40" s="1223" t="e">
        <f>(#REF!*#REF!)+(#REF!*#REF!)</f>
        <v>#REF!</v>
      </c>
      <c r="D40" s="1223">
        <v>0</v>
      </c>
      <c r="E40" s="1223">
        <v>0</v>
      </c>
      <c r="F40" s="1223">
        <v>0</v>
      </c>
      <c r="G40" s="1223">
        <v>0</v>
      </c>
      <c r="H40" s="1224" t="e">
        <f t="shared" si="12"/>
        <v>#REF!</v>
      </c>
      <c r="I40" s="1225" t="e">
        <f t="shared" si="1"/>
        <v>#REF!</v>
      </c>
      <c r="J40" s="1226" t="e">
        <f t="shared" si="13"/>
        <v>#REF!</v>
      </c>
      <c r="K40" s="1227">
        <f t="shared" si="14"/>
        <v>0</v>
      </c>
      <c r="L40" s="1228">
        <f t="shared" si="15"/>
        <v>0</v>
      </c>
      <c r="M40" s="1229">
        <f t="shared" si="16"/>
        <v>0</v>
      </c>
      <c r="N40" s="1230">
        <f t="shared" si="17"/>
        <v>0</v>
      </c>
    </row>
    <row r="41" spans="2:14">
      <c r="B41" s="1222" t="e">
        <f>CONCATENATE(#REF!," ",#REF!)</f>
        <v>#REF!</v>
      </c>
      <c r="C41" s="1223" t="e">
        <f>(#REF!*#REF!)+(#REF!*#REF!)</f>
        <v>#REF!</v>
      </c>
      <c r="D41" s="1223">
        <v>0</v>
      </c>
      <c r="E41" s="1223">
        <v>0</v>
      </c>
      <c r="F41" s="1223">
        <v>0</v>
      </c>
      <c r="G41" s="1223">
        <v>0</v>
      </c>
      <c r="H41" s="1224" t="e">
        <f t="shared" si="12"/>
        <v>#REF!</v>
      </c>
      <c r="I41" s="1225" t="e">
        <f t="shared" si="1"/>
        <v>#REF!</v>
      </c>
      <c r="J41" s="1226" t="e">
        <f t="shared" si="13"/>
        <v>#REF!</v>
      </c>
      <c r="K41" s="1227">
        <f t="shared" si="14"/>
        <v>0</v>
      </c>
      <c r="L41" s="1228">
        <f t="shared" si="15"/>
        <v>0</v>
      </c>
      <c r="M41" s="1229">
        <f t="shared" si="16"/>
        <v>0</v>
      </c>
      <c r="N41" s="1230">
        <f t="shared" si="17"/>
        <v>0</v>
      </c>
    </row>
    <row r="42" spans="2:14">
      <c r="B42" s="1222" t="e">
        <f>CONCATENATE(#REF!," ",#REF!)</f>
        <v>#REF!</v>
      </c>
      <c r="C42" s="1223" t="e">
        <f>(#REF!*#REF!)+(#REF!*#REF!)</f>
        <v>#REF!</v>
      </c>
      <c r="D42" s="1223">
        <v>0</v>
      </c>
      <c r="E42" s="1223">
        <v>0</v>
      </c>
      <c r="F42" s="1223">
        <v>0</v>
      </c>
      <c r="G42" s="1223">
        <v>0</v>
      </c>
      <c r="H42" s="1224" t="e">
        <f t="shared" si="12"/>
        <v>#REF!</v>
      </c>
      <c r="I42" s="1225" t="e">
        <f t="shared" si="1"/>
        <v>#REF!</v>
      </c>
      <c r="J42" s="1226" t="e">
        <f t="shared" si="13"/>
        <v>#REF!</v>
      </c>
      <c r="K42" s="1227">
        <f t="shared" si="14"/>
        <v>0</v>
      </c>
      <c r="L42" s="1228">
        <f t="shared" si="15"/>
        <v>0</v>
      </c>
      <c r="M42" s="1229">
        <f t="shared" si="16"/>
        <v>0</v>
      </c>
      <c r="N42" s="1230">
        <f t="shared" si="17"/>
        <v>0</v>
      </c>
    </row>
    <row r="43" spans="2:14">
      <c r="B43" s="1222" t="e">
        <f>CONCATENATE(#REF!," ",#REF!)</f>
        <v>#REF!</v>
      </c>
      <c r="C43" s="1223" t="e">
        <f>(#REF!*#REF!)+(#REF!*#REF!)</f>
        <v>#REF!</v>
      </c>
      <c r="D43" s="1223">
        <v>0</v>
      </c>
      <c r="E43" s="1223">
        <v>0</v>
      </c>
      <c r="F43" s="1223">
        <v>0</v>
      </c>
      <c r="G43" s="1223">
        <v>0</v>
      </c>
      <c r="H43" s="1224" t="e">
        <f t="shared" si="12"/>
        <v>#REF!</v>
      </c>
      <c r="I43" s="1225" t="e">
        <f t="shared" si="1"/>
        <v>#REF!</v>
      </c>
      <c r="J43" s="1226" t="e">
        <f t="shared" si="13"/>
        <v>#REF!</v>
      </c>
      <c r="K43" s="1227">
        <f t="shared" si="14"/>
        <v>0</v>
      </c>
      <c r="L43" s="1228">
        <f t="shared" si="15"/>
        <v>0</v>
      </c>
      <c r="M43" s="1229">
        <f t="shared" si="16"/>
        <v>0</v>
      </c>
      <c r="N43" s="1230">
        <f t="shared" si="17"/>
        <v>0</v>
      </c>
    </row>
    <row r="44" spans="2:14">
      <c r="B44" s="1222" t="e">
        <f>CONCATENATE(#REF!," ",#REF!)</f>
        <v>#REF!</v>
      </c>
      <c r="C44" s="1223" t="e">
        <f>(#REF!*#REF!)+(#REF!*#REF!)</f>
        <v>#REF!</v>
      </c>
      <c r="D44" s="1223">
        <v>0</v>
      </c>
      <c r="E44" s="1223">
        <v>0</v>
      </c>
      <c r="F44" s="1223">
        <v>0</v>
      </c>
      <c r="G44" s="1223">
        <v>0</v>
      </c>
      <c r="H44" s="1224" t="e">
        <f t="shared" si="12"/>
        <v>#REF!</v>
      </c>
      <c r="I44" s="1225" t="e">
        <f t="shared" si="1"/>
        <v>#REF!</v>
      </c>
      <c r="J44" s="1226" t="e">
        <f t="shared" si="13"/>
        <v>#REF!</v>
      </c>
      <c r="K44" s="1227">
        <f t="shared" si="14"/>
        <v>0</v>
      </c>
      <c r="L44" s="1228">
        <f t="shared" si="15"/>
        <v>0</v>
      </c>
      <c r="M44" s="1229">
        <f t="shared" si="16"/>
        <v>0</v>
      </c>
      <c r="N44" s="1230">
        <f t="shared" si="17"/>
        <v>0</v>
      </c>
    </row>
    <row r="45" spans="2:14">
      <c r="B45" s="1222" t="e">
        <f>CONCATENATE(#REF!," ",#REF!)</f>
        <v>#REF!</v>
      </c>
      <c r="C45" s="1223" t="e">
        <f>(#REF!*#REF!)+(#REF!*#REF!)</f>
        <v>#REF!</v>
      </c>
      <c r="D45" s="1223">
        <v>0</v>
      </c>
      <c r="E45" s="1223">
        <v>0</v>
      </c>
      <c r="F45" s="1223">
        <v>0</v>
      </c>
      <c r="G45" s="1223">
        <v>0</v>
      </c>
      <c r="H45" s="1224" t="e">
        <f t="shared" si="12"/>
        <v>#REF!</v>
      </c>
      <c r="I45" s="1225" t="e">
        <f t="shared" si="1"/>
        <v>#REF!</v>
      </c>
      <c r="J45" s="1226" t="e">
        <f t="shared" si="13"/>
        <v>#REF!</v>
      </c>
      <c r="K45" s="1227">
        <f t="shared" si="14"/>
        <v>0</v>
      </c>
      <c r="L45" s="1228">
        <f t="shared" si="15"/>
        <v>0</v>
      </c>
      <c r="M45" s="1229">
        <f t="shared" si="16"/>
        <v>0</v>
      </c>
      <c r="N45" s="1230">
        <f t="shared" si="17"/>
        <v>0</v>
      </c>
    </row>
    <row r="46" spans="2:14">
      <c r="B46" s="1222" t="e">
        <f>CONCATENATE(#REF!," ",#REF!)</f>
        <v>#REF!</v>
      </c>
      <c r="C46" s="1223" t="e">
        <f>(#REF!*#REF!)+(#REF!*#REF!)</f>
        <v>#REF!</v>
      </c>
      <c r="D46" s="1223">
        <v>0</v>
      </c>
      <c r="E46" s="1223">
        <v>0</v>
      </c>
      <c r="F46" s="1223">
        <v>0</v>
      </c>
      <c r="G46" s="1223">
        <v>0</v>
      </c>
      <c r="H46" s="1224" t="e">
        <f t="shared" si="12"/>
        <v>#REF!</v>
      </c>
      <c r="I46" s="1225" t="e">
        <f t="shared" si="1"/>
        <v>#REF!</v>
      </c>
      <c r="J46" s="1226" t="e">
        <f t="shared" si="13"/>
        <v>#REF!</v>
      </c>
      <c r="K46" s="1227">
        <f t="shared" si="14"/>
        <v>0</v>
      </c>
      <c r="L46" s="1228">
        <f t="shared" si="15"/>
        <v>0</v>
      </c>
      <c r="M46" s="1229">
        <f t="shared" si="16"/>
        <v>0</v>
      </c>
      <c r="N46" s="1230">
        <f t="shared" si="17"/>
        <v>0</v>
      </c>
    </row>
    <row r="47" spans="2:14">
      <c r="B47" s="1222" t="e">
        <f>CONCATENATE(#REF!," ",#REF!)</f>
        <v>#REF!</v>
      </c>
      <c r="C47" s="1223" t="e">
        <f>(#REF!*#REF!)+(#REF!*#REF!)</f>
        <v>#REF!</v>
      </c>
      <c r="D47" s="1223">
        <v>0</v>
      </c>
      <c r="E47" s="1223">
        <v>0</v>
      </c>
      <c r="F47" s="1223">
        <v>0</v>
      </c>
      <c r="G47" s="1223">
        <v>0</v>
      </c>
      <c r="H47" s="1224" t="e">
        <f t="shared" si="12"/>
        <v>#REF!</v>
      </c>
      <c r="I47" s="1225" t="e">
        <f t="shared" si="1"/>
        <v>#REF!</v>
      </c>
      <c r="J47" s="1226" t="e">
        <f t="shared" si="13"/>
        <v>#REF!</v>
      </c>
      <c r="K47" s="1227">
        <f t="shared" si="14"/>
        <v>0</v>
      </c>
      <c r="L47" s="1228">
        <f t="shared" si="15"/>
        <v>0</v>
      </c>
      <c r="M47" s="1229">
        <f t="shared" si="16"/>
        <v>0</v>
      </c>
      <c r="N47" s="1230">
        <f t="shared" si="17"/>
        <v>0</v>
      </c>
    </row>
    <row r="48" spans="2:14">
      <c r="B48" s="1222" t="e">
        <f>CONCATENATE(#REF!," ",#REF!)</f>
        <v>#REF!</v>
      </c>
      <c r="C48" s="1223" t="e">
        <f>(#REF!*#REF!)+(#REF!*#REF!)</f>
        <v>#REF!</v>
      </c>
      <c r="D48" s="1223">
        <v>0</v>
      </c>
      <c r="E48" s="1223">
        <v>0</v>
      </c>
      <c r="F48" s="1223">
        <v>0</v>
      </c>
      <c r="G48" s="1223">
        <v>0</v>
      </c>
      <c r="H48" s="1224" t="e">
        <f t="shared" si="12"/>
        <v>#REF!</v>
      </c>
      <c r="I48" s="1225" t="e">
        <f t="shared" si="1"/>
        <v>#REF!</v>
      </c>
      <c r="J48" s="1226" t="e">
        <f t="shared" si="13"/>
        <v>#REF!</v>
      </c>
      <c r="K48" s="1227">
        <f t="shared" si="14"/>
        <v>0</v>
      </c>
      <c r="L48" s="1228">
        <f t="shared" si="15"/>
        <v>0</v>
      </c>
      <c r="M48" s="1229">
        <f t="shared" si="16"/>
        <v>0</v>
      </c>
      <c r="N48" s="1230">
        <f t="shared" si="17"/>
        <v>0</v>
      </c>
    </row>
    <row r="49" spans="2:14">
      <c r="B49" s="1222" t="e">
        <f>CONCATENATE(#REF!," ",#REF!)</f>
        <v>#REF!</v>
      </c>
      <c r="C49" s="1223" t="e">
        <f>(#REF!*#REF!)+(#REF!*#REF!)</f>
        <v>#REF!</v>
      </c>
      <c r="D49" s="1223">
        <v>0</v>
      </c>
      <c r="E49" s="1223">
        <v>0</v>
      </c>
      <c r="F49" s="1223">
        <v>0</v>
      </c>
      <c r="G49" s="1223">
        <v>0</v>
      </c>
      <c r="H49" s="1224" t="e">
        <f t="shared" si="12"/>
        <v>#REF!</v>
      </c>
      <c r="I49" s="1225" t="e">
        <f t="shared" si="1"/>
        <v>#REF!</v>
      </c>
      <c r="J49" s="1226" t="e">
        <f t="shared" si="13"/>
        <v>#REF!</v>
      </c>
      <c r="K49" s="1227">
        <f t="shared" si="14"/>
        <v>0</v>
      </c>
      <c r="L49" s="1228">
        <f t="shared" si="15"/>
        <v>0</v>
      </c>
      <c r="M49" s="1229">
        <f t="shared" si="16"/>
        <v>0</v>
      </c>
      <c r="N49" s="1230">
        <f t="shared" si="17"/>
        <v>0</v>
      </c>
    </row>
    <row r="50" spans="2:14">
      <c r="B50" s="1222" t="e">
        <f>CONCATENATE(#REF!," ",#REF!)</f>
        <v>#REF!</v>
      </c>
      <c r="C50" s="1223" t="e">
        <f>(#REF!*#REF!)+(#REF!*#REF!)</f>
        <v>#REF!</v>
      </c>
      <c r="D50" s="1223">
        <v>0</v>
      </c>
      <c r="E50" s="1223">
        <v>0</v>
      </c>
      <c r="F50" s="1223">
        <v>0</v>
      </c>
      <c r="G50" s="1223">
        <v>0</v>
      </c>
      <c r="H50" s="1224" t="e">
        <f t="shared" si="12"/>
        <v>#REF!</v>
      </c>
      <c r="I50" s="1225" t="e">
        <f t="shared" si="1"/>
        <v>#REF!</v>
      </c>
      <c r="J50" s="1226" t="e">
        <f t="shared" si="13"/>
        <v>#REF!</v>
      </c>
      <c r="K50" s="1227">
        <f t="shared" si="14"/>
        <v>0</v>
      </c>
      <c r="L50" s="1228">
        <f t="shared" si="15"/>
        <v>0</v>
      </c>
      <c r="M50" s="1229">
        <f t="shared" si="16"/>
        <v>0</v>
      </c>
      <c r="N50" s="1230">
        <f t="shared" si="17"/>
        <v>0</v>
      </c>
    </row>
    <row r="51" spans="2:14">
      <c r="B51" s="1222" t="e">
        <f>CONCATENATE(#REF!," ",#REF!)</f>
        <v>#REF!</v>
      </c>
      <c r="C51" s="1223" t="e">
        <f>(#REF!*#REF!)+(#REF!*#REF!)</f>
        <v>#REF!</v>
      </c>
      <c r="D51" s="1223">
        <v>0</v>
      </c>
      <c r="E51" s="1223">
        <v>0</v>
      </c>
      <c r="F51" s="1223">
        <v>0</v>
      </c>
      <c r="G51" s="1223">
        <v>0</v>
      </c>
      <c r="H51" s="1224" t="e">
        <f t="shared" si="12"/>
        <v>#REF!</v>
      </c>
      <c r="I51" s="1225" t="e">
        <f t="shared" si="1"/>
        <v>#REF!</v>
      </c>
      <c r="J51" s="1226" t="e">
        <f t="shared" si="13"/>
        <v>#REF!</v>
      </c>
      <c r="K51" s="1227">
        <f t="shared" si="14"/>
        <v>0</v>
      </c>
      <c r="L51" s="1228">
        <f t="shared" si="15"/>
        <v>0</v>
      </c>
      <c r="M51" s="1229">
        <f t="shared" si="16"/>
        <v>0</v>
      </c>
      <c r="N51" s="1230">
        <f t="shared" si="17"/>
        <v>0</v>
      </c>
    </row>
    <row r="52" spans="2:14">
      <c r="B52" s="1222" t="e">
        <f>CONCATENATE(#REF!," ",#REF!)</f>
        <v>#REF!</v>
      </c>
      <c r="C52" s="1223" t="e">
        <f>(#REF!*#REF!)+(#REF!*#REF!)</f>
        <v>#REF!</v>
      </c>
      <c r="D52" s="1223">
        <v>0</v>
      </c>
      <c r="E52" s="1223">
        <v>0</v>
      </c>
      <c r="F52" s="1223">
        <v>0</v>
      </c>
      <c r="G52" s="1223">
        <v>0</v>
      </c>
      <c r="H52" s="1224" t="e">
        <f t="shared" si="12"/>
        <v>#REF!</v>
      </c>
      <c r="I52" s="1225" t="e">
        <f t="shared" si="1"/>
        <v>#REF!</v>
      </c>
      <c r="J52" s="1226" t="e">
        <f t="shared" si="13"/>
        <v>#REF!</v>
      </c>
      <c r="K52" s="1227">
        <f t="shared" si="14"/>
        <v>0</v>
      </c>
      <c r="L52" s="1228">
        <f t="shared" si="15"/>
        <v>0</v>
      </c>
      <c r="M52" s="1229">
        <f t="shared" si="16"/>
        <v>0</v>
      </c>
      <c r="N52" s="1230">
        <f t="shared" si="17"/>
        <v>0</v>
      </c>
    </row>
    <row r="53" spans="2:14">
      <c r="B53" s="1222" t="e">
        <f>CONCATENATE(#REF!," ",#REF!)</f>
        <v>#REF!</v>
      </c>
      <c r="C53" s="1223" t="e">
        <f>(#REF!*#REF!)+(#REF!*#REF!)</f>
        <v>#REF!</v>
      </c>
      <c r="D53" s="1223">
        <v>0</v>
      </c>
      <c r="E53" s="1223">
        <v>0</v>
      </c>
      <c r="F53" s="1223">
        <v>0</v>
      </c>
      <c r="G53" s="1223">
        <v>0</v>
      </c>
      <c r="H53" s="1224" t="e">
        <f t="shared" si="12"/>
        <v>#REF!</v>
      </c>
      <c r="I53" s="1225" t="e">
        <f t="shared" si="1"/>
        <v>#REF!</v>
      </c>
      <c r="J53" s="1226" t="e">
        <f t="shared" si="13"/>
        <v>#REF!</v>
      </c>
      <c r="K53" s="1227">
        <f t="shared" si="14"/>
        <v>0</v>
      </c>
      <c r="L53" s="1228">
        <f t="shared" si="15"/>
        <v>0</v>
      </c>
      <c r="M53" s="1229">
        <f t="shared" si="16"/>
        <v>0</v>
      </c>
      <c r="N53" s="1230">
        <f t="shared" si="17"/>
        <v>0</v>
      </c>
    </row>
    <row r="54" spans="2:14">
      <c r="B54" s="1222" t="e">
        <f>CONCATENATE(#REF!," ",#REF!)</f>
        <v>#REF!</v>
      </c>
      <c r="C54" s="1223" t="e">
        <f>(#REF!*#REF!)+(#REF!*#REF!)</f>
        <v>#REF!</v>
      </c>
      <c r="D54" s="1223">
        <v>0</v>
      </c>
      <c r="E54" s="1223">
        <v>0</v>
      </c>
      <c r="F54" s="1223">
        <v>0</v>
      </c>
      <c r="G54" s="1223">
        <v>0</v>
      </c>
      <c r="H54" s="1224" t="e">
        <f>(C54+D54+E54+F54)-(G54)</f>
        <v>#REF!</v>
      </c>
      <c r="I54" s="1225" t="e">
        <f t="shared" ref="I54:I73" si="18">VLOOKUP($H$4,$B$4:$C$10,2,0)</f>
        <v>#REF!</v>
      </c>
      <c r="J54" s="1231" t="e">
        <f t="shared" ref="J54:J63" si="19">(H54*I54)</f>
        <v>#REF!</v>
      </c>
      <c r="K54" s="1227">
        <f t="shared" ref="K54:K61" si="20">IFERROR(((H54+(H54*$E$30))*(1+(VLOOKUP($H$4,$B$4:$C$12,2,0)))),0)</f>
        <v>0</v>
      </c>
      <c r="L54" s="1228">
        <f t="shared" ref="L54:L63" si="21">IFERROR(K54*VLOOKUP($H$4,$B$4:$E$12,3,0),0)</f>
        <v>0</v>
      </c>
      <c r="M54" s="1232">
        <f>IFERROR(C54*(VLOOKUP($H$4,$B$4:$F$12,4,0)),0)</f>
        <v>0</v>
      </c>
      <c r="N54" s="1233">
        <f t="shared" ref="N54:N63" si="22">(L54-M54)</f>
        <v>0</v>
      </c>
    </row>
    <row r="55" spans="2:14">
      <c r="B55" s="1222" t="e">
        <f>CONCATENATE(#REF!," ",#REF!)</f>
        <v>#REF!</v>
      </c>
      <c r="C55" s="1223" t="e">
        <f>(#REF!*#REF!)+(#REF!*#REF!)</f>
        <v>#REF!</v>
      </c>
      <c r="D55" s="1223">
        <v>0</v>
      </c>
      <c r="E55" s="1223">
        <v>0</v>
      </c>
      <c r="F55" s="1223">
        <v>0</v>
      </c>
      <c r="G55" s="1223">
        <v>0</v>
      </c>
      <c r="H55" s="1224" t="e">
        <f t="shared" ref="H55:H63" si="23">(C55+D55+E55+F55)-(G55)</f>
        <v>#REF!</v>
      </c>
      <c r="I55" s="1225" t="e">
        <f t="shared" si="18"/>
        <v>#REF!</v>
      </c>
      <c r="J55" s="1231" t="e">
        <f t="shared" si="19"/>
        <v>#REF!</v>
      </c>
      <c r="K55" s="1227">
        <f t="shared" si="20"/>
        <v>0</v>
      </c>
      <c r="L55" s="1228">
        <f t="shared" si="21"/>
        <v>0</v>
      </c>
      <c r="M55" s="1232">
        <f t="shared" ref="M55:M63" si="24">IFERROR(C55*(VLOOKUP($H$4,$B$4:$F$12,4,0)),0)</f>
        <v>0</v>
      </c>
      <c r="N55" s="1233">
        <f t="shared" si="22"/>
        <v>0</v>
      </c>
    </row>
    <row r="56" spans="2:14">
      <c r="B56" s="1222" t="e">
        <f>CONCATENATE(#REF!," ",#REF!)</f>
        <v>#REF!</v>
      </c>
      <c r="C56" s="1223" t="e">
        <f>(#REF!*#REF!)+(#REF!*#REF!)</f>
        <v>#REF!</v>
      </c>
      <c r="D56" s="1223">
        <v>0</v>
      </c>
      <c r="E56" s="1223">
        <v>0</v>
      </c>
      <c r="F56" s="1223">
        <v>0</v>
      </c>
      <c r="G56" s="1223">
        <v>0</v>
      </c>
      <c r="H56" s="1224" t="e">
        <f t="shared" si="23"/>
        <v>#REF!</v>
      </c>
      <c r="I56" s="1225" t="e">
        <f t="shared" si="18"/>
        <v>#REF!</v>
      </c>
      <c r="J56" s="1231" t="e">
        <f t="shared" si="19"/>
        <v>#REF!</v>
      </c>
      <c r="K56" s="1227">
        <f t="shared" si="20"/>
        <v>0</v>
      </c>
      <c r="L56" s="1228">
        <f t="shared" si="21"/>
        <v>0</v>
      </c>
      <c r="M56" s="1232">
        <f t="shared" si="24"/>
        <v>0</v>
      </c>
      <c r="N56" s="1233">
        <f t="shared" si="22"/>
        <v>0</v>
      </c>
    </row>
    <row r="57" spans="2:14">
      <c r="B57" s="1222" t="e">
        <f>CONCATENATE(#REF!," ",#REF!)</f>
        <v>#REF!</v>
      </c>
      <c r="C57" s="1223" t="e">
        <f>(#REF!*#REF!)+(#REF!*#REF!)</f>
        <v>#REF!</v>
      </c>
      <c r="D57" s="1223">
        <v>0</v>
      </c>
      <c r="E57" s="1223">
        <v>0</v>
      </c>
      <c r="F57" s="1223">
        <v>0</v>
      </c>
      <c r="G57" s="1223">
        <v>0</v>
      </c>
      <c r="H57" s="1224" t="e">
        <f t="shared" si="23"/>
        <v>#REF!</v>
      </c>
      <c r="I57" s="1225" t="e">
        <f t="shared" si="18"/>
        <v>#REF!</v>
      </c>
      <c r="J57" s="1231" t="e">
        <f t="shared" si="19"/>
        <v>#REF!</v>
      </c>
      <c r="K57" s="1227">
        <f t="shared" si="20"/>
        <v>0</v>
      </c>
      <c r="L57" s="1228">
        <f t="shared" si="21"/>
        <v>0</v>
      </c>
      <c r="M57" s="1232">
        <f t="shared" si="24"/>
        <v>0</v>
      </c>
      <c r="N57" s="1233">
        <f t="shared" si="22"/>
        <v>0</v>
      </c>
    </row>
    <row r="58" spans="2:14">
      <c r="B58" s="1222" t="e">
        <f>CONCATENATE(#REF!," ",#REF!)</f>
        <v>#REF!</v>
      </c>
      <c r="C58" s="1223" t="e">
        <f>(#REF!*#REF!)+(#REF!*#REF!)</f>
        <v>#REF!</v>
      </c>
      <c r="D58" s="1223">
        <v>0</v>
      </c>
      <c r="E58" s="1223">
        <v>0</v>
      </c>
      <c r="F58" s="1223">
        <v>0</v>
      </c>
      <c r="G58" s="1223">
        <v>0</v>
      </c>
      <c r="H58" s="1224" t="e">
        <f>(C58+D58+E58+F58)-(G58)</f>
        <v>#REF!</v>
      </c>
      <c r="I58" s="1225" t="e">
        <f t="shared" si="18"/>
        <v>#REF!</v>
      </c>
      <c r="J58" s="1231" t="e">
        <f>(H58*I58)</f>
        <v>#REF!</v>
      </c>
      <c r="K58" s="1227">
        <f t="shared" si="20"/>
        <v>0</v>
      </c>
      <c r="L58" s="1228">
        <f>IFERROR(K58*VLOOKUP($H$4,$B$4:$E$12,3,0),0)</f>
        <v>0</v>
      </c>
      <c r="M58" s="1232">
        <f>IFERROR(C58*(VLOOKUP($H$4,$B$4:$F$12,4,0)),0)</f>
        <v>0</v>
      </c>
      <c r="N58" s="1233">
        <f>(L58-M58)</f>
        <v>0</v>
      </c>
    </row>
    <row r="59" spans="2:14">
      <c r="B59" s="1222" t="e">
        <f>CONCATENATE(#REF!," ",#REF!)</f>
        <v>#REF!</v>
      </c>
      <c r="C59" s="1223" t="e">
        <f>(#REF!*#REF!)+(#REF!*#REF!)</f>
        <v>#REF!</v>
      </c>
      <c r="D59" s="1223">
        <v>0</v>
      </c>
      <c r="E59" s="1223">
        <v>0</v>
      </c>
      <c r="F59" s="1223">
        <v>0</v>
      </c>
      <c r="G59" s="1223">
        <v>0</v>
      </c>
      <c r="H59" s="1224" t="e">
        <f>(C59+D59+E59+F59)-(G59)</f>
        <v>#REF!</v>
      </c>
      <c r="I59" s="1225" t="e">
        <f t="shared" si="18"/>
        <v>#REF!</v>
      </c>
      <c r="J59" s="1231" t="e">
        <f>(H59*I59)</f>
        <v>#REF!</v>
      </c>
      <c r="K59" s="1227">
        <f t="shared" si="20"/>
        <v>0</v>
      </c>
      <c r="L59" s="1228">
        <f>IFERROR(K59*VLOOKUP($H$4,$B$4:$E$12,3,0),0)</f>
        <v>0</v>
      </c>
      <c r="M59" s="1232">
        <f>IFERROR(C59*(VLOOKUP($H$4,$B$4:$F$12,4,0)),0)</f>
        <v>0</v>
      </c>
      <c r="N59" s="1233">
        <f>(L59-M59)</f>
        <v>0</v>
      </c>
    </row>
    <row r="60" spans="2:14">
      <c r="B60" s="1222" t="e">
        <f>CONCATENATE(#REF!," ",#REF!)</f>
        <v>#REF!</v>
      </c>
      <c r="C60" s="1223" t="e">
        <f>(#REF!*#REF!)+(#REF!*#REF!)</f>
        <v>#REF!</v>
      </c>
      <c r="D60" s="1223">
        <v>0</v>
      </c>
      <c r="E60" s="1223">
        <v>0</v>
      </c>
      <c r="F60" s="1223">
        <v>0</v>
      </c>
      <c r="G60" s="1223">
        <v>0</v>
      </c>
      <c r="H60" s="1224" t="e">
        <f>(C60+D60+E60+F60)-(G60)</f>
        <v>#REF!</v>
      </c>
      <c r="I60" s="1225" t="e">
        <f t="shared" si="18"/>
        <v>#REF!</v>
      </c>
      <c r="J60" s="1231" t="e">
        <f>(H60*I60)</f>
        <v>#REF!</v>
      </c>
      <c r="K60" s="1227">
        <f t="shared" si="20"/>
        <v>0</v>
      </c>
      <c r="L60" s="1228">
        <f>IFERROR(K60*VLOOKUP($H$4,$B$4:$E$12,3,0),0)</f>
        <v>0</v>
      </c>
      <c r="M60" s="1232">
        <f>IFERROR(C60*(VLOOKUP($H$4,$B$4:$F$12,4,0)),0)</f>
        <v>0</v>
      </c>
      <c r="N60" s="1233">
        <f>(L60-M60)</f>
        <v>0</v>
      </c>
    </row>
    <row r="61" spans="2:14">
      <c r="B61" s="1222" t="e">
        <f>CONCATENATE(#REF!," ",#REF!)</f>
        <v>#REF!</v>
      </c>
      <c r="C61" s="1223" t="e">
        <f>(#REF!*#REF!)+(#REF!*#REF!)</f>
        <v>#REF!</v>
      </c>
      <c r="D61" s="1223">
        <v>0</v>
      </c>
      <c r="E61" s="1223">
        <v>0</v>
      </c>
      <c r="F61" s="1223">
        <v>0</v>
      </c>
      <c r="G61" s="1223">
        <v>0</v>
      </c>
      <c r="H61" s="1224" t="e">
        <f>(C61+D61+E61+F61)-(G61)</f>
        <v>#REF!</v>
      </c>
      <c r="I61" s="1225" t="e">
        <f t="shared" si="18"/>
        <v>#REF!</v>
      </c>
      <c r="J61" s="1231" t="e">
        <f>(H61*I61)</f>
        <v>#REF!</v>
      </c>
      <c r="K61" s="1227">
        <f t="shared" si="20"/>
        <v>0</v>
      </c>
      <c r="L61" s="1228">
        <f>IFERROR(K61*VLOOKUP($H$4,$B$4:$E$12,3,0),0)</f>
        <v>0</v>
      </c>
      <c r="M61" s="1232">
        <f>IFERROR(C61*(VLOOKUP($H$4,$B$4:$F$12,4,0)),0)</f>
        <v>0</v>
      </c>
      <c r="N61" s="1233">
        <f>(L61-M61)</f>
        <v>0</v>
      </c>
    </row>
    <row r="62" spans="2:14">
      <c r="B62" s="1222" t="e">
        <f>CONCATENATE(#REF!," ",#REF!)</f>
        <v>#REF!</v>
      </c>
      <c r="C62" s="1223" t="e">
        <f>(#REF!*#REF!)+(#REF!*#REF!)</f>
        <v>#REF!</v>
      </c>
      <c r="D62" s="1223">
        <v>0</v>
      </c>
      <c r="E62" s="1223">
        <v>0</v>
      </c>
      <c r="F62" s="1223">
        <v>0</v>
      </c>
      <c r="G62" s="1223">
        <v>0</v>
      </c>
      <c r="H62" s="1224" t="e">
        <f t="shared" si="23"/>
        <v>#REF!</v>
      </c>
      <c r="I62" s="1225" t="e">
        <f t="shared" si="18"/>
        <v>#REF!</v>
      </c>
      <c r="J62" s="1231" t="e">
        <f t="shared" si="19"/>
        <v>#REF!</v>
      </c>
      <c r="K62" s="1227">
        <f t="shared" ref="K62:K73" si="25">IFERROR(((H62+(H62*$E$30))*(1+(VLOOKUP($H$4,$B$4:$C$12,2,0)))),0)</f>
        <v>0</v>
      </c>
      <c r="L62" s="1228">
        <f t="shared" si="21"/>
        <v>0</v>
      </c>
      <c r="M62" s="1232">
        <f t="shared" si="24"/>
        <v>0</v>
      </c>
      <c r="N62" s="1233">
        <f t="shared" si="22"/>
        <v>0</v>
      </c>
    </row>
    <row r="63" spans="2:14">
      <c r="B63" s="1222" t="e">
        <f>CONCATENATE(Pedido!#REF!," ",Pedido!#REF!)</f>
        <v>#REF!</v>
      </c>
      <c r="C63" s="1223" t="e">
        <f>107.4*Pedido!#REF!</f>
        <v>#REF!</v>
      </c>
      <c r="D63" s="1223">
        <v>0</v>
      </c>
      <c r="E63" s="1223">
        <v>0</v>
      </c>
      <c r="F63" s="1223">
        <v>0</v>
      </c>
      <c r="G63" s="1223">
        <v>0</v>
      </c>
      <c r="H63" s="1224" t="e">
        <f t="shared" si="23"/>
        <v>#REF!</v>
      </c>
      <c r="I63" s="1225" t="e">
        <f t="shared" si="18"/>
        <v>#REF!</v>
      </c>
      <c r="J63" s="1231" t="e">
        <f t="shared" si="19"/>
        <v>#REF!</v>
      </c>
      <c r="K63" s="1227">
        <f>IFERROR(((H63+(H63*$E$30))*(1+(VLOOKUP($H$4,$B$4:$C$12,2,0)))),0)</f>
        <v>0</v>
      </c>
      <c r="L63" s="1228">
        <f t="shared" si="21"/>
        <v>0</v>
      </c>
      <c r="M63" s="1232">
        <f t="shared" si="24"/>
        <v>0</v>
      </c>
      <c r="N63" s="1233">
        <f t="shared" si="22"/>
        <v>0</v>
      </c>
    </row>
    <row r="64" spans="2:14">
      <c r="B64" s="1222" t="e">
        <f>CONCATENATE(Pedido!#REF!," ",Pedido!#REF!)</f>
        <v>#REF!</v>
      </c>
      <c r="C64" s="1223" t="e">
        <f>107.4*Pedido!#REF!</f>
        <v>#REF!</v>
      </c>
      <c r="D64" s="1223">
        <v>0</v>
      </c>
      <c r="E64" s="1223">
        <v>0</v>
      </c>
      <c r="F64" s="1223">
        <v>0</v>
      </c>
      <c r="G64" s="1223">
        <v>0</v>
      </c>
      <c r="H64" s="1224" t="e">
        <f t="shared" ref="H64:H73" si="26">(C64+D64+E64+F64)-(G64)</f>
        <v>#REF!</v>
      </c>
      <c r="I64" s="1225" t="e">
        <f t="shared" si="18"/>
        <v>#REF!</v>
      </c>
      <c r="J64" s="1231" t="e">
        <f t="shared" ref="J64:J73" si="27">(H64*I64)</f>
        <v>#REF!</v>
      </c>
      <c r="K64" s="1227">
        <f t="shared" si="25"/>
        <v>0</v>
      </c>
      <c r="L64" s="1228">
        <f t="shared" ref="L64:L73" si="28">IFERROR(K64*VLOOKUP($H$4,$B$4:$E$12,3,0),0)</f>
        <v>0</v>
      </c>
      <c r="M64" s="1232">
        <f t="shared" ref="M64:M73" si="29">IFERROR(C64*(VLOOKUP($H$4,$B$4:$F$12,4,0)),0)</f>
        <v>0</v>
      </c>
      <c r="N64" s="1233">
        <f t="shared" ref="N64:N73" si="30">(L64-M64)</f>
        <v>0</v>
      </c>
    </row>
    <row r="65" spans="2:14">
      <c r="B65" s="1222" t="e">
        <f>CONCATENATE(Pedido!#REF!," ",Pedido!#REF!)</f>
        <v>#REF!</v>
      </c>
      <c r="C65" s="1223" t="e">
        <f>107.4*Pedido!#REF!</f>
        <v>#REF!</v>
      </c>
      <c r="D65" s="1223">
        <v>0</v>
      </c>
      <c r="E65" s="1223">
        <v>0</v>
      </c>
      <c r="F65" s="1223">
        <v>0</v>
      </c>
      <c r="G65" s="1223">
        <v>0</v>
      </c>
      <c r="H65" s="1224" t="e">
        <f t="shared" si="26"/>
        <v>#REF!</v>
      </c>
      <c r="I65" s="1225" t="e">
        <f t="shared" si="18"/>
        <v>#REF!</v>
      </c>
      <c r="J65" s="1231" t="e">
        <f t="shared" si="27"/>
        <v>#REF!</v>
      </c>
      <c r="K65" s="1227">
        <f t="shared" si="25"/>
        <v>0</v>
      </c>
      <c r="L65" s="1228">
        <f t="shared" si="28"/>
        <v>0</v>
      </c>
      <c r="M65" s="1232">
        <f t="shared" si="29"/>
        <v>0</v>
      </c>
      <c r="N65" s="1233">
        <f t="shared" si="30"/>
        <v>0</v>
      </c>
    </row>
    <row r="66" spans="2:14">
      <c r="B66" s="1222" t="e">
        <f>CONCATENATE(Pedido!#REF!," ",Pedido!#REF!)</f>
        <v>#REF!</v>
      </c>
      <c r="C66" s="1223" t="e">
        <f>107.4*Pedido!#REF!</f>
        <v>#REF!</v>
      </c>
      <c r="D66" s="1223">
        <v>0</v>
      </c>
      <c r="E66" s="1223">
        <v>0</v>
      </c>
      <c r="F66" s="1223">
        <v>0</v>
      </c>
      <c r="G66" s="1223">
        <v>0</v>
      </c>
      <c r="H66" s="1224" t="e">
        <f t="shared" si="26"/>
        <v>#REF!</v>
      </c>
      <c r="I66" s="1225" t="e">
        <f t="shared" si="18"/>
        <v>#REF!</v>
      </c>
      <c r="J66" s="1231" t="e">
        <f t="shared" si="27"/>
        <v>#REF!</v>
      </c>
      <c r="K66" s="1227">
        <f t="shared" si="25"/>
        <v>0</v>
      </c>
      <c r="L66" s="1228">
        <f t="shared" si="28"/>
        <v>0</v>
      </c>
      <c r="M66" s="1232">
        <f t="shared" si="29"/>
        <v>0</v>
      </c>
      <c r="N66" s="1233">
        <f t="shared" si="30"/>
        <v>0</v>
      </c>
    </row>
    <row r="67" spans="2:14">
      <c r="B67" s="1222" t="e">
        <f>CONCATENATE(Pedido!#REF!," ",Pedido!#REF!)</f>
        <v>#REF!</v>
      </c>
      <c r="C67" s="1223" t="e">
        <f>107.4*Pedido!#REF!</f>
        <v>#REF!</v>
      </c>
      <c r="D67" s="1223">
        <v>0</v>
      </c>
      <c r="E67" s="1223">
        <v>0</v>
      </c>
      <c r="F67" s="1223">
        <v>0</v>
      </c>
      <c r="G67" s="1223">
        <v>0</v>
      </c>
      <c r="H67" s="1224" t="e">
        <f t="shared" si="26"/>
        <v>#REF!</v>
      </c>
      <c r="I67" s="1225" t="e">
        <f t="shared" si="18"/>
        <v>#REF!</v>
      </c>
      <c r="J67" s="1231" t="e">
        <f t="shared" si="27"/>
        <v>#REF!</v>
      </c>
      <c r="K67" s="1227">
        <f t="shared" si="25"/>
        <v>0</v>
      </c>
      <c r="L67" s="1228">
        <f t="shared" si="28"/>
        <v>0</v>
      </c>
      <c r="M67" s="1232">
        <f t="shared" si="29"/>
        <v>0</v>
      </c>
      <c r="N67" s="1233">
        <f t="shared" si="30"/>
        <v>0</v>
      </c>
    </row>
    <row r="68" spans="2:14">
      <c r="B68" s="1222" t="e">
        <f>CONCATENATE(Pedido!#REF!," ",Pedido!#REF!)</f>
        <v>#REF!</v>
      </c>
      <c r="C68" s="1223" t="e">
        <f>131.4*Pedido!#REF!</f>
        <v>#REF!</v>
      </c>
      <c r="D68" s="1223">
        <v>0</v>
      </c>
      <c r="E68" s="1223">
        <v>0</v>
      </c>
      <c r="F68" s="1223">
        <v>0</v>
      </c>
      <c r="G68" s="1223">
        <v>0</v>
      </c>
      <c r="H68" s="1224" t="e">
        <f>(C68+D68+E68+F68)-(G68)</f>
        <v>#REF!</v>
      </c>
      <c r="I68" s="1225" t="e">
        <f t="shared" si="18"/>
        <v>#REF!</v>
      </c>
      <c r="J68" s="1231" t="e">
        <f>(H68*I68)</f>
        <v>#REF!</v>
      </c>
      <c r="K68" s="1227">
        <f>IFERROR(((H68+(H68*$E$30))*(1+(VLOOKUP($H$4,$B$4:$C$12,2,0)))),0)</f>
        <v>0</v>
      </c>
      <c r="L68" s="1228">
        <f>IFERROR(K68*VLOOKUP($H$4,$B$4:$E$12,3,0),0)</f>
        <v>0</v>
      </c>
      <c r="M68" s="1232">
        <f>IFERROR(C68*(VLOOKUP($H$4,$B$4:$F$12,4,0)),0)</f>
        <v>0</v>
      </c>
      <c r="N68" s="1233">
        <f>(L68-M68)</f>
        <v>0</v>
      </c>
    </row>
    <row r="69" spans="2:14">
      <c r="B69" s="1222" t="e">
        <f>CONCATENATE(Pedido!#REF!," ",Pedido!#REF!)</f>
        <v>#REF!</v>
      </c>
      <c r="C69" s="1223" t="e">
        <f>131.4*Pedido!#REF!</f>
        <v>#REF!</v>
      </c>
      <c r="D69" s="1223">
        <v>0</v>
      </c>
      <c r="E69" s="1223">
        <v>0</v>
      </c>
      <c r="F69" s="1223">
        <v>0</v>
      </c>
      <c r="G69" s="1223">
        <v>0</v>
      </c>
      <c r="H69" s="1224" t="e">
        <f t="shared" si="26"/>
        <v>#REF!</v>
      </c>
      <c r="I69" s="1225" t="e">
        <f t="shared" si="18"/>
        <v>#REF!</v>
      </c>
      <c r="J69" s="1231" t="e">
        <f t="shared" si="27"/>
        <v>#REF!</v>
      </c>
      <c r="K69" s="1227">
        <f t="shared" si="25"/>
        <v>0</v>
      </c>
      <c r="L69" s="1228">
        <f t="shared" si="28"/>
        <v>0</v>
      </c>
      <c r="M69" s="1232">
        <f t="shared" si="29"/>
        <v>0</v>
      </c>
      <c r="N69" s="1233">
        <f t="shared" si="30"/>
        <v>0</v>
      </c>
    </row>
    <row r="70" spans="2:14">
      <c r="B70" s="1222" t="e">
        <f>CONCATENATE(Pedido!#REF!," ",Pedido!#REF!)</f>
        <v>#REF!</v>
      </c>
      <c r="C70" s="1223" t="e">
        <f>131.4*Pedido!#REF!</f>
        <v>#REF!</v>
      </c>
      <c r="D70" s="1223">
        <v>0</v>
      </c>
      <c r="E70" s="1223">
        <v>0</v>
      </c>
      <c r="F70" s="1223">
        <v>0</v>
      </c>
      <c r="G70" s="1223">
        <v>0</v>
      </c>
      <c r="H70" s="1224" t="e">
        <f t="shared" si="26"/>
        <v>#REF!</v>
      </c>
      <c r="I70" s="1225" t="e">
        <f t="shared" si="18"/>
        <v>#REF!</v>
      </c>
      <c r="J70" s="1231" t="e">
        <f t="shared" si="27"/>
        <v>#REF!</v>
      </c>
      <c r="K70" s="1227">
        <f t="shared" si="25"/>
        <v>0</v>
      </c>
      <c r="L70" s="1228">
        <f t="shared" si="28"/>
        <v>0</v>
      </c>
      <c r="M70" s="1232">
        <f t="shared" si="29"/>
        <v>0</v>
      </c>
      <c r="N70" s="1233">
        <f t="shared" si="30"/>
        <v>0</v>
      </c>
    </row>
    <row r="71" spans="2:14">
      <c r="B71" s="1222" t="e">
        <f>CONCATENATE(Pedido!#REF!," ",Pedido!#REF!)</f>
        <v>#REF!</v>
      </c>
      <c r="C71" s="1223" t="e">
        <f>131.4*Pedido!#REF!</f>
        <v>#REF!</v>
      </c>
      <c r="D71" s="1223">
        <v>0</v>
      </c>
      <c r="E71" s="1223">
        <v>0</v>
      </c>
      <c r="F71" s="1223">
        <v>0</v>
      </c>
      <c r="G71" s="1223">
        <v>0</v>
      </c>
      <c r="H71" s="1224" t="e">
        <f t="shared" si="26"/>
        <v>#REF!</v>
      </c>
      <c r="I71" s="1225" t="e">
        <f t="shared" si="18"/>
        <v>#REF!</v>
      </c>
      <c r="J71" s="1231" t="e">
        <f t="shared" si="27"/>
        <v>#REF!</v>
      </c>
      <c r="K71" s="1227">
        <f t="shared" si="25"/>
        <v>0</v>
      </c>
      <c r="L71" s="1228">
        <f t="shared" si="28"/>
        <v>0</v>
      </c>
      <c r="M71" s="1232">
        <f t="shared" si="29"/>
        <v>0</v>
      </c>
      <c r="N71" s="1233">
        <f t="shared" si="30"/>
        <v>0</v>
      </c>
    </row>
    <row r="72" spans="2:14">
      <c r="B72" s="1222" t="e">
        <f>CONCATENATE(Pedido!#REF!," ",Pedido!#REF!)</f>
        <v>#REF!</v>
      </c>
      <c r="C72" s="1223" t="e">
        <f>131.4*Pedido!#REF!</f>
        <v>#REF!</v>
      </c>
      <c r="D72" s="1223">
        <v>0</v>
      </c>
      <c r="E72" s="1223">
        <v>0</v>
      </c>
      <c r="F72" s="1223">
        <v>0</v>
      </c>
      <c r="G72" s="1223">
        <v>0</v>
      </c>
      <c r="H72" s="1224" t="e">
        <f t="shared" si="26"/>
        <v>#REF!</v>
      </c>
      <c r="I72" s="1225" t="e">
        <f t="shared" si="18"/>
        <v>#REF!</v>
      </c>
      <c r="J72" s="1231" t="e">
        <f t="shared" si="27"/>
        <v>#REF!</v>
      </c>
      <c r="K72" s="1227">
        <f t="shared" si="25"/>
        <v>0</v>
      </c>
      <c r="L72" s="1228">
        <f t="shared" si="28"/>
        <v>0</v>
      </c>
      <c r="M72" s="1232">
        <f t="shared" si="29"/>
        <v>0</v>
      </c>
      <c r="N72" s="1233">
        <f t="shared" si="30"/>
        <v>0</v>
      </c>
    </row>
    <row r="73" spans="2:14">
      <c r="B73" s="1222" t="e">
        <f>CONCATENATE(Pedido!#REF!," ",Pedido!#REF!)</f>
        <v>#REF!</v>
      </c>
      <c r="C73" s="1223" t="e">
        <f>131.4*Pedido!#REF!</f>
        <v>#REF!</v>
      </c>
      <c r="D73" s="1223">
        <v>0</v>
      </c>
      <c r="E73" s="1223">
        <v>0</v>
      </c>
      <c r="F73" s="1223">
        <v>0</v>
      </c>
      <c r="G73" s="1223">
        <v>0</v>
      </c>
      <c r="H73" s="1224" t="e">
        <f t="shared" si="26"/>
        <v>#REF!</v>
      </c>
      <c r="I73" s="1225" t="e">
        <f t="shared" si="18"/>
        <v>#REF!</v>
      </c>
      <c r="J73" s="1231" t="e">
        <f t="shared" si="27"/>
        <v>#REF!</v>
      </c>
      <c r="K73" s="1227">
        <f t="shared" si="25"/>
        <v>0</v>
      </c>
      <c r="L73" s="1228">
        <f t="shared" si="28"/>
        <v>0</v>
      </c>
      <c r="M73" s="1232">
        <f t="shared" si="29"/>
        <v>0</v>
      </c>
      <c r="N73" s="1233">
        <f t="shared" si="30"/>
        <v>0</v>
      </c>
    </row>
    <row r="74" spans="2:14" ht="16.2" thickBot="1">
      <c r="B74" s="1234"/>
      <c r="N74" s="1235"/>
    </row>
    <row r="75" spans="2:14" s="1236" customFormat="1" ht="24" thickBot="1">
      <c r="B75" s="1899" t="s">
        <v>584</v>
      </c>
      <c r="C75" s="1900"/>
      <c r="D75" s="1900"/>
      <c r="E75" s="1900"/>
      <c r="F75" s="1900"/>
      <c r="G75" s="1900"/>
      <c r="H75" s="1900"/>
      <c r="I75" s="1900"/>
      <c r="J75" s="1900"/>
      <c r="K75" s="1900"/>
      <c r="L75" s="1900"/>
      <c r="M75" s="1901">
        <f>SUM(N20:N73)</f>
        <v>0</v>
      </c>
      <c r="N75" s="1902"/>
    </row>
  </sheetData>
  <sheetProtection algorithmName="SHA-512" hashValue="5Uf6tzZ05iSm+UWjSiE1UNv/HTHheU/ViyCz+zqn0mzU6h/+wTUi5j+9n5NN2OcWV/hTcII0vgR2XNrQBmjSDw==" saltValue="YFTRYauEiL3zBPj4IMPc9g==" spinCount="100000" sheet="1" objects="1" scenarios="1"/>
  <mergeCells count="4">
    <mergeCell ref="B13:N13"/>
    <mergeCell ref="B15:C15"/>
    <mergeCell ref="B75:L75"/>
    <mergeCell ref="M75:N75"/>
  </mergeCells>
  <dataValidations disablePrompts="1" count="1">
    <dataValidation type="list" allowBlank="1" showInputMessage="1" showErrorMessage="1" sqref="H4" xr:uid="{8A047F40-9122-4863-ABFC-BE02A53FA461}">
      <formula1>$B$4:$B$10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4"/>
  <dimension ref="A1:AO1003"/>
  <sheetViews>
    <sheetView showGridLines="0" topLeftCell="Q1" zoomScale="115" zoomScaleNormal="115" workbookViewId="0">
      <selection activeCell="P1" sqref="A1:P1048576"/>
    </sheetView>
  </sheetViews>
  <sheetFormatPr defaultColWidth="16.85546875" defaultRowHeight="15" customHeight="1"/>
  <cols>
    <col min="1" max="1" width="8.7109375" style="17" hidden="1" customWidth="1"/>
    <col min="2" max="2" width="9.7109375" style="17" hidden="1" customWidth="1"/>
    <col min="3" max="3" width="9" style="17" hidden="1" customWidth="1"/>
    <col min="4" max="4" width="7.7109375" style="17" hidden="1" customWidth="1"/>
    <col min="5" max="5" width="11" style="17" hidden="1" customWidth="1"/>
    <col min="6" max="7" width="13.42578125" style="17" hidden="1" customWidth="1"/>
    <col min="8" max="8" width="19" style="17" hidden="1" customWidth="1"/>
    <col min="9" max="9" width="28.85546875" style="17" hidden="1" customWidth="1"/>
    <col min="10" max="10" width="36.140625" style="17" hidden="1" customWidth="1"/>
    <col min="11" max="11" width="37.140625" style="17" hidden="1" customWidth="1"/>
    <col min="12" max="12" width="31.7109375" style="17" hidden="1" customWidth="1"/>
    <col min="13" max="13" width="8.140625" style="17" hidden="1" customWidth="1"/>
    <col min="14" max="16" width="12.42578125" style="17" hidden="1" customWidth="1"/>
    <col min="17" max="17" width="7.28515625" style="354" customWidth="1"/>
    <col min="18" max="18" width="16.140625" style="354" customWidth="1"/>
    <col min="19" max="19" width="20.42578125" style="354" customWidth="1"/>
    <col min="20" max="20" width="7.28515625" style="17" customWidth="1"/>
    <col min="21" max="21" width="16.85546875" style="17" customWidth="1"/>
    <col min="22" max="22" width="14.7109375" style="17" customWidth="1"/>
    <col min="23" max="23" width="7.28515625" style="17" customWidth="1"/>
    <col min="24" max="24" width="16.85546875" style="17" customWidth="1"/>
    <col min="25" max="25" width="15.28515625" style="17" customWidth="1"/>
    <col min="26" max="26" width="7.28515625" style="17" customWidth="1"/>
    <col min="27" max="27" width="16.85546875" style="17" customWidth="1"/>
    <col min="28" max="31" width="16.85546875" style="17" hidden="1" customWidth="1"/>
    <col min="32" max="34" width="16.85546875" style="17" customWidth="1"/>
    <col min="35" max="39" width="16.85546875" style="17"/>
    <col min="40" max="41" width="16.85546875" style="17" hidden="1" customWidth="1"/>
    <col min="42" max="43" width="0" style="17" hidden="1" customWidth="1"/>
    <col min="44" max="16384" width="16.85546875" style="17"/>
  </cols>
  <sheetData>
    <row r="1" spans="1:30" ht="11.25" customHeight="1">
      <c r="A1" s="355" t="s">
        <v>6</v>
      </c>
      <c r="B1" s="355" t="s">
        <v>170</v>
      </c>
      <c r="C1" s="352" t="s">
        <v>171</v>
      </c>
      <c r="D1" s="352" t="s">
        <v>172</v>
      </c>
      <c r="E1" s="352">
        <v>1000</v>
      </c>
      <c r="F1" s="352">
        <v>3001</v>
      </c>
      <c r="G1" s="352">
        <v>5001</v>
      </c>
      <c r="H1" s="352">
        <v>10001</v>
      </c>
      <c r="I1" s="352">
        <v>25001</v>
      </c>
      <c r="J1" s="352">
        <v>50001</v>
      </c>
      <c r="K1" s="352">
        <v>75001</v>
      </c>
      <c r="L1" s="352">
        <v>100000</v>
      </c>
      <c r="M1" s="356" t="s">
        <v>173</v>
      </c>
      <c r="N1" s="352" t="s">
        <v>174</v>
      </c>
      <c r="O1" s="352" t="s">
        <v>175</v>
      </c>
      <c r="P1" s="715" t="s">
        <v>552</v>
      </c>
      <c r="Q1" s="17"/>
      <c r="R1" s="17"/>
      <c r="S1" s="17"/>
    </row>
    <row r="2" spans="1:30" ht="11.25" customHeight="1">
      <c r="A2" s="354" t="s">
        <v>176</v>
      </c>
      <c r="B2" s="354" t="s">
        <v>8</v>
      </c>
      <c r="C2" s="354" t="s">
        <v>177</v>
      </c>
      <c r="D2" s="354">
        <v>1</v>
      </c>
      <c r="E2" s="353">
        <v>15</v>
      </c>
      <c r="F2" s="353">
        <v>15</v>
      </c>
      <c r="G2" s="353">
        <v>15</v>
      </c>
      <c r="H2" s="353">
        <v>15</v>
      </c>
      <c r="I2" s="353">
        <v>15</v>
      </c>
      <c r="J2" s="353">
        <v>15</v>
      </c>
      <c r="K2" s="353">
        <v>15</v>
      </c>
      <c r="L2" s="353">
        <v>15</v>
      </c>
      <c r="M2" s="357">
        <v>1</v>
      </c>
      <c r="N2" s="358">
        <v>0</v>
      </c>
      <c r="O2" s="358">
        <v>0.03</v>
      </c>
      <c r="P2" s="17" t="s">
        <v>190</v>
      </c>
      <c r="Q2" s="17"/>
      <c r="R2" s="17"/>
      <c r="S2" s="17"/>
      <c r="AB2" s="17" t="s">
        <v>478</v>
      </c>
      <c r="AC2" s="17">
        <f>Pedido!D4</f>
        <v>0</v>
      </c>
      <c r="AD2" s="17">
        <v>1499</v>
      </c>
    </row>
    <row r="3" spans="1:30" ht="11.25" customHeight="1">
      <c r="A3" s="354" t="s">
        <v>178</v>
      </c>
      <c r="B3" s="354" t="s">
        <v>179</v>
      </c>
      <c r="C3" s="354" t="s">
        <v>14</v>
      </c>
      <c r="D3" s="354"/>
      <c r="E3" s="353">
        <v>30</v>
      </c>
      <c r="F3" s="353">
        <v>30</v>
      </c>
      <c r="G3" s="353">
        <v>30</v>
      </c>
      <c r="H3" s="353">
        <v>30</v>
      </c>
      <c r="I3" s="353">
        <v>30</v>
      </c>
      <c r="J3" s="353">
        <v>30</v>
      </c>
      <c r="K3" s="353">
        <v>30</v>
      </c>
      <c r="L3" s="353">
        <v>30</v>
      </c>
      <c r="M3" s="359">
        <v>2</v>
      </c>
      <c r="N3" s="358">
        <v>0.01</v>
      </c>
      <c r="O3" s="358">
        <v>0.03</v>
      </c>
      <c r="P3" s="17" t="s">
        <v>14</v>
      </c>
      <c r="Q3" s="17"/>
      <c r="R3" s="17"/>
      <c r="S3" s="17"/>
      <c r="AB3" s="17" t="s">
        <v>479</v>
      </c>
      <c r="AC3" s="17" t="e">
        <f>#REF!</f>
        <v>#REF!</v>
      </c>
      <c r="AD3" s="17">
        <v>499</v>
      </c>
    </row>
    <row r="4" spans="1:30" ht="11.25" customHeight="1">
      <c r="A4" s="354"/>
      <c r="B4" s="354" t="s">
        <v>553</v>
      </c>
      <c r="C4" s="354"/>
      <c r="D4" s="354"/>
      <c r="E4" s="354" t="s">
        <v>360</v>
      </c>
      <c r="F4" s="354" t="s">
        <v>243</v>
      </c>
      <c r="G4" s="354" t="s">
        <v>243</v>
      </c>
      <c r="H4" s="353" t="s">
        <v>243</v>
      </c>
      <c r="I4" s="353" t="s">
        <v>243</v>
      </c>
      <c r="J4" s="353" t="s">
        <v>243</v>
      </c>
      <c r="K4" s="353" t="s">
        <v>243</v>
      </c>
      <c r="L4" s="353" t="s">
        <v>243</v>
      </c>
      <c r="M4" s="359">
        <v>3</v>
      </c>
      <c r="N4" s="358">
        <v>0.02</v>
      </c>
      <c r="O4" s="358">
        <v>0.03</v>
      </c>
      <c r="Q4" s="17"/>
      <c r="R4" s="17"/>
      <c r="S4" s="17"/>
      <c r="AB4" s="17" t="s">
        <v>480</v>
      </c>
      <c r="AC4" s="715" t="e">
        <f>SUM(AC2:AC3)</f>
        <v>#REF!</v>
      </c>
      <c r="AD4" s="17">
        <v>1999</v>
      </c>
    </row>
    <row r="5" spans="1:30" ht="11.25" customHeight="1">
      <c r="A5" s="354"/>
      <c r="B5" s="354"/>
      <c r="C5" s="354"/>
      <c r="D5" s="354"/>
      <c r="E5" s="353"/>
      <c r="F5" s="353" t="s">
        <v>360</v>
      </c>
      <c r="G5" s="353" t="s">
        <v>360</v>
      </c>
      <c r="H5" s="353" t="s">
        <v>360</v>
      </c>
      <c r="I5" s="353" t="s">
        <v>360</v>
      </c>
      <c r="J5" s="353" t="s">
        <v>360</v>
      </c>
      <c r="K5" s="353" t="s">
        <v>360</v>
      </c>
      <c r="L5" s="353" t="s">
        <v>360</v>
      </c>
      <c r="M5" s="359">
        <v>4</v>
      </c>
      <c r="N5" s="358">
        <v>0.03</v>
      </c>
      <c r="O5" s="358">
        <v>0.03</v>
      </c>
      <c r="Q5" s="17"/>
      <c r="R5" s="17"/>
      <c r="S5" s="17"/>
      <c r="AC5" s="716" t="e">
        <f>IF(AC4&gt;AD4,"Pedido aprovado",IF(AND(AC2&gt;AD2,AC3=0),"Pedido aprovado",IF(AND(AC2&lt;AD2,AC3=0),"Reprovado, rever pedido mínimo",IF(AND(AC2&gt;AD2,AC3&lt;AD3),"Reprovado, rever pedido mínimo","Reprovado rever pedido mínimo"))))</f>
        <v>#REF!</v>
      </c>
    </row>
    <row r="6" spans="1:30" ht="11.25" customHeight="1">
      <c r="A6" s="354"/>
      <c r="B6" s="354"/>
      <c r="C6" s="354"/>
      <c r="D6" s="354"/>
      <c r="E6" s="354"/>
      <c r="F6" s="352" t="s">
        <v>374</v>
      </c>
      <c r="G6" s="352" t="s">
        <v>374</v>
      </c>
      <c r="H6" s="352" t="s">
        <v>374</v>
      </c>
      <c r="I6" s="352" t="s">
        <v>374</v>
      </c>
      <c r="J6" s="352" t="s">
        <v>374</v>
      </c>
      <c r="K6" s="352" t="s">
        <v>374</v>
      </c>
      <c r="L6" s="352" t="s">
        <v>374</v>
      </c>
      <c r="M6" s="359">
        <v>5</v>
      </c>
      <c r="N6" s="358">
        <v>0.04</v>
      </c>
      <c r="O6" s="358">
        <v>0</v>
      </c>
      <c r="Q6" s="17"/>
      <c r="R6" s="17"/>
      <c r="S6" s="17"/>
    </row>
    <row r="7" spans="1:30" ht="11.25" customHeight="1">
      <c r="A7" s="354"/>
      <c r="B7" s="354"/>
      <c r="C7" s="354"/>
      <c r="D7" s="354"/>
      <c r="E7" s="354"/>
      <c r="F7" s="353" t="s">
        <v>180</v>
      </c>
      <c r="G7" s="354" t="s">
        <v>182</v>
      </c>
      <c r="H7" s="354" t="s">
        <v>182</v>
      </c>
      <c r="I7" s="353" t="s">
        <v>182</v>
      </c>
      <c r="J7" s="353" t="s">
        <v>182</v>
      </c>
      <c r="K7" s="353" t="s">
        <v>182</v>
      </c>
      <c r="L7" s="353" t="s">
        <v>182</v>
      </c>
      <c r="M7" s="359">
        <v>6</v>
      </c>
      <c r="N7" s="360">
        <v>0.05</v>
      </c>
      <c r="O7" s="358">
        <v>0</v>
      </c>
      <c r="Q7" s="17"/>
      <c r="R7" s="17"/>
      <c r="S7" s="17"/>
    </row>
    <row r="8" spans="1:30" ht="11.25" customHeight="1">
      <c r="A8" s="354"/>
      <c r="B8" s="354"/>
      <c r="C8" s="354"/>
      <c r="D8" s="354"/>
      <c r="E8" s="354"/>
      <c r="F8" s="354" t="s">
        <v>181</v>
      </c>
      <c r="G8" s="353" t="s">
        <v>180</v>
      </c>
      <c r="H8" s="354" t="s">
        <v>186</v>
      </c>
      <c r="I8" s="354" t="s">
        <v>186</v>
      </c>
      <c r="J8" s="354" t="s">
        <v>186</v>
      </c>
      <c r="K8" s="353" t="s">
        <v>186</v>
      </c>
      <c r="L8" s="353" t="s">
        <v>186</v>
      </c>
      <c r="M8" s="354"/>
      <c r="N8" s="358">
        <v>0.06</v>
      </c>
      <c r="O8" s="354"/>
      <c r="Q8" s="17"/>
      <c r="R8" s="17"/>
      <c r="S8" s="17"/>
      <c r="AC8" s="17" t="s">
        <v>481</v>
      </c>
      <c r="AD8" s="17" t="s">
        <v>482</v>
      </c>
    </row>
    <row r="9" spans="1:30" ht="11.25" customHeight="1">
      <c r="A9" s="354"/>
      <c r="B9" s="354"/>
      <c r="C9" s="354"/>
      <c r="D9" s="354"/>
      <c r="E9" s="354"/>
      <c r="G9" s="354" t="s">
        <v>183</v>
      </c>
      <c r="H9" s="353" t="s">
        <v>180</v>
      </c>
      <c r="I9" s="354" t="s">
        <v>188</v>
      </c>
      <c r="J9" s="354" t="s">
        <v>188</v>
      </c>
      <c r="K9" s="354" t="s">
        <v>188</v>
      </c>
      <c r="L9" s="354" t="s">
        <v>188</v>
      </c>
      <c r="M9" s="354"/>
      <c r="N9" s="358">
        <v>7.0000000000000007E-2</v>
      </c>
      <c r="O9" s="354"/>
      <c r="Q9" s="17"/>
      <c r="R9" s="17"/>
      <c r="S9" s="17"/>
      <c r="AC9" s="17" t="s">
        <v>483</v>
      </c>
      <c r="AD9" s="17" t="s">
        <v>482</v>
      </c>
    </row>
    <row r="10" spans="1:30" ht="11.25" customHeight="1">
      <c r="A10" s="354"/>
      <c r="B10" s="354"/>
      <c r="C10" s="354"/>
      <c r="D10" s="354"/>
      <c r="E10" s="353"/>
      <c r="G10" s="354" t="s">
        <v>184</v>
      </c>
      <c r="H10" s="354" t="s">
        <v>183</v>
      </c>
      <c r="I10" s="353" t="s">
        <v>180</v>
      </c>
      <c r="J10" s="354" t="s">
        <v>191</v>
      </c>
      <c r="K10" s="354" t="s">
        <v>191</v>
      </c>
      <c r="L10" s="354" t="s">
        <v>191</v>
      </c>
      <c r="M10" s="354"/>
      <c r="N10" s="358">
        <v>0.08</v>
      </c>
      <c r="O10" s="354"/>
      <c r="Q10" s="17"/>
      <c r="R10" s="17"/>
      <c r="S10" s="17"/>
      <c r="AC10" s="17" t="s">
        <v>484</v>
      </c>
      <c r="AD10" s="17" t="s">
        <v>485</v>
      </c>
    </row>
    <row r="11" spans="1:30" ht="11.25" customHeight="1">
      <c r="A11" s="354"/>
      <c r="B11" s="354"/>
      <c r="C11" s="354"/>
      <c r="D11" s="354"/>
      <c r="G11" s="354" t="s">
        <v>181</v>
      </c>
      <c r="H11" s="354" t="s">
        <v>187</v>
      </c>
      <c r="I11" s="353" t="s">
        <v>183</v>
      </c>
      <c r="J11" s="353" t="s">
        <v>180</v>
      </c>
      <c r="K11" s="353" t="s">
        <v>180</v>
      </c>
      <c r="L11" s="354" t="s">
        <v>194</v>
      </c>
      <c r="M11" s="354"/>
      <c r="N11" s="358">
        <v>0.09</v>
      </c>
      <c r="O11" s="354"/>
      <c r="Q11" s="17"/>
      <c r="R11" s="17"/>
      <c r="S11" s="17"/>
      <c r="AC11" s="17" t="s">
        <v>486</v>
      </c>
      <c r="AD11" s="17" t="s">
        <v>485</v>
      </c>
    </row>
    <row r="12" spans="1:30" ht="11.25" customHeight="1">
      <c r="A12" s="354"/>
      <c r="B12" s="354"/>
      <c r="C12" s="354"/>
      <c r="D12" s="354"/>
      <c r="G12" s="353" t="s">
        <v>185</v>
      </c>
      <c r="H12" s="354" t="s">
        <v>184</v>
      </c>
      <c r="I12" s="354" t="s">
        <v>187</v>
      </c>
      <c r="J12" s="353" t="s">
        <v>183</v>
      </c>
      <c r="K12" s="353" t="s">
        <v>183</v>
      </c>
      <c r="L12" s="353" t="s">
        <v>180</v>
      </c>
      <c r="M12" s="354"/>
      <c r="N12" s="358">
        <v>0.1</v>
      </c>
      <c r="O12" s="354"/>
      <c r="Q12" s="17"/>
      <c r="R12" s="17"/>
      <c r="S12" s="17"/>
    </row>
    <row r="13" spans="1:30" ht="11.25" customHeight="1">
      <c r="A13" s="354"/>
      <c r="B13" s="354"/>
      <c r="C13" s="354"/>
      <c r="D13" s="354"/>
      <c r="F13" s="484"/>
      <c r="G13" s="484"/>
      <c r="H13" s="353" t="s">
        <v>361</v>
      </c>
      <c r="I13" s="354" t="s">
        <v>189</v>
      </c>
      <c r="J13" s="354" t="s">
        <v>187</v>
      </c>
      <c r="K13" s="353" t="s">
        <v>187</v>
      </c>
      <c r="L13" s="353" t="s">
        <v>183</v>
      </c>
      <c r="M13" s="354"/>
      <c r="N13" s="354"/>
      <c r="O13" s="354"/>
      <c r="Q13" s="17"/>
      <c r="R13" s="17"/>
      <c r="S13" s="17"/>
    </row>
    <row r="14" spans="1:30" ht="11.25" customHeight="1">
      <c r="A14" s="354"/>
      <c r="C14" s="354"/>
      <c r="D14" s="354"/>
      <c r="F14" s="484"/>
      <c r="G14" s="485"/>
      <c r="H14" s="354" t="s">
        <v>181</v>
      </c>
      <c r="I14" s="353" t="s">
        <v>184</v>
      </c>
      <c r="J14" s="354" t="s">
        <v>189</v>
      </c>
      <c r="K14" s="353" t="s">
        <v>189</v>
      </c>
      <c r="L14" s="353" t="s">
        <v>187</v>
      </c>
      <c r="M14" s="354"/>
      <c r="N14" s="1298">
        <v>0</v>
      </c>
      <c r="O14" s="354"/>
      <c r="Q14" s="17"/>
      <c r="R14" s="17"/>
      <c r="S14" s="17"/>
    </row>
    <row r="15" spans="1:30" ht="11.25" customHeight="1">
      <c r="A15" s="354"/>
      <c r="C15" s="354"/>
      <c r="D15" s="354"/>
      <c r="F15" s="484"/>
      <c r="G15" s="485"/>
      <c r="H15" s="353" t="s">
        <v>185</v>
      </c>
      <c r="I15" s="354" t="s">
        <v>190</v>
      </c>
      <c r="J15" s="354" t="s">
        <v>192</v>
      </c>
      <c r="K15" s="354" t="s">
        <v>192</v>
      </c>
      <c r="L15" s="353" t="s">
        <v>189</v>
      </c>
      <c r="M15" s="354"/>
      <c r="N15" s="1297">
        <v>5.0000000000000001E-3</v>
      </c>
      <c r="O15" s="354"/>
      <c r="Q15" s="17"/>
      <c r="R15" s="17"/>
      <c r="S15" s="17"/>
    </row>
    <row r="16" spans="1:30" ht="11.25" customHeight="1">
      <c r="A16" s="354"/>
      <c r="C16" s="354"/>
      <c r="D16" s="354"/>
      <c r="F16" s="486"/>
      <c r="G16" s="485"/>
      <c r="H16" s="354"/>
      <c r="I16" s="354" t="s">
        <v>361</v>
      </c>
      <c r="J16" s="353" t="s">
        <v>184</v>
      </c>
      <c r="K16" s="353" t="s">
        <v>184</v>
      </c>
      <c r="L16" s="354" t="s">
        <v>192</v>
      </c>
      <c r="M16" s="354"/>
      <c r="N16" s="1297">
        <v>0.01</v>
      </c>
      <c r="O16" s="354"/>
      <c r="Q16" s="17"/>
      <c r="R16" s="17"/>
      <c r="S16" s="17"/>
    </row>
    <row r="17" spans="1:19" ht="11.25" customHeight="1">
      <c r="A17" s="354"/>
      <c r="C17" s="354"/>
      <c r="D17" s="354"/>
      <c r="F17" s="486"/>
      <c r="G17" s="485"/>
      <c r="I17" s="354" t="s">
        <v>181</v>
      </c>
      <c r="J17" s="354" t="s">
        <v>190</v>
      </c>
      <c r="K17" s="354" t="s">
        <v>190</v>
      </c>
      <c r="L17" s="354" t="s">
        <v>195</v>
      </c>
      <c r="M17" s="354"/>
      <c r="N17" s="1297">
        <v>1.4999999999999999E-2</v>
      </c>
      <c r="O17" s="354"/>
      <c r="Q17" s="17"/>
      <c r="R17" s="17"/>
      <c r="S17" s="17"/>
    </row>
    <row r="18" spans="1:19" ht="11.25" customHeight="1">
      <c r="A18" s="354"/>
      <c r="B18" s="354"/>
      <c r="C18" s="354"/>
      <c r="D18" s="354"/>
      <c r="F18" s="486"/>
      <c r="G18" s="485"/>
      <c r="I18" s="354" t="s">
        <v>362</v>
      </c>
      <c r="J18" s="354" t="s">
        <v>361</v>
      </c>
      <c r="K18" s="354" t="s">
        <v>296</v>
      </c>
      <c r="L18" s="353" t="s">
        <v>184</v>
      </c>
      <c r="M18" s="354"/>
      <c r="N18" s="354"/>
      <c r="O18" s="354"/>
      <c r="Q18" s="17"/>
      <c r="R18" s="17"/>
      <c r="S18" s="17"/>
    </row>
    <row r="19" spans="1:19" ht="11.25" customHeight="1">
      <c r="A19" s="354"/>
      <c r="B19" s="354"/>
      <c r="C19" s="354"/>
      <c r="D19" s="354"/>
      <c r="F19" s="487"/>
      <c r="G19" s="486"/>
      <c r="I19" s="354"/>
      <c r="J19" s="354" t="s">
        <v>181</v>
      </c>
      <c r="K19" s="354" t="s">
        <v>361</v>
      </c>
      <c r="L19" s="354" t="s">
        <v>190</v>
      </c>
      <c r="M19" s="354"/>
      <c r="N19" s="354"/>
      <c r="O19" s="354"/>
      <c r="Q19" s="17"/>
      <c r="R19" s="17"/>
      <c r="S19" s="17"/>
    </row>
    <row r="20" spans="1:19" ht="11.25" customHeight="1">
      <c r="A20" s="354"/>
      <c r="B20" s="354"/>
      <c r="C20" s="354"/>
      <c r="D20" s="354"/>
      <c r="E20" s="487"/>
      <c r="F20" s="487"/>
      <c r="G20" s="486"/>
      <c r="J20" s="354" t="s">
        <v>362</v>
      </c>
      <c r="K20" s="354" t="s">
        <v>181</v>
      </c>
      <c r="L20" s="354" t="s">
        <v>196</v>
      </c>
      <c r="M20" s="354"/>
      <c r="N20" s="354"/>
      <c r="O20" s="354"/>
      <c r="Q20" s="17"/>
      <c r="R20" s="17"/>
      <c r="S20" s="17"/>
    </row>
    <row r="21" spans="1:19" ht="11.25" customHeight="1">
      <c r="A21" s="354"/>
      <c r="B21" s="354"/>
      <c r="C21" s="354"/>
      <c r="D21" s="354"/>
      <c r="E21" s="487"/>
      <c r="F21" s="487"/>
      <c r="G21" s="486"/>
      <c r="J21" s="354" t="s">
        <v>193</v>
      </c>
      <c r="K21" s="354" t="s">
        <v>362</v>
      </c>
      <c r="L21" s="354" t="s">
        <v>296</v>
      </c>
      <c r="M21" s="354"/>
      <c r="N21" s="354"/>
      <c r="O21" s="354"/>
      <c r="Q21" s="17"/>
      <c r="R21" s="17"/>
      <c r="S21" s="17"/>
    </row>
    <row r="22" spans="1:19" ht="11.25" customHeight="1">
      <c r="A22" s="354"/>
      <c r="B22" s="354"/>
      <c r="C22" s="354"/>
      <c r="D22" s="354"/>
      <c r="E22" s="486"/>
      <c r="F22" s="487"/>
      <c r="G22" s="486"/>
      <c r="J22" s="354"/>
      <c r="K22" s="354" t="s">
        <v>193</v>
      </c>
      <c r="L22" s="354" t="s">
        <v>361</v>
      </c>
      <c r="M22" s="354"/>
      <c r="N22" s="354"/>
      <c r="O22" s="354"/>
      <c r="Q22" s="17"/>
      <c r="R22" s="17"/>
      <c r="S22" s="17"/>
    </row>
    <row r="23" spans="1:19" ht="11.25" customHeight="1">
      <c r="A23" s="354"/>
      <c r="B23" s="354"/>
      <c r="C23" s="354"/>
      <c r="D23" s="354"/>
      <c r="E23" s="486"/>
      <c r="F23" s="486"/>
      <c r="G23" s="486"/>
      <c r="H23" s="353"/>
      <c r="K23" s="354"/>
      <c r="L23" s="354" t="s">
        <v>181</v>
      </c>
      <c r="M23" s="354"/>
      <c r="N23" s="354"/>
      <c r="O23" s="354"/>
      <c r="Q23" s="17"/>
      <c r="R23" s="17"/>
      <c r="S23" s="17"/>
    </row>
    <row r="24" spans="1:19" ht="11.25" customHeight="1">
      <c r="A24" s="354"/>
      <c r="B24" s="354"/>
      <c r="C24" s="354"/>
      <c r="D24" s="354"/>
      <c r="E24" s="486"/>
      <c r="F24" s="487"/>
      <c r="G24" s="486"/>
      <c r="H24" s="353"/>
      <c r="L24" s="354" t="s">
        <v>362</v>
      </c>
      <c r="M24" s="354"/>
      <c r="N24" s="354"/>
      <c r="O24" s="354"/>
      <c r="Q24" s="17"/>
      <c r="R24" s="17"/>
      <c r="S24" s="17"/>
    </row>
    <row r="25" spans="1:19" ht="11.25" customHeight="1">
      <c r="A25" s="354"/>
      <c r="B25" s="354"/>
      <c r="C25" s="354"/>
      <c r="E25" s="486"/>
      <c r="F25" s="486"/>
      <c r="G25" s="486"/>
      <c r="H25" s="353"/>
      <c r="L25" s="354" t="s">
        <v>193</v>
      </c>
      <c r="M25" s="354"/>
      <c r="N25" s="354"/>
      <c r="O25" s="354"/>
      <c r="Q25" s="17"/>
      <c r="R25" s="17"/>
      <c r="S25" s="17"/>
    </row>
    <row r="26" spans="1:19" ht="11.25" customHeight="1">
      <c r="A26" s="354"/>
      <c r="B26" s="354"/>
      <c r="C26" s="354"/>
      <c r="D26" s="354"/>
      <c r="M26" s="354"/>
      <c r="N26" s="354"/>
      <c r="O26" s="354"/>
      <c r="Q26" s="17"/>
      <c r="R26" s="17"/>
      <c r="S26" s="17"/>
    </row>
    <row r="27" spans="1:19" ht="11.25" customHeight="1">
      <c r="A27" s="354"/>
      <c r="B27" s="354"/>
      <c r="C27" s="354"/>
      <c r="D27" s="354"/>
      <c r="E27" s="353"/>
      <c r="F27" s="353"/>
      <c r="G27" s="353"/>
      <c r="H27" s="353"/>
      <c r="I27" s="354"/>
      <c r="K27" s="354"/>
      <c r="L27" s="354"/>
      <c r="M27" s="354"/>
      <c r="N27" s="354"/>
      <c r="O27" s="354"/>
      <c r="Q27" s="17"/>
      <c r="R27" s="17"/>
      <c r="S27" s="17"/>
    </row>
    <row r="28" spans="1:19" ht="11.25" customHeight="1">
      <c r="A28" s="354"/>
      <c r="B28" s="354"/>
      <c r="C28" s="354"/>
      <c r="D28" s="354"/>
      <c r="E28" s="353"/>
      <c r="F28" s="353"/>
      <c r="G28" s="353"/>
      <c r="H28" s="353"/>
      <c r="I28" s="353"/>
      <c r="K28" s="354"/>
      <c r="L28" s="354"/>
      <c r="M28" s="354"/>
      <c r="N28" s="354"/>
      <c r="O28" s="354"/>
      <c r="Q28" s="17"/>
      <c r="R28" s="17"/>
      <c r="S28" s="17"/>
    </row>
    <row r="29" spans="1:19" ht="11.25" customHeight="1">
      <c r="A29" s="354"/>
      <c r="B29" s="354"/>
      <c r="C29" s="354"/>
      <c r="D29" s="354"/>
      <c r="E29" s="353"/>
      <c r="F29" s="353"/>
      <c r="G29" s="353"/>
      <c r="H29" s="353"/>
      <c r="I29" s="353"/>
      <c r="K29" s="354"/>
      <c r="L29" s="354"/>
      <c r="M29" s="354"/>
      <c r="N29" s="354"/>
      <c r="O29" s="354"/>
      <c r="Q29" s="17"/>
      <c r="R29" s="17"/>
      <c r="S29" s="17"/>
    </row>
    <row r="30" spans="1:19" ht="11.25" customHeight="1">
      <c r="A30" s="354"/>
      <c r="C30" s="354"/>
      <c r="D30" s="354"/>
      <c r="E30" s="353"/>
      <c r="F30" s="353"/>
      <c r="G30" s="353"/>
      <c r="H30" s="353"/>
      <c r="I30" s="353"/>
      <c r="J30" s="354"/>
      <c r="K30" s="354"/>
      <c r="L30" s="354"/>
      <c r="M30" s="354"/>
      <c r="N30" s="354"/>
      <c r="O30" s="354"/>
      <c r="Q30" s="17"/>
      <c r="R30" s="17"/>
      <c r="S30" s="17"/>
    </row>
    <row r="31" spans="1:19" ht="11.25" customHeight="1">
      <c r="A31" s="354"/>
      <c r="C31" s="354"/>
      <c r="D31" s="354"/>
      <c r="E31" s="353"/>
      <c r="F31" s="353"/>
      <c r="G31" s="353"/>
      <c r="H31" s="353"/>
      <c r="I31" s="353"/>
      <c r="J31" s="354"/>
      <c r="K31" s="354"/>
      <c r="L31" s="354"/>
      <c r="M31" s="354"/>
      <c r="N31" s="354"/>
      <c r="O31" s="354"/>
      <c r="Q31" s="17"/>
      <c r="R31" s="17"/>
      <c r="S31" s="17"/>
    </row>
    <row r="32" spans="1:19" ht="11.25" customHeight="1">
      <c r="A32" s="354"/>
      <c r="B32" s="354"/>
      <c r="C32" s="354"/>
      <c r="D32" s="354"/>
      <c r="E32" s="353"/>
      <c r="F32" s="353"/>
      <c r="G32" s="353"/>
      <c r="H32" s="353"/>
      <c r="I32" s="353"/>
      <c r="J32" s="353"/>
      <c r="K32" s="354"/>
      <c r="L32" s="354"/>
      <c r="M32" s="354"/>
      <c r="N32" s="354"/>
      <c r="O32" s="354"/>
    </row>
    <row r="33" spans="1:18" ht="11.25" customHeight="1">
      <c r="A33" s="354"/>
      <c r="B33" s="354"/>
      <c r="C33" s="354"/>
      <c r="D33" s="354"/>
      <c r="E33" s="486"/>
      <c r="F33" s="486"/>
      <c r="G33" s="486"/>
      <c r="H33" s="353"/>
      <c r="I33" s="353"/>
      <c r="J33" s="353"/>
      <c r="K33" s="354"/>
      <c r="L33" s="354"/>
      <c r="M33" s="354"/>
      <c r="N33" s="354"/>
      <c r="O33" s="354"/>
      <c r="Q33" s="17"/>
      <c r="R33" s="17"/>
    </row>
    <row r="34" spans="1:18" ht="11.25" customHeight="1">
      <c r="A34" s="354"/>
      <c r="C34" s="354"/>
      <c r="D34" s="354"/>
      <c r="E34" s="486"/>
      <c r="F34" s="486"/>
      <c r="G34" s="486"/>
      <c r="H34" s="353"/>
      <c r="I34" s="353"/>
      <c r="J34" s="353"/>
      <c r="K34" s="354"/>
      <c r="L34" s="354"/>
      <c r="M34" s="354"/>
      <c r="N34" s="354"/>
      <c r="O34" s="354"/>
      <c r="Q34" s="361"/>
      <c r="R34" s="361"/>
    </row>
    <row r="35" spans="1:18" ht="11.25" customHeight="1">
      <c r="A35" s="354"/>
      <c r="C35" s="354"/>
      <c r="D35" s="354"/>
      <c r="E35" s="488"/>
      <c r="F35" s="486"/>
      <c r="G35" s="486"/>
      <c r="H35" s="353"/>
      <c r="I35" s="353"/>
      <c r="J35" s="353"/>
      <c r="K35" s="354"/>
      <c r="L35" s="354"/>
      <c r="M35" s="354"/>
      <c r="N35" s="354"/>
      <c r="O35" s="354"/>
      <c r="Q35" s="362"/>
      <c r="R35" s="362"/>
    </row>
    <row r="36" spans="1:18" ht="11.25" customHeight="1">
      <c r="A36" s="354"/>
      <c r="B36" s="354"/>
      <c r="C36" s="354"/>
      <c r="D36" s="363"/>
      <c r="E36" s="488"/>
      <c r="F36" s="486"/>
      <c r="G36" s="486"/>
      <c r="H36" s="353"/>
      <c r="I36" s="353"/>
      <c r="J36" s="353"/>
      <c r="K36" s="354"/>
      <c r="L36" s="354"/>
      <c r="M36" s="354"/>
      <c r="N36" s="354"/>
      <c r="O36" s="354"/>
      <c r="Q36" s="362"/>
      <c r="R36" s="362"/>
    </row>
    <row r="37" spans="1:18" ht="11.25" customHeight="1">
      <c r="A37" s="354"/>
      <c r="B37" s="354"/>
      <c r="C37" s="354"/>
      <c r="D37" s="354"/>
      <c r="E37" s="486"/>
      <c r="F37" s="486"/>
      <c r="G37" s="486"/>
      <c r="H37" s="353"/>
      <c r="I37" s="353"/>
      <c r="J37" s="353"/>
      <c r="K37" s="354"/>
      <c r="L37" s="354"/>
      <c r="M37" s="354"/>
      <c r="N37" s="354"/>
      <c r="O37" s="354"/>
      <c r="Q37" s="362"/>
      <c r="R37" s="362"/>
    </row>
    <row r="38" spans="1:18" ht="11.25" customHeight="1">
      <c r="A38" s="354"/>
      <c r="C38" s="354"/>
      <c r="D38" s="354"/>
      <c r="E38" s="486"/>
      <c r="F38" s="486"/>
      <c r="G38" s="486"/>
      <c r="H38" s="353"/>
      <c r="I38" s="353"/>
      <c r="J38" s="353"/>
      <c r="K38" s="353"/>
      <c r="L38" s="354"/>
      <c r="M38" s="354"/>
      <c r="N38" s="354"/>
      <c r="O38" s="354"/>
      <c r="Q38" s="362"/>
      <c r="R38" s="362"/>
    </row>
    <row r="39" spans="1:18" ht="11.25" customHeight="1">
      <c r="A39" s="354"/>
      <c r="C39" s="354"/>
      <c r="D39" s="354"/>
      <c r="E39" s="486"/>
      <c r="F39" s="486"/>
      <c r="G39" s="486"/>
      <c r="H39" s="353"/>
      <c r="I39" s="353"/>
      <c r="J39" s="353"/>
      <c r="K39" s="353"/>
      <c r="L39" s="354"/>
      <c r="M39" s="354"/>
      <c r="N39" s="354"/>
      <c r="O39" s="354"/>
      <c r="Q39" s="362"/>
      <c r="R39" s="362"/>
    </row>
    <row r="40" spans="1:18" ht="11.25" customHeight="1">
      <c r="A40" s="354"/>
      <c r="B40" s="354"/>
      <c r="C40" s="354"/>
      <c r="D40" s="354"/>
      <c r="E40" s="484"/>
      <c r="F40" s="486"/>
      <c r="G40" s="486"/>
      <c r="H40" s="353"/>
      <c r="I40" s="353"/>
      <c r="J40" s="353"/>
      <c r="K40" s="353"/>
      <c r="L40" s="353"/>
      <c r="M40" s="354"/>
      <c r="N40" s="354"/>
      <c r="O40" s="354"/>
      <c r="Q40" s="364"/>
      <c r="R40" s="362"/>
    </row>
    <row r="41" spans="1:18" ht="11.25" customHeight="1">
      <c r="A41" s="354"/>
      <c r="B41" s="354"/>
      <c r="C41" s="354"/>
      <c r="D41" s="354"/>
      <c r="E41" s="484"/>
      <c r="F41" s="486"/>
      <c r="G41" s="486"/>
      <c r="H41" s="353"/>
      <c r="I41" s="353"/>
      <c r="J41" s="353"/>
      <c r="K41" s="353"/>
      <c r="L41" s="353"/>
      <c r="M41" s="354"/>
      <c r="N41" s="354"/>
      <c r="O41" s="354"/>
      <c r="Q41" s="17"/>
      <c r="R41" s="17"/>
    </row>
    <row r="42" spans="1:18" ht="11.25" customHeight="1">
      <c r="A42" s="354"/>
      <c r="B42" s="354"/>
      <c r="C42" s="354"/>
      <c r="D42" s="354"/>
      <c r="E42" s="484"/>
      <c r="F42" s="486"/>
      <c r="G42" s="486"/>
      <c r="H42" s="353"/>
      <c r="I42" s="353"/>
      <c r="J42" s="353"/>
      <c r="K42" s="353"/>
      <c r="L42" s="353"/>
      <c r="M42" s="354"/>
      <c r="N42" s="354"/>
      <c r="O42" s="354"/>
    </row>
    <row r="43" spans="1:18" ht="11.25" customHeight="1">
      <c r="A43" s="354"/>
      <c r="B43" s="354"/>
      <c r="C43" s="354"/>
      <c r="D43" s="354"/>
      <c r="E43" s="484"/>
      <c r="F43" s="486"/>
      <c r="G43" s="486"/>
      <c r="H43" s="353"/>
      <c r="I43" s="353"/>
      <c r="J43" s="353"/>
      <c r="K43" s="353"/>
      <c r="L43" s="353"/>
      <c r="M43" s="354"/>
      <c r="N43" s="354"/>
      <c r="O43" s="354"/>
    </row>
    <row r="44" spans="1:18" ht="10.199999999999999">
      <c r="A44" s="354"/>
      <c r="B44" s="354"/>
      <c r="C44" s="354"/>
      <c r="D44" s="354"/>
      <c r="E44" s="486"/>
      <c r="F44" s="486"/>
      <c r="G44" s="486"/>
      <c r="H44" s="353"/>
      <c r="I44" s="353"/>
      <c r="J44" s="353"/>
      <c r="K44" s="353"/>
      <c r="L44" s="353"/>
      <c r="M44" s="354"/>
      <c r="N44" s="354"/>
      <c r="O44" s="354"/>
    </row>
    <row r="45" spans="1:18" ht="10.199999999999999">
      <c r="A45" s="354"/>
      <c r="B45" s="354"/>
      <c r="C45" s="354"/>
      <c r="D45" s="354"/>
      <c r="E45" s="486"/>
      <c r="F45" s="486"/>
      <c r="G45" s="486"/>
      <c r="H45" s="353"/>
      <c r="I45" s="353"/>
      <c r="J45" s="353"/>
      <c r="K45" s="353"/>
      <c r="L45" s="353"/>
      <c r="M45" s="354"/>
      <c r="N45" s="354"/>
      <c r="O45" s="354"/>
    </row>
    <row r="46" spans="1:18" ht="10.199999999999999">
      <c r="A46" s="354"/>
      <c r="B46" s="354"/>
      <c r="C46" s="354"/>
      <c r="D46" s="354"/>
      <c r="E46" s="486"/>
      <c r="F46" s="486"/>
      <c r="G46" s="486"/>
      <c r="H46" s="353"/>
      <c r="I46" s="353"/>
      <c r="J46" s="353"/>
      <c r="K46" s="353"/>
      <c r="L46" s="353"/>
      <c r="M46" s="354"/>
      <c r="N46" s="354"/>
      <c r="O46" s="354"/>
    </row>
    <row r="47" spans="1:18" ht="10.199999999999999">
      <c r="A47" s="354"/>
      <c r="B47" s="354"/>
      <c r="C47" s="354"/>
      <c r="D47" s="354"/>
      <c r="E47" s="486"/>
      <c r="F47" s="486"/>
      <c r="G47" s="486"/>
      <c r="H47" s="353"/>
      <c r="I47" s="353"/>
      <c r="J47" s="353"/>
      <c r="K47" s="353"/>
      <c r="L47" s="353"/>
      <c r="M47" s="354"/>
      <c r="N47" s="354"/>
      <c r="O47" s="354"/>
    </row>
    <row r="48" spans="1:18" ht="11.25" customHeight="1">
      <c r="A48" s="354"/>
      <c r="B48" s="354"/>
      <c r="C48" s="354"/>
      <c r="D48" s="354"/>
      <c r="E48" s="486"/>
      <c r="F48" s="486"/>
      <c r="G48" s="486"/>
      <c r="H48" s="353"/>
      <c r="I48" s="353"/>
      <c r="J48" s="353"/>
      <c r="K48" s="353"/>
      <c r="L48" s="353"/>
      <c r="M48" s="354"/>
      <c r="N48" s="354"/>
      <c r="O48" s="354"/>
      <c r="Q48" s="17"/>
    </row>
    <row r="49" spans="1:15" ht="11.25" customHeight="1">
      <c r="A49" s="354"/>
      <c r="B49" s="354"/>
      <c r="C49" s="354"/>
      <c r="D49" s="354"/>
      <c r="E49" s="486"/>
      <c r="F49" s="486"/>
      <c r="G49" s="486"/>
      <c r="H49" s="353"/>
      <c r="I49" s="353"/>
      <c r="J49" s="353"/>
      <c r="K49" s="353"/>
      <c r="L49" s="353"/>
      <c r="M49" s="354"/>
      <c r="N49" s="354"/>
      <c r="O49" s="354"/>
    </row>
    <row r="50" spans="1:15" ht="11.25" customHeight="1">
      <c r="A50" s="354"/>
      <c r="B50" s="354"/>
      <c r="C50" s="354"/>
      <c r="D50" s="354"/>
      <c r="E50" s="486"/>
      <c r="F50" s="486"/>
      <c r="G50" s="486"/>
      <c r="H50" s="353"/>
      <c r="I50" s="353"/>
      <c r="J50" s="353"/>
      <c r="K50" s="353"/>
      <c r="L50" s="353"/>
      <c r="M50" s="354"/>
      <c r="N50" s="354"/>
      <c r="O50" s="354"/>
    </row>
    <row r="51" spans="1:15" ht="11.25" customHeight="1">
      <c r="A51" s="354"/>
      <c r="B51" s="354"/>
      <c r="C51" s="354"/>
      <c r="D51" s="354"/>
      <c r="E51" s="486"/>
      <c r="F51" s="486"/>
      <c r="G51" s="486"/>
      <c r="H51" s="353"/>
      <c r="I51" s="353"/>
      <c r="J51" s="353"/>
      <c r="K51" s="353"/>
      <c r="L51" s="353"/>
      <c r="M51" s="354"/>
      <c r="N51" s="354"/>
      <c r="O51" s="354"/>
    </row>
    <row r="52" spans="1:15" ht="11.25" customHeight="1">
      <c r="A52" s="354"/>
      <c r="B52" s="354"/>
      <c r="C52" s="354"/>
      <c r="D52" s="354"/>
      <c r="E52" s="486"/>
      <c r="F52" s="486"/>
      <c r="G52" s="486"/>
      <c r="H52" s="353"/>
      <c r="I52" s="353"/>
      <c r="J52" s="353"/>
      <c r="K52" s="353"/>
      <c r="L52" s="353"/>
      <c r="M52" s="354"/>
      <c r="N52" s="354"/>
      <c r="O52" s="354"/>
    </row>
    <row r="53" spans="1:15" ht="11.25" customHeight="1">
      <c r="A53" s="354"/>
      <c r="B53" s="354"/>
      <c r="C53" s="354"/>
      <c r="D53" s="354"/>
      <c r="E53" s="486"/>
      <c r="F53" s="486"/>
      <c r="G53" s="486"/>
      <c r="H53" s="353"/>
      <c r="I53" s="353"/>
      <c r="J53" s="353"/>
      <c r="K53" s="353"/>
      <c r="L53" s="353"/>
      <c r="M53" s="354"/>
      <c r="N53" s="354"/>
      <c r="O53" s="354"/>
    </row>
    <row r="54" spans="1:15" ht="11.25" customHeight="1">
      <c r="A54" s="354"/>
      <c r="B54" s="354"/>
      <c r="C54" s="354"/>
      <c r="D54" s="354"/>
      <c r="E54" s="353"/>
      <c r="F54" s="353"/>
      <c r="G54" s="353"/>
      <c r="H54" s="353"/>
      <c r="I54" s="353"/>
      <c r="J54" s="353"/>
      <c r="K54" s="353"/>
      <c r="L54" s="353"/>
      <c r="M54" s="354"/>
      <c r="N54" s="354"/>
      <c r="O54" s="354"/>
    </row>
    <row r="55" spans="1:15" ht="11.25" customHeight="1">
      <c r="A55" s="354"/>
      <c r="B55" s="354"/>
      <c r="C55" s="354"/>
      <c r="D55" s="354"/>
      <c r="E55" s="353"/>
      <c r="F55" s="353"/>
      <c r="G55" s="353"/>
      <c r="H55" s="353"/>
      <c r="I55" s="353"/>
      <c r="J55" s="353"/>
      <c r="K55" s="353"/>
      <c r="L55" s="353"/>
      <c r="M55" s="354"/>
      <c r="N55" s="354"/>
      <c r="O55" s="354"/>
    </row>
    <row r="56" spans="1:15" ht="11.25" customHeight="1">
      <c r="A56" s="354"/>
      <c r="B56" s="354"/>
      <c r="C56" s="354"/>
      <c r="D56" s="354"/>
      <c r="E56" s="353"/>
      <c r="F56" s="353"/>
      <c r="G56" s="353"/>
      <c r="H56" s="353"/>
      <c r="I56" s="353"/>
      <c r="J56" s="353"/>
      <c r="K56" s="353"/>
      <c r="L56" s="353"/>
      <c r="M56" s="354"/>
      <c r="N56" s="354"/>
      <c r="O56" s="354"/>
    </row>
    <row r="57" spans="1:15" ht="11.25" customHeight="1">
      <c r="A57" s="354"/>
      <c r="B57" s="354"/>
      <c r="C57" s="354"/>
      <c r="D57" s="354"/>
      <c r="E57" s="353"/>
      <c r="F57" s="353"/>
      <c r="G57" s="353"/>
      <c r="H57" s="353"/>
      <c r="I57" s="353"/>
      <c r="J57" s="353"/>
      <c r="K57" s="353"/>
      <c r="L57" s="353"/>
      <c r="M57" s="354"/>
      <c r="N57" s="354"/>
      <c r="O57" s="354"/>
    </row>
    <row r="58" spans="1:15" ht="11.25" customHeight="1">
      <c r="A58" s="354"/>
      <c r="B58" s="354"/>
      <c r="C58" s="354"/>
      <c r="D58" s="354"/>
      <c r="E58" s="353"/>
      <c r="F58" s="353"/>
      <c r="G58" s="353"/>
      <c r="H58" s="353"/>
      <c r="I58" s="353"/>
      <c r="J58" s="353"/>
      <c r="K58" s="353"/>
      <c r="L58" s="353"/>
      <c r="M58" s="354"/>
      <c r="N58" s="354"/>
      <c r="O58" s="354"/>
    </row>
    <row r="59" spans="1:15" ht="11.25" customHeight="1">
      <c r="A59" s="354"/>
      <c r="B59" s="354"/>
      <c r="C59" s="354"/>
      <c r="D59" s="354"/>
      <c r="E59" s="353"/>
      <c r="F59" s="353"/>
      <c r="G59" s="353"/>
      <c r="H59" s="353"/>
      <c r="I59" s="353"/>
      <c r="J59" s="353"/>
      <c r="K59" s="353"/>
      <c r="L59" s="353"/>
      <c r="M59" s="354"/>
      <c r="N59" s="354"/>
      <c r="O59" s="354"/>
    </row>
    <row r="60" spans="1:15" ht="11.25" customHeight="1">
      <c r="A60" s="354"/>
      <c r="B60" s="354"/>
      <c r="C60" s="354"/>
      <c r="D60" s="354"/>
      <c r="E60" s="353"/>
      <c r="F60" s="353"/>
      <c r="G60" s="353"/>
      <c r="H60" s="353"/>
      <c r="I60" s="353"/>
      <c r="J60" s="353"/>
      <c r="K60" s="353"/>
      <c r="L60" s="353"/>
      <c r="M60" s="354"/>
      <c r="N60" s="354"/>
      <c r="O60" s="354"/>
    </row>
    <row r="61" spans="1:15" ht="11.25" customHeight="1">
      <c r="A61" s="354"/>
      <c r="B61" s="354"/>
      <c r="C61" s="354"/>
      <c r="D61" s="354"/>
      <c r="E61" s="353"/>
      <c r="F61" s="353"/>
      <c r="G61" s="353"/>
      <c r="H61" s="353"/>
      <c r="I61" s="353"/>
      <c r="J61" s="353"/>
      <c r="K61" s="353"/>
      <c r="L61" s="353"/>
      <c r="M61" s="354"/>
      <c r="N61" s="354"/>
      <c r="O61" s="354"/>
    </row>
    <row r="62" spans="1:15" ht="11.25" customHeight="1">
      <c r="A62" s="354"/>
      <c r="B62" s="354"/>
      <c r="C62" s="354"/>
      <c r="D62" s="354"/>
      <c r="E62" s="353"/>
      <c r="F62" s="353"/>
      <c r="G62" s="353"/>
      <c r="H62" s="353"/>
      <c r="I62" s="353"/>
      <c r="J62" s="353"/>
      <c r="K62" s="353"/>
      <c r="L62" s="353"/>
      <c r="M62" s="354"/>
      <c r="N62" s="354"/>
      <c r="O62" s="354"/>
    </row>
    <row r="63" spans="1:15" ht="11.25" customHeight="1">
      <c r="A63" s="354"/>
      <c r="B63" s="354"/>
      <c r="C63" s="354"/>
      <c r="D63" s="354"/>
      <c r="E63" s="353"/>
      <c r="F63" s="353"/>
      <c r="G63" s="353"/>
      <c r="H63" s="353"/>
      <c r="I63" s="353"/>
      <c r="J63" s="353"/>
      <c r="K63" s="353"/>
      <c r="L63" s="353"/>
      <c r="M63" s="354"/>
      <c r="N63" s="354"/>
      <c r="O63" s="354"/>
    </row>
    <row r="64" spans="1:15" ht="11.25" customHeight="1">
      <c r="A64" s="354"/>
      <c r="B64" s="354"/>
      <c r="C64" s="354"/>
      <c r="D64" s="354"/>
      <c r="E64" s="353"/>
      <c r="F64" s="353"/>
      <c r="G64" s="353"/>
      <c r="H64" s="353"/>
      <c r="I64" s="353"/>
      <c r="J64" s="353"/>
      <c r="K64" s="353"/>
      <c r="L64" s="353"/>
      <c r="M64" s="354"/>
      <c r="N64" s="354"/>
      <c r="O64" s="354"/>
    </row>
    <row r="65" spans="1:15" ht="11.25" customHeight="1">
      <c r="A65" s="354"/>
      <c r="B65" s="354"/>
      <c r="C65" s="354"/>
      <c r="D65" s="354"/>
      <c r="E65" s="353"/>
      <c r="F65" s="353"/>
      <c r="G65" s="353"/>
      <c r="H65" s="353"/>
      <c r="I65" s="353"/>
      <c r="J65" s="353"/>
      <c r="K65" s="353"/>
      <c r="L65" s="353"/>
      <c r="M65" s="354"/>
      <c r="N65" s="354"/>
      <c r="O65" s="354"/>
    </row>
    <row r="66" spans="1:15" ht="11.25" customHeight="1">
      <c r="A66" s="354"/>
      <c r="B66" s="354"/>
      <c r="C66" s="354"/>
      <c r="D66" s="354"/>
      <c r="E66" s="353"/>
      <c r="F66" s="353"/>
      <c r="G66" s="353"/>
      <c r="H66" s="353"/>
      <c r="I66" s="353"/>
      <c r="J66" s="353"/>
      <c r="K66" s="353"/>
      <c r="L66" s="353"/>
      <c r="M66" s="354"/>
      <c r="N66" s="354"/>
      <c r="O66" s="354"/>
    </row>
    <row r="67" spans="1:15" ht="11.25" customHeight="1">
      <c r="A67" s="354"/>
      <c r="B67" s="354"/>
      <c r="C67" s="354"/>
      <c r="D67" s="354"/>
      <c r="E67" s="353"/>
      <c r="F67" s="353"/>
      <c r="G67" s="353"/>
      <c r="H67" s="353"/>
      <c r="I67" s="353"/>
      <c r="J67" s="353"/>
      <c r="K67" s="353"/>
      <c r="L67" s="353"/>
      <c r="M67" s="354"/>
      <c r="N67" s="354"/>
      <c r="O67" s="354"/>
    </row>
    <row r="68" spans="1:15" ht="11.25" customHeight="1">
      <c r="A68" s="354"/>
      <c r="B68" s="354"/>
      <c r="C68" s="354"/>
      <c r="D68" s="354"/>
      <c r="E68" s="353"/>
      <c r="F68" s="353"/>
      <c r="G68" s="353"/>
      <c r="H68" s="353"/>
      <c r="I68" s="353"/>
      <c r="J68" s="353"/>
      <c r="K68" s="353"/>
      <c r="L68" s="353"/>
      <c r="M68" s="354"/>
      <c r="N68" s="354"/>
      <c r="O68" s="354"/>
    </row>
    <row r="69" spans="1:15" ht="11.25" customHeight="1">
      <c r="A69" s="354"/>
      <c r="B69" s="354"/>
      <c r="C69" s="354"/>
      <c r="D69" s="354"/>
      <c r="E69" s="353"/>
      <c r="F69" s="353"/>
      <c r="G69" s="353"/>
      <c r="H69" s="353"/>
      <c r="I69" s="353"/>
      <c r="J69" s="353"/>
      <c r="K69" s="353"/>
      <c r="L69" s="353"/>
      <c r="M69" s="354"/>
      <c r="N69" s="354"/>
      <c r="O69" s="354"/>
    </row>
    <row r="70" spans="1:15" ht="11.25" customHeight="1">
      <c r="A70" s="354"/>
      <c r="B70" s="354"/>
      <c r="C70" s="354"/>
      <c r="D70" s="354"/>
      <c r="E70" s="353"/>
      <c r="F70" s="353"/>
      <c r="G70" s="353"/>
      <c r="H70" s="353"/>
      <c r="I70" s="353"/>
      <c r="J70" s="353"/>
      <c r="K70" s="353"/>
      <c r="L70" s="353"/>
      <c r="M70" s="354"/>
      <c r="N70" s="354"/>
      <c r="O70" s="354"/>
    </row>
    <row r="71" spans="1:15" ht="11.25" customHeight="1">
      <c r="A71" s="354"/>
      <c r="B71" s="354"/>
      <c r="C71" s="354"/>
      <c r="D71" s="354"/>
      <c r="E71" s="353"/>
      <c r="F71" s="353"/>
      <c r="G71" s="353"/>
      <c r="H71" s="353"/>
      <c r="I71" s="353"/>
      <c r="J71" s="353"/>
      <c r="K71" s="353"/>
      <c r="L71" s="353"/>
      <c r="M71" s="354"/>
      <c r="N71" s="354"/>
      <c r="O71" s="354"/>
    </row>
    <row r="72" spans="1:15" ht="11.25" customHeight="1">
      <c r="A72" s="354"/>
      <c r="B72" s="354"/>
      <c r="C72" s="354"/>
      <c r="D72" s="354"/>
      <c r="E72" s="353"/>
      <c r="F72" s="353"/>
      <c r="G72" s="353"/>
      <c r="H72" s="353"/>
      <c r="I72" s="353"/>
      <c r="J72" s="353"/>
      <c r="K72" s="353"/>
      <c r="L72" s="353"/>
      <c r="M72" s="354"/>
      <c r="N72" s="354"/>
      <c r="O72" s="354"/>
    </row>
    <row r="73" spans="1:15" ht="11.25" customHeight="1">
      <c r="A73" s="354"/>
      <c r="B73" s="354"/>
      <c r="C73" s="354"/>
      <c r="D73" s="354"/>
      <c r="E73" s="353"/>
      <c r="F73" s="353"/>
      <c r="G73" s="353"/>
      <c r="H73" s="353"/>
      <c r="I73" s="353"/>
      <c r="J73" s="353"/>
      <c r="K73" s="353"/>
      <c r="L73" s="353"/>
      <c r="M73" s="354"/>
      <c r="N73" s="354"/>
      <c r="O73" s="354"/>
    </row>
    <row r="74" spans="1:15" ht="11.25" customHeight="1">
      <c r="A74" s="354"/>
      <c r="B74" s="354"/>
      <c r="C74" s="354"/>
      <c r="D74" s="354"/>
      <c r="E74" s="353"/>
      <c r="F74" s="353"/>
      <c r="G74" s="353"/>
      <c r="H74" s="353"/>
      <c r="I74" s="353"/>
      <c r="J74" s="353"/>
      <c r="K74" s="353"/>
      <c r="L74" s="353"/>
      <c r="M74" s="354"/>
      <c r="N74" s="354"/>
      <c r="O74" s="354"/>
    </row>
    <row r="75" spans="1:15" ht="11.25" customHeight="1">
      <c r="A75" s="354"/>
      <c r="B75" s="354"/>
      <c r="C75" s="354"/>
      <c r="D75" s="354"/>
      <c r="E75" s="353"/>
      <c r="F75" s="353"/>
      <c r="G75" s="353"/>
      <c r="H75" s="353"/>
      <c r="I75" s="353"/>
      <c r="J75" s="353"/>
      <c r="K75" s="353"/>
      <c r="L75" s="353"/>
      <c r="M75" s="354"/>
      <c r="N75" s="354"/>
      <c r="O75" s="354"/>
    </row>
    <row r="76" spans="1:15" ht="11.25" customHeight="1">
      <c r="A76" s="354"/>
      <c r="B76" s="354"/>
      <c r="C76" s="354"/>
      <c r="D76" s="354"/>
      <c r="E76" s="353"/>
      <c r="F76" s="353"/>
      <c r="G76" s="353"/>
      <c r="H76" s="353"/>
      <c r="I76" s="353"/>
      <c r="J76" s="353"/>
      <c r="K76" s="353"/>
      <c r="L76" s="353"/>
      <c r="M76" s="354"/>
      <c r="N76" s="354"/>
      <c r="O76" s="354"/>
    </row>
    <row r="77" spans="1:15" ht="11.25" customHeight="1">
      <c r="A77" s="354"/>
      <c r="B77" s="354"/>
      <c r="C77" s="354"/>
      <c r="D77" s="354"/>
      <c r="E77" s="353"/>
      <c r="F77" s="353"/>
      <c r="G77" s="353"/>
      <c r="H77" s="353"/>
      <c r="I77" s="353"/>
      <c r="J77" s="353"/>
      <c r="K77" s="353"/>
      <c r="L77" s="353"/>
      <c r="M77" s="354"/>
      <c r="N77" s="354"/>
      <c r="O77" s="354"/>
    </row>
    <row r="78" spans="1:15" ht="11.25" customHeight="1">
      <c r="A78" s="354"/>
      <c r="B78" s="354"/>
      <c r="C78" s="354"/>
      <c r="D78" s="354"/>
      <c r="E78" s="353"/>
      <c r="F78" s="353"/>
      <c r="G78" s="353"/>
      <c r="H78" s="353"/>
      <c r="I78" s="353"/>
      <c r="J78" s="353"/>
      <c r="K78" s="353"/>
      <c r="L78" s="353"/>
      <c r="M78" s="354"/>
      <c r="N78" s="354"/>
      <c r="O78" s="354"/>
    </row>
    <row r="79" spans="1:15" ht="11.25" customHeight="1">
      <c r="A79" s="354"/>
      <c r="B79" s="354"/>
      <c r="C79" s="354"/>
      <c r="D79" s="354"/>
      <c r="E79" s="353"/>
      <c r="F79" s="353"/>
      <c r="G79" s="353"/>
      <c r="H79" s="353"/>
      <c r="I79" s="353"/>
      <c r="J79" s="353"/>
      <c r="K79" s="353"/>
      <c r="L79" s="353"/>
      <c r="M79" s="354"/>
      <c r="N79" s="354"/>
      <c r="O79" s="354"/>
    </row>
    <row r="80" spans="1:15" ht="11.25" customHeight="1">
      <c r="A80" s="354"/>
      <c r="B80" s="354"/>
      <c r="C80" s="354"/>
      <c r="D80" s="354"/>
      <c r="E80" s="353"/>
      <c r="F80" s="353"/>
      <c r="G80" s="353"/>
      <c r="H80" s="353"/>
      <c r="I80" s="353"/>
      <c r="J80" s="353"/>
      <c r="K80" s="353"/>
      <c r="L80" s="353"/>
      <c r="M80" s="354"/>
      <c r="N80" s="354"/>
      <c r="O80" s="354"/>
    </row>
    <row r="81" spans="1:15" ht="11.25" customHeight="1">
      <c r="A81" s="354"/>
      <c r="B81" s="354"/>
      <c r="C81" s="354"/>
      <c r="D81" s="354"/>
      <c r="E81" s="353"/>
      <c r="F81" s="353"/>
      <c r="G81" s="353"/>
      <c r="H81" s="353"/>
      <c r="I81" s="353"/>
      <c r="J81" s="353"/>
      <c r="K81" s="353"/>
      <c r="L81" s="353"/>
      <c r="M81" s="354"/>
      <c r="N81" s="354"/>
      <c r="O81" s="354"/>
    </row>
    <row r="82" spans="1:15" ht="11.25" customHeight="1">
      <c r="A82" s="354"/>
      <c r="B82" s="354"/>
      <c r="C82" s="354"/>
      <c r="D82" s="354"/>
      <c r="E82" s="353"/>
      <c r="F82" s="353"/>
      <c r="G82" s="353"/>
      <c r="H82" s="353"/>
      <c r="I82" s="353"/>
      <c r="J82" s="353"/>
      <c r="K82" s="353"/>
      <c r="L82" s="353"/>
      <c r="M82" s="354"/>
      <c r="N82" s="354"/>
      <c r="O82" s="354"/>
    </row>
    <row r="83" spans="1:15" ht="11.25" customHeight="1">
      <c r="A83" s="354"/>
      <c r="B83" s="354"/>
      <c r="C83" s="354"/>
      <c r="D83" s="354"/>
      <c r="E83" s="353"/>
      <c r="F83" s="353"/>
      <c r="G83" s="353"/>
      <c r="H83" s="353"/>
      <c r="I83" s="353"/>
      <c r="J83" s="353"/>
      <c r="K83" s="353"/>
      <c r="L83" s="353"/>
      <c r="M83" s="354"/>
      <c r="N83" s="354"/>
      <c r="O83" s="354"/>
    </row>
    <row r="84" spans="1:15" ht="11.25" customHeight="1">
      <c r="A84" s="354"/>
      <c r="B84" s="354"/>
      <c r="C84" s="354"/>
      <c r="D84" s="354"/>
      <c r="E84" s="353"/>
      <c r="F84" s="353"/>
      <c r="G84" s="353"/>
      <c r="H84" s="353"/>
      <c r="I84" s="353"/>
      <c r="J84" s="353"/>
      <c r="K84" s="353"/>
      <c r="L84" s="353"/>
      <c r="M84" s="354"/>
      <c r="N84" s="354"/>
      <c r="O84" s="354"/>
    </row>
    <row r="85" spans="1:15" ht="11.25" customHeight="1">
      <c r="A85" s="354"/>
      <c r="B85" s="354"/>
      <c r="C85" s="354"/>
      <c r="D85" s="354"/>
      <c r="E85" s="353"/>
      <c r="F85" s="353"/>
      <c r="G85" s="353"/>
      <c r="H85" s="353"/>
      <c r="I85" s="353"/>
      <c r="J85" s="353"/>
      <c r="K85" s="353"/>
      <c r="L85" s="353"/>
      <c r="M85" s="354"/>
      <c r="N85" s="354"/>
      <c r="O85" s="354"/>
    </row>
    <row r="86" spans="1:15" ht="11.25" customHeight="1">
      <c r="A86" s="354"/>
      <c r="B86" s="354"/>
      <c r="C86" s="354"/>
      <c r="D86" s="354"/>
      <c r="E86" s="353"/>
      <c r="F86" s="353"/>
      <c r="G86" s="353"/>
      <c r="H86" s="353"/>
      <c r="I86" s="353"/>
      <c r="J86" s="353"/>
      <c r="K86" s="353"/>
      <c r="L86" s="353"/>
      <c r="M86" s="354"/>
      <c r="N86" s="354"/>
      <c r="O86" s="354"/>
    </row>
    <row r="87" spans="1:15" ht="11.25" customHeight="1">
      <c r="A87" s="354"/>
      <c r="B87" s="354"/>
      <c r="C87" s="354"/>
      <c r="D87" s="354"/>
      <c r="E87" s="353"/>
      <c r="F87" s="353"/>
      <c r="G87" s="353"/>
      <c r="H87" s="353"/>
      <c r="I87" s="353"/>
      <c r="J87" s="353"/>
      <c r="K87" s="353"/>
      <c r="L87" s="353"/>
      <c r="M87" s="354"/>
      <c r="N87" s="354"/>
      <c r="O87" s="354"/>
    </row>
    <row r="88" spans="1:15" ht="11.25" customHeight="1">
      <c r="A88" s="354"/>
      <c r="B88" s="354"/>
      <c r="C88" s="354"/>
      <c r="D88" s="354"/>
      <c r="E88" s="353"/>
      <c r="F88" s="353"/>
      <c r="G88" s="353"/>
      <c r="H88" s="353"/>
      <c r="I88" s="353"/>
      <c r="J88" s="353"/>
      <c r="K88" s="353"/>
      <c r="L88" s="353"/>
      <c r="M88" s="354"/>
      <c r="N88" s="354"/>
      <c r="O88" s="354"/>
    </row>
    <row r="89" spans="1:15" ht="11.25" customHeight="1">
      <c r="A89" s="354"/>
      <c r="B89" s="354"/>
      <c r="C89" s="354"/>
      <c r="D89" s="354"/>
      <c r="E89" s="353"/>
      <c r="F89" s="353"/>
      <c r="G89" s="353"/>
      <c r="H89" s="353"/>
      <c r="I89" s="353"/>
      <c r="J89" s="353"/>
      <c r="K89" s="353"/>
      <c r="L89" s="353"/>
      <c r="M89" s="354"/>
      <c r="N89" s="354"/>
      <c r="O89" s="354"/>
    </row>
    <row r="90" spans="1:15" ht="11.25" customHeight="1">
      <c r="A90" s="354"/>
      <c r="B90" s="354"/>
      <c r="C90" s="354"/>
      <c r="D90" s="354"/>
      <c r="E90" s="353"/>
      <c r="F90" s="353"/>
      <c r="G90" s="353"/>
      <c r="H90" s="353"/>
      <c r="I90" s="353"/>
      <c r="J90" s="353"/>
      <c r="K90" s="353"/>
      <c r="L90" s="353"/>
      <c r="M90" s="354"/>
      <c r="N90" s="354"/>
      <c r="O90" s="354"/>
    </row>
    <row r="91" spans="1:15" ht="11.25" customHeight="1">
      <c r="A91" s="354"/>
      <c r="B91" s="354"/>
      <c r="C91" s="354"/>
      <c r="D91" s="354"/>
      <c r="E91" s="353"/>
      <c r="F91" s="353"/>
      <c r="G91" s="353"/>
      <c r="H91" s="353"/>
      <c r="I91" s="353"/>
      <c r="J91" s="353"/>
      <c r="K91" s="353"/>
      <c r="L91" s="353"/>
      <c r="M91" s="354"/>
      <c r="N91" s="354"/>
      <c r="O91" s="354"/>
    </row>
    <row r="92" spans="1:15" ht="11.25" customHeight="1">
      <c r="A92" s="354"/>
      <c r="B92" s="354"/>
      <c r="C92" s="354"/>
      <c r="D92" s="354"/>
      <c r="E92" s="353"/>
      <c r="F92" s="353"/>
      <c r="G92" s="353"/>
      <c r="H92" s="353"/>
      <c r="I92" s="353"/>
      <c r="J92" s="353"/>
      <c r="K92" s="353"/>
      <c r="L92" s="353"/>
      <c r="M92" s="354"/>
      <c r="N92" s="354"/>
      <c r="O92" s="354"/>
    </row>
    <row r="93" spans="1:15" ht="11.25" customHeight="1">
      <c r="A93" s="354"/>
      <c r="B93" s="354"/>
      <c r="C93" s="354"/>
      <c r="D93" s="354"/>
      <c r="E93" s="353"/>
      <c r="F93" s="353"/>
      <c r="G93" s="353"/>
      <c r="H93" s="353"/>
      <c r="I93" s="353"/>
      <c r="J93" s="353"/>
      <c r="K93" s="353"/>
      <c r="L93" s="353"/>
      <c r="M93" s="354"/>
      <c r="N93" s="354"/>
      <c r="O93" s="354"/>
    </row>
    <row r="94" spans="1:15" ht="11.25" customHeight="1">
      <c r="A94" s="354"/>
      <c r="B94" s="354"/>
      <c r="C94" s="354"/>
      <c r="D94" s="354"/>
      <c r="E94" s="353"/>
      <c r="F94" s="353"/>
      <c r="G94" s="353"/>
      <c r="H94" s="353"/>
      <c r="I94" s="353"/>
      <c r="J94" s="353"/>
      <c r="K94" s="353"/>
      <c r="L94" s="353"/>
      <c r="M94" s="354"/>
      <c r="N94" s="354"/>
      <c r="O94" s="354"/>
    </row>
    <row r="95" spans="1:15" ht="11.25" customHeight="1">
      <c r="A95" s="354"/>
      <c r="B95" s="354"/>
      <c r="C95" s="354"/>
      <c r="D95" s="354"/>
      <c r="E95" s="353"/>
      <c r="F95" s="353"/>
      <c r="G95" s="353"/>
      <c r="H95" s="353"/>
      <c r="I95" s="353"/>
      <c r="J95" s="353"/>
      <c r="K95" s="353"/>
      <c r="L95" s="353"/>
      <c r="M95" s="354"/>
      <c r="N95" s="354"/>
      <c r="O95" s="354"/>
    </row>
    <row r="96" spans="1:15" ht="11.25" customHeight="1">
      <c r="A96" s="354"/>
      <c r="B96" s="354"/>
      <c r="C96" s="354"/>
      <c r="D96" s="354"/>
      <c r="E96" s="353"/>
      <c r="F96" s="353"/>
      <c r="G96" s="353"/>
      <c r="H96" s="353"/>
      <c r="I96" s="353"/>
      <c r="J96" s="353"/>
      <c r="K96" s="353"/>
      <c r="L96" s="353"/>
      <c r="M96" s="354"/>
      <c r="N96" s="354"/>
      <c r="O96" s="354"/>
    </row>
    <row r="97" spans="1:15" ht="11.25" customHeight="1">
      <c r="A97" s="354"/>
      <c r="B97" s="354"/>
      <c r="C97" s="354"/>
      <c r="D97" s="354"/>
      <c r="E97" s="353"/>
      <c r="F97" s="353"/>
      <c r="G97" s="353"/>
      <c r="H97" s="353"/>
      <c r="I97" s="353"/>
      <c r="J97" s="353"/>
      <c r="K97" s="353"/>
      <c r="L97" s="353"/>
      <c r="M97" s="354"/>
      <c r="N97" s="354"/>
      <c r="O97" s="354"/>
    </row>
    <row r="98" spans="1:15" ht="11.25" customHeight="1">
      <c r="A98" s="354"/>
      <c r="B98" s="354"/>
      <c r="C98" s="354"/>
      <c r="D98" s="354"/>
      <c r="E98" s="353"/>
      <c r="F98" s="353"/>
      <c r="G98" s="353"/>
      <c r="H98" s="353"/>
      <c r="I98" s="353"/>
      <c r="J98" s="353"/>
      <c r="K98" s="353"/>
      <c r="L98" s="353"/>
      <c r="M98" s="354"/>
      <c r="N98" s="354"/>
      <c r="O98" s="354"/>
    </row>
    <row r="99" spans="1:15" ht="11.25" customHeight="1">
      <c r="A99" s="354"/>
      <c r="B99" s="354"/>
      <c r="C99" s="354"/>
      <c r="D99" s="354"/>
      <c r="E99" s="353"/>
      <c r="F99" s="353"/>
      <c r="G99" s="353"/>
      <c r="H99" s="353"/>
      <c r="I99" s="353"/>
      <c r="J99" s="353"/>
      <c r="K99" s="353"/>
      <c r="L99" s="353"/>
      <c r="M99" s="354"/>
      <c r="N99" s="354"/>
      <c r="O99" s="354"/>
    </row>
    <row r="100" spans="1:15" ht="11.25" customHeight="1">
      <c r="A100" s="354"/>
      <c r="B100" s="354"/>
      <c r="C100" s="354"/>
      <c r="D100" s="354"/>
      <c r="E100" s="353"/>
      <c r="F100" s="353"/>
      <c r="G100" s="353"/>
      <c r="H100" s="353"/>
      <c r="I100" s="353"/>
      <c r="J100" s="353"/>
      <c r="K100" s="353"/>
      <c r="L100" s="353"/>
      <c r="M100" s="354"/>
      <c r="N100" s="354"/>
      <c r="O100" s="354"/>
    </row>
    <row r="101" spans="1:15" ht="11.25" customHeight="1">
      <c r="A101" s="354"/>
      <c r="B101" s="354"/>
      <c r="C101" s="354"/>
      <c r="D101" s="354"/>
      <c r="E101" s="353"/>
      <c r="F101" s="353"/>
      <c r="G101" s="353"/>
      <c r="H101" s="353"/>
      <c r="I101" s="353"/>
      <c r="J101" s="353"/>
      <c r="K101" s="353"/>
      <c r="L101" s="353"/>
      <c r="M101" s="354"/>
      <c r="N101" s="354"/>
      <c r="O101" s="354"/>
    </row>
    <row r="102" spans="1:15" ht="11.25" customHeight="1">
      <c r="A102" s="354"/>
      <c r="B102" s="354"/>
      <c r="C102" s="354"/>
      <c r="D102" s="354"/>
      <c r="E102" s="353"/>
      <c r="F102" s="353"/>
      <c r="G102" s="353"/>
      <c r="H102" s="353"/>
      <c r="I102" s="353"/>
      <c r="J102" s="353"/>
      <c r="K102" s="353"/>
      <c r="L102" s="353"/>
      <c r="M102" s="354"/>
      <c r="N102" s="354"/>
      <c r="O102" s="354"/>
    </row>
    <row r="103" spans="1:15" ht="11.25" customHeight="1">
      <c r="A103" s="354"/>
      <c r="B103" s="354"/>
      <c r="C103" s="354"/>
      <c r="D103" s="354"/>
      <c r="E103" s="353"/>
      <c r="F103" s="353"/>
      <c r="G103" s="353"/>
      <c r="H103" s="353"/>
      <c r="I103" s="353"/>
      <c r="J103" s="353"/>
      <c r="K103" s="353"/>
      <c r="L103" s="353"/>
      <c r="M103" s="354"/>
      <c r="N103" s="354"/>
      <c r="O103" s="354"/>
    </row>
    <row r="104" spans="1:15" ht="11.25" customHeight="1">
      <c r="A104" s="354"/>
      <c r="B104" s="354"/>
      <c r="C104" s="354"/>
      <c r="D104" s="354"/>
      <c r="E104" s="353"/>
      <c r="F104" s="353"/>
      <c r="G104" s="353"/>
      <c r="H104" s="353"/>
      <c r="I104" s="353"/>
      <c r="J104" s="353"/>
      <c r="K104" s="353"/>
      <c r="L104" s="353"/>
      <c r="M104" s="354"/>
      <c r="N104" s="354"/>
      <c r="O104" s="354"/>
    </row>
    <row r="105" spans="1:15" ht="11.25" customHeight="1">
      <c r="A105" s="354"/>
      <c r="B105" s="354"/>
      <c r="C105" s="354"/>
      <c r="D105" s="354"/>
      <c r="E105" s="353"/>
      <c r="F105" s="353"/>
      <c r="G105" s="353"/>
      <c r="H105" s="353"/>
      <c r="I105" s="353"/>
      <c r="J105" s="353"/>
      <c r="K105" s="353"/>
      <c r="L105" s="353"/>
      <c r="M105" s="354"/>
      <c r="N105" s="354"/>
      <c r="O105" s="354"/>
    </row>
    <row r="106" spans="1:15" ht="11.25" customHeight="1">
      <c r="A106" s="354"/>
      <c r="B106" s="354"/>
      <c r="C106" s="354"/>
      <c r="D106" s="354"/>
      <c r="E106" s="353"/>
      <c r="F106" s="353"/>
      <c r="G106" s="353"/>
      <c r="H106" s="353"/>
      <c r="I106" s="353"/>
      <c r="J106" s="353"/>
      <c r="K106" s="353"/>
      <c r="L106" s="353"/>
      <c r="M106" s="354"/>
      <c r="N106" s="354"/>
      <c r="O106" s="354"/>
    </row>
    <row r="107" spans="1:15" ht="11.25" customHeight="1">
      <c r="A107" s="354"/>
      <c r="B107" s="354"/>
      <c r="C107" s="354"/>
      <c r="D107" s="354"/>
      <c r="E107" s="353"/>
      <c r="F107" s="353"/>
      <c r="G107" s="353"/>
      <c r="H107" s="353"/>
      <c r="I107" s="353"/>
      <c r="J107" s="353"/>
      <c r="K107" s="353"/>
      <c r="L107" s="353"/>
      <c r="M107" s="354"/>
      <c r="N107" s="354"/>
      <c r="O107" s="354"/>
    </row>
    <row r="108" spans="1:15" ht="11.25" customHeight="1">
      <c r="A108" s="354"/>
      <c r="B108" s="354"/>
      <c r="C108" s="354"/>
      <c r="D108" s="354"/>
      <c r="E108" s="353"/>
      <c r="F108" s="353"/>
      <c r="G108" s="353"/>
      <c r="H108" s="353"/>
      <c r="I108" s="353"/>
      <c r="J108" s="353"/>
      <c r="K108" s="353"/>
      <c r="L108" s="353"/>
      <c r="M108" s="354"/>
      <c r="N108" s="354"/>
      <c r="O108" s="354"/>
    </row>
    <row r="109" spans="1:15" ht="11.25" customHeight="1">
      <c r="A109" s="354"/>
      <c r="B109" s="354"/>
      <c r="C109" s="354"/>
      <c r="D109" s="354"/>
      <c r="E109" s="353"/>
      <c r="F109" s="353"/>
      <c r="G109" s="353"/>
      <c r="H109" s="353"/>
      <c r="I109" s="353"/>
      <c r="J109" s="353"/>
      <c r="K109" s="353"/>
      <c r="L109" s="353"/>
      <c r="M109" s="354"/>
      <c r="N109" s="354"/>
      <c r="O109" s="354"/>
    </row>
    <row r="110" spans="1:15" ht="11.25" customHeight="1">
      <c r="A110" s="354"/>
      <c r="B110" s="354"/>
      <c r="C110" s="354"/>
      <c r="D110" s="354"/>
      <c r="E110" s="353"/>
      <c r="F110" s="353"/>
      <c r="G110" s="353"/>
      <c r="H110" s="353"/>
      <c r="I110" s="353"/>
      <c r="J110" s="353"/>
      <c r="K110" s="353"/>
      <c r="L110" s="353"/>
      <c r="M110" s="354"/>
      <c r="N110" s="354"/>
      <c r="O110" s="354"/>
    </row>
    <row r="111" spans="1:15" ht="11.25" customHeight="1">
      <c r="A111" s="354"/>
      <c r="B111" s="354"/>
      <c r="C111" s="354"/>
      <c r="D111" s="354"/>
      <c r="E111" s="353"/>
      <c r="F111" s="353"/>
      <c r="G111" s="353"/>
      <c r="H111" s="353"/>
      <c r="I111" s="353"/>
      <c r="J111" s="353"/>
      <c r="K111" s="353"/>
      <c r="L111" s="353"/>
      <c r="M111" s="354"/>
      <c r="N111" s="354"/>
      <c r="O111" s="354"/>
    </row>
    <row r="112" spans="1:15" ht="11.25" customHeight="1">
      <c r="A112" s="354"/>
      <c r="B112" s="354"/>
      <c r="C112" s="354"/>
      <c r="D112" s="354"/>
      <c r="E112" s="353"/>
      <c r="F112" s="353"/>
      <c r="G112" s="353"/>
      <c r="H112" s="353"/>
      <c r="I112" s="353"/>
      <c r="J112" s="353"/>
      <c r="K112" s="353"/>
      <c r="L112" s="353"/>
      <c r="M112" s="354"/>
      <c r="N112" s="354"/>
      <c r="O112" s="354"/>
    </row>
    <row r="113" spans="1:15" ht="11.25" customHeight="1">
      <c r="A113" s="354"/>
      <c r="B113" s="354"/>
      <c r="C113" s="354"/>
      <c r="D113" s="354"/>
      <c r="E113" s="353"/>
      <c r="F113" s="353"/>
      <c r="G113" s="353"/>
      <c r="H113" s="353"/>
      <c r="I113" s="353"/>
      <c r="J113" s="353"/>
      <c r="K113" s="353"/>
      <c r="L113" s="353"/>
      <c r="M113" s="354"/>
      <c r="N113" s="354"/>
      <c r="O113" s="354"/>
    </row>
    <row r="114" spans="1:15" ht="11.25" customHeight="1">
      <c r="A114" s="354"/>
      <c r="B114" s="354"/>
      <c r="C114" s="354"/>
      <c r="D114" s="354"/>
      <c r="E114" s="353"/>
      <c r="F114" s="353"/>
      <c r="G114" s="353"/>
      <c r="H114" s="353"/>
      <c r="I114" s="353"/>
      <c r="J114" s="353"/>
      <c r="K114" s="353"/>
      <c r="L114" s="353"/>
      <c r="M114" s="354"/>
      <c r="N114" s="354"/>
      <c r="O114" s="354"/>
    </row>
    <row r="115" spans="1:15" ht="11.25" customHeight="1">
      <c r="A115" s="354"/>
      <c r="B115" s="354"/>
      <c r="C115" s="354"/>
      <c r="D115" s="354"/>
      <c r="E115" s="353"/>
      <c r="F115" s="353"/>
      <c r="G115" s="353"/>
      <c r="H115" s="353"/>
      <c r="I115" s="353"/>
      <c r="J115" s="353"/>
      <c r="K115" s="353"/>
      <c r="L115" s="353"/>
      <c r="M115" s="354"/>
      <c r="N115" s="354"/>
      <c r="O115" s="354"/>
    </row>
    <row r="116" spans="1:15" ht="11.25" customHeight="1">
      <c r="A116" s="354"/>
      <c r="B116" s="354"/>
      <c r="C116" s="354"/>
      <c r="D116" s="354"/>
      <c r="E116" s="353"/>
      <c r="F116" s="353"/>
      <c r="G116" s="353"/>
      <c r="H116" s="353"/>
      <c r="I116" s="353"/>
      <c r="J116" s="353"/>
      <c r="K116" s="353"/>
      <c r="L116" s="353"/>
      <c r="M116" s="354"/>
      <c r="N116" s="354"/>
      <c r="O116" s="354"/>
    </row>
    <row r="117" spans="1:15" ht="11.25" customHeight="1">
      <c r="A117" s="354"/>
      <c r="B117" s="354"/>
      <c r="C117" s="354"/>
      <c r="D117" s="354"/>
      <c r="E117" s="353"/>
      <c r="F117" s="353"/>
      <c r="G117" s="353"/>
      <c r="H117" s="353"/>
      <c r="I117" s="353"/>
      <c r="J117" s="353"/>
      <c r="K117" s="353"/>
      <c r="L117" s="353"/>
      <c r="M117" s="354"/>
      <c r="N117" s="354"/>
      <c r="O117" s="354"/>
    </row>
    <row r="118" spans="1:15" ht="11.25" customHeight="1">
      <c r="A118" s="354"/>
      <c r="B118" s="354"/>
      <c r="C118" s="354"/>
      <c r="D118" s="354"/>
      <c r="E118" s="353"/>
      <c r="F118" s="353"/>
      <c r="G118" s="353"/>
      <c r="H118" s="353"/>
      <c r="I118" s="353"/>
      <c r="J118" s="353"/>
      <c r="K118" s="353"/>
      <c r="L118" s="353"/>
      <c r="M118" s="354"/>
      <c r="N118" s="354"/>
      <c r="O118" s="354"/>
    </row>
    <row r="119" spans="1:15" ht="11.25" customHeight="1">
      <c r="A119" s="354"/>
      <c r="B119" s="354"/>
      <c r="C119" s="354"/>
      <c r="D119" s="354"/>
      <c r="E119" s="353"/>
      <c r="F119" s="353"/>
      <c r="G119" s="353"/>
      <c r="H119" s="353"/>
      <c r="I119" s="353"/>
      <c r="J119" s="353"/>
      <c r="K119" s="353"/>
      <c r="L119" s="353"/>
      <c r="M119" s="354"/>
      <c r="N119" s="354"/>
      <c r="O119" s="354"/>
    </row>
    <row r="120" spans="1:15" ht="11.25" customHeight="1">
      <c r="A120" s="354"/>
      <c r="B120" s="354"/>
      <c r="C120" s="354"/>
      <c r="D120" s="354"/>
      <c r="E120" s="353"/>
      <c r="F120" s="353"/>
      <c r="G120" s="353"/>
      <c r="H120" s="353"/>
      <c r="I120" s="353"/>
      <c r="J120" s="353"/>
      <c r="K120" s="353"/>
      <c r="L120" s="353"/>
      <c r="M120" s="354"/>
      <c r="N120" s="354"/>
      <c r="O120" s="354"/>
    </row>
    <row r="121" spans="1:15" ht="11.25" customHeight="1">
      <c r="A121" s="354"/>
      <c r="B121" s="354"/>
      <c r="C121" s="354"/>
      <c r="D121" s="354"/>
      <c r="E121" s="353"/>
      <c r="F121" s="353"/>
      <c r="G121" s="353"/>
      <c r="H121" s="353"/>
      <c r="I121" s="353"/>
      <c r="J121" s="353"/>
      <c r="K121" s="353"/>
      <c r="L121" s="353"/>
      <c r="M121" s="354"/>
      <c r="N121" s="354"/>
      <c r="O121" s="354"/>
    </row>
    <row r="122" spans="1:15" ht="11.25" customHeight="1">
      <c r="A122" s="354"/>
      <c r="B122" s="354"/>
      <c r="C122" s="354"/>
      <c r="D122" s="354"/>
      <c r="E122" s="353"/>
      <c r="F122" s="353"/>
      <c r="G122" s="353"/>
      <c r="H122" s="353"/>
      <c r="I122" s="353"/>
      <c r="J122" s="353"/>
      <c r="K122" s="353"/>
      <c r="L122" s="353"/>
      <c r="M122" s="354"/>
      <c r="N122" s="354"/>
      <c r="O122" s="354"/>
    </row>
    <row r="123" spans="1:15" ht="11.25" customHeight="1">
      <c r="A123" s="354"/>
      <c r="B123" s="354"/>
      <c r="C123" s="354"/>
      <c r="D123" s="354"/>
      <c r="E123" s="353"/>
      <c r="F123" s="353"/>
      <c r="G123" s="353"/>
      <c r="H123" s="353"/>
      <c r="I123" s="353"/>
      <c r="J123" s="353"/>
      <c r="K123" s="353"/>
      <c r="L123" s="353"/>
      <c r="M123" s="354"/>
      <c r="N123" s="354"/>
      <c r="O123" s="354"/>
    </row>
    <row r="124" spans="1:15" ht="11.25" customHeight="1">
      <c r="A124" s="354"/>
      <c r="B124" s="354"/>
      <c r="C124" s="354"/>
      <c r="D124" s="354"/>
      <c r="E124" s="353"/>
      <c r="F124" s="353"/>
      <c r="G124" s="353"/>
      <c r="H124" s="353"/>
      <c r="I124" s="353"/>
      <c r="J124" s="353"/>
      <c r="K124" s="353"/>
      <c r="L124" s="353"/>
      <c r="M124" s="354"/>
      <c r="N124" s="354"/>
      <c r="O124" s="354"/>
    </row>
    <row r="125" spans="1:15" ht="11.25" customHeight="1">
      <c r="A125" s="354"/>
      <c r="B125" s="354"/>
      <c r="C125" s="354"/>
      <c r="D125" s="354"/>
      <c r="E125" s="353"/>
      <c r="F125" s="353"/>
      <c r="G125" s="353"/>
      <c r="H125" s="353"/>
      <c r="I125" s="353"/>
      <c r="J125" s="353"/>
      <c r="K125" s="353"/>
      <c r="L125" s="353"/>
      <c r="M125" s="354"/>
      <c r="N125" s="354"/>
      <c r="O125" s="354"/>
    </row>
    <row r="126" spans="1:15" ht="11.25" customHeight="1">
      <c r="A126" s="354"/>
      <c r="B126" s="354"/>
      <c r="C126" s="354"/>
      <c r="D126" s="354"/>
      <c r="E126" s="353"/>
      <c r="F126" s="353"/>
      <c r="G126" s="353"/>
      <c r="H126" s="353"/>
      <c r="I126" s="353"/>
      <c r="J126" s="353"/>
      <c r="K126" s="353"/>
      <c r="L126" s="353"/>
      <c r="M126" s="354"/>
      <c r="N126" s="354"/>
      <c r="O126" s="354"/>
    </row>
    <row r="127" spans="1:15" ht="11.25" customHeight="1">
      <c r="A127" s="354"/>
      <c r="B127" s="354"/>
      <c r="C127" s="354"/>
      <c r="D127" s="354"/>
      <c r="E127" s="353"/>
      <c r="F127" s="353"/>
      <c r="G127" s="353"/>
      <c r="H127" s="353"/>
      <c r="I127" s="353"/>
      <c r="J127" s="353"/>
      <c r="K127" s="353"/>
      <c r="L127" s="353"/>
      <c r="M127" s="354"/>
      <c r="N127" s="354"/>
      <c r="O127" s="354"/>
    </row>
    <row r="128" spans="1:15" ht="11.25" customHeight="1">
      <c r="A128" s="354"/>
      <c r="B128" s="354"/>
      <c r="C128" s="354"/>
      <c r="D128" s="354"/>
      <c r="E128" s="353"/>
      <c r="F128" s="353"/>
      <c r="G128" s="353"/>
      <c r="H128" s="353"/>
      <c r="I128" s="353"/>
      <c r="J128" s="353"/>
      <c r="K128" s="353"/>
      <c r="L128" s="353"/>
      <c r="M128" s="354"/>
      <c r="N128" s="354"/>
      <c r="O128" s="354"/>
    </row>
    <row r="129" spans="1:15" ht="11.25" customHeight="1">
      <c r="A129" s="354"/>
      <c r="B129" s="354"/>
      <c r="C129" s="354"/>
      <c r="D129" s="354"/>
      <c r="E129" s="353"/>
      <c r="F129" s="353"/>
      <c r="G129" s="353"/>
      <c r="H129" s="353"/>
      <c r="I129" s="353"/>
      <c r="J129" s="353"/>
      <c r="K129" s="353"/>
      <c r="L129" s="353"/>
      <c r="M129" s="354"/>
      <c r="N129" s="354"/>
      <c r="O129" s="354"/>
    </row>
    <row r="130" spans="1:15" ht="11.25" customHeight="1">
      <c r="A130" s="354"/>
      <c r="B130" s="354"/>
      <c r="C130" s="354"/>
      <c r="D130" s="354"/>
      <c r="E130" s="353"/>
      <c r="F130" s="353"/>
      <c r="G130" s="353"/>
      <c r="H130" s="353"/>
      <c r="I130" s="353"/>
      <c r="J130" s="353"/>
      <c r="K130" s="353"/>
      <c r="L130" s="353"/>
      <c r="M130" s="354"/>
      <c r="N130" s="354"/>
      <c r="O130" s="354"/>
    </row>
    <row r="131" spans="1:15" ht="11.25" customHeight="1">
      <c r="A131" s="354"/>
      <c r="B131" s="354"/>
      <c r="C131" s="354"/>
      <c r="D131" s="354"/>
      <c r="E131" s="353"/>
      <c r="F131" s="353"/>
      <c r="G131" s="353"/>
      <c r="H131" s="353"/>
      <c r="I131" s="353"/>
      <c r="J131" s="353"/>
      <c r="K131" s="353"/>
      <c r="L131" s="353"/>
      <c r="M131" s="354"/>
      <c r="N131" s="354"/>
      <c r="O131" s="354"/>
    </row>
    <row r="132" spans="1:15" ht="11.25" customHeight="1">
      <c r="A132" s="354"/>
      <c r="B132" s="354"/>
      <c r="C132" s="354"/>
      <c r="D132" s="354"/>
      <c r="E132" s="353"/>
      <c r="F132" s="353"/>
      <c r="G132" s="353"/>
      <c r="H132" s="353"/>
      <c r="I132" s="353"/>
      <c r="J132" s="353"/>
      <c r="K132" s="353"/>
      <c r="L132" s="353"/>
      <c r="M132" s="354"/>
      <c r="N132" s="354"/>
      <c r="O132" s="354"/>
    </row>
    <row r="133" spans="1:15" ht="11.25" customHeight="1">
      <c r="A133" s="354"/>
      <c r="B133" s="354"/>
      <c r="C133" s="354"/>
      <c r="D133" s="354"/>
      <c r="E133" s="353"/>
      <c r="F133" s="353"/>
      <c r="G133" s="353"/>
      <c r="H133" s="353"/>
      <c r="I133" s="353"/>
      <c r="J133" s="353"/>
      <c r="K133" s="353"/>
      <c r="L133" s="353"/>
      <c r="M133" s="354"/>
      <c r="N133" s="354"/>
      <c r="O133" s="354"/>
    </row>
    <row r="134" spans="1:15" ht="11.25" customHeight="1">
      <c r="A134" s="354"/>
      <c r="B134" s="354"/>
      <c r="C134" s="354"/>
      <c r="D134" s="354"/>
      <c r="E134" s="353"/>
      <c r="F134" s="353"/>
      <c r="G134" s="353"/>
      <c r="H134" s="353"/>
      <c r="I134" s="353"/>
      <c r="J134" s="353"/>
      <c r="K134" s="353"/>
      <c r="L134" s="353"/>
      <c r="M134" s="354"/>
      <c r="N134" s="354"/>
      <c r="O134" s="354"/>
    </row>
    <row r="135" spans="1:15" ht="11.25" customHeight="1">
      <c r="A135" s="354"/>
      <c r="B135" s="354"/>
      <c r="C135" s="354"/>
      <c r="D135" s="354"/>
      <c r="E135" s="353"/>
      <c r="F135" s="353"/>
      <c r="G135" s="353"/>
      <c r="H135" s="353"/>
      <c r="I135" s="353"/>
      <c r="J135" s="353"/>
      <c r="K135" s="353"/>
      <c r="L135" s="353"/>
      <c r="M135" s="354"/>
      <c r="N135" s="354"/>
      <c r="O135" s="354"/>
    </row>
    <row r="136" spans="1:15" ht="11.25" customHeight="1">
      <c r="A136" s="354"/>
      <c r="B136" s="354"/>
      <c r="C136" s="354"/>
      <c r="D136" s="354"/>
      <c r="E136" s="353"/>
      <c r="F136" s="353"/>
      <c r="G136" s="353"/>
      <c r="H136" s="353"/>
      <c r="I136" s="353"/>
      <c r="J136" s="353"/>
      <c r="K136" s="353"/>
      <c r="L136" s="353"/>
      <c r="M136" s="354"/>
      <c r="N136" s="354"/>
      <c r="O136" s="354"/>
    </row>
    <row r="137" spans="1:15" ht="11.25" customHeight="1">
      <c r="A137" s="354"/>
      <c r="B137" s="354"/>
      <c r="C137" s="354"/>
      <c r="D137" s="354"/>
      <c r="E137" s="353"/>
      <c r="F137" s="353"/>
      <c r="G137" s="353"/>
      <c r="H137" s="353"/>
      <c r="I137" s="353"/>
      <c r="J137" s="353"/>
      <c r="K137" s="353"/>
      <c r="L137" s="353"/>
      <c r="M137" s="354"/>
      <c r="N137" s="354"/>
      <c r="O137" s="354"/>
    </row>
    <row r="138" spans="1:15" ht="11.25" customHeight="1">
      <c r="A138" s="354"/>
      <c r="B138" s="354"/>
      <c r="C138" s="354"/>
      <c r="D138" s="354"/>
      <c r="E138" s="353"/>
      <c r="F138" s="353"/>
      <c r="G138" s="353"/>
      <c r="H138" s="353"/>
      <c r="I138" s="353"/>
      <c r="J138" s="353"/>
      <c r="K138" s="353"/>
      <c r="L138" s="353"/>
      <c r="M138" s="354"/>
      <c r="N138" s="354"/>
      <c r="O138" s="354"/>
    </row>
    <row r="139" spans="1:15" ht="11.25" customHeight="1">
      <c r="A139" s="354"/>
      <c r="B139" s="354"/>
      <c r="C139" s="354"/>
      <c r="D139" s="354"/>
      <c r="E139" s="353"/>
      <c r="F139" s="353"/>
      <c r="G139" s="353"/>
      <c r="H139" s="353"/>
      <c r="I139" s="353"/>
      <c r="J139" s="353"/>
      <c r="K139" s="353"/>
      <c r="L139" s="353"/>
      <c r="M139" s="354"/>
      <c r="N139" s="354"/>
      <c r="O139" s="354"/>
    </row>
    <row r="140" spans="1:15" ht="11.25" customHeight="1">
      <c r="A140" s="354"/>
      <c r="B140" s="354"/>
      <c r="C140" s="354"/>
      <c r="D140" s="354"/>
      <c r="E140" s="353"/>
      <c r="F140" s="353"/>
      <c r="G140" s="353"/>
      <c r="H140" s="353"/>
      <c r="I140" s="353"/>
      <c r="J140" s="353"/>
      <c r="K140" s="353"/>
      <c r="L140" s="353"/>
      <c r="M140" s="354"/>
      <c r="N140" s="354"/>
      <c r="O140" s="354"/>
    </row>
    <row r="141" spans="1:15" ht="11.25" customHeight="1">
      <c r="A141" s="354"/>
      <c r="B141" s="354"/>
      <c r="C141" s="354"/>
      <c r="D141" s="354"/>
      <c r="E141" s="353"/>
      <c r="F141" s="353"/>
      <c r="G141" s="353"/>
      <c r="H141" s="353"/>
      <c r="I141" s="353"/>
      <c r="J141" s="353"/>
      <c r="K141" s="353"/>
      <c r="L141" s="353"/>
      <c r="M141" s="354"/>
      <c r="N141" s="354"/>
      <c r="O141" s="354"/>
    </row>
    <row r="142" spans="1:15" ht="11.25" customHeight="1">
      <c r="A142" s="354"/>
      <c r="B142" s="354"/>
      <c r="C142" s="354"/>
      <c r="D142" s="354"/>
      <c r="E142" s="353"/>
      <c r="F142" s="353"/>
      <c r="G142" s="353"/>
      <c r="H142" s="353"/>
      <c r="I142" s="353"/>
      <c r="J142" s="353"/>
      <c r="K142" s="353"/>
      <c r="L142" s="353"/>
      <c r="M142" s="354"/>
      <c r="N142" s="354"/>
      <c r="O142" s="354"/>
    </row>
    <row r="143" spans="1:15" ht="11.25" customHeight="1">
      <c r="A143" s="354"/>
      <c r="B143" s="354"/>
      <c r="C143" s="354"/>
      <c r="D143" s="354"/>
      <c r="E143" s="353"/>
      <c r="F143" s="353"/>
      <c r="G143" s="353"/>
      <c r="H143" s="353"/>
      <c r="I143" s="353"/>
      <c r="J143" s="353"/>
      <c r="K143" s="353"/>
      <c r="L143" s="353"/>
      <c r="M143" s="354"/>
      <c r="N143" s="354"/>
      <c r="O143" s="354"/>
    </row>
    <row r="144" spans="1:15" ht="11.25" customHeight="1">
      <c r="A144" s="354"/>
      <c r="B144" s="354"/>
      <c r="C144" s="354"/>
      <c r="D144" s="354"/>
      <c r="E144" s="353"/>
      <c r="F144" s="353"/>
      <c r="G144" s="353"/>
      <c r="H144" s="353"/>
      <c r="I144" s="353"/>
      <c r="J144" s="353"/>
      <c r="K144" s="353"/>
      <c r="L144" s="353"/>
      <c r="M144" s="354"/>
      <c r="N144" s="354"/>
      <c r="O144" s="354"/>
    </row>
    <row r="145" spans="1:15" ht="11.25" customHeight="1">
      <c r="A145" s="354"/>
      <c r="B145" s="354"/>
      <c r="C145" s="354"/>
      <c r="D145" s="354"/>
      <c r="E145" s="353"/>
      <c r="F145" s="353"/>
      <c r="G145" s="353"/>
      <c r="H145" s="353"/>
      <c r="I145" s="353"/>
      <c r="J145" s="353"/>
      <c r="K145" s="353"/>
      <c r="L145" s="353"/>
      <c r="M145" s="354"/>
      <c r="N145" s="354"/>
      <c r="O145" s="354"/>
    </row>
    <row r="146" spans="1:15" ht="11.25" customHeight="1">
      <c r="A146" s="354"/>
      <c r="B146" s="354"/>
      <c r="C146" s="354"/>
      <c r="D146" s="354"/>
      <c r="E146" s="353"/>
      <c r="F146" s="353"/>
      <c r="G146" s="353"/>
      <c r="H146" s="353"/>
      <c r="I146" s="353"/>
      <c r="J146" s="353"/>
      <c r="K146" s="353"/>
      <c r="L146" s="353"/>
      <c r="M146" s="354"/>
      <c r="N146" s="354"/>
      <c r="O146" s="354"/>
    </row>
    <row r="147" spans="1:15" ht="11.25" customHeight="1">
      <c r="A147" s="354"/>
      <c r="B147" s="354"/>
      <c r="C147" s="354"/>
      <c r="D147" s="354"/>
      <c r="E147" s="353"/>
      <c r="F147" s="353"/>
      <c r="G147" s="353"/>
      <c r="H147" s="353"/>
      <c r="I147" s="353"/>
      <c r="J147" s="353"/>
      <c r="K147" s="353"/>
      <c r="L147" s="353"/>
      <c r="M147" s="354"/>
      <c r="N147" s="354"/>
      <c r="O147" s="354"/>
    </row>
    <row r="148" spans="1:15" ht="11.25" customHeight="1">
      <c r="A148" s="354"/>
      <c r="B148" s="354"/>
      <c r="C148" s="354"/>
      <c r="D148" s="354"/>
      <c r="E148" s="353"/>
      <c r="F148" s="353"/>
      <c r="G148" s="353"/>
      <c r="H148" s="353"/>
      <c r="I148" s="353"/>
      <c r="J148" s="353"/>
      <c r="K148" s="353"/>
      <c r="L148" s="353"/>
      <c r="M148" s="354"/>
      <c r="N148" s="354"/>
      <c r="O148" s="354"/>
    </row>
    <row r="149" spans="1:15" ht="11.25" customHeight="1">
      <c r="A149" s="354"/>
      <c r="B149" s="354"/>
      <c r="C149" s="354"/>
      <c r="D149" s="354"/>
      <c r="E149" s="353"/>
      <c r="F149" s="353"/>
      <c r="G149" s="353"/>
      <c r="H149" s="353"/>
      <c r="I149" s="353"/>
      <c r="J149" s="353"/>
      <c r="K149" s="353"/>
      <c r="L149" s="353"/>
      <c r="M149" s="354"/>
      <c r="N149" s="354"/>
      <c r="O149" s="354"/>
    </row>
    <row r="150" spans="1:15" ht="11.25" customHeight="1">
      <c r="A150" s="354"/>
      <c r="B150" s="354"/>
      <c r="C150" s="354"/>
      <c r="D150" s="354"/>
      <c r="E150" s="353"/>
      <c r="F150" s="353"/>
      <c r="G150" s="353"/>
      <c r="H150" s="353"/>
      <c r="I150" s="353"/>
      <c r="J150" s="353"/>
      <c r="K150" s="353"/>
      <c r="L150" s="353"/>
      <c r="M150" s="354"/>
      <c r="N150" s="354"/>
      <c r="O150" s="354"/>
    </row>
    <row r="151" spans="1:15" ht="11.25" customHeight="1">
      <c r="A151" s="354"/>
      <c r="B151" s="354"/>
      <c r="C151" s="354"/>
      <c r="D151" s="354"/>
      <c r="E151" s="353"/>
      <c r="F151" s="353"/>
      <c r="G151" s="353"/>
      <c r="H151" s="353"/>
      <c r="I151" s="353"/>
      <c r="J151" s="353"/>
      <c r="K151" s="353"/>
      <c r="L151" s="353"/>
      <c r="M151" s="354"/>
      <c r="N151" s="354"/>
      <c r="O151" s="354"/>
    </row>
    <row r="152" spans="1:15" ht="11.25" customHeight="1">
      <c r="A152" s="354"/>
      <c r="B152" s="354"/>
      <c r="C152" s="354"/>
      <c r="D152" s="354"/>
      <c r="E152" s="353"/>
      <c r="F152" s="353"/>
      <c r="G152" s="353"/>
      <c r="H152" s="353"/>
      <c r="I152" s="353"/>
      <c r="J152" s="353"/>
      <c r="K152" s="353"/>
      <c r="L152" s="353"/>
      <c r="M152" s="354"/>
      <c r="N152" s="354"/>
      <c r="O152" s="354"/>
    </row>
    <row r="153" spans="1:15" ht="11.25" customHeight="1">
      <c r="A153" s="354"/>
      <c r="B153" s="354"/>
      <c r="C153" s="354"/>
      <c r="D153" s="354"/>
      <c r="E153" s="353"/>
      <c r="F153" s="353"/>
      <c r="G153" s="353"/>
      <c r="H153" s="353"/>
      <c r="I153" s="353"/>
      <c r="J153" s="353"/>
      <c r="K153" s="353"/>
      <c r="L153" s="353"/>
      <c r="M153" s="354"/>
      <c r="N153" s="354"/>
      <c r="O153" s="354"/>
    </row>
    <row r="154" spans="1:15" ht="11.25" customHeight="1">
      <c r="A154" s="354"/>
      <c r="B154" s="354"/>
      <c r="C154" s="354"/>
      <c r="D154" s="354"/>
      <c r="E154" s="353"/>
      <c r="F154" s="353"/>
      <c r="G154" s="353"/>
      <c r="H154" s="353"/>
      <c r="I154" s="353"/>
      <c r="J154" s="353"/>
      <c r="K154" s="353"/>
      <c r="L154" s="353"/>
      <c r="M154" s="354"/>
      <c r="N154" s="354"/>
      <c r="O154" s="354"/>
    </row>
    <row r="155" spans="1:15" ht="11.25" customHeight="1">
      <c r="A155" s="354"/>
      <c r="B155" s="354"/>
      <c r="C155" s="354"/>
      <c r="D155" s="354"/>
      <c r="E155" s="353"/>
      <c r="F155" s="353"/>
      <c r="G155" s="353"/>
      <c r="H155" s="353"/>
      <c r="I155" s="353"/>
      <c r="J155" s="353"/>
      <c r="K155" s="353"/>
      <c r="L155" s="353"/>
      <c r="M155" s="354"/>
      <c r="N155" s="354"/>
      <c r="O155" s="354"/>
    </row>
    <row r="156" spans="1:15" ht="11.25" customHeight="1">
      <c r="A156" s="354"/>
      <c r="B156" s="354"/>
      <c r="C156" s="354"/>
      <c r="D156" s="354"/>
      <c r="E156" s="353"/>
      <c r="F156" s="353"/>
      <c r="G156" s="353"/>
      <c r="H156" s="353"/>
      <c r="I156" s="353"/>
      <c r="J156" s="353"/>
      <c r="K156" s="353"/>
      <c r="L156" s="353"/>
      <c r="M156" s="354"/>
      <c r="N156" s="354"/>
      <c r="O156" s="354"/>
    </row>
    <row r="157" spans="1:15" ht="11.25" customHeight="1">
      <c r="A157" s="354"/>
      <c r="B157" s="354"/>
      <c r="C157" s="354"/>
      <c r="D157" s="354"/>
      <c r="E157" s="353"/>
      <c r="F157" s="353"/>
      <c r="G157" s="353"/>
      <c r="H157" s="353"/>
      <c r="I157" s="353"/>
      <c r="J157" s="353"/>
      <c r="K157" s="353"/>
      <c r="L157" s="353"/>
      <c r="M157" s="354"/>
      <c r="N157" s="354"/>
      <c r="O157" s="354"/>
    </row>
    <row r="158" spans="1:15" ht="11.25" customHeight="1">
      <c r="A158" s="354"/>
      <c r="B158" s="354"/>
      <c r="C158" s="354"/>
      <c r="D158" s="354"/>
      <c r="E158" s="353"/>
      <c r="F158" s="353"/>
      <c r="G158" s="353"/>
      <c r="H158" s="353"/>
      <c r="I158" s="353"/>
      <c r="J158" s="353"/>
      <c r="K158" s="353"/>
      <c r="L158" s="353"/>
      <c r="M158" s="354"/>
      <c r="N158" s="354"/>
      <c r="O158" s="354"/>
    </row>
    <row r="159" spans="1:15" ht="11.25" customHeight="1">
      <c r="A159" s="354"/>
      <c r="B159" s="354"/>
      <c r="C159" s="354"/>
      <c r="D159" s="354"/>
      <c r="E159" s="353"/>
      <c r="F159" s="353"/>
      <c r="G159" s="353"/>
      <c r="H159" s="353"/>
      <c r="I159" s="353"/>
      <c r="J159" s="353"/>
      <c r="K159" s="353"/>
      <c r="L159" s="353"/>
      <c r="M159" s="354"/>
      <c r="N159" s="354"/>
      <c r="O159" s="354"/>
    </row>
    <row r="160" spans="1:15" ht="11.25" customHeight="1">
      <c r="A160" s="354"/>
      <c r="B160" s="354"/>
      <c r="C160" s="354"/>
      <c r="D160" s="354"/>
      <c r="E160" s="353"/>
      <c r="F160" s="353"/>
      <c r="G160" s="353"/>
      <c r="H160" s="353"/>
      <c r="I160" s="353"/>
      <c r="J160" s="353"/>
      <c r="K160" s="353"/>
      <c r="L160" s="353"/>
      <c r="M160" s="354"/>
      <c r="N160" s="354"/>
      <c r="O160" s="354"/>
    </row>
    <row r="161" spans="1:15" ht="11.25" customHeight="1">
      <c r="A161" s="354"/>
      <c r="B161" s="354"/>
      <c r="C161" s="354"/>
      <c r="D161" s="354"/>
      <c r="E161" s="353"/>
      <c r="F161" s="353"/>
      <c r="G161" s="353"/>
      <c r="H161" s="353"/>
      <c r="I161" s="353"/>
      <c r="J161" s="353"/>
      <c r="K161" s="353"/>
      <c r="L161" s="353"/>
      <c r="M161" s="354"/>
      <c r="N161" s="354"/>
      <c r="O161" s="354"/>
    </row>
    <row r="162" spans="1:15" ht="11.25" customHeight="1">
      <c r="A162" s="354"/>
      <c r="B162" s="354"/>
      <c r="C162" s="354"/>
      <c r="D162" s="354"/>
      <c r="E162" s="353"/>
      <c r="F162" s="353"/>
      <c r="G162" s="353"/>
      <c r="H162" s="353"/>
      <c r="I162" s="353"/>
      <c r="J162" s="353"/>
      <c r="K162" s="353"/>
      <c r="L162" s="353"/>
      <c r="M162" s="354"/>
      <c r="N162" s="354"/>
      <c r="O162" s="354"/>
    </row>
    <row r="163" spans="1:15" ht="11.25" customHeight="1">
      <c r="A163" s="354"/>
      <c r="B163" s="354"/>
      <c r="C163" s="354"/>
      <c r="D163" s="354"/>
      <c r="E163" s="353"/>
      <c r="F163" s="353"/>
      <c r="G163" s="353"/>
      <c r="H163" s="353"/>
      <c r="I163" s="353"/>
      <c r="J163" s="353"/>
      <c r="K163" s="353"/>
      <c r="L163" s="353"/>
      <c r="M163" s="354"/>
      <c r="N163" s="354"/>
      <c r="O163" s="354"/>
    </row>
    <row r="164" spans="1:15" ht="11.25" customHeight="1">
      <c r="A164" s="354"/>
      <c r="B164" s="354"/>
      <c r="C164" s="354"/>
      <c r="D164" s="354"/>
      <c r="E164" s="353"/>
      <c r="F164" s="353"/>
      <c r="G164" s="353"/>
      <c r="H164" s="353"/>
      <c r="I164" s="353"/>
      <c r="J164" s="353"/>
      <c r="K164" s="353"/>
      <c r="L164" s="353"/>
      <c r="M164" s="354"/>
      <c r="N164" s="354"/>
      <c r="O164" s="354"/>
    </row>
    <row r="165" spans="1:15" ht="11.25" customHeight="1">
      <c r="A165" s="354"/>
      <c r="B165" s="354"/>
      <c r="C165" s="354"/>
      <c r="D165" s="354"/>
      <c r="E165" s="353"/>
      <c r="F165" s="353"/>
      <c r="G165" s="353"/>
      <c r="H165" s="353"/>
      <c r="I165" s="353"/>
      <c r="J165" s="353"/>
      <c r="K165" s="353"/>
      <c r="L165" s="353"/>
      <c r="M165" s="354"/>
      <c r="N165" s="354"/>
      <c r="O165" s="354"/>
    </row>
    <row r="166" spans="1:15" ht="11.25" customHeight="1">
      <c r="A166" s="354"/>
      <c r="B166" s="354"/>
      <c r="C166" s="354"/>
      <c r="D166" s="354"/>
      <c r="E166" s="353"/>
      <c r="F166" s="353"/>
      <c r="G166" s="353"/>
      <c r="H166" s="353"/>
      <c r="I166" s="353"/>
      <c r="J166" s="353"/>
      <c r="K166" s="353"/>
      <c r="L166" s="353"/>
      <c r="M166" s="354"/>
      <c r="N166" s="354"/>
      <c r="O166" s="354"/>
    </row>
    <row r="167" spans="1:15" ht="11.25" customHeight="1">
      <c r="A167" s="354"/>
      <c r="B167" s="354"/>
      <c r="C167" s="354"/>
      <c r="D167" s="354"/>
      <c r="E167" s="353"/>
      <c r="F167" s="353"/>
      <c r="G167" s="353"/>
      <c r="H167" s="353"/>
      <c r="I167" s="353"/>
      <c r="J167" s="353"/>
      <c r="K167" s="353"/>
      <c r="L167" s="353"/>
      <c r="M167" s="354"/>
      <c r="N167" s="354"/>
      <c r="O167" s="354"/>
    </row>
    <row r="168" spans="1:15" ht="11.25" customHeight="1">
      <c r="A168" s="354"/>
      <c r="B168" s="354"/>
      <c r="C168" s="354"/>
      <c r="D168" s="354"/>
      <c r="E168" s="353"/>
      <c r="F168" s="353"/>
      <c r="G168" s="353"/>
      <c r="H168" s="353"/>
      <c r="I168" s="353"/>
      <c r="J168" s="353"/>
      <c r="K168" s="353"/>
      <c r="L168" s="353"/>
      <c r="M168" s="354"/>
      <c r="N168" s="354"/>
      <c r="O168" s="354"/>
    </row>
    <row r="169" spans="1:15" ht="11.25" customHeight="1">
      <c r="A169" s="354"/>
      <c r="B169" s="354"/>
      <c r="C169" s="354"/>
      <c r="D169" s="354"/>
      <c r="E169" s="353"/>
      <c r="F169" s="353"/>
      <c r="G169" s="353"/>
      <c r="H169" s="353"/>
      <c r="I169" s="353"/>
      <c r="J169" s="353"/>
      <c r="K169" s="353"/>
      <c r="L169" s="353"/>
      <c r="M169" s="354"/>
      <c r="N169" s="354"/>
      <c r="O169" s="354"/>
    </row>
    <row r="170" spans="1:15" ht="11.25" customHeight="1">
      <c r="A170" s="354"/>
      <c r="B170" s="354"/>
      <c r="C170" s="354"/>
      <c r="D170" s="354"/>
      <c r="E170" s="353"/>
      <c r="F170" s="353"/>
      <c r="G170" s="353"/>
      <c r="H170" s="353"/>
      <c r="I170" s="353"/>
      <c r="J170" s="353"/>
      <c r="K170" s="353"/>
      <c r="L170" s="353"/>
      <c r="M170" s="354"/>
      <c r="N170" s="354"/>
      <c r="O170" s="354"/>
    </row>
    <row r="171" spans="1:15" ht="11.25" customHeight="1">
      <c r="A171" s="354"/>
      <c r="B171" s="354"/>
      <c r="C171" s="354"/>
      <c r="D171" s="354"/>
      <c r="E171" s="353"/>
      <c r="F171" s="353"/>
      <c r="G171" s="353"/>
      <c r="H171" s="353"/>
      <c r="I171" s="353"/>
      <c r="J171" s="353"/>
      <c r="K171" s="353"/>
      <c r="L171" s="353"/>
      <c r="M171" s="354"/>
      <c r="N171" s="354"/>
      <c r="O171" s="354"/>
    </row>
    <row r="172" spans="1:15" ht="11.25" customHeight="1">
      <c r="A172" s="354"/>
      <c r="B172" s="354"/>
      <c r="C172" s="354"/>
      <c r="D172" s="354"/>
      <c r="E172" s="353"/>
      <c r="F172" s="353"/>
      <c r="G172" s="353"/>
      <c r="H172" s="353"/>
      <c r="I172" s="353"/>
      <c r="J172" s="353"/>
      <c r="K172" s="353"/>
      <c r="L172" s="353"/>
      <c r="M172" s="354"/>
      <c r="N172" s="354"/>
      <c r="O172" s="354"/>
    </row>
    <row r="173" spans="1:15" ht="11.25" customHeight="1">
      <c r="A173" s="354"/>
      <c r="B173" s="354"/>
      <c r="C173" s="354"/>
      <c r="D173" s="354"/>
      <c r="E173" s="353"/>
      <c r="F173" s="353"/>
      <c r="G173" s="353"/>
      <c r="H173" s="353"/>
      <c r="I173" s="353"/>
      <c r="J173" s="353"/>
      <c r="K173" s="353"/>
      <c r="L173" s="353"/>
      <c r="M173" s="354"/>
      <c r="N173" s="354"/>
      <c r="O173" s="354"/>
    </row>
    <row r="174" spans="1:15" ht="11.25" customHeight="1">
      <c r="A174" s="354"/>
      <c r="B174" s="354"/>
      <c r="C174" s="354"/>
      <c r="D174" s="354"/>
      <c r="E174" s="353"/>
      <c r="F174" s="353"/>
      <c r="G174" s="353"/>
      <c r="H174" s="353"/>
      <c r="I174" s="353"/>
      <c r="J174" s="353"/>
      <c r="K174" s="353"/>
      <c r="L174" s="353"/>
      <c r="M174" s="354"/>
      <c r="N174" s="354"/>
      <c r="O174" s="354"/>
    </row>
    <row r="175" spans="1:15" ht="11.25" customHeight="1">
      <c r="A175" s="354"/>
      <c r="B175" s="354"/>
      <c r="C175" s="354"/>
      <c r="D175" s="354"/>
      <c r="E175" s="353"/>
      <c r="F175" s="353"/>
      <c r="G175" s="353"/>
      <c r="H175" s="353"/>
      <c r="I175" s="353"/>
      <c r="J175" s="353"/>
      <c r="K175" s="353"/>
      <c r="L175" s="353"/>
      <c r="M175" s="354"/>
      <c r="N175" s="354"/>
      <c r="O175" s="354"/>
    </row>
    <row r="176" spans="1:15" ht="11.25" customHeight="1">
      <c r="A176" s="354"/>
      <c r="B176" s="354"/>
      <c r="C176" s="354"/>
      <c r="D176" s="354"/>
      <c r="E176" s="353"/>
      <c r="F176" s="353"/>
      <c r="G176" s="353"/>
      <c r="H176" s="353"/>
      <c r="I176" s="353"/>
      <c r="J176" s="353"/>
      <c r="K176" s="353"/>
      <c r="L176" s="353"/>
      <c r="M176" s="354"/>
      <c r="N176" s="354"/>
      <c r="O176" s="354"/>
    </row>
    <row r="177" spans="1:15" ht="11.25" customHeight="1">
      <c r="A177" s="354"/>
      <c r="B177" s="354"/>
      <c r="C177" s="354"/>
      <c r="D177" s="354"/>
      <c r="E177" s="353"/>
      <c r="F177" s="353"/>
      <c r="G177" s="353"/>
      <c r="H177" s="353"/>
      <c r="I177" s="353"/>
      <c r="J177" s="353"/>
      <c r="K177" s="353"/>
      <c r="L177" s="353"/>
      <c r="M177" s="354"/>
      <c r="N177" s="354"/>
      <c r="O177" s="354"/>
    </row>
    <row r="178" spans="1:15" ht="11.25" customHeight="1">
      <c r="A178" s="354"/>
      <c r="B178" s="354"/>
      <c r="C178" s="354"/>
      <c r="D178" s="354"/>
      <c r="E178" s="353"/>
      <c r="F178" s="353"/>
      <c r="G178" s="353"/>
      <c r="H178" s="353"/>
      <c r="I178" s="353"/>
      <c r="J178" s="353"/>
      <c r="K178" s="353"/>
      <c r="L178" s="353"/>
      <c r="M178" s="354"/>
      <c r="N178" s="354"/>
      <c r="O178" s="354"/>
    </row>
    <row r="179" spans="1:15" ht="11.25" customHeight="1">
      <c r="A179" s="354"/>
      <c r="B179" s="354"/>
      <c r="C179" s="354"/>
      <c r="D179" s="354"/>
      <c r="E179" s="353"/>
      <c r="F179" s="353"/>
      <c r="G179" s="353"/>
      <c r="H179" s="353"/>
      <c r="I179" s="353"/>
      <c r="J179" s="353"/>
      <c r="K179" s="353"/>
      <c r="L179" s="353"/>
      <c r="M179" s="354"/>
      <c r="N179" s="354"/>
      <c r="O179" s="354"/>
    </row>
    <row r="180" spans="1:15" ht="11.25" customHeight="1">
      <c r="A180" s="354"/>
      <c r="B180" s="354"/>
      <c r="C180" s="354"/>
      <c r="D180" s="354"/>
      <c r="E180" s="353"/>
      <c r="F180" s="353"/>
      <c r="G180" s="353"/>
      <c r="H180" s="353"/>
      <c r="I180" s="353"/>
      <c r="J180" s="353"/>
      <c r="K180" s="353"/>
      <c r="L180" s="353"/>
      <c r="M180" s="354"/>
      <c r="N180" s="354"/>
      <c r="O180" s="354"/>
    </row>
    <row r="181" spans="1:15" ht="11.25" customHeight="1">
      <c r="A181" s="354"/>
      <c r="B181" s="354"/>
      <c r="C181" s="354"/>
      <c r="D181" s="354"/>
      <c r="E181" s="353"/>
      <c r="F181" s="353"/>
      <c r="G181" s="353"/>
      <c r="H181" s="353"/>
      <c r="I181" s="353"/>
      <c r="J181" s="353"/>
      <c r="K181" s="353"/>
      <c r="L181" s="353"/>
      <c r="M181" s="354"/>
      <c r="N181" s="354"/>
      <c r="O181" s="354"/>
    </row>
    <row r="182" spans="1:15" ht="11.25" customHeight="1">
      <c r="A182" s="354"/>
      <c r="B182" s="354"/>
      <c r="C182" s="354"/>
      <c r="D182" s="354"/>
      <c r="E182" s="353"/>
      <c r="F182" s="353"/>
      <c r="G182" s="353"/>
      <c r="H182" s="353"/>
      <c r="I182" s="353"/>
      <c r="J182" s="353"/>
      <c r="K182" s="353"/>
      <c r="L182" s="353"/>
      <c r="M182" s="354"/>
      <c r="N182" s="354"/>
      <c r="O182" s="354"/>
    </row>
    <row r="183" spans="1:15" ht="11.25" customHeight="1">
      <c r="A183" s="354"/>
      <c r="B183" s="354"/>
      <c r="C183" s="354"/>
      <c r="D183" s="354"/>
      <c r="E183" s="353"/>
      <c r="F183" s="353"/>
      <c r="G183" s="353"/>
      <c r="H183" s="353"/>
      <c r="I183" s="353"/>
      <c r="J183" s="353"/>
      <c r="K183" s="353"/>
      <c r="L183" s="353"/>
      <c r="M183" s="354"/>
      <c r="N183" s="354"/>
      <c r="O183" s="354"/>
    </row>
    <row r="184" spans="1:15" ht="11.25" customHeight="1">
      <c r="A184" s="354"/>
      <c r="B184" s="354"/>
      <c r="C184" s="354"/>
      <c r="D184" s="354"/>
      <c r="E184" s="353"/>
      <c r="F184" s="353"/>
      <c r="G184" s="353"/>
      <c r="H184" s="353"/>
      <c r="I184" s="353"/>
      <c r="J184" s="353"/>
      <c r="K184" s="353"/>
      <c r="L184" s="353"/>
      <c r="M184" s="354"/>
      <c r="N184" s="354"/>
      <c r="O184" s="354"/>
    </row>
    <row r="185" spans="1:15" ht="11.25" customHeight="1">
      <c r="A185" s="354"/>
      <c r="B185" s="354"/>
      <c r="C185" s="354"/>
      <c r="D185" s="354"/>
      <c r="E185" s="353"/>
      <c r="F185" s="353"/>
      <c r="G185" s="353"/>
      <c r="H185" s="353"/>
      <c r="I185" s="353"/>
      <c r="J185" s="353"/>
      <c r="K185" s="353"/>
      <c r="L185" s="353"/>
      <c r="M185" s="354"/>
      <c r="N185" s="354"/>
      <c r="O185" s="354"/>
    </row>
    <row r="186" spans="1:15" ht="11.25" customHeight="1">
      <c r="A186" s="354"/>
      <c r="B186" s="354"/>
      <c r="C186" s="354"/>
      <c r="D186" s="354"/>
      <c r="E186" s="353"/>
      <c r="F186" s="353"/>
      <c r="G186" s="353"/>
      <c r="H186" s="353"/>
      <c r="I186" s="353"/>
      <c r="J186" s="353"/>
      <c r="K186" s="353"/>
      <c r="L186" s="353"/>
      <c r="M186" s="354"/>
      <c r="N186" s="354"/>
      <c r="O186" s="354"/>
    </row>
    <row r="187" spans="1:15" ht="11.25" customHeight="1">
      <c r="A187" s="354"/>
      <c r="B187" s="354"/>
      <c r="C187" s="354"/>
      <c r="D187" s="354"/>
      <c r="E187" s="353"/>
      <c r="F187" s="353"/>
      <c r="G187" s="353"/>
      <c r="H187" s="353"/>
      <c r="I187" s="353"/>
      <c r="J187" s="353"/>
      <c r="K187" s="353"/>
      <c r="L187" s="353"/>
      <c r="M187" s="354"/>
      <c r="N187" s="354"/>
      <c r="O187" s="354"/>
    </row>
    <row r="188" spans="1:15" ht="11.25" customHeight="1">
      <c r="A188" s="354"/>
      <c r="B188" s="354"/>
      <c r="C188" s="354"/>
      <c r="D188" s="354"/>
      <c r="E188" s="353"/>
      <c r="F188" s="353"/>
      <c r="G188" s="353"/>
      <c r="H188" s="353"/>
      <c r="I188" s="353"/>
      <c r="J188" s="353"/>
      <c r="K188" s="353"/>
      <c r="L188" s="353"/>
      <c r="M188" s="354"/>
      <c r="N188" s="354"/>
      <c r="O188" s="354"/>
    </row>
    <row r="189" spans="1:15" ht="11.25" customHeight="1">
      <c r="A189" s="354"/>
      <c r="B189" s="354"/>
      <c r="C189" s="354"/>
      <c r="D189" s="354"/>
      <c r="E189" s="353"/>
      <c r="F189" s="353"/>
      <c r="G189" s="353"/>
      <c r="H189" s="353"/>
      <c r="I189" s="353"/>
      <c r="J189" s="353"/>
      <c r="K189" s="353"/>
      <c r="L189" s="353"/>
      <c r="M189" s="354"/>
      <c r="N189" s="354"/>
      <c r="O189" s="354"/>
    </row>
    <row r="190" spans="1:15" ht="11.25" customHeight="1">
      <c r="A190" s="354"/>
      <c r="B190" s="354"/>
      <c r="C190" s="354"/>
      <c r="D190" s="354"/>
      <c r="E190" s="353"/>
      <c r="F190" s="353"/>
      <c r="G190" s="353"/>
      <c r="H190" s="353"/>
      <c r="I190" s="353"/>
      <c r="J190" s="353"/>
      <c r="K190" s="353"/>
      <c r="L190" s="353"/>
      <c r="M190" s="354"/>
      <c r="N190" s="354"/>
      <c r="O190" s="354"/>
    </row>
    <row r="191" spans="1:15" ht="11.25" customHeight="1">
      <c r="A191" s="354"/>
      <c r="B191" s="354"/>
      <c r="C191" s="354"/>
      <c r="D191" s="354"/>
      <c r="E191" s="353"/>
      <c r="F191" s="353"/>
      <c r="G191" s="353"/>
      <c r="H191" s="353"/>
      <c r="I191" s="353"/>
      <c r="J191" s="353"/>
      <c r="K191" s="353"/>
      <c r="L191" s="353"/>
      <c r="M191" s="354"/>
      <c r="N191" s="354"/>
      <c r="O191" s="354"/>
    </row>
    <row r="192" spans="1:15" ht="11.25" customHeight="1">
      <c r="A192" s="354"/>
      <c r="B192" s="354"/>
      <c r="C192" s="354"/>
      <c r="D192" s="354"/>
      <c r="E192" s="353"/>
      <c r="F192" s="353"/>
      <c r="G192" s="353"/>
      <c r="H192" s="353"/>
      <c r="I192" s="353"/>
      <c r="J192" s="353"/>
      <c r="K192" s="353"/>
      <c r="L192" s="353"/>
      <c r="M192" s="354"/>
      <c r="N192" s="354"/>
      <c r="O192" s="354"/>
    </row>
    <row r="193" spans="1:15" ht="11.25" customHeight="1">
      <c r="A193" s="354"/>
      <c r="B193" s="354"/>
      <c r="C193" s="354"/>
      <c r="D193" s="354"/>
      <c r="E193" s="353"/>
      <c r="F193" s="353"/>
      <c r="G193" s="353"/>
      <c r="H193" s="353"/>
      <c r="I193" s="353"/>
      <c r="J193" s="353"/>
      <c r="K193" s="353"/>
      <c r="L193" s="353"/>
      <c r="M193" s="354"/>
      <c r="N193" s="354"/>
      <c r="O193" s="354"/>
    </row>
    <row r="194" spans="1:15" ht="11.25" customHeight="1">
      <c r="A194" s="354"/>
      <c r="B194" s="354"/>
      <c r="C194" s="354"/>
      <c r="D194" s="354"/>
      <c r="E194" s="353"/>
      <c r="F194" s="353"/>
      <c r="G194" s="353"/>
      <c r="H194" s="353"/>
      <c r="I194" s="353"/>
      <c r="J194" s="353"/>
      <c r="K194" s="353"/>
      <c r="L194" s="353"/>
      <c r="M194" s="354"/>
      <c r="N194" s="354"/>
      <c r="O194" s="354"/>
    </row>
    <row r="195" spans="1:15" ht="11.25" customHeight="1">
      <c r="A195" s="354"/>
      <c r="B195" s="354"/>
      <c r="C195" s="354"/>
      <c r="D195" s="354"/>
      <c r="E195" s="353"/>
      <c r="F195" s="353"/>
      <c r="G195" s="353"/>
      <c r="H195" s="353"/>
      <c r="I195" s="353"/>
      <c r="J195" s="353"/>
      <c r="K195" s="353"/>
      <c r="L195" s="353"/>
      <c r="M195" s="354"/>
      <c r="N195" s="354"/>
      <c r="O195" s="354"/>
    </row>
    <row r="196" spans="1:15" ht="11.25" customHeight="1">
      <c r="A196" s="354"/>
      <c r="B196" s="354"/>
      <c r="C196" s="354"/>
      <c r="D196" s="354"/>
      <c r="E196" s="353"/>
      <c r="F196" s="353"/>
      <c r="G196" s="353"/>
      <c r="H196" s="353"/>
      <c r="I196" s="353"/>
      <c r="J196" s="353"/>
      <c r="K196" s="353"/>
      <c r="L196" s="353"/>
      <c r="M196" s="354"/>
      <c r="N196" s="354"/>
      <c r="O196" s="354"/>
    </row>
    <row r="197" spans="1:15" ht="11.25" customHeight="1">
      <c r="A197" s="354"/>
      <c r="B197" s="354"/>
      <c r="C197" s="354"/>
      <c r="D197" s="354"/>
      <c r="E197" s="353"/>
      <c r="F197" s="353"/>
      <c r="G197" s="353"/>
      <c r="H197" s="353"/>
      <c r="I197" s="353"/>
      <c r="J197" s="353"/>
      <c r="K197" s="353"/>
      <c r="L197" s="353"/>
      <c r="M197" s="354"/>
      <c r="N197" s="354"/>
      <c r="O197" s="354"/>
    </row>
    <row r="198" spans="1:15" ht="11.25" customHeight="1">
      <c r="A198" s="354"/>
      <c r="B198" s="354"/>
      <c r="C198" s="354"/>
      <c r="D198" s="354"/>
      <c r="E198" s="353"/>
      <c r="F198" s="353"/>
      <c r="G198" s="353"/>
      <c r="H198" s="353"/>
      <c r="I198" s="353"/>
      <c r="J198" s="353"/>
      <c r="K198" s="353"/>
      <c r="L198" s="353"/>
      <c r="M198" s="354"/>
      <c r="N198" s="354"/>
      <c r="O198" s="354"/>
    </row>
    <row r="199" spans="1:15" ht="11.25" customHeight="1">
      <c r="A199" s="354"/>
      <c r="B199" s="354"/>
      <c r="C199" s="354"/>
      <c r="D199" s="354"/>
      <c r="E199" s="353"/>
      <c r="F199" s="353"/>
      <c r="G199" s="353"/>
      <c r="H199" s="353"/>
      <c r="I199" s="353"/>
      <c r="J199" s="353"/>
      <c r="K199" s="353"/>
      <c r="L199" s="353"/>
      <c r="M199" s="354"/>
      <c r="N199" s="354"/>
      <c r="O199" s="354"/>
    </row>
    <row r="200" spans="1:15" ht="11.25" customHeight="1">
      <c r="A200" s="354"/>
      <c r="B200" s="354"/>
      <c r="C200" s="354"/>
      <c r="D200" s="354"/>
      <c r="E200" s="353"/>
      <c r="F200" s="353"/>
      <c r="G200" s="353"/>
      <c r="H200" s="353"/>
      <c r="I200" s="353"/>
      <c r="J200" s="353"/>
      <c r="K200" s="353"/>
      <c r="L200" s="353"/>
      <c r="M200" s="354"/>
      <c r="N200" s="354"/>
      <c r="O200" s="354"/>
    </row>
    <row r="201" spans="1:15" ht="11.25" customHeight="1">
      <c r="A201" s="354"/>
      <c r="B201" s="354"/>
      <c r="C201" s="354"/>
      <c r="D201" s="354"/>
      <c r="E201" s="353"/>
      <c r="F201" s="353"/>
      <c r="G201" s="353"/>
      <c r="H201" s="353"/>
      <c r="I201" s="353"/>
      <c r="J201" s="353"/>
      <c r="K201" s="353"/>
      <c r="L201" s="353"/>
      <c r="M201" s="354"/>
      <c r="N201" s="354"/>
      <c r="O201" s="354"/>
    </row>
    <row r="202" spans="1:15" ht="11.25" customHeight="1">
      <c r="A202" s="354"/>
      <c r="B202" s="354"/>
      <c r="C202" s="354"/>
      <c r="D202" s="354"/>
      <c r="E202" s="353"/>
      <c r="F202" s="353"/>
      <c r="G202" s="353"/>
      <c r="H202" s="353"/>
      <c r="I202" s="353"/>
      <c r="J202" s="353"/>
      <c r="K202" s="353"/>
      <c r="L202" s="353"/>
      <c r="M202" s="354"/>
      <c r="N202" s="354"/>
      <c r="O202" s="354"/>
    </row>
    <row r="203" spans="1:15" ht="11.25" customHeight="1">
      <c r="A203" s="354"/>
      <c r="B203" s="354"/>
      <c r="C203" s="354"/>
      <c r="D203" s="354"/>
      <c r="E203" s="353"/>
      <c r="F203" s="353"/>
      <c r="G203" s="353"/>
      <c r="H203" s="353"/>
      <c r="I203" s="353"/>
      <c r="J203" s="353"/>
      <c r="K203" s="353"/>
      <c r="L203" s="353"/>
      <c r="M203" s="354"/>
      <c r="N203" s="354"/>
      <c r="O203" s="354"/>
    </row>
    <row r="204" spans="1:15" ht="11.25" customHeight="1">
      <c r="A204" s="354"/>
      <c r="B204" s="354"/>
      <c r="C204" s="354"/>
      <c r="D204" s="354"/>
      <c r="E204" s="353"/>
      <c r="F204" s="353"/>
      <c r="G204" s="353"/>
      <c r="H204" s="353"/>
      <c r="I204" s="353"/>
      <c r="J204" s="353"/>
      <c r="K204" s="353"/>
      <c r="L204" s="353"/>
      <c r="M204" s="354"/>
      <c r="N204" s="354"/>
      <c r="O204" s="354"/>
    </row>
    <row r="205" spans="1:15" ht="11.25" customHeight="1">
      <c r="A205" s="354"/>
      <c r="B205" s="354"/>
      <c r="C205" s="354"/>
      <c r="D205" s="354"/>
      <c r="E205" s="353"/>
      <c r="F205" s="353"/>
      <c r="G205" s="353"/>
      <c r="H205" s="353"/>
      <c r="I205" s="353"/>
      <c r="J205" s="353"/>
      <c r="K205" s="353"/>
      <c r="L205" s="353"/>
      <c r="M205" s="354"/>
      <c r="N205" s="354"/>
      <c r="O205" s="354"/>
    </row>
    <row r="206" spans="1:15" ht="11.25" customHeight="1">
      <c r="A206" s="354"/>
      <c r="B206" s="354"/>
      <c r="C206" s="354"/>
      <c r="D206" s="354"/>
      <c r="E206" s="353"/>
      <c r="F206" s="353"/>
      <c r="G206" s="353"/>
      <c r="H206" s="353"/>
      <c r="I206" s="353"/>
      <c r="J206" s="353"/>
      <c r="K206" s="353"/>
      <c r="L206" s="353"/>
      <c r="M206" s="354"/>
      <c r="N206" s="354"/>
      <c r="O206" s="354"/>
    </row>
    <row r="207" spans="1:15" ht="11.25" customHeight="1">
      <c r="A207" s="354"/>
      <c r="B207" s="354"/>
      <c r="C207" s="354"/>
      <c r="D207" s="354"/>
      <c r="E207" s="353"/>
      <c r="F207" s="353"/>
      <c r="G207" s="353"/>
      <c r="H207" s="353"/>
      <c r="I207" s="353"/>
      <c r="J207" s="353"/>
      <c r="K207" s="353"/>
      <c r="L207" s="353"/>
      <c r="M207" s="354"/>
      <c r="N207" s="354"/>
      <c r="O207" s="354"/>
    </row>
    <row r="208" spans="1:15" ht="11.25" customHeight="1">
      <c r="A208" s="354"/>
      <c r="B208" s="354"/>
      <c r="C208" s="354"/>
      <c r="D208" s="354"/>
      <c r="E208" s="353"/>
      <c r="F208" s="353"/>
      <c r="G208" s="353"/>
      <c r="H208" s="353"/>
      <c r="I208" s="353"/>
      <c r="J208" s="353"/>
      <c r="K208" s="353"/>
      <c r="L208" s="353"/>
      <c r="M208" s="354"/>
      <c r="N208" s="354"/>
      <c r="O208" s="354"/>
    </row>
    <row r="209" spans="1:15" ht="11.25" customHeight="1">
      <c r="A209" s="354"/>
      <c r="B209" s="354"/>
      <c r="C209" s="354"/>
      <c r="D209" s="354"/>
      <c r="E209" s="353"/>
      <c r="F209" s="353"/>
      <c r="G209" s="353"/>
      <c r="H209" s="353"/>
      <c r="I209" s="353"/>
      <c r="J209" s="353"/>
      <c r="K209" s="353"/>
      <c r="L209" s="353"/>
      <c r="M209" s="354"/>
      <c r="N209" s="354"/>
      <c r="O209" s="354"/>
    </row>
    <row r="210" spans="1:15" ht="11.25" customHeight="1">
      <c r="A210" s="354"/>
      <c r="B210" s="354"/>
      <c r="C210" s="354"/>
      <c r="D210" s="354"/>
      <c r="E210" s="353"/>
      <c r="F210" s="353"/>
      <c r="G210" s="353"/>
      <c r="H210" s="353"/>
      <c r="I210" s="353"/>
      <c r="J210" s="353"/>
      <c r="K210" s="353"/>
      <c r="L210" s="353"/>
      <c r="M210" s="354"/>
      <c r="N210" s="354"/>
      <c r="O210" s="354"/>
    </row>
    <row r="211" spans="1:15" ht="11.25" customHeight="1">
      <c r="A211" s="354"/>
      <c r="B211" s="354"/>
      <c r="C211" s="354"/>
      <c r="D211" s="354"/>
      <c r="E211" s="353"/>
      <c r="F211" s="353"/>
      <c r="G211" s="353"/>
      <c r="H211" s="353"/>
      <c r="I211" s="353"/>
      <c r="J211" s="353"/>
      <c r="K211" s="353"/>
      <c r="L211" s="353"/>
      <c r="M211" s="354"/>
      <c r="N211" s="354"/>
      <c r="O211" s="354"/>
    </row>
    <row r="212" spans="1:15" ht="11.25" customHeight="1">
      <c r="A212" s="354"/>
      <c r="B212" s="354"/>
      <c r="C212" s="354"/>
      <c r="D212" s="354"/>
      <c r="E212" s="353"/>
      <c r="F212" s="353"/>
      <c r="G212" s="353"/>
      <c r="H212" s="353"/>
      <c r="I212" s="353"/>
      <c r="J212" s="353"/>
      <c r="K212" s="353"/>
      <c r="L212" s="353"/>
      <c r="M212" s="354"/>
      <c r="N212" s="354"/>
      <c r="O212" s="354"/>
    </row>
    <row r="213" spans="1:15" ht="11.25" customHeight="1">
      <c r="A213" s="354"/>
      <c r="B213" s="354"/>
      <c r="C213" s="354"/>
      <c r="D213" s="354"/>
      <c r="E213" s="353"/>
      <c r="F213" s="353"/>
      <c r="G213" s="353"/>
      <c r="H213" s="353"/>
      <c r="I213" s="353"/>
      <c r="J213" s="353"/>
      <c r="K213" s="353"/>
      <c r="L213" s="353"/>
      <c r="M213" s="354"/>
      <c r="N213" s="354"/>
      <c r="O213" s="354"/>
    </row>
    <row r="214" spans="1:15" ht="11.25" customHeight="1">
      <c r="A214" s="354"/>
      <c r="B214" s="354"/>
      <c r="C214" s="354"/>
      <c r="D214" s="354"/>
      <c r="E214" s="353"/>
      <c r="F214" s="353"/>
      <c r="G214" s="353"/>
      <c r="H214" s="353"/>
      <c r="I214" s="353"/>
      <c r="J214" s="353"/>
      <c r="K214" s="353"/>
      <c r="L214" s="353"/>
      <c r="M214" s="354"/>
      <c r="N214" s="354"/>
      <c r="O214" s="354"/>
    </row>
    <row r="215" spans="1:15" ht="11.25" customHeight="1">
      <c r="A215" s="354"/>
      <c r="B215" s="354"/>
      <c r="C215" s="354"/>
      <c r="D215" s="354"/>
      <c r="E215" s="353"/>
      <c r="F215" s="353"/>
      <c r="G215" s="353"/>
      <c r="H215" s="353"/>
      <c r="I215" s="353"/>
      <c r="J215" s="353"/>
      <c r="K215" s="353"/>
      <c r="L215" s="353"/>
      <c r="M215" s="354"/>
      <c r="N215" s="354"/>
      <c r="O215" s="354"/>
    </row>
    <row r="216" spans="1:15" ht="11.25" customHeight="1">
      <c r="A216" s="354"/>
      <c r="B216" s="354"/>
      <c r="C216" s="354"/>
      <c r="D216" s="354"/>
      <c r="E216" s="353"/>
      <c r="F216" s="353"/>
      <c r="G216" s="353"/>
      <c r="H216" s="353"/>
      <c r="I216" s="353"/>
      <c r="J216" s="353"/>
      <c r="K216" s="353"/>
      <c r="L216" s="353"/>
      <c r="M216" s="354"/>
      <c r="N216" s="354"/>
      <c r="O216" s="354"/>
    </row>
    <row r="217" spans="1:15" ht="11.25" customHeight="1">
      <c r="A217" s="354"/>
      <c r="B217" s="354"/>
      <c r="C217" s="354"/>
      <c r="D217" s="354"/>
      <c r="E217" s="353"/>
      <c r="F217" s="353"/>
      <c r="G217" s="353"/>
      <c r="H217" s="353"/>
      <c r="I217" s="353"/>
      <c r="J217" s="353"/>
      <c r="K217" s="353"/>
      <c r="L217" s="353"/>
      <c r="M217" s="354"/>
      <c r="N217" s="354"/>
      <c r="O217" s="354"/>
    </row>
    <row r="218" spans="1:15" ht="11.25" customHeight="1">
      <c r="A218" s="354"/>
      <c r="B218" s="354"/>
      <c r="C218" s="354"/>
      <c r="D218" s="354"/>
      <c r="E218" s="353"/>
      <c r="F218" s="353"/>
      <c r="G218" s="353"/>
      <c r="H218" s="353"/>
      <c r="I218" s="353"/>
      <c r="J218" s="353"/>
      <c r="K218" s="353"/>
      <c r="L218" s="353"/>
      <c r="M218" s="354"/>
      <c r="N218" s="354"/>
      <c r="O218" s="354"/>
    </row>
    <row r="219" spans="1:15" ht="11.25" customHeight="1">
      <c r="A219" s="354"/>
      <c r="B219" s="354"/>
      <c r="C219" s="354"/>
      <c r="D219" s="354"/>
      <c r="E219" s="353"/>
      <c r="F219" s="353"/>
      <c r="G219" s="353"/>
      <c r="H219" s="353"/>
      <c r="I219" s="353"/>
      <c r="J219" s="353"/>
      <c r="K219" s="353"/>
      <c r="L219" s="353"/>
      <c r="M219" s="354"/>
      <c r="N219" s="354"/>
      <c r="O219" s="354"/>
    </row>
    <row r="220" spans="1:15" ht="11.25" customHeight="1">
      <c r="A220" s="354"/>
      <c r="B220" s="354"/>
      <c r="C220" s="354"/>
      <c r="D220" s="354"/>
      <c r="E220" s="353"/>
      <c r="F220" s="353"/>
      <c r="G220" s="353"/>
      <c r="H220" s="353"/>
      <c r="I220" s="353"/>
      <c r="J220" s="353"/>
      <c r="K220" s="353"/>
      <c r="L220" s="353"/>
      <c r="M220" s="354"/>
      <c r="N220" s="354"/>
      <c r="O220" s="354"/>
    </row>
    <row r="221" spans="1:15" ht="11.25" customHeight="1">
      <c r="A221" s="354"/>
      <c r="B221" s="354"/>
      <c r="C221" s="354"/>
      <c r="D221" s="354"/>
      <c r="E221" s="353"/>
      <c r="F221" s="353"/>
      <c r="G221" s="353"/>
      <c r="H221" s="353"/>
      <c r="I221" s="353"/>
      <c r="J221" s="353"/>
      <c r="K221" s="353"/>
      <c r="L221" s="353"/>
      <c r="M221" s="354"/>
      <c r="N221" s="354"/>
      <c r="O221" s="354"/>
    </row>
    <row r="222" spans="1:15" ht="11.25" customHeight="1">
      <c r="A222" s="354"/>
      <c r="B222" s="354"/>
      <c r="C222" s="354"/>
      <c r="D222" s="354"/>
      <c r="E222" s="353"/>
      <c r="F222" s="353"/>
      <c r="G222" s="353"/>
      <c r="H222" s="353"/>
      <c r="I222" s="353"/>
      <c r="J222" s="353"/>
      <c r="K222" s="353"/>
      <c r="L222" s="353"/>
      <c r="M222" s="354"/>
      <c r="N222" s="354"/>
      <c r="O222" s="354"/>
    </row>
    <row r="223" spans="1:15" ht="11.25" customHeight="1">
      <c r="A223" s="354"/>
      <c r="B223" s="354"/>
      <c r="C223" s="354"/>
      <c r="D223" s="354"/>
      <c r="E223" s="353"/>
      <c r="F223" s="353"/>
      <c r="G223" s="353"/>
      <c r="H223" s="353"/>
      <c r="I223" s="353"/>
      <c r="J223" s="353"/>
      <c r="K223" s="353"/>
      <c r="L223" s="353"/>
      <c r="M223" s="354"/>
      <c r="N223" s="354"/>
      <c r="O223" s="354"/>
    </row>
    <row r="224" spans="1:15" ht="11.25" customHeight="1">
      <c r="A224" s="354"/>
      <c r="B224" s="354"/>
      <c r="C224" s="354"/>
      <c r="D224" s="354"/>
      <c r="E224" s="353"/>
      <c r="F224" s="353"/>
      <c r="G224" s="353"/>
      <c r="H224" s="353"/>
      <c r="I224" s="353"/>
      <c r="J224" s="353"/>
      <c r="K224" s="353"/>
      <c r="L224" s="353"/>
      <c r="M224" s="354"/>
      <c r="N224" s="354"/>
      <c r="O224" s="354"/>
    </row>
    <row r="225" spans="1:15" ht="11.25" customHeight="1">
      <c r="A225" s="354"/>
      <c r="B225" s="354"/>
      <c r="C225" s="354"/>
      <c r="D225" s="354"/>
      <c r="E225" s="353"/>
      <c r="F225" s="353"/>
      <c r="G225" s="353"/>
      <c r="H225" s="353"/>
      <c r="I225" s="353"/>
      <c r="J225" s="353"/>
      <c r="K225" s="353"/>
      <c r="L225" s="353"/>
      <c r="M225" s="354"/>
      <c r="N225" s="354"/>
      <c r="O225" s="354"/>
    </row>
    <row r="226" spans="1:15" ht="11.25" customHeight="1">
      <c r="A226" s="354"/>
      <c r="B226" s="354"/>
      <c r="C226" s="354"/>
      <c r="D226" s="354"/>
      <c r="E226" s="353"/>
      <c r="F226" s="353"/>
      <c r="G226" s="353"/>
      <c r="H226" s="353"/>
      <c r="I226" s="353"/>
      <c r="J226" s="353"/>
      <c r="K226" s="353"/>
      <c r="L226" s="353"/>
      <c r="M226" s="354"/>
      <c r="N226" s="354"/>
      <c r="O226" s="354"/>
    </row>
    <row r="227" spans="1:15" ht="11.25" customHeight="1">
      <c r="A227" s="354"/>
      <c r="B227" s="354"/>
      <c r="C227" s="354"/>
      <c r="D227" s="354"/>
      <c r="E227" s="353"/>
      <c r="F227" s="353"/>
      <c r="G227" s="353"/>
      <c r="H227" s="353"/>
      <c r="I227" s="353"/>
      <c r="J227" s="353"/>
      <c r="K227" s="353"/>
      <c r="L227" s="353"/>
      <c r="M227" s="354"/>
      <c r="N227" s="354"/>
      <c r="O227" s="354"/>
    </row>
    <row r="228" spans="1:15" ht="11.25" customHeight="1">
      <c r="A228" s="354"/>
      <c r="B228" s="354"/>
      <c r="C228" s="354"/>
      <c r="D228" s="354"/>
      <c r="E228" s="353"/>
      <c r="F228" s="353"/>
      <c r="G228" s="353"/>
      <c r="H228" s="353"/>
      <c r="I228" s="353"/>
      <c r="J228" s="353"/>
      <c r="K228" s="353"/>
      <c r="L228" s="353"/>
      <c r="M228" s="354"/>
      <c r="N228" s="354"/>
      <c r="O228" s="354"/>
    </row>
    <row r="229" spans="1:15" ht="11.25" customHeight="1">
      <c r="A229" s="354"/>
      <c r="B229" s="354"/>
      <c r="C229" s="354"/>
      <c r="D229" s="354"/>
      <c r="E229" s="353"/>
      <c r="F229" s="353"/>
      <c r="G229" s="353"/>
      <c r="H229" s="353"/>
      <c r="I229" s="353"/>
      <c r="J229" s="353"/>
      <c r="K229" s="353"/>
      <c r="L229" s="353"/>
      <c r="M229" s="354"/>
      <c r="N229" s="354"/>
      <c r="O229" s="354"/>
    </row>
    <row r="230" spans="1:15" ht="11.25" customHeight="1">
      <c r="A230" s="354"/>
      <c r="B230" s="354"/>
      <c r="C230" s="354"/>
      <c r="D230" s="354"/>
      <c r="E230" s="353"/>
      <c r="F230" s="353"/>
      <c r="G230" s="353"/>
      <c r="H230" s="353"/>
      <c r="I230" s="353"/>
      <c r="J230" s="353"/>
      <c r="K230" s="353"/>
      <c r="L230" s="353"/>
      <c r="M230" s="354"/>
      <c r="N230" s="354"/>
      <c r="O230" s="354"/>
    </row>
    <row r="231" spans="1:15" ht="11.25" customHeight="1">
      <c r="A231" s="354"/>
      <c r="B231" s="354"/>
      <c r="C231" s="354"/>
      <c r="D231" s="354"/>
      <c r="E231" s="353"/>
      <c r="F231" s="353"/>
      <c r="G231" s="353"/>
      <c r="H231" s="353"/>
      <c r="I231" s="353"/>
      <c r="J231" s="353"/>
      <c r="K231" s="353"/>
      <c r="L231" s="353"/>
      <c r="M231" s="354"/>
      <c r="N231" s="354"/>
      <c r="O231" s="354"/>
    </row>
    <row r="232" spans="1:15" ht="11.25" customHeight="1">
      <c r="A232" s="354"/>
      <c r="B232" s="354"/>
      <c r="C232" s="354"/>
      <c r="D232" s="354"/>
      <c r="E232" s="353"/>
      <c r="F232" s="353"/>
      <c r="G232" s="353"/>
      <c r="H232" s="353"/>
      <c r="I232" s="353"/>
      <c r="J232" s="353"/>
      <c r="K232" s="353"/>
      <c r="L232" s="353"/>
      <c r="M232" s="354"/>
      <c r="N232" s="354"/>
      <c r="O232" s="354"/>
    </row>
    <row r="233" spans="1:15" ht="11.25" customHeight="1">
      <c r="A233" s="354"/>
      <c r="B233" s="354"/>
      <c r="C233" s="354"/>
      <c r="D233" s="354"/>
      <c r="E233" s="353"/>
      <c r="F233" s="353"/>
      <c r="G233" s="353"/>
      <c r="H233" s="353"/>
      <c r="I233" s="353"/>
      <c r="J233" s="353"/>
      <c r="K233" s="353"/>
      <c r="L233" s="353"/>
      <c r="M233" s="354"/>
      <c r="N233" s="354"/>
      <c r="O233" s="354"/>
    </row>
    <row r="234" spans="1:15" ht="11.25" customHeight="1">
      <c r="A234" s="354"/>
      <c r="B234" s="354"/>
      <c r="C234" s="354"/>
      <c r="D234" s="354"/>
      <c r="E234" s="353"/>
      <c r="F234" s="353"/>
      <c r="G234" s="353"/>
      <c r="H234" s="353"/>
      <c r="I234" s="353"/>
      <c r="J234" s="353"/>
      <c r="K234" s="353"/>
      <c r="L234" s="353"/>
      <c r="M234" s="354"/>
      <c r="N234" s="354"/>
      <c r="O234" s="354"/>
    </row>
    <row r="235" spans="1:15" ht="11.25" customHeight="1">
      <c r="A235" s="354"/>
      <c r="B235" s="354"/>
      <c r="C235" s="354"/>
      <c r="D235" s="354"/>
      <c r="E235" s="353"/>
      <c r="F235" s="353"/>
      <c r="G235" s="353"/>
      <c r="H235" s="353"/>
      <c r="I235" s="353"/>
      <c r="J235" s="353"/>
      <c r="K235" s="353"/>
      <c r="L235" s="353"/>
      <c r="M235" s="354"/>
      <c r="N235" s="354"/>
      <c r="O235" s="354"/>
    </row>
    <row r="236" spans="1:15" ht="11.25" customHeight="1">
      <c r="A236" s="354"/>
      <c r="B236" s="354"/>
      <c r="C236" s="354"/>
      <c r="D236" s="354"/>
      <c r="E236" s="353"/>
      <c r="F236" s="353"/>
      <c r="G236" s="353"/>
      <c r="H236" s="353"/>
      <c r="I236" s="353"/>
      <c r="J236" s="353"/>
      <c r="K236" s="353"/>
      <c r="L236" s="353"/>
      <c r="M236" s="354"/>
      <c r="N236" s="354"/>
      <c r="O236" s="354"/>
    </row>
    <row r="237" spans="1:15" ht="11.25" customHeight="1">
      <c r="A237" s="354"/>
      <c r="B237" s="354"/>
      <c r="C237" s="354"/>
      <c r="D237" s="354"/>
      <c r="E237" s="353"/>
      <c r="F237" s="353"/>
      <c r="G237" s="353"/>
      <c r="H237" s="353"/>
      <c r="I237" s="353"/>
      <c r="J237" s="353"/>
      <c r="K237" s="353"/>
      <c r="L237" s="353"/>
      <c r="M237" s="354"/>
      <c r="N237" s="354"/>
      <c r="O237" s="354"/>
    </row>
    <row r="238" spans="1:15" ht="11.25" customHeight="1">
      <c r="A238" s="354"/>
      <c r="B238" s="354"/>
      <c r="C238" s="354"/>
      <c r="D238" s="354"/>
      <c r="E238" s="353"/>
      <c r="F238" s="353"/>
      <c r="G238" s="353"/>
      <c r="H238" s="353"/>
      <c r="I238" s="353"/>
      <c r="J238" s="353"/>
      <c r="K238" s="353"/>
      <c r="L238" s="353"/>
      <c r="M238" s="354"/>
      <c r="N238" s="354"/>
      <c r="O238" s="354"/>
    </row>
    <row r="239" spans="1:15" ht="11.25" customHeight="1">
      <c r="A239" s="354"/>
      <c r="B239" s="354"/>
      <c r="C239" s="354"/>
      <c r="D239" s="354"/>
      <c r="E239" s="353"/>
      <c r="F239" s="353"/>
      <c r="G239" s="353"/>
      <c r="H239" s="353"/>
      <c r="I239" s="353"/>
      <c r="J239" s="353"/>
      <c r="K239" s="353"/>
      <c r="L239" s="353"/>
      <c r="M239" s="354"/>
      <c r="N239" s="354"/>
      <c r="O239" s="354"/>
    </row>
    <row r="240" spans="1:15" ht="11.25" customHeight="1">
      <c r="A240" s="354"/>
      <c r="B240" s="354"/>
      <c r="C240" s="354"/>
      <c r="D240" s="354"/>
      <c r="E240" s="353"/>
      <c r="F240" s="353"/>
      <c r="G240" s="353"/>
      <c r="H240" s="353"/>
      <c r="I240" s="353"/>
      <c r="J240" s="353"/>
      <c r="K240" s="353"/>
      <c r="L240" s="353"/>
      <c r="M240" s="354"/>
      <c r="N240" s="354"/>
      <c r="O240" s="354"/>
    </row>
    <row r="241" spans="1:15" ht="11.25" customHeight="1">
      <c r="A241" s="354"/>
      <c r="B241" s="354"/>
      <c r="C241" s="354"/>
      <c r="D241" s="354"/>
      <c r="E241" s="353"/>
      <c r="F241" s="353"/>
      <c r="G241" s="353"/>
      <c r="H241" s="353"/>
      <c r="I241" s="353"/>
      <c r="J241" s="353"/>
      <c r="K241" s="353"/>
      <c r="L241" s="353"/>
      <c r="M241" s="354"/>
      <c r="N241" s="354"/>
      <c r="O241" s="354"/>
    </row>
    <row r="242" spans="1:15" ht="11.25" customHeight="1">
      <c r="A242" s="354"/>
      <c r="B242" s="354"/>
      <c r="C242" s="354"/>
      <c r="D242" s="354"/>
      <c r="E242" s="353"/>
      <c r="F242" s="353"/>
      <c r="G242" s="353"/>
      <c r="H242" s="353"/>
      <c r="I242" s="353"/>
      <c r="J242" s="353"/>
      <c r="K242" s="353"/>
      <c r="L242" s="353"/>
      <c r="M242" s="354"/>
      <c r="N242" s="354"/>
      <c r="O242" s="354"/>
    </row>
    <row r="243" spans="1:15" ht="11.25" customHeight="1">
      <c r="A243" s="354"/>
      <c r="B243" s="354"/>
      <c r="C243" s="354"/>
      <c r="D243" s="354"/>
      <c r="E243" s="353"/>
      <c r="F243" s="353"/>
      <c r="G243" s="353"/>
      <c r="H243" s="353"/>
      <c r="I243" s="353"/>
      <c r="J243" s="353"/>
      <c r="K243" s="353"/>
      <c r="L243" s="353"/>
      <c r="M243" s="354"/>
      <c r="N243" s="354"/>
      <c r="O243" s="354"/>
    </row>
    <row r="244" spans="1:15" ht="11.25" customHeight="1">
      <c r="A244" s="354"/>
      <c r="B244" s="354"/>
      <c r="C244" s="354"/>
      <c r="D244" s="354"/>
      <c r="E244" s="353"/>
      <c r="F244" s="353"/>
      <c r="G244" s="353"/>
      <c r="H244" s="353"/>
      <c r="I244" s="353"/>
      <c r="J244" s="353"/>
      <c r="K244" s="353"/>
      <c r="L244" s="353"/>
      <c r="M244" s="354"/>
      <c r="N244" s="354"/>
      <c r="O244" s="354"/>
    </row>
    <row r="245" spans="1:15" ht="11.25" customHeight="1">
      <c r="A245" s="354"/>
      <c r="B245" s="354"/>
      <c r="C245" s="354"/>
      <c r="D245" s="354"/>
      <c r="E245" s="353"/>
      <c r="F245" s="353"/>
      <c r="G245" s="353"/>
      <c r="H245" s="353"/>
      <c r="I245" s="353"/>
      <c r="J245" s="353"/>
      <c r="K245" s="353"/>
      <c r="L245" s="353"/>
      <c r="M245" s="354"/>
      <c r="N245" s="354"/>
      <c r="O245" s="354"/>
    </row>
    <row r="246" spans="1:15" ht="11.25" customHeight="1">
      <c r="A246" s="354"/>
      <c r="B246" s="354"/>
      <c r="C246" s="354"/>
      <c r="D246" s="354"/>
      <c r="E246" s="353"/>
      <c r="F246" s="353"/>
      <c r="G246" s="353"/>
      <c r="H246" s="353"/>
      <c r="I246" s="353"/>
      <c r="J246" s="353"/>
      <c r="K246" s="353"/>
      <c r="L246" s="353"/>
      <c r="M246" s="354"/>
      <c r="N246" s="354"/>
      <c r="O246" s="354"/>
    </row>
    <row r="247" spans="1:15" ht="11.25" customHeight="1">
      <c r="A247" s="354"/>
      <c r="B247" s="354"/>
      <c r="C247" s="354"/>
      <c r="D247" s="354"/>
      <c r="E247" s="353"/>
      <c r="F247" s="353"/>
      <c r="G247" s="353"/>
      <c r="H247" s="353"/>
      <c r="I247" s="353"/>
      <c r="J247" s="353"/>
      <c r="K247" s="353"/>
      <c r="L247" s="353"/>
      <c r="M247" s="354"/>
      <c r="N247" s="354"/>
      <c r="O247" s="354"/>
    </row>
    <row r="248" spans="1:15" ht="11.25" customHeight="1">
      <c r="A248" s="354"/>
      <c r="B248" s="354"/>
      <c r="C248" s="354"/>
      <c r="D248" s="354"/>
      <c r="E248" s="353"/>
      <c r="F248" s="353"/>
      <c r="G248" s="353"/>
      <c r="H248" s="353"/>
      <c r="I248" s="353"/>
      <c r="J248" s="353"/>
      <c r="K248" s="353"/>
      <c r="L248" s="353"/>
      <c r="M248" s="354"/>
      <c r="N248" s="354"/>
      <c r="O248" s="354"/>
    </row>
    <row r="249" spans="1:15" ht="11.25" customHeight="1">
      <c r="A249" s="354"/>
      <c r="B249" s="354"/>
      <c r="C249" s="354"/>
      <c r="D249" s="354"/>
      <c r="E249" s="353"/>
      <c r="F249" s="353"/>
      <c r="G249" s="353"/>
      <c r="H249" s="353"/>
      <c r="I249" s="353"/>
      <c r="J249" s="353"/>
      <c r="K249" s="353"/>
      <c r="L249" s="353"/>
      <c r="M249" s="354"/>
      <c r="N249" s="354"/>
      <c r="O249" s="354"/>
    </row>
    <row r="250" spans="1:15" ht="11.25" customHeight="1">
      <c r="A250" s="354"/>
      <c r="B250" s="354"/>
      <c r="C250" s="354"/>
      <c r="D250" s="354"/>
      <c r="E250" s="353"/>
      <c r="F250" s="353"/>
      <c r="G250" s="353"/>
      <c r="H250" s="353"/>
      <c r="I250" s="353"/>
      <c r="J250" s="353"/>
      <c r="K250" s="353"/>
      <c r="L250" s="353"/>
      <c r="M250" s="354"/>
      <c r="N250" s="354"/>
      <c r="O250" s="354"/>
    </row>
    <row r="251" spans="1:15" ht="11.25" customHeight="1">
      <c r="A251" s="354"/>
      <c r="B251" s="354"/>
      <c r="C251" s="354"/>
      <c r="D251" s="354"/>
      <c r="E251" s="353"/>
      <c r="F251" s="353"/>
      <c r="G251" s="353"/>
      <c r="H251" s="353"/>
      <c r="I251" s="353"/>
      <c r="J251" s="353"/>
      <c r="K251" s="353"/>
      <c r="L251" s="353"/>
      <c r="M251" s="354"/>
      <c r="N251" s="354"/>
      <c r="O251" s="354"/>
    </row>
    <row r="252" spans="1:15" ht="11.25" customHeight="1">
      <c r="A252" s="354"/>
      <c r="B252" s="354"/>
      <c r="C252" s="354"/>
      <c r="D252" s="354"/>
      <c r="E252" s="353"/>
      <c r="F252" s="353"/>
      <c r="G252" s="353"/>
      <c r="H252" s="353"/>
      <c r="I252" s="353"/>
      <c r="J252" s="353"/>
      <c r="K252" s="353"/>
      <c r="L252" s="353"/>
      <c r="M252" s="354"/>
      <c r="N252" s="354"/>
      <c r="O252" s="354"/>
    </row>
    <row r="253" spans="1:15" ht="11.25" customHeight="1">
      <c r="A253" s="354"/>
      <c r="B253" s="354"/>
      <c r="C253" s="354"/>
      <c r="D253" s="354"/>
      <c r="E253" s="353"/>
      <c r="F253" s="353"/>
      <c r="G253" s="353"/>
      <c r="H253" s="353"/>
      <c r="I253" s="353"/>
      <c r="J253" s="353"/>
      <c r="K253" s="353"/>
      <c r="L253" s="353"/>
      <c r="M253" s="354"/>
      <c r="N253" s="354"/>
      <c r="O253" s="354"/>
    </row>
    <row r="254" spans="1:15" ht="11.25" customHeight="1">
      <c r="A254" s="354"/>
      <c r="B254" s="354"/>
      <c r="C254" s="354"/>
      <c r="D254" s="354"/>
      <c r="E254" s="353"/>
      <c r="F254" s="353"/>
      <c r="G254" s="353"/>
      <c r="H254" s="353"/>
      <c r="I254" s="353"/>
      <c r="J254" s="353"/>
      <c r="K254" s="353"/>
      <c r="L254" s="353"/>
      <c r="M254" s="354"/>
      <c r="N254" s="354"/>
      <c r="O254" s="354"/>
    </row>
    <row r="255" spans="1:15" ht="11.25" customHeight="1">
      <c r="A255" s="354"/>
      <c r="B255" s="354"/>
      <c r="C255" s="354"/>
      <c r="D255" s="354"/>
      <c r="E255" s="353"/>
      <c r="F255" s="353"/>
      <c r="G255" s="353"/>
      <c r="H255" s="353"/>
      <c r="I255" s="353"/>
      <c r="J255" s="353"/>
      <c r="K255" s="353"/>
      <c r="L255" s="353"/>
      <c r="M255" s="354"/>
      <c r="N255" s="354"/>
      <c r="O255" s="354"/>
    </row>
    <row r="256" spans="1:15" ht="11.25" customHeight="1">
      <c r="A256" s="354"/>
      <c r="B256" s="354"/>
      <c r="C256" s="354"/>
      <c r="D256" s="354"/>
      <c r="E256" s="353"/>
      <c r="F256" s="353"/>
      <c r="G256" s="353"/>
      <c r="H256" s="353"/>
      <c r="I256" s="353"/>
      <c r="J256" s="353"/>
      <c r="K256" s="353"/>
      <c r="L256" s="353"/>
      <c r="M256" s="354"/>
      <c r="N256" s="354"/>
      <c r="O256" s="354"/>
    </row>
    <row r="257" spans="1:15" ht="11.25" customHeight="1">
      <c r="A257" s="354"/>
      <c r="B257" s="354"/>
      <c r="C257" s="354"/>
      <c r="D257" s="354"/>
      <c r="E257" s="353"/>
      <c r="F257" s="353"/>
      <c r="G257" s="353"/>
      <c r="H257" s="353"/>
      <c r="I257" s="353"/>
      <c r="J257" s="353"/>
      <c r="K257" s="353"/>
      <c r="L257" s="353"/>
      <c r="M257" s="354"/>
      <c r="N257" s="354"/>
      <c r="O257" s="354"/>
    </row>
    <row r="258" spans="1:15" ht="11.25" customHeight="1">
      <c r="A258" s="354"/>
      <c r="B258" s="354"/>
      <c r="C258" s="354"/>
      <c r="D258" s="354"/>
      <c r="E258" s="353"/>
      <c r="F258" s="353"/>
      <c r="G258" s="353"/>
      <c r="H258" s="353"/>
      <c r="I258" s="353"/>
      <c r="J258" s="353"/>
      <c r="K258" s="353"/>
      <c r="L258" s="353"/>
      <c r="M258" s="354"/>
      <c r="N258" s="354"/>
      <c r="O258" s="354"/>
    </row>
    <row r="259" spans="1:15" ht="11.25" customHeight="1">
      <c r="A259" s="354"/>
      <c r="B259" s="354"/>
      <c r="C259" s="354"/>
      <c r="D259" s="354"/>
      <c r="E259" s="353"/>
      <c r="F259" s="353"/>
      <c r="G259" s="353"/>
      <c r="H259" s="353"/>
      <c r="I259" s="353"/>
      <c r="J259" s="353"/>
      <c r="K259" s="353"/>
      <c r="L259" s="353"/>
      <c r="M259" s="354"/>
      <c r="N259" s="354"/>
      <c r="O259" s="354"/>
    </row>
    <row r="260" spans="1:15" ht="11.25" customHeight="1">
      <c r="A260" s="354"/>
      <c r="B260" s="354"/>
      <c r="C260" s="354"/>
      <c r="D260" s="354"/>
      <c r="E260" s="353"/>
      <c r="F260" s="353"/>
      <c r="G260" s="353"/>
      <c r="H260" s="353"/>
      <c r="I260" s="353"/>
      <c r="J260" s="353"/>
      <c r="K260" s="353"/>
      <c r="L260" s="353"/>
      <c r="M260" s="354"/>
      <c r="N260" s="354"/>
      <c r="O260" s="354"/>
    </row>
    <row r="261" spans="1:15" ht="11.25" customHeight="1">
      <c r="A261" s="354"/>
      <c r="B261" s="354"/>
      <c r="C261" s="354"/>
      <c r="D261" s="354"/>
      <c r="E261" s="353"/>
      <c r="F261" s="353"/>
      <c r="G261" s="353"/>
      <c r="H261" s="353"/>
      <c r="I261" s="353"/>
      <c r="J261" s="353"/>
      <c r="K261" s="353"/>
      <c r="L261" s="353"/>
      <c r="M261" s="354"/>
      <c r="N261" s="354"/>
      <c r="O261" s="354"/>
    </row>
    <row r="262" spans="1:15" ht="11.25" customHeight="1">
      <c r="A262" s="354"/>
      <c r="B262" s="354"/>
      <c r="C262" s="354"/>
      <c r="D262" s="354"/>
      <c r="E262" s="353"/>
      <c r="F262" s="353"/>
      <c r="G262" s="353"/>
      <c r="H262" s="353"/>
      <c r="I262" s="353"/>
      <c r="J262" s="353"/>
      <c r="K262" s="353"/>
      <c r="L262" s="353"/>
      <c r="M262" s="354"/>
      <c r="N262" s="354"/>
      <c r="O262" s="354"/>
    </row>
    <row r="263" spans="1:15" ht="11.25" customHeight="1">
      <c r="A263" s="354"/>
      <c r="B263" s="354"/>
      <c r="C263" s="354"/>
      <c r="D263" s="354"/>
      <c r="E263" s="353"/>
      <c r="F263" s="353"/>
      <c r="G263" s="353"/>
      <c r="H263" s="353"/>
      <c r="I263" s="353"/>
      <c r="J263" s="353"/>
      <c r="K263" s="353"/>
      <c r="L263" s="353"/>
      <c r="M263" s="354"/>
      <c r="N263" s="354"/>
      <c r="O263" s="354"/>
    </row>
    <row r="264" spans="1:15" ht="11.25" customHeight="1">
      <c r="A264" s="354"/>
      <c r="B264" s="354"/>
      <c r="C264" s="354"/>
      <c r="D264" s="354"/>
      <c r="E264" s="353"/>
      <c r="F264" s="353"/>
      <c r="G264" s="353"/>
      <c r="H264" s="353"/>
      <c r="I264" s="353"/>
      <c r="J264" s="353"/>
      <c r="K264" s="353"/>
      <c r="L264" s="353"/>
      <c r="M264" s="354"/>
      <c r="N264" s="354"/>
      <c r="O264" s="354"/>
    </row>
    <row r="265" spans="1:15" ht="11.25" customHeight="1">
      <c r="A265" s="354"/>
      <c r="B265" s="354"/>
      <c r="C265" s="354"/>
      <c r="D265" s="354"/>
      <c r="E265" s="353"/>
      <c r="F265" s="353"/>
      <c r="G265" s="353"/>
      <c r="H265" s="353"/>
      <c r="I265" s="353"/>
      <c r="J265" s="353"/>
      <c r="K265" s="353"/>
      <c r="L265" s="353"/>
      <c r="M265" s="354"/>
      <c r="N265" s="354"/>
      <c r="O265" s="354"/>
    </row>
    <row r="266" spans="1:15" ht="11.25" customHeight="1">
      <c r="A266" s="354"/>
      <c r="B266" s="354"/>
      <c r="C266" s="354"/>
      <c r="D266" s="354"/>
      <c r="E266" s="353"/>
      <c r="F266" s="353"/>
      <c r="G266" s="353"/>
      <c r="H266" s="353"/>
      <c r="I266" s="353"/>
      <c r="J266" s="353"/>
      <c r="K266" s="353"/>
      <c r="L266" s="353"/>
      <c r="M266" s="354"/>
      <c r="N266" s="354"/>
      <c r="O266" s="354"/>
    </row>
    <row r="267" spans="1:15" ht="11.25" customHeight="1">
      <c r="A267" s="354"/>
      <c r="B267" s="354"/>
      <c r="C267" s="354"/>
      <c r="D267" s="354"/>
      <c r="E267" s="353"/>
      <c r="F267" s="353"/>
      <c r="G267" s="353"/>
      <c r="H267" s="353"/>
      <c r="I267" s="353"/>
      <c r="J267" s="353"/>
      <c r="K267" s="353"/>
      <c r="L267" s="353"/>
      <c r="M267" s="354"/>
      <c r="N267" s="354"/>
      <c r="O267" s="354"/>
    </row>
    <row r="268" spans="1:15" ht="11.25" customHeight="1">
      <c r="A268" s="354"/>
      <c r="B268" s="354"/>
      <c r="C268" s="354"/>
      <c r="D268" s="354"/>
      <c r="E268" s="353"/>
      <c r="F268" s="353"/>
      <c r="G268" s="353"/>
      <c r="H268" s="353"/>
      <c r="I268" s="353"/>
      <c r="J268" s="353"/>
      <c r="K268" s="353"/>
      <c r="L268" s="353"/>
      <c r="M268" s="354"/>
      <c r="N268" s="354"/>
      <c r="O268" s="354"/>
    </row>
    <row r="269" spans="1:15" ht="11.25" customHeight="1">
      <c r="A269" s="354"/>
      <c r="B269" s="354"/>
      <c r="C269" s="354"/>
      <c r="D269" s="354"/>
      <c r="E269" s="353"/>
      <c r="F269" s="353"/>
      <c r="G269" s="353"/>
      <c r="H269" s="353"/>
      <c r="I269" s="353"/>
      <c r="J269" s="353"/>
      <c r="K269" s="353"/>
      <c r="L269" s="353"/>
      <c r="M269" s="354"/>
      <c r="N269" s="354"/>
      <c r="O269" s="354"/>
    </row>
    <row r="270" spans="1:15" ht="11.25" customHeight="1">
      <c r="A270" s="354"/>
      <c r="B270" s="354"/>
      <c r="C270" s="354"/>
      <c r="D270" s="354"/>
      <c r="E270" s="353"/>
      <c r="F270" s="353"/>
      <c r="G270" s="353"/>
      <c r="H270" s="353"/>
      <c r="I270" s="353"/>
      <c r="J270" s="353"/>
      <c r="K270" s="353"/>
      <c r="L270" s="353"/>
      <c r="M270" s="354"/>
      <c r="N270" s="354"/>
      <c r="O270" s="354"/>
    </row>
    <row r="271" spans="1:15" ht="11.25" customHeight="1">
      <c r="A271" s="354"/>
      <c r="B271" s="354"/>
      <c r="C271" s="354"/>
      <c r="D271" s="354"/>
      <c r="E271" s="353"/>
      <c r="F271" s="353"/>
      <c r="G271" s="353"/>
      <c r="H271" s="353"/>
      <c r="I271" s="353"/>
      <c r="J271" s="353"/>
      <c r="K271" s="353"/>
      <c r="L271" s="353"/>
      <c r="M271" s="354"/>
      <c r="N271" s="354"/>
      <c r="O271" s="354"/>
    </row>
    <row r="272" spans="1:15" ht="11.25" customHeight="1">
      <c r="A272" s="354"/>
      <c r="B272" s="354"/>
      <c r="C272" s="354"/>
      <c r="D272" s="354"/>
      <c r="E272" s="353"/>
      <c r="F272" s="353"/>
      <c r="G272" s="353"/>
      <c r="H272" s="353"/>
      <c r="I272" s="353"/>
      <c r="J272" s="353"/>
      <c r="K272" s="353"/>
      <c r="L272" s="353"/>
      <c r="M272" s="354"/>
      <c r="N272" s="354"/>
      <c r="O272" s="354"/>
    </row>
    <row r="273" spans="1:15" ht="11.25" customHeight="1">
      <c r="A273" s="354"/>
      <c r="B273" s="354"/>
      <c r="C273" s="354"/>
      <c r="D273" s="354"/>
      <c r="E273" s="353"/>
      <c r="F273" s="353"/>
      <c r="G273" s="353"/>
      <c r="H273" s="353"/>
      <c r="I273" s="353"/>
      <c r="J273" s="353"/>
      <c r="K273" s="353"/>
      <c r="L273" s="353"/>
      <c r="M273" s="354"/>
      <c r="N273" s="354"/>
      <c r="O273" s="354"/>
    </row>
    <row r="274" spans="1:15" ht="11.25" customHeight="1">
      <c r="A274" s="354"/>
      <c r="B274" s="354"/>
      <c r="C274" s="354"/>
      <c r="D274" s="354"/>
      <c r="E274" s="353"/>
      <c r="F274" s="353"/>
      <c r="G274" s="353"/>
      <c r="H274" s="353"/>
      <c r="I274" s="353"/>
      <c r="J274" s="353"/>
      <c r="K274" s="353"/>
      <c r="L274" s="353"/>
      <c r="M274" s="354"/>
      <c r="N274" s="354"/>
      <c r="O274" s="354"/>
    </row>
    <row r="275" spans="1:15" ht="11.25" customHeight="1">
      <c r="A275" s="354"/>
      <c r="B275" s="354"/>
      <c r="C275" s="354"/>
      <c r="D275" s="354"/>
      <c r="E275" s="353"/>
      <c r="F275" s="353"/>
      <c r="G275" s="353"/>
      <c r="H275" s="353"/>
      <c r="I275" s="353"/>
      <c r="J275" s="353"/>
      <c r="K275" s="353"/>
      <c r="L275" s="353"/>
      <c r="M275" s="354"/>
      <c r="N275" s="354"/>
      <c r="O275" s="354"/>
    </row>
    <row r="276" spans="1:15" ht="11.25" customHeight="1">
      <c r="A276" s="354"/>
      <c r="B276" s="354"/>
      <c r="C276" s="354"/>
      <c r="D276" s="354"/>
      <c r="E276" s="353"/>
      <c r="F276" s="353"/>
      <c r="G276" s="353"/>
      <c r="H276" s="353"/>
      <c r="I276" s="353"/>
      <c r="J276" s="353"/>
      <c r="K276" s="353"/>
      <c r="L276" s="353"/>
      <c r="M276" s="354"/>
      <c r="N276" s="354"/>
      <c r="O276" s="354"/>
    </row>
    <row r="277" spans="1:15" ht="11.25" customHeight="1">
      <c r="A277" s="354"/>
      <c r="B277" s="354"/>
      <c r="C277" s="354"/>
      <c r="D277" s="354"/>
      <c r="E277" s="353"/>
      <c r="F277" s="353"/>
      <c r="G277" s="353"/>
      <c r="H277" s="353"/>
      <c r="I277" s="353"/>
      <c r="J277" s="353"/>
      <c r="K277" s="353"/>
      <c r="L277" s="353"/>
      <c r="M277" s="354"/>
      <c r="N277" s="354"/>
      <c r="O277" s="354"/>
    </row>
    <row r="278" spans="1:15" ht="11.25" customHeight="1">
      <c r="A278" s="354"/>
      <c r="B278" s="354"/>
      <c r="C278" s="354"/>
      <c r="D278" s="354"/>
      <c r="E278" s="353"/>
      <c r="F278" s="353"/>
      <c r="G278" s="353"/>
      <c r="H278" s="353"/>
      <c r="I278" s="353"/>
      <c r="J278" s="353"/>
      <c r="K278" s="353"/>
      <c r="L278" s="353"/>
      <c r="M278" s="354"/>
      <c r="N278" s="354"/>
      <c r="O278" s="354"/>
    </row>
    <row r="279" spans="1:15" ht="11.25" customHeight="1">
      <c r="A279" s="354"/>
      <c r="B279" s="354"/>
      <c r="C279" s="354"/>
      <c r="D279" s="354"/>
      <c r="E279" s="353"/>
      <c r="F279" s="353"/>
      <c r="G279" s="353"/>
      <c r="H279" s="353"/>
      <c r="I279" s="353"/>
      <c r="J279" s="353"/>
      <c r="K279" s="353"/>
      <c r="L279" s="353"/>
      <c r="M279" s="354"/>
      <c r="N279" s="354"/>
      <c r="O279" s="354"/>
    </row>
    <row r="280" spans="1:15" ht="11.25" customHeight="1">
      <c r="A280" s="354"/>
      <c r="B280" s="354"/>
      <c r="C280" s="354"/>
      <c r="D280" s="354"/>
      <c r="E280" s="353"/>
      <c r="F280" s="353"/>
      <c r="G280" s="353"/>
      <c r="H280" s="353"/>
      <c r="I280" s="353"/>
      <c r="J280" s="353"/>
      <c r="K280" s="353"/>
      <c r="L280" s="353"/>
      <c r="M280" s="354"/>
      <c r="N280" s="354"/>
      <c r="O280" s="354"/>
    </row>
    <row r="281" spans="1:15" ht="11.25" customHeight="1">
      <c r="A281" s="354"/>
      <c r="B281" s="354"/>
      <c r="C281" s="354"/>
      <c r="D281" s="354"/>
      <c r="E281" s="353"/>
      <c r="F281" s="353"/>
      <c r="G281" s="353"/>
      <c r="H281" s="353"/>
      <c r="I281" s="353"/>
      <c r="J281" s="353"/>
      <c r="K281" s="353"/>
      <c r="L281" s="353"/>
      <c r="M281" s="354"/>
      <c r="N281" s="354"/>
      <c r="O281" s="354"/>
    </row>
    <row r="282" spans="1:15" ht="11.25" customHeight="1">
      <c r="A282" s="354"/>
      <c r="B282" s="354"/>
      <c r="C282" s="354"/>
      <c r="D282" s="354"/>
      <c r="E282" s="353"/>
      <c r="F282" s="353"/>
      <c r="G282" s="353"/>
      <c r="H282" s="353"/>
      <c r="I282" s="353"/>
      <c r="J282" s="353"/>
      <c r="K282" s="353"/>
      <c r="L282" s="353"/>
      <c r="M282" s="354"/>
      <c r="N282" s="354"/>
      <c r="O282" s="354"/>
    </row>
    <row r="283" spans="1:15" ht="11.25" customHeight="1">
      <c r="A283" s="354"/>
      <c r="B283" s="354"/>
      <c r="C283" s="354"/>
      <c r="D283" s="354"/>
      <c r="E283" s="353"/>
      <c r="F283" s="353"/>
      <c r="G283" s="353"/>
      <c r="H283" s="353"/>
      <c r="I283" s="353"/>
      <c r="J283" s="353"/>
      <c r="K283" s="353"/>
      <c r="L283" s="353"/>
      <c r="M283" s="354"/>
      <c r="N283" s="354"/>
      <c r="O283" s="354"/>
    </row>
    <row r="284" spans="1:15" ht="11.25" customHeight="1">
      <c r="A284" s="354"/>
      <c r="B284" s="354"/>
      <c r="C284" s="354"/>
      <c r="D284" s="354"/>
      <c r="E284" s="353"/>
      <c r="F284" s="353"/>
      <c r="G284" s="353"/>
      <c r="H284" s="353"/>
      <c r="I284" s="353"/>
      <c r="J284" s="353"/>
      <c r="K284" s="353"/>
      <c r="L284" s="353"/>
      <c r="M284" s="354"/>
      <c r="N284" s="354"/>
      <c r="O284" s="354"/>
    </row>
    <row r="285" spans="1:15" ht="11.25" customHeight="1">
      <c r="A285" s="354"/>
      <c r="B285" s="354"/>
      <c r="C285" s="354"/>
      <c r="D285" s="354"/>
      <c r="E285" s="353"/>
      <c r="F285" s="353"/>
      <c r="G285" s="353"/>
      <c r="H285" s="353"/>
      <c r="I285" s="353"/>
      <c r="J285" s="353"/>
      <c r="K285" s="353"/>
      <c r="L285" s="353"/>
      <c r="M285" s="354"/>
      <c r="N285" s="354"/>
      <c r="O285" s="354"/>
    </row>
    <row r="286" spans="1:15" ht="11.25" customHeight="1">
      <c r="A286" s="354"/>
      <c r="B286" s="354"/>
      <c r="C286" s="354"/>
      <c r="D286" s="354"/>
      <c r="E286" s="353"/>
      <c r="F286" s="353"/>
      <c r="G286" s="353"/>
      <c r="H286" s="353"/>
      <c r="I286" s="353"/>
      <c r="J286" s="353"/>
      <c r="K286" s="353"/>
      <c r="L286" s="353"/>
      <c r="M286" s="354"/>
      <c r="N286" s="354"/>
      <c r="O286" s="354"/>
    </row>
    <row r="287" spans="1:15" ht="11.25" customHeight="1">
      <c r="A287" s="354"/>
      <c r="B287" s="354"/>
      <c r="C287" s="354"/>
      <c r="D287" s="354"/>
      <c r="E287" s="353"/>
      <c r="F287" s="353"/>
      <c r="G287" s="353"/>
      <c r="H287" s="353"/>
      <c r="I287" s="353"/>
      <c r="J287" s="353"/>
      <c r="K287" s="353"/>
      <c r="L287" s="353"/>
      <c r="M287" s="354"/>
      <c r="N287" s="354"/>
      <c r="O287" s="354"/>
    </row>
    <row r="288" spans="1:15" ht="11.25" customHeight="1">
      <c r="A288" s="354"/>
      <c r="B288" s="354"/>
      <c r="C288" s="354"/>
      <c r="D288" s="354"/>
      <c r="E288" s="353"/>
      <c r="F288" s="353"/>
      <c r="G288" s="353"/>
      <c r="H288" s="353"/>
      <c r="I288" s="353"/>
      <c r="J288" s="353"/>
      <c r="K288" s="353"/>
      <c r="L288" s="353"/>
      <c r="M288" s="354"/>
      <c r="N288" s="354"/>
      <c r="O288" s="354"/>
    </row>
    <row r="289" spans="1:15" ht="11.25" customHeight="1">
      <c r="A289" s="354"/>
      <c r="B289" s="354"/>
      <c r="C289" s="354"/>
      <c r="D289" s="354"/>
      <c r="E289" s="353"/>
      <c r="F289" s="353"/>
      <c r="G289" s="353"/>
      <c r="H289" s="353"/>
      <c r="I289" s="353"/>
      <c r="J289" s="353"/>
      <c r="K289" s="353"/>
      <c r="L289" s="353"/>
      <c r="M289" s="354"/>
      <c r="N289" s="354"/>
      <c r="O289" s="354"/>
    </row>
    <row r="290" spans="1:15" ht="11.25" customHeight="1">
      <c r="A290" s="354"/>
      <c r="B290" s="354"/>
      <c r="C290" s="354"/>
      <c r="D290" s="354"/>
      <c r="E290" s="353"/>
      <c r="F290" s="353"/>
      <c r="G290" s="353"/>
      <c r="H290" s="353"/>
      <c r="I290" s="353"/>
      <c r="J290" s="353"/>
      <c r="K290" s="353"/>
      <c r="L290" s="353"/>
      <c r="M290" s="354"/>
      <c r="N290" s="354"/>
      <c r="O290" s="354"/>
    </row>
    <row r="291" spans="1:15" ht="11.25" customHeight="1">
      <c r="A291" s="354"/>
      <c r="B291" s="354"/>
      <c r="C291" s="354"/>
      <c r="D291" s="354"/>
      <c r="E291" s="353"/>
      <c r="F291" s="353"/>
      <c r="G291" s="353"/>
      <c r="H291" s="353"/>
      <c r="I291" s="353"/>
      <c r="J291" s="353"/>
      <c r="K291" s="353"/>
      <c r="L291" s="353"/>
      <c r="M291" s="354"/>
      <c r="N291" s="354"/>
      <c r="O291" s="354"/>
    </row>
    <row r="292" spans="1:15" ht="11.25" customHeight="1">
      <c r="A292" s="354"/>
      <c r="B292" s="354"/>
      <c r="C292" s="354"/>
      <c r="D292" s="354"/>
      <c r="E292" s="353"/>
      <c r="F292" s="353"/>
      <c r="G292" s="353"/>
      <c r="H292" s="353"/>
      <c r="I292" s="353"/>
      <c r="J292" s="353"/>
      <c r="K292" s="353"/>
      <c r="L292" s="353"/>
      <c r="M292" s="354"/>
      <c r="N292" s="354"/>
      <c r="O292" s="354"/>
    </row>
    <row r="293" spans="1:15" ht="11.25" customHeight="1">
      <c r="A293" s="354"/>
      <c r="B293" s="354"/>
      <c r="C293" s="354"/>
      <c r="D293" s="354"/>
      <c r="E293" s="353"/>
      <c r="F293" s="353"/>
      <c r="G293" s="353"/>
      <c r="H293" s="353"/>
      <c r="I293" s="353"/>
      <c r="J293" s="353"/>
      <c r="K293" s="353"/>
      <c r="L293" s="353"/>
      <c r="M293" s="354"/>
      <c r="N293" s="354"/>
      <c r="O293" s="354"/>
    </row>
    <row r="294" spans="1:15" ht="11.25" customHeight="1">
      <c r="A294" s="354"/>
      <c r="B294" s="354"/>
      <c r="C294" s="354"/>
      <c r="D294" s="354"/>
      <c r="E294" s="353"/>
      <c r="F294" s="353"/>
      <c r="G294" s="353"/>
      <c r="H294" s="353"/>
      <c r="I294" s="353"/>
      <c r="J294" s="353"/>
      <c r="K294" s="353"/>
      <c r="L294" s="353"/>
      <c r="M294" s="354"/>
      <c r="N294" s="354"/>
      <c r="O294" s="354"/>
    </row>
    <row r="295" spans="1:15" ht="11.25" customHeight="1">
      <c r="A295" s="354"/>
      <c r="B295" s="354"/>
      <c r="C295" s="354"/>
      <c r="D295" s="354"/>
      <c r="E295" s="353"/>
      <c r="F295" s="353"/>
      <c r="G295" s="353"/>
      <c r="H295" s="353"/>
      <c r="I295" s="353"/>
      <c r="J295" s="353"/>
      <c r="K295" s="353"/>
      <c r="L295" s="353"/>
      <c r="M295" s="354"/>
      <c r="N295" s="354"/>
      <c r="O295" s="354"/>
    </row>
    <row r="296" spans="1:15" ht="11.25" customHeight="1">
      <c r="A296" s="354"/>
      <c r="B296" s="354"/>
      <c r="C296" s="354"/>
      <c r="D296" s="354"/>
      <c r="E296" s="353"/>
      <c r="F296" s="353"/>
      <c r="G296" s="353"/>
      <c r="H296" s="353"/>
      <c r="I296" s="353"/>
      <c r="J296" s="353"/>
      <c r="K296" s="353"/>
      <c r="L296" s="353"/>
      <c r="M296" s="354"/>
      <c r="N296" s="354"/>
      <c r="O296" s="354"/>
    </row>
    <row r="297" spans="1:15" ht="11.25" customHeight="1">
      <c r="A297" s="354"/>
      <c r="B297" s="354"/>
      <c r="C297" s="354"/>
      <c r="D297" s="354"/>
      <c r="E297" s="353"/>
      <c r="F297" s="353"/>
      <c r="G297" s="353"/>
      <c r="H297" s="353"/>
      <c r="I297" s="353"/>
      <c r="J297" s="353"/>
      <c r="K297" s="353"/>
      <c r="L297" s="353"/>
      <c r="M297" s="354"/>
      <c r="N297" s="354"/>
      <c r="O297" s="354"/>
    </row>
    <row r="298" spans="1:15" ht="11.25" customHeight="1">
      <c r="A298" s="354"/>
      <c r="B298" s="354"/>
      <c r="C298" s="354"/>
      <c r="D298" s="354"/>
      <c r="E298" s="353"/>
      <c r="F298" s="353"/>
      <c r="G298" s="353"/>
      <c r="H298" s="353"/>
      <c r="I298" s="353"/>
      <c r="J298" s="353"/>
      <c r="K298" s="353"/>
      <c r="L298" s="353"/>
      <c r="M298" s="354"/>
      <c r="N298" s="354"/>
      <c r="O298" s="354"/>
    </row>
    <row r="299" spans="1:15" ht="11.25" customHeight="1">
      <c r="A299" s="354"/>
      <c r="B299" s="354"/>
      <c r="C299" s="354"/>
      <c r="D299" s="354"/>
      <c r="E299" s="353"/>
      <c r="F299" s="353"/>
      <c r="G299" s="353"/>
      <c r="H299" s="353"/>
      <c r="I299" s="353"/>
      <c r="J299" s="353"/>
      <c r="K299" s="353"/>
      <c r="L299" s="353"/>
      <c r="M299" s="354"/>
      <c r="N299" s="354"/>
      <c r="O299" s="354"/>
    </row>
    <row r="300" spans="1:15" ht="11.25" customHeight="1">
      <c r="A300" s="354"/>
      <c r="B300" s="354"/>
      <c r="C300" s="354"/>
      <c r="D300" s="354"/>
      <c r="E300" s="353"/>
      <c r="F300" s="353"/>
      <c r="G300" s="353"/>
      <c r="H300" s="353"/>
      <c r="I300" s="353"/>
      <c r="J300" s="353"/>
      <c r="K300" s="353"/>
      <c r="L300" s="353"/>
      <c r="M300" s="354"/>
      <c r="N300" s="354"/>
      <c r="O300" s="354"/>
    </row>
    <row r="301" spans="1:15" ht="11.25" customHeight="1">
      <c r="A301" s="354"/>
      <c r="B301" s="354"/>
      <c r="C301" s="354"/>
      <c r="D301" s="354"/>
      <c r="E301" s="353"/>
      <c r="F301" s="353"/>
      <c r="G301" s="353"/>
      <c r="H301" s="353"/>
      <c r="I301" s="353"/>
      <c r="J301" s="353"/>
      <c r="K301" s="353"/>
      <c r="L301" s="353"/>
      <c r="M301" s="354"/>
      <c r="N301" s="354"/>
      <c r="O301" s="354"/>
    </row>
    <row r="302" spans="1:15" ht="11.25" customHeight="1">
      <c r="A302" s="354"/>
      <c r="B302" s="354"/>
      <c r="C302" s="354"/>
      <c r="D302" s="354"/>
      <c r="E302" s="353"/>
      <c r="F302" s="353"/>
      <c r="G302" s="353"/>
      <c r="H302" s="353"/>
      <c r="I302" s="353"/>
      <c r="J302" s="353"/>
      <c r="K302" s="353"/>
      <c r="L302" s="353"/>
      <c r="M302" s="354"/>
      <c r="N302" s="354"/>
      <c r="O302" s="354"/>
    </row>
    <row r="303" spans="1:15" ht="11.25" customHeight="1">
      <c r="A303" s="354"/>
      <c r="B303" s="354"/>
      <c r="C303" s="354"/>
      <c r="D303" s="354"/>
      <c r="E303" s="353"/>
      <c r="F303" s="353"/>
      <c r="G303" s="353"/>
      <c r="H303" s="353"/>
      <c r="I303" s="353"/>
      <c r="J303" s="353"/>
      <c r="K303" s="353"/>
      <c r="L303" s="353"/>
      <c r="M303" s="354"/>
      <c r="N303" s="354"/>
      <c r="O303" s="354"/>
    </row>
    <row r="304" spans="1:15" ht="11.25" customHeight="1">
      <c r="A304" s="354"/>
      <c r="B304" s="354"/>
      <c r="C304" s="354"/>
      <c r="D304" s="354"/>
      <c r="E304" s="353"/>
      <c r="F304" s="353"/>
      <c r="G304" s="353"/>
      <c r="H304" s="353"/>
      <c r="I304" s="353"/>
      <c r="J304" s="353"/>
      <c r="K304" s="353"/>
      <c r="L304" s="353"/>
      <c r="M304" s="354"/>
      <c r="N304" s="354"/>
      <c r="O304" s="354"/>
    </row>
    <row r="305" spans="1:15" ht="11.25" customHeight="1">
      <c r="A305" s="354"/>
      <c r="B305" s="354"/>
      <c r="C305" s="354"/>
      <c r="D305" s="354"/>
      <c r="E305" s="353"/>
      <c r="F305" s="353"/>
      <c r="G305" s="353"/>
      <c r="H305" s="353"/>
      <c r="I305" s="353"/>
      <c r="J305" s="353"/>
      <c r="K305" s="353"/>
      <c r="L305" s="353"/>
      <c r="M305" s="354"/>
      <c r="N305" s="354"/>
      <c r="O305" s="354"/>
    </row>
    <row r="306" spans="1:15" ht="11.25" customHeight="1">
      <c r="A306" s="354"/>
      <c r="B306" s="354"/>
      <c r="C306" s="354"/>
      <c r="D306" s="354"/>
      <c r="E306" s="353"/>
      <c r="F306" s="353"/>
      <c r="G306" s="353"/>
      <c r="H306" s="353"/>
      <c r="I306" s="353"/>
      <c r="J306" s="353"/>
      <c r="K306" s="353"/>
      <c r="L306" s="353"/>
      <c r="M306" s="354"/>
      <c r="N306" s="354"/>
      <c r="O306" s="354"/>
    </row>
    <row r="307" spans="1:15" ht="11.25" customHeight="1">
      <c r="A307" s="354"/>
      <c r="B307" s="354"/>
      <c r="C307" s="354"/>
      <c r="D307" s="354"/>
      <c r="E307" s="353"/>
      <c r="F307" s="353"/>
      <c r="G307" s="353"/>
      <c r="H307" s="353"/>
      <c r="I307" s="353"/>
      <c r="J307" s="353"/>
      <c r="K307" s="353"/>
      <c r="L307" s="353"/>
      <c r="M307" s="354"/>
      <c r="N307" s="354"/>
      <c r="O307" s="354"/>
    </row>
    <row r="308" spans="1:15" ht="11.25" customHeight="1">
      <c r="A308" s="354"/>
      <c r="B308" s="354"/>
      <c r="C308" s="354"/>
      <c r="D308" s="354"/>
      <c r="E308" s="353"/>
      <c r="F308" s="353"/>
      <c r="G308" s="353"/>
      <c r="H308" s="353"/>
      <c r="I308" s="353"/>
      <c r="J308" s="353"/>
      <c r="K308" s="353"/>
      <c r="L308" s="353"/>
      <c r="M308" s="354"/>
      <c r="N308" s="354"/>
      <c r="O308" s="354"/>
    </row>
    <row r="309" spans="1:15" ht="11.25" customHeight="1">
      <c r="A309" s="354"/>
      <c r="B309" s="354"/>
      <c r="C309" s="354"/>
      <c r="D309" s="354"/>
      <c r="E309" s="353"/>
      <c r="F309" s="353"/>
      <c r="G309" s="353"/>
      <c r="H309" s="353"/>
      <c r="I309" s="353"/>
      <c r="J309" s="353"/>
      <c r="K309" s="353"/>
      <c r="L309" s="353"/>
      <c r="M309" s="354"/>
      <c r="N309" s="354"/>
      <c r="O309" s="354"/>
    </row>
    <row r="310" spans="1:15" ht="11.25" customHeight="1">
      <c r="A310" s="354"/>
      <c r="B310" s="354"/>
      <c r="C310" s="354"/>
      <c r="D310" s="354"/>
      <c r="E310" s="353"/>
      <c r="F310" s="353"/>
      <c r="G310" s="353"/>
      <c r="H310" s="353"/>
      <c r="I310" s="353"/>
      <c r="J310" s="353"/>
      <c r="K310" s="353"/>
      <c r="L310" s="353"/>
      <c r="M310" s="354"/>
      <c r="N310" s="354"/>
      <c r="O310" s="354"/>
    </row>
    <row r="311" spans="1:15" ht="11.25" customHeight="1">
      <c r="A311" s="354"/>
      <c r="B311" s="354"/>
      <c r="C311" s="354"/>
      <c r="D311" s="354"/>
      <c r="E311" s="353"/>
      <c r="F311" s="353"/>
      <c r="G311" s="353"/>
      <c r="H311" s="353"/>
      <c r="I311" s="353"/>
      <c r="J311" s="353"/>
      <c r="K311" s="353"/>
      <c r="L311" s="353"/>
      <c r="M311" s="354"/>
      <c r="N311" s="354"/>
      <c r="O311" s="354"/>
    </row>
    <row r="312" spans="1:15" ht="11.25" customHeight="1">
      <c r="A312" s="354"/>
      <c r="B312" s="354"/>
      <c r="C312" s="354"/>
      <c r="D312" s="354"/>
      <c r="E312" s="353"/>
      <c r="F312" s="353"/>
      <c r="G312" s="353"/>
      <c r="H312" s="353"/>
      <c r="I312" s="353"/>
      <c r="J312" s="353"/>
      <c r="K312" s="353"/>
      <c r="L312" s="353"/>
      <c r="M312" s="354"/>
      <c r="N312" s="354"/>
      <c r="O312" s="354"/>
    </row>
    <row r="313" spans="1:15" ht="11.25" customHeight="1">
      <c r="A313" s="354"/>
      <c r="B313" s="354"/>
      <c r="C313" s="354"/>
      <c r="D313" s="354"/>
      <c r="E313" s="353"/>
      <c r="F313" s="353"/>
      <c r="G313" s="353"/>
      <c r="H313" s="353"/>
      <c r="I313" s="353"/>
      <c r="J313" s="353"/>
      <c r="K313" s="353"/>
      <c r="L313" s="353"/>
      <c r="M313" s="354"/>
      <c r="N313" s="354"/>
      <c r="O313" s="354"/>
    </row>
    <row r="314" spans="1:15" ht="11.25" customHeight="1">
      <c r="A314" s="354"/>
      <c r="B314" s="354"/>
      <c r="C314" s="354"/>
      <c r="D314" s="354"/>
      <c r="E314" s="353"/>
      <c r="F314" s="353"/>
      <c r="G314" s="353"/>
      <c r="H314" s="353"/>
      <c r="I314" s="353"/>
      <c r="J314" s="353"/>
      <c r="K314" s="353"/>
      <c r="L314" s="353"/>
      <c r="M314" s="354"/>
      <c r="N314" s="354"/>
      <c r="O314" s="354"/>
    </row>
    <row r="315" spans="1:15" ht="11.25" customHeight="1">
      <c r="A315" s="354"/>
      <c r="B315" s="354"/>
      <c r="C315" s="354"/>
      <c r="D315" s="354"/>
      <c r="E315" s="353"/>
      <c r="F315" s="353"/>
      <c r="G315" s="353"/>
      <c r="H315" s="353"/>
      <c r="I315" s="353"/>
      <c r="J315" s="353"/>
      <c r="K315" s="353"/>
      <c r="L315" s="353"/>
      <c r="M315" s="354"/>
      <c r="N315" s="354"/>
      <c r="O315" s="354"/>
    </row>
    <row r="316" spans="1:15" ht="11.25" customHeight="1">
      <c r="A316" s="354"/>
      <c r="B316" s="354"/>
      <c r="C316" s="354"/>
      <c r="D316" s="354"/>
      <c r="E316" s="353"/>
      <c r="F316" s="353"/>
      <c r="G316" s="353"/>
      <c r="H316" s="353"/>
      <c r="I316" s="353"/>
      <c r="J316" s="353"/>
      <c r="K316" s="353"/>
      <c r="L316" s="353"/>
      <c r="M316" s="354"/>
      <c r="N316" s="354"/>
      <c r="O316" s="354"/>
    </row>
    <row r="317" spans="1:15" ht="11.25" customHeight="1">
      <c r="A317" s="354"/>
      <c r="B317" s="354"/>
      <c r="C317" s="354"/>
      <c r="D317" s="354"/>
      <c r="E317" s="353"/>
      <c r="F317" s="353"/>
      <c r="G317" s="353"/>
      <c r="H317" s="353"/>
      <c r="I317" s="353"/>
      <c r="J317" s="353"/>
      <c r="K317" s="353"/>
      <c r="L317" s="353"/>
      <c r="M317" s="354"/>
      <c r="N317" s="354"/>
      <c r="O317" s="354"/>
    </row>
    <row r="318" spans="1:15" ht="11.25" customHeight="1">
      <c r="A318" s="354"/>
      <c r="B318" s="354"/>
      <c r="C318" s="354"/>
      <c r="D318" s="354"/>
      <c r="E318" s="353"/>
      <c r="F318" s="353"/>
      <c r="G318" s="353"/>
      <c r="H318" s="353"/>
      <c r="I318" s="353"/>
      <c r="J318" s="353"/>
      <c r="K318" s="353"/>
      <c r="L318" s="353"/>
      <c r="M318" s="354"/>
      <c r="N318" s="354"/>
      <c r="O318" s="354"/>
    </row>
    <row r="319" spans="1:15" ht="11.25" customHeight="1">
      <c r="A319" s="354"/>
      <c r="B319" s="354"/>
      <c r="C319" s="354"/>
      <c r="D319" s="354"/>
      <c r="E319" s="353"/>
      <c r="F319" s="353"/>
      <c r="G319" s="353"/>
      <c r="H319" s="353"/>
      <c r="I319" s="353"/>
      <c r="J319" s="353"/>
      <c r="K319" s="353"/>
      <c r="L319" s="353"/>
      <c r="M319" s="354"/>
      <c r="N319" s="354"/>
      <c r="O319" s="354"/>
    </row>
    <row r="320" spans="1:15" ht="11.25" customHeight="1">
      <c r="A320" s="354"/>
      <c r="B320" s="354"/>
      <c r="C320" s="354"/>
      <c r="D320" s="354"/>
      <c r="E320" s="353"/>
      <c r="F320" s="353"/>
      <c r="G320" s="353"/>
      <c r="H320" s="353"/>
      <c r="I320" s="353"/>
      <c r="J320" s="353"/>
      <c r="K320" s="353"/>
      <c r="L320" s="353"/>
      <c r="M320" s="354"/>
      <c r="N320" s="354"/>
      <c r="O320" s="354"/>
    </row>
    <row r="321" spans="1:15" ht="11.25" customHeight="1">
      <c r="A321" s="354"/>
      <c r="B321" s="354"/>
      <c r="C321" s="354"/>
      <c r="D321" s="354"/>
      <c r="E321" s="353"/>
      <c r="F321" s="353"/>
      <c r="G321" s="353"/>
      <c r="H321" s="353"/>
      <c r="I321" s="353"/>
      <c r="J321" s="353"/>
      <c r="K321" s="353"/>
      <c r="L321" s="353"/>
      <c r="M321" s="354"/>
      <c r="N321" s="354"/>
      <c r="O321" s="354"/>
    </row>
    <row r="322" spans="1:15" ht="11.25" customHeight="1">
      <c r="A322" s="354"/>
      <c r="B322" s="354"/>
      <c r="C322" s="354"/>
      <c r="D322" s="354"/>
      <c r="E322" s="353"/>
      <c r="F322" s="353"/>
      <c r="G322" s="353"/>
      <c r="H322" s="353"/>
      <c r="I322" s="353"/>
      <c r="J322" s="353"/>
      <c r="K322" s="353"/>
      <c r="L322" s="353"/>
      <c r="M322" s="354"/>
      <c r="N322" s="354"/>
      <c r="O322" s="354"/>
    </row>
    <row r="323" spans="1:15" ht="11.25" customHeight="1">
      <c r="A323" s="354"/>
      <c r="B323" s="354"/>
      <c r="C323" s="354"/>
      <c r="D323" s="354"/>
      <c r="E323" s="353"/>
      <c r="F323" s="353"/>
      <c r="G323" s="353"/>
      <c r="H323" s="353"/>
      <c r="I323" s="353"/>
      <c r="J323" s="353"/>
      <c r="K323" s="353"/>
      <c r="L323" s="353"/>
      <c r="M323" s="354"/>
      <c r="N323" s="354"/>
      <c r="O323" s="354"/>
    </row>
    <row r="324" spans="1:15" ht="11.25" customHeight="1">
      <c r="A324" s="354"/>
      <c r="B324" s="354"/>
      <c r="C324" s="354"/>
      <c r="D324" s="354"/>
      <c r="E324" s="353"/>
      <c r="F324" s="353"/>
      <c r="G324" s="353"/>
      <c r="H324" s="353"/>
      <c r="I324" s="353"/>
      <c r="J324" s="353"/>
      <c r="K324" s="353"/>
      <c r="L324" s="353"/>
      <c r="M324" s="354"/>
      <c r="N324" s="354"/>
      <c r="O324" s="354"/>
    </row>
    <row r="325" spans="1:15" ht="11.25" customHeight="1">
      <c r="A325" s="354"/>
      <c r="B325" s="354"/>
      <c r="C325" s="354"/>
      <c r="D325" s="354"/>
      <c r="E325" s="353"/>
      <c r="F325" s="353"/>
      <c r="G325" s="353"/>
      <c r="H325" s="353"/>
      <c r="I325" s="353"/>
      <c r="J325" s="353"/>
      <c r="K325" s="353"/>
      <c r="L325" s="353"/>
      <c r="M325" s="354"/>
      <c r="N325" s="354"/>
      <c r="O325" s="354"/>
    </row>
    <row r="326" spans="1:15" ht="11.25" customHeight="1">
      <c r="A326" s="354"/>
      <c r="B326" s="354"/>
      <c r="C326" s="354"/>
      <c r="D326" s="354"/>
      <c r="E326" s="353"/>
      <c r="F326" s="353"/>
      <c r="G326" s="353"/>
      <c r="H326" s="353"/>
      <c r="I326" s="353"/>
      <c r="J326" s="353"/>
      <c r="K326" s="353"/>
      <c r="L326" s="353"/>
      <c r="M326" s="354"/>
      <c r="N326" s="354"/>
      <c r="O326" s="354"/>
    </row>
    <row r="327" spans="1:15" ht="11.25" customHeight="1">
      <c r="A327" s="354"/>
      <c r="B327" s="354"/>
      <c r="C327" s="354"/>
      <c r="D327" s="354"/>
      <c r="E327" s="353"/>
      <c r="F327" s="353"/>
      <c r="G327" s="353"/>
      <c r="H327" s="353"/>
      <c r="I327" s="353"/>
      <c r="J327" s="353"/>
      <c r="K327" s="353"/>
      <c r="L327" s="353"/>
      <c r="M327" s="354"/>
      <c r="N327" s="354"/>
      <c r="O327" s="354"/>
    </row>
    <row r="328" spans="1:15" ht="11.25" customHeight="1">
      <c r="A328" s="354"/>
      <c r="B328" s="354"/>
      <c r="C328" s="354"/>
      <c r="D328" s="354"/>
      <c r="E328" s="353"/>
      <c r="F328" s="353"/>
      <c r="G328" s="353"/>
      <c r="H328" s="353"/>
      <c r="I328" s="353"/>
      <c r="J328" s="353"/>
      <c r="K328" s="353"/>
      <c r="L328" s="353"/>
      <c r="M328" s="354"/>
      <c r="N328" s="354"/>
      <c r="O328" s="354"/>
    </row>
    <row r="329" spans="1:15" ht="11.25" customHeight="1">
      <c r="A329" s="354"/>
      <c r="B329" s="354"/>
      <c r="C329" s="354"/>
      <c r="D329" s="354"/>
      <c r="E329" s="353"/>
      <c r="F329" s="353"/>
      <c r="G329" s="353"/>
      <c r="H329" s="353"/>
      <c r="I329" s="353"/>
      <c r="J329" s="353"/>
      <c r="K329" s="353"/>
      <c r="L329" s="353"/>
      <c r="M329" s="354"/>
      <c r="N329" s="354"/>
      <c r="O329" s="354"/>
    </row>
    <row r="330" spans="1:15" ht="11.25" customHeight="1">
      <c r="A330" s="354"/>
      <c r="B330" s="354"/>
      <c r="C330" s="354"/>
      <c r="D330" s="354"/>
      <c r="E330" s="353"/>
      <c r="F330" s="353"/>
      <c r="G330" s="353"/>
      <c r="H330" s="353"/>
      <c r="I330" s="353"/>
      <c r="J330" s="353"/>
      <c r="K330" s="353"/>
      <c r="L330" s="353"/>
      <c r="M330" s="354"/>
      <c r="N330" s="354"/>
      <c r="O330" s="354"/>
    </row>
    <row r="331" spans="1:15" ht="11.25" customHeight="1">
      <c r="A331" s="354"/>
      <c r="B331" s="354"/>
      <c r="C331" s="354"/>
      <c r="D331" s="354"/>
      <c r="E331" s="353"/>
      <c r="F331" s="353"/>
      <c r="G331" s="353"/>
      <c r="H331" s="353"/>
      <c r="I331" s="353"/>
      <c r="J331" s="353"/>
      <c r="K331" s="353"/>
      <c r="L331" s="353"/>
      <c r="M331" s="354"/>
      <c r="N331" s="354"/>
      <c r="O331" s="354"/>
    </row>
    <row r="332" spans="1:15" ht="11.25" customHeight="1">
      <c r="A332" s="354"/>
      <c r="B332" s="354"/>
      <c r="C332" s="354"/>
      <c r="D332" s="354"/>
      <c r="E332" s="353"/>
      <c r="F332" s="353"/>
      <c r="G332" s="353"/>
      <c r="H332" s="353"/>
      <c r="I332" s="353"/>
      <c r="J332" s="353"/>
      <c r="K332" s="353"/>
      <c r="L332" s="353"/>
      <c r="M332" s="354"/>
      <c r="N332" s="354"/>
      <c r="O332" s="354"/>
    </row>
    <row r="333" spans="1:15" ht="11.25" customHeight="1">
      <c r="A333" s="354"/>
      <c r="B333" s="354"/>
      <c r="C333" s="354"/>
      <c r="D333" s="354"/>
      <c r="E333" s="353"/>
      <c r="F333" s="353"/>
      <c r="G333" s="353"/>
      <c r="H333" s="353"/>
      <c r="I333" s="353"/>
      <c r="J333" s="353"/>
      <c r="K333" s="353"/>
      <c r="L333" s="353"/>
      <c r="M333" s="354"/>
      <c r="N333" s="354"/>
      <c r="O333" s="354"/>
    </row>
    <row r="334" spans="1:15" ht="11.25" customHeight="1">
      <c r="A334" s="354"/>
      <c r="B334" s="354"/>
      <c r="C334" s="354"/>
      <c r="D334" s="354"/>
      <c r="E334" s="353"/>
      <c r="F334" s="353"/>
      <c r="G334" s="353"/>
      <c r="H334" s="353"/>
      <c r="I334" s="353"/>
      <c r="J334" s="353"/>
      <c r="K334" s="353"/>
      <c r="L334" s="353"/>
      <c r="M334" s="354"/>
      <c r="N334" s="354"/>
      <c r="O334" s="354"/>
    </row>
    <row r="335" spans="1:15" ht="11.25" customHeight="1">
      <c r="A335" s="354"/>
      <c r="B335" s="354"/>
      <c r="C335" s="354"/>
      <c r="D335" s="354"/>
      <c r="E335" s="353"/>
      <c r="F335" s="353"/>
      <c r="G335" s="353"/>
      <c r="H335" s="353"/>
      <c r="I335" s="353"/>
      <c r="J335" s="353"/>
      <c r="K335" s="353"/>
      <c r="L335" s="353"/>
      <c r="M335" s="354"/>
      <c r="N335" s="354"/>
      <c r="O335" s="354"/>
    </row>
    <row r="336" spans="1:15" ht="11.25" customHeight="1">
      <c r="A336" s="354"/>
      <c r="B336" s="354"/>
      <c r="C336" s="354"/>
      <c r="D336" s="354"/>
      <c r="E336" s="353"/>
      <c r="F336" s="353"/>
      <c r="G336" s="353"/>
      <c r="H336" s="353"/>
      <c r="I336" s="353"/>
      <c r="J336" s="353"/>
      <c r="K336" s="353"/>
      <c r="L336" s="353"/>
      <c r="M336" s="354"/>
      <c r="N336" s="354"/>
      <c r="O336" s="354"/>
    </row>
    <row r="337" spans="1:15" ht="11.25" customHeight="1">
      <c r="A337" s="354"/>
      <c r="B337" s="354"/>
      <c r="C337" s="354"/>
      <c r="D337" s="354"/>
      <c r="E337" s="353"/>
      <c r="F337" s="353"/>
      <c r="G337" s="353"/>
      <c r="H337" s="353"/>
      <c r="I337" s="353"/>
      <c r="J337" s="353"/>
      <c r="K337" s="353"/>
      <c r="L337" s="353"/>
      <c r="M337" s="354"/>
      <c r="N337" s="354"/>
      <c r="O337" s="354"/>
    </row>
    <row r="338" spans="1:15" ht="11.25" customHeight="1">
      <c r="A338" s="354"/>
      <c r="B338" s="354"/>
      <c r="C338" s="354"/>
      <c r="D338" s="354"/>
      <c r="E338" s="353"/>
      <c r="F338" s="353"/>
      <c r="G338" s="353"/>
      <c r="H338" s="353"/>
      <c r="I338" s="353"/>
      <c r="J338" s="353"/>
      <c r="K338" s="353"/>
      <c r="L338" s="353"/>
      <c r="M338" s="354"/>
      <c r="N338" s="354"/>
      <c r="O338" s="354"/>
    </row>
    <row r="339" spans="1:15" ht="11.25" customHeight="1">
      <c r="A339" s="354"/>
      <c r="B339" s="354"/>
      <c r="C339" s="354"/>
      <c r="D339" s="354"/>
      <c r="E339" s="353"/>
      <c r="F339" s="353"/>
      <c r="G339" s="353"/>
      <c r="H339" s="353"/>
      <c r="I339" s="353"/>
      <c r="J339" s="353"/>
      <c r="K339" s="353"/>
      <c r="L339" s="353"/>
      <c r="M339" s="354"/>
      <c r="N339" s="354"/>
      <c r="O339" s="354"/>
    </row>
    <row r="340" spans="1:15" ht="11.25" customHeight="1">
      <c r="A340" s="354"/>
      <c r="B340" s="354"/>
      <c r="C340" s="354"/>
      <c r="D340" s="354"/>
      <c r="E340" s="353"/>
      <c r="F340" s="353"/>
      <c r="G340" s="353"/>
      <c r="H340" s="353"/>
      <c r="I340" s="353"/>
      <c r="J340" s="353"/>
      <c r="K340" s="353"/>
      <c r="L340" s="353"/>
      <c r="M340" s="354"/>
      <c r="N340" s="354"/>
      <c r="O340" s="354"/>
    </row>
    <row r="341" spans="1:15" ht="11.25" customHeight="1">
      <c r="A341" s="354"/>
      <c r="B341" s="354"/>
      <c r="C341" s="354"/>
      <c r="D341" s="354"/>
      <c r="E341" s="353"/>
      <c r="F341" s="353"/>
      <c r="G341" s="353"/>
      <c r="H341" s="353"/>
      <c r="I341" s="353"/>
      <c r="J341" s="353"/>
      <c r="K341" s="353"/>
      <c r="L341" s="353"/>
      <c r="M341" s="354"/>
      <c r="N341" s="354"/>
      <c r="O341" s="354"/>
    </row>
    <row r="342" spans="1:15" ht="11.25" customHeight="1">
      <c r="A342" s="354"/>
      <c r="B342" s="354"/>
      <c r="C342" s="354"/>
      <c r="D342" s="354"/>
      <c r="E342" s="353"/>
      <c r="F342" s="353"/>
      <c r="G342" s="353"/>
      <c r="H342" s="353"/>
      <c r="I342" s="353"/>
      <c r="J342" s="353"/>
      <c r="K342" s="353"/>
      <c r="L342" s="353"/>
      <c r="M342" s="354"/>
      <c r="N342" s="354"/>
      <c r="O342" s="354"/>
    </row>
    <row r="343" spans="1:15" ht="11.25" customHeight="1">
      <c r="A343" s="354"/>
      <c r="B343" s="354"/>
      <c r="C343" s="354"/>
      <c r="D343" s="354"/>
      <c r="E343" s="353"/>
      <c r="F343" s="353"/>
      <c r="G343" s="353"/>
      <c r="H343" s="353"/>
      <c r="I343" s="353"/>
      <c r="J343" s="353"/>
      <c r="K343" s="353"/>
      <c r="L343" s="353"/>
      <c r="M343" s="354"/>
      <c r="N343" s="354"/>
      <c r="O343" s="354"/>
    </row>
    <row r="344" spans="1:15" ht="11.25" customHeight="1">
      <c r="A344" s="354"/>
      <c r="B344" s="354"/>
      <c r="C344" s="354"/>
      <c r="D344" s="354"/>
      <c r="E344" s="353"/>
      <c r="F344" s="353"/>
      <c r="G344" s="353"/>
      <c r="H344" s="353"/>
      <c r="I344" s="353"/>
      <c r="J344" s="353"/>
      <c r="K344" s="353"/>
      <c r="L344" s="353"/>
      <c r="M344" s="354"/>
      <c r="N344" s="354"/>
      <c r="O344" s="354"/>
    </row>
    <row r="345" spans="1:15" ht="11.25" customHeight="1">
      <c r="A345" s="354"/>
      <c r="B345" s="354"/>
      <c r="C345" s="354"/>
      <c r="D345" s="354"/>
      <c r="E345" s="353"/>
      <c r="F345" s="353"/>
      <c r="G345" s="353"/>
      <c r="H345" s="353"/>
      <c r="I345" s="353"/>
      <c r="J345" s="353"/>
      <c r="K345" s="353"/>
      <c r="L345" s="353"/>
      <c r="M345" s="354"/>
      <c r="N345" s="354"/>
      <c r="O345" s="354"/>
    </row>
    <row r="346" spans="1:15" ht="11.25" customHeight="1">
      <c r="A346" s="354"/>
      <c r="B346" s="354"/>
      <c r="C346" s="354"/>
      <c r="D346" s="354"/>
      <c r="E346" s="353"/>
      <c r="F346" s="353"/>
      <c r="G346" s="353"/>
      <c r="H346" s="353"/>
      <c r="I346" s="353"/>
      <c r="J346" s="353"/>
      <c r="K346" s="353"/>
      <c r="L346" s="353"/>
      <c r="M346" s="354"/>
      <c r="N346" s="354"/>
      <c r="O346" s="354"/>
    </row>
    <row r="347" spans="1:15" ht="11.25" customHeight="1">
      <c r="A347" s="354"/>
      <c r="B347" s="354"/>
      <c r="C347" s="354"/>
      <c r="D347" s="354"/>
      <c r="E347" s="353"/>
      <c r="F347" s="353"/>
      <c r="G347" s="353"/>
      <c r="H347" s="353"/>
      <c r="I347" s="353"/>
      <c r="J347" s="353"/>
      <c r="K347" s="353"/>
      <c r="L347" s="353"/>
      <c r="M347" s="354"/>
      <c r="N347" s="354"/>
      <c r="O347" s="354"/>
    </row>
    <row r="348" spans="1:15" ht="11.25" customHeight="1">
      <c r="A348" s="354"/>
      <c r="B348" s="354"/>
      <c r="C348" s="354"/>
      <c r="D348" s="354"/>
      <c r="E348" s="353"/>
      <c r="F348" s="353"/>
      <c r="G348" s="353"/>
      <c r="H348" s="353"/>
      <c r="I348" s="353"/>
      <c r="J348" s="353"/>
      <c r="K348" s="353"/>
      <c r="L348" s="353"/>
      <c r="M348" s="354"/>
      <c r="N348" s="354"/>
      <c r="O348" s="354"/>
    </row>
    <row r="349" spans="1:15" ht="11.25" customHeight="1">
      <c r="A349" s="354"/>
      <c r="B349" s="354"/>
      <c r="C349" s="354"/>
      <c r="D349" s="354"/>
      <c r="E349" s="353"/>
      <c r="F349" s="353"/>
      <c r="G349" s="353"/>
      <c r="H349" s="353"/>
      <c r="I349" s="353"/>
      <c r="J349" s="353"/>
      <c r="K349" s="353"/>
      <c r="L349" s="353"/>
      <c r="M349" s="354"/>
      <c r="N349" s="354"/>
      <c r="O349" s="354"/>
    </row>
    <row r="350" spans="1:15" ht="11.25" customHeight="1">
      <c r="A350" s="354"/>
      <c r="B350" s="354"/>
      <c r="C350" s="354"/>
      <c r="D350" s="354"/>
      <c r="E350" s="353"/>
      <c r="F350" s="353"/>
      <c r="G350" s="353"/>
      <c r="H350" s="353"/>
      <c r="I350" s="353"/>
      <c r="J350" s="353"/>
      <c r="K350" s="353"/>
      <c r="L350" s="353"/>
      <c r="M350" s="354"/>
      <c r="N350" s="354"/>
      <c r="O350" s="354"/>
    </row>
    <row r="351" spans="1:15" ht="11.25" customHeight="1">
      <c r="A351" s="354"/>
      <c r="B351" s="354"/>
      <c r="C351" s="354"/>
      <c r="D351" s="354"/>
      <c r="E351" s="353"/>
      <c r="F351" s="353"/>
      <c r="G351" s="353"/>
      <c r="H351" s="353"/>
      <c r="I351" s="353"/>
      <c r="J351" s="353"/>
      <c r="K351" s="353"/>
      <c r="L351" s="353"/>
      <c r="M351" s="354"/>
      <c r="N351" s="354"/>
      <c r="O351" s="354"/>
    </row>
    <row r="352" spans="1:15" ht="11.25" customHeight="1">
      <c r="A352" s="354"/>
      <c r="B352" s="354"/>
      <c r="C352" s="354"/>
      <c r="D352" s="354"/>
      <c r="E352" s="353"/>
      <c r="F352" s="353"/>
      <c r="G352" s="353"/>
      <c r="H352" s="353"/>
      <c r="I352" s="353"/>
      <c r="J352" s="353"/>
      <c r="K352" s="353"/>
      <c r="L352" s="353"/>
      <c r="M352" s="354"/>
      <c r="N352" s="354"/>
      <c r="O352" s="354"/>
    </row>
    <row r="353" spans="1:15" ht="11.25" customHeight="1">
      <c r="A353" s="354"/>
      <c r="B353" s="354"/>
      <c r="C353" s="354"/>
      <c r="D353" s="354"/>
      <c r="E353" s="353"/>
      <c r="F353" s="353"/>
      <c r="G353" s="353"/>
      <c r="H353" s="353"/>
      <c r="I353" s="353"/>
      <c r="J353" s="353"/>
      <c r="K353" s="353"/>
      <c r="L353" s="353"/>
      <c r="M353" s="354"/>
      <c r="N353" s="354"/>
      <c r="O353" s="354"/>
    </row>
    <row r="354" spans="1:15" ht="11.25" customHeight="1">
      <c r="A354" s="354"/>
      <c r="B354" s="354"/>
      <c r="C354" s="354"/>
      <c r="D354" s="354"/>
      <c r="E354" s="353"/>
      <c r="F354" s="353"/>
      <c r="G354" s="353"/>
      <c r="H354" s="353"/>
      <c r="I354" s="353"/>
      <c r="J354" s="353"/>
      <c r="K354" s="353"/>
      <c r="L354" s="353"/>
      <c r="M354" s="354"/>
      <c r="N354" s="354"/>
      <c r="O354" s="354"/>
    </row>
    <row r="355" spans="1:15" ht="11.25" customHeight="1">
      <c r="A355" s="354"/>
      <c r="B355" s="354"/>
      <c r="C355" s="354"/>
      <c r="D355" s="354"/>
      <c r="E355" s="353"/>
      <c r="F355" s="353"/>
      <c r="G355" s="353"/>
      <c r="H355" s="353"/>
      <c r="I355" s="353"/>
      <c r="J355" s="353"/>
      <c r="K355" s="353"/>
      <c r="L355" s="353"/>
      <c r="M355" s="354"/>
      <c r="N355" s="354"/>
      <c r="O355" s="354"/>
    </row>
    <row r="356" spans="1:15" ht="11.25" customHeight="1">
      <c r="A356" s="354"/>
      <c r="B356" s="354"/>
      <c r="C356" s="354"/>
      <c r="D356" s="354"/>
      <c r="E356" s="353"/>
      <c r="F356" s="353"/>
      <c r="G356" s="353"/>
      <c r="H356" s="353"/>
      <c r="I356" s="353"/>
      <c r="J356" s="353"/>
      <c r="K356" s="353"/>
      <c r="L356" s="353"/>
      <c r="M356" s="354"/>
      <c r="N356" s="354"/>
      <c r="O356" s="354"/>
    </row>
    <row r="357" spans="1:15" ht="11.25" customHeight="1">
      <c r="A357" s="354"/>
      <c r="B357" s="354"/>
      <c r="C357" s="354"/>
      <c r="D357" s="354"/>
      <c r="E357" s="353"/>
      <c r="F357" s="353"/>
      <c r="G357" s="353"/>
      <c r="H357" s="353"/>
      <c r="I357" s="353"/>
      <c r="J357" s="353"/>
      <c r="K357" s="353"/>
      <c r="L357" s="353"/>
      <c r="M357" s="354"/>
      <c r="N357" s="354"/>
      <c r="O357" s="354"/>
    </row>
    <row r="358" spans="1:15" ht="11.25" customHeight="1">
      <c r="A358" s="354"/>
      <c r="B358" s="354"/>
      <c r="C358" s="354"/>
      <c r="D358" s="354"/>
      <c r="E358" s="353"/>
      <c r="F358" s="353"/>
      <c r="G358" s="353"/>
      <c r="H358" s="353"/>
      <c r="I358" s="353"/>
      <c r="J358" s="353"/>
      <c r="K358" s="353"/>
      <c r="L358" s="353"/>
      <c r="M358" s="354"/>
      <c r="N358" s="354"/>
      <c r="O358" s="354"/>
    </row>
    <row r="359" spans="1:15" ht="11.25" customHeight="1">
      <c r="A359" s="354"/>
      <c r="B359" s="354"/>
      <c r="C359" s="354"/>
      <c r="D359" s="354"/>
      <c r="E359" s="353"/>
      <c r="F359" s="353"/>
      <c r="G359" s="353"/>
      <c r="H359" s="353"/>
      <c r="I359" s="353"/>
      <c r="J359" s="353"/>
      <c r="K359" s="353"/>
      <c r="L359" s="353"/>
      <c r="M359" s="354"/>
      <c r="N359" s="354"/>
      <c r="O359" s="354"/>
    </row>
    <row r="360" spans="1:15" ht="11.25" customHeight="1">
      <c r="A360" s="354"/>
      <c r="B360" s="354"/>
      <c r="C360" s="354"/>
      <c r="D360" s="354"/>
      <c r="E360" s="353"/>
      <c r="F360" s="353"/>
      <c r="G360" s="353"/>
      <c r="H360" s="353"/>
      <c r="I360" s="353"/>
      <c r="J360" s="353"/>
      <c r="K360" s="353"/>
      <c r="L360" s="353"/>
      <c r="M360" s="354"/>
      <c r="N360" s="354"/>
      <c r="O360" s="354"/>
    </row>
    <row r="361" spans="1:15" ht="11.25" customHeight="1">
      <c r="A361" s="354"/>
      <c r="B361" s="354"/>
      <c r="C361" s="354"/>
      <c r="D361" s="354"/>
      <c r="E361" s="353"/>
      <c r="F361" s="353"/>
      <c r="G361" s="353"/>
      <c r="H361" s="353"/>
      <c r="I361" s="353"/>
      <c r="J361" s="353"/>
      <c r="K361" s="353"/>
      <c r="L361" s="353"/>
      <c r="M361" s="354"/>
      <c r="N361" s="354"/>
      <c r="O361" s="354"/>
    </row>
    <row r="362" spans="1:15" ht="11.25" customHeight="1">
      <c r="A362" s="354"/>
      <c r="B362" s="354"/>
      <c r="C362" s="354"/>
      <c r="D362" s="354"/>
      <c r="E362" s="353"/>
      <c r="F362" s="353"/>
      <c r="G362" s="353"/>
      <c r="H362" s="353"/>
      <c r="I362" s="353"/>
      <c r="J362" s="353"/>
      <c r="K362" s="353"/>
      <c r="L362" s="353"/>
      <c r="M362" s="354"/>
      <c r="N362" s="354"/>
      <c r="O362" s="354"/>
    </row>
    <row r="363" spans="1:15" ht="11.25" customHeight="1">
      <c r="A363" s="354"/>
      <c r="B363" s="354"/>
      <c r="C363" s="354"/>
      <c r="D363" s="354"/>
      <c r="E363" s="353"/>
      <c r="F363" s="353"/>
      <c r="G363" s="353"/>
      <c r="H363" s="353"/>
      <c r="I363" s="353"/>
      <c r="J363" s="353"/>
      <c r="K363" s="353"/>
      <c r="L363" s="353"/>
      <c r="M363" s="354"/>
      <c r="N363" s="354"/>
      <c r="O363" s="354"/>
    </row>
    <row r="364" spans="1:15" ht="11.25" customHeight="1">
      <c r="A364" s="354"/>
      <c r="B364" s="354"/>
      <c r="C364" s="354"/>
      <c r="D364" s="354"/>
      <c r="E364" s="353"/>
      <c r="F364" s="353"/>
      <c r="G364" s="353"/>
      <c r="H364" s="353"/>
      <c r="I364" s="353"/>
      <c r="J364" s="353"/>
      <c r="K364" s="353"/>
      <c r="L364" s="353"/>
      <c r="M364" s="354"/>
      <c r="N364" s="354"/>
      <c r="O364" s="354"/>
    </row>
    <row r="365" spans="1:15" ht="11.25" customHeight="1">
      <c r="A365" s="354"/>
      <c r="B365" s="354"/>
      <c r="C365" s="354"/>
      <c r="D365" s="354"/>
      <c r="E365" s="353"/>
      <c r="F365" s="353"/>
      <c r="G365" s="353"/>
      <c r="H365" s="353"/>
      <c r="I365" s="353"/>
      <c r="J365" s="353"/>
      <c r="K365" s="353"/>
      <c r="L365" s="353"/>
      <c r="M365" s="354"/>
      <c r="N365" s="354"/>
      <c r="O365" s="354"/>
    </row>
    <row r="366" spans="1:15" ht="11.25" customHeight="1">
      <c r="A366" s="354"/>
      <c r="B366" s="354"/>
      <c r="C366" s="354"/>
      <c r="D366" s="354"/>
      <c r="E366" s="353"/>
      <c r="F366" s="353"/>
      <c r="G366" s="353"/>
      <c r="H366" s="353"/>
      <c r="I366" s="353"/>
      <c r="J366" s="353"/>
      <c r="K366" s="353"/>
      <c r="L366" s="353"/>
      <c r="M366" s="354"/>
      <c r="N366" s="354"/>
      <c r="O366" s="354"/>
    </row>
    <row r="367" spans="1:15" ht="11.25" customHeight="1">
      <c r="A367" s="354"/>
      <c r="B367" s="354"/>
      <c r="C367" s="354"/>
      <c r="D367" s="354"/>
      <c r="E367" s="353"/>
      <c r="F367" s="353"/>
      <c r="G367" s="353"/>
      <c r="H367" s="353"/>
      <c r="I367" s="353"/>
      <c r="J367" s="353"/>
      <c r="K367" s="353"/>
      <c r="L367" s="353"/>
      <c r="M367" s="354"/>
      <c r="N367" s="354"/>
      <c r="O367" s="354"/>
    </row>
    <row r="368" spans="1:15" ht="11.25" customHeight="1">
      <c r="A368" s="354"/>
      <c r="B368" s="354"/>
      <c r="C368" s="354"/>
      <c r="D368" s="354"/>
      <c r="E368" s="353"/>
      <c r="F368" s="353"/>
      <c r="G368" s="353"/>
      <c r="H368" s="353"/>
      <c r="I368" s="353"/>
      <c r="J368" s="353"/>
      <c r="K368" s="353"/>
      <c r="L368" s="353"/>
      <c r="M368" s="354"/>
      <c r="N368" s="354"/>
      <c r="O368" s="354"/>
    </row>
    <row r="369" spans="1:15" ht="11.25" customHeight="1">
      <c r="A369" s="354"/>
      <c r="B369" s="354"/>
      <c r="C369" s="354"/>
      <c r="D369" s="354"/>
      <c r="E369" s="353"/>
      <c r="F369" s="353"/>
      <c r="G369" s="353"/>
      <c r="H369" s="353"/>
      <c r="I369" s="353"/>
      <c r="J369" s="353"/>
      <c r="K369" s="353"/>
      <c r="L369" s="353"/>
      <c r="M369" s="354"/>
      <c r="N369" s="354"/>
      <c r="O369" s="354"/>
    </row>
    <row r="370" spans="1:15" ht="11.25" customHeight="1">
      <c r="A370" s="354"/>
      <c r="B370" s="354"/>
      <c r="C370" s="354"/>
      <c r="D370" s="354"/>
      <c r="E370" s="353"/>
      <c r="F370" s="353"/>
      <c r="G370" s="353"/>
      <c r="H370" s="353"/>
      <c r="I370" s="353"/>
      <c r="J370" s="353"/>
      <c r="K370" s="353"/>
      <c r="L370" s="353"/>
      <c r="M370" s="354"/>
      <c r="N370" s="354"/>
      <c r="O370" s="354"/>
    </row>
    <row r="371" spans="1:15" ht="11.25" customHeight="1">
      <c r="A371" s="354"/>
      <c r="B371" s="354"/>
      <c r="C371" s="354"/>
      <c r="D371" s="354"/>
      <c r="E371" s="353"/>
      <c r="F371" s="353"/>
      <c r="G371" s="353"/>
      <c r="H371" s="353"/>
      <c r="I371" s="353"/>
      <c r="J371" s="353"/>
      <c r="K371" s="353"/>
      <c r="L371" s="353"/>
      <c r="M371" s="354"/>
      <c r="N371" s="354"/>
      <c r="O371" s="354"/>
    </row>
    <row r="372" spans="1:15" ht="11.25" customHeight="1">
      <c r="A372" s="354"/>
      <c r="B372" s="354"/>
      <c r="C372" s="354"/>
      <c r="D372" s="354"/>
      <c r="E372" s="353"/>
      <c r="F372" s="353"/>
      <c r="G372" s="353"/>
      <c r="H372" s="353"/>
      <c r="I372" s="353"/>
      <c r="J372" s="353"/>
      <c r="K372" s="353"/>
      <c r="L372" s="353"/>
      <c r="M372" s="354"/>
      <c r="N372" s="354"/>
      <c r="O372" s="354"/>
    </row>
    <row r="373" spans="1:15" ht="11.25" customHeight="1">
      <c r="A373" s="354"/>
      <c r="B373" s="354"/>
      <c r="C373" s="354"/>
      <c r="D373" s="354"/>
      <c r="E373" s="353"/>
      <c r="F373" s="353"/>
      <c r="G373" s="353"/>
      <c r="H373" s="353"/>
      <c r="I373" s="353"/>
      <c r="J373" s="353"/>
      <c r="K373" s="353"/>
      <c r="L373" s="353"/>
      <c r="M373" s="354"/>
      <c r="N373" s="354"/>
      <c r="O373" s="354"/>
    </row>
    <row r="374" spans="1:15" ht="11.25" customHeight="1">
      <c r="A374" s="354"/>
      <c r="B374" s="354"/>
      <c r="C374" s="354"/>
      <c r="D374" s="354"/>
      <c r="E374" s="353"/>
      <c r="F374" s="353"/>
      <c r="G374" s="353"/>
      <c r="H374" s="353"/>
      <c r="I374" s="353"/>
      <c r="J374" s="353"/>
      <c r="K374" s="353"/>
      <c r="L374" s="353"/>
      <c r="M374" s="354"/>
      <c r="N374" s="354"/>
      <c r="O374" s="354"/>
    </row>
    <row r="375" spans="1:15" ht="11.25" customHeight="1">
      <c r="A375" s="354"/>
      <c r="B375" s="354"/>
      <c r="C375" s="354"/>
      <c r="D375" s="354"/>
      <c r="E375" s="353"/>
      <c r="F375" s="353"/>
      <c r="G375" s="353"/>
      <c r="H375" s="353"/>
      <c r="I375" s="353"/>
      <c r="J375" s="353"/>
      <c r="K375" s="353"/>
      <c r="L375" s="353"/>
      <c r="M375" s="354"/>
      <c r="N375" s="354"/>
      <c r="O375" s="354"/>
    </row>
    <row r="376" spans="1:15" ht="11.25" customHeight="1">
      <c r="A376" s="354"/>
      <c r="B376" s="354"/>
      <c r="C376" s="354"/>
      <c r="D376" s="354"/>
      <c r="E376" s="353"/>
      <c r="F376" s="353"/>
      <c r="G376" s="353"/>
      <c r="H376" s="353"/>
      <c r="I376" s="353"/>
      <c r="J376" s="353"/>
      <c r="K376" s="353"/>
      <c r="L376" s="353"/>
      <c r="M376" s="354"/>
      <c r="N376" s="354"/>
      <c r="O376" s="354"/>
    </row>
    <row r="377" spans="1:15" ht="11.25" customHeight="1">
      <c r="A377" s="354"/>
      <c r="B377" s="354"/>
      <c r="C377" s="354"/>
      <c r="D377" s="354"/>
      <c r="E377" s="353"/>
      <c r="F377" s="353"/>
      <c r="G377" s="353"/>
      <c r="H377" s="353"/>
      <c r="I377" s="353"/>
      <c r="J377" s="353"/>
      <c r="K377" s="353"/>
      <c r="L377" s="353"/>
      <c r="M377" s="354"/>
      <c r="N377" s="354"/>
      <c r="O377" s="354"/>
    </row>
    <row r="378" spans="1:15" ht="11.25" customHeight="1">
      <c r="A378" s="354"/>
      <c r="B378" s="354"/>
      <c r="C378" s="354"/>
      <c r="D378" s="354"/>
      <c r="E378" s="353"/>
      <c r="F378" s="353"/>
      <c r="G378" s="353"/>
      <c r="H378" s="353"/>
      <c r="I378" s="353"/>
      <c r="J378" s="353"/>
      <c r="K378" s="353"/>
      <c r="L378" s="353"/>
      <c r="M378" s="354"/>
      <c r="N378" s="354"/>
      <c r="O378" s="354"/>
    </row>
    <row r="379" spans="1:15" ht="11.25" customHeight="1">
      <c r="A379" s="354"/>
      <c r="B379" s="354"/>
      <c r="C379" s="354"/>
      <c r="D379" s="354"/>
      <c r="E379" s="353"/>
      <c r="F379" s="353"/>
      <c r="G379" s="353"/>
      <c r="H379" s="353"/>
      <c r="I379" s="353"/>
      <c r="J379" s="353"/>
      <c r="K379" s="353"/>
      <c r="L379" s="353"/>
      <c r="M379" s="354"/>
      <c r="N379" s="354"/>
      <c r="O379" s="354"/>
    </row>
    <row r="380" spans="1:15" ht="11.25" customHeight="1">
      <c r="A380" s="354"/>
      <c r="B380" s="354"/>
      <c r="C380" s="354"/>
      <c r="D380" s="354"/>
      <c r="E380" s="353"/>
      <c r="F380" s="353"/>
      <c r="G380" s="353"/>
      <c r="H380" s="353"/>
      <c r="I380" s="353"/>
      <c r="J380" s="353"/>
      <c r="K380" s="353"/>
      <c r="L380" s="353"/>
      <c r="M380" s="354"/>
      <c r="N380" s="354"/>
      <c r="O380" s="354"/>
    </row>
    <row r="381" spans="1:15" ht="11.25" customHeight="1">
      <c r="A381" s="354"/>
      <c r="B381" s="354"/>
      <c r="C381" s="354"/>
      <c r="D381" s="354"/>
      <c r="E381" s="353"/>
      <c r="F381" s="353"/>
      <c r="G381" s="353"/>
      <c r="H381" s="353"/>
      <c r="I381" s="353"/>
      <c r="J381" s="353"/>
      <c r="K381" s="353"/>
      <c r="L381" s="353"/>
      <c r="M381" s="354"/>
      <c r="N381" s="354"/>
      <c r="O381" s="354"/>
    </row>
    <row r="382" spans="1:15" ht="11.25" customHeight="1">
      <c r="A382" s="354"/>
      <c r="B382" s="354"/>
      <c r="C382" s="354"/>
      <c r="D382" s="354"/>
      <c r="E382" s="353"/>
      <c r="F382" s="353"/>
      <c r="G382" s="353"/>
      <c r="H382" s="353"/>
      <c r="I382" s="353"/>
      <c r="J382" s="353"/>
      <c r="K382" s="353"/>
      <c r="L382" s="353"/>
      <c r="M382" s="354"/>
      <c r="N382" s="354"/>
      <c r="O382" s="354"/>
    </row>
    <row r="383" spans="1:15" ht="11.25" customHeight="1">
      <c r="A383" s="354"/>
      <c r="B383" s="354"/>
      <c r="C383" s="354"/>
      <c r="D383" s="354"/>
      <c r="E383" s="353"/>
      <c r="F383" s="353"/>
      <c r="G383" s="353"/>
      <c r="H383" s="353"/>
      <c r="I383" s="353"/>
      <c r="J383" s="353"/>
      <c r="K383" s="353"/>
      <c r="L383" s="353"/>
      <c r="M383" s="354"/>
      <c r="N383" s="354"/>
      <c r="O383" s="354"/>
    </row>
    <row r="384" spans="1:15" ht="11.25" customHeight="1">
      <c r="A384" s="354"/>
      <c r="B384" s="354"/>
      <c r="C384" s="354"/>
      <c r="D384" s="354"/>
      <c r="E384" s="353"/>
      <c r="F384" s="353"/>
      <c r="G384" s="353"/>
      <c r="H384" s="353"/>
      <c r="I384" s="353"/>
      <c r="J384" s="353"/>
      <c r="K384" s="353"/>
      <c r="L384" s="353"/>
      <c r="M384" s="354"/>
      <c r="N384" s="354"/>
      <c r="O384" s="354"/>
    </row>
    <row r="385" spans="1:15" ht="11.25" customHeight="1">
      <c r="A385" s="354"/>
      <c r="B385" s="354"/>
      <c r="C385" s="354"/>
      <c r="D385" s="354"/>
      <c r="E385" s="353"/>
      <c r="F385" s="353"/>
      <c r="G385" s="353"/>
      <c r="H385" s="353"/>
      <c r="I385" s="353"/>
      <c r="J385" s="353"/>
      <c r="K385" s="353"/>
      <c r="L385" s="353"/>
      <c r="M385" s="354"/>
      <c r="N385" s="354"/>
      <c r="O385" s="354"/>
    </row>
    <row r="386" spans="1:15" ht="11.25" customHeight="1">
      <c r="A386" s="354"/>
      <c r="B386" s="354"/>
      <c r="C386" s="354"/>
      <c r="D386" s="354"/>
      <c r="E386" s="353"/>
      <c r="F386" s="353"/>
      <c r="G386" s="353"/>
      <c r="H386" s="353"/>
      <c r="I386" s="353"/>
      <c r="J386" s="353"/>
      <c r="K386" s="353"/>
      <c r="L386" s="353"/>
      <c r="M386" s="354"/>
      <c r="N386" s="354"/>
      <c r="O386" s="354"/>
    </row>
    <row r="387" spans="1:15" ht="11.25" customHeight="1">
      <c r="A387" s="354"/>
      <c r="B387" s="354"/>
      <c r="C387" s="354"/>
      <c r="D387" s="354"/>
      <c r="E387" s="353"/>
      <c r="F387" s="353"/>
      <c r="G387" s="353"/>
      <c r="H387" s="353"/>
      <c r="I387" s="353"/>
      <c r="J387" s="353"/>
      <c r="K387" s="353"/>
      <c r="L387" s="353"/>
      <c r="M387" s="354"/>
      <c r="N387" s="354"/>
      <c r="O387" s="354"/>
    </row>
    <row r="388" spans="1:15" ht="11.25" customHeight="1">
      <c r="A388" s="354"/>
      <c r="B388" s="354"/>
      <c r="C388" s="354"/>
      <c r="D388" s="354"/>
      <c r="E388" s="353"/>
      <c r="F388" s="353"/>
      <c r="G388" s="353"/>
      <c r="H388" s="353"/>
      <c r="I388" s="353"/>
      <c r="J388" s="353"/>
      <c r="K388" s="353"/>
      <c r="L388" s="353"/>
      <c r="M388" s="354"/>
      <c r="N388" s="354"/>
      <c r="O388" s="354"/>
    </row>
    <row r="389" spans="1:15" ht="11.25" customHeight="1">
      <c r="A389" s="354"/>
      <c r="B389" s="354"/>
      <c r="C389" s="354"/>
      <c r="D389" s="354"/>
      <c r="E389" s="353"/>
      <c r="F389" s="353"/>
      <c r="G389" s="353"/>
      <c r="H389" s="353"/>
      <c r="I389" s="353"/>
      <c r="J389" s="353"/>
      <c r="K389" s="353"/>
      <c r="L389" s="353"/>
      <c r="M389" s="354"/>
      <c r="N389" s="354"/>
      <c r="O389" s="354"/>
    </row>
    <row r="390" spans="1:15" ht="11.25" customHeight="1">
      <c r="A390" s="354"/>
      <c r="B390" s="354"/>
      <c r="C390" s="354"/>
      <c r="D390" s="354"/>
      <c r="E390" s="353"/>
      <c r="F390" s="353"/>
      <c r="G390" s="353"/>
      <c r="H390" s="353"/>
      <c r="I390" s="353"/>
      <c r="J390" s="353"/>
      <c r="K390" s="353"/>
      <c r="L390" s="353"/>
      <c r="M390" s="354"/>
      <c r="N390" s="354"/>
      <c r="O390" s="354"/>
    </row>
    <row r="391" spans="1:15" ht="11.25" customHeight="1">
      <c r="A391" s="354"/>
      <c r="B391" s="354"/>
      <c r="C391" s="354"/>
      <c r="D391" s="354"/>
      <c r="E391" s="353"/>
      <c r="F391" s="353"/>
      <c r="G391" s="353"/>
      <c r="H391" s="353"/>
      <c r="I391" s="353"/>
      <c r="J391" s="353"/>
      <c r="K391" s="353"/>
      <c r="L391" s="353"/>
      <c r="M391" s="354"/>
      <c r="N391" s="354"/>
      <c r="O391" s="354"/>
    </row>
    <row r="392" spans="1:15" ht="11.25" customHeight="1">
      <c r="A392" s="354"/>
      <c r="B392" s="354"/>
      <c r="C392" s="354"/>
      <c r="D392" s="354"/>
      <c r="E392" s="353"/>
      <c r="F392" s="353"/>
      <c r="G392" s="353"/>
      <c r="H392" s="353"/>
      <c r="I392" s="353"/>
      <c r="J392" s="353"/>
      <c r="K392" s="353"/>
      <c r="L392" s="353"/>
      <c r="M392" s="354"/>
      <c r="N392" s="354"/>
      <c r="O392" s="354"/>
    </row>
    <row r="393" spans="1:15" ht="11.25" customHeight="1">
      <c r="A393" s="354"/>
      <c r="B393" s="354"/>
      <c r="C393" s="354"/>
      <c r="D393" s="354"/>
      <c r="E393" s="353"/>
      <c r="F393" s="353"/>
      <c r="G393" s="353"/>
      <c r="H393" s="353"/>
      <c r="I393" s="353"/>
      <c r="J393" s="353"/>
      <c r="K393" s="353"/>
      <c r="L393" s="353"/>
      <c r="M393" s="354"/>
      <c r="N393" s="354"/>
      <c r="O393" s="354"/>
    </row>
    <row r="394" spans="1:15" ht="11.25" customHeight="1">
      <c r="A394" s="354"/>
      <c r="B394" s="354"/>
      <c r="C394" s="354"/>
      <c r="D394" s="354"/>
      <c r="E394" s="353"/>
      <c r="F394" s="353"/>
      <c r="G394" s="353"/>
      <c r="H394" s="353"/>
      <c r="I394" s="353"/>
      <c r="J394" s="353"/>
      <c r="K394" s="353"/>
      <c r="L394" s="353"/>
      <c r="M394" s="354"/>
      <c r="N394" s="354"/>
      <c r="O394" s="354"/>
    </row>
    <row r="395" spans="1:15" ht="11.25" customHeight="1">
      <c r="A395" s="354"/>
      <c r="B395" s="354"/>
      <c r="C395" s="354"/>
      <c r="D395" s="354"/>
      <c r="E395" s="353"/>
      <c r="F395" s="353"/>
      <c r="G395" s="353"/>
      <c r="H395" s="353"/>
      <c r="I395" s="353"/>
      <c r="J395" s="353"/>
      <c r="K395" s="353"/>
      <c r="L395" s="353"/>
      <c r="M395" s="354"/>
      <c r="N395" s="354"/>
      <c r="O395" s="354"/>
    </row>
    <row r="396" spans="1:15" ht="11.25" customHeight="1">
      <c r="A396" s="354"/>
      <c r="B396" s="354"/>
      <c r="C396" s="354"/>
      <c r="D396" s="354"/>
      <c r="E396" s="353"/>
      <c r="F396" s="353"/>
      <c r="G396" s="353"/>
      <c r="H396" s="353"/>
      <c r="I396" s="353"/>
      <c r="J396" s="353"/>
      <c r="K396" s="353"/>
      <c r="L396" s="353"/>
      <c r="M396" s="354"/>
      <c r="N396" s="354"/>
      <c r="O396" s="354"/>
    </row>
    <row r="397" spans="1:15" ht="11.25" customHeight="1">
      <c r="A397" s="354"/>
      <c r="B397" s="354"/>
      <c r="C397" s="354"/>
      <c r="D397" s="354"/>
      <c r="E397" s="353"/>
      <c r="F397" s="353"/>
      <c r="G397" s="353"/>
      <c r="H397" s="353"/>
      <c r="I397" s="353"/>
      <c r="J397" s="353"/>
      <c r="K397" s="353"/>
      <c r="L397" s="353"/>
      <c r="M397" s="354"/>
      <c r="N397" s="354"/>
      <c r="O397" s="354"/>
    </row>
    <row r="398" spans="1:15" ht="11.25" customHeight="1">
      <c r="A398" s="354"/>
      <c r="B398" s="354"/>
      <c r="C398" s="354"/>
      <c r="D398" s="354"/>
      <c r="E398" s="353"/>
      <c r="F398" s="353"/>
      <c r="G398" s="353"/>
      <c r="H398" s="353"/>
      <c r="I398" s="353"/>
      <c r="J398" s="353"/>
      <c r="K398" s="353"/>
      <c r="L398" s="353"/>
      <c r="M398" s="354"/>
      <c r="N398" s="354"/>
      <c r="O398" s="354"/>
    </row>
    <row r="399" spans="1:15" ht="11.25" customHeight="1">
      <c r="A399" s="354"/>
      <c r="B399" s="354"/>
      <c r="C399" s="354"/>
      <c r="D399" s="354"/>
      <c r="E399" s="353"/>
      <c r="F399" s="353"/>
      <c r="G399" s="353"/>
      <c r="H399" s="353"/>
      <c r="I399" s="353"/>
      <c r="J399" s="353"/>
      <c r="K399" s="353"/>
      <c r="L399" s="353"/>
      <c r="M399" s="354"/>
      <c r="N399" s="354"/>
      <c r="O399" s="354"/>
    </row>
    <row r="400" spans="1:15" ht="11.25" customHeight="1">
      <c r="A400" s="354"/>
      <c r="B400" s="354"/>
      <c r="C400" s="354"/>
      <c r="D400" s="354"/>
      <c r="E400" s="353"/>
      <c r="F400" s="353"/>
      <c r="G400" s="353"/>
      <c r="H400" s="353"/>
      <c r="I400" s="353"/>
      <c r="J400" s="353"/>
      <c r="K400" s="353"/>
      <c r="L400" s="353"/>
      <c r="M400" s="354"/>
      <c r="N400" s="354"/>
      <c r="O400" s="354"/>
    </row>
    <row r="401" spans="1:15" ht="11.25" customHeight="1">
      <c r="A401" s="354"/>
      <c r="B401" s="354"/>
      <c r="C401" s="354"/>
      <c r="D401" s="354"/>
      <c r="E401" s="353"/>
      <c r="F401" s="353"/>
      <c r="G401" s="353"/>
      <c r="H401" s="353"/>
      <c r="I401" s="353"/>
      <c r="J401" s="353"/>
      <c r="K401" s="353"/>
      <c r="L401" s="353"/>
      <c r="M401" s="354"/>
      <c r="N401" s="354"/>
      <c r="O401" s="354"/>
    </row>
    <row r="402" spans="1:15" ht="11.25" customHeight="1">
      <c r="A402" s="354"/>
      <c r="B402" s="354"/>
      <c r="C402" s="354"/>
      <c r="D402" s="354"/>
      <c r="E402" s="353"/>
      <c r="F402" s="353"/>
      <c r="G402" s="353"/>
      <c r="H402" s="353"/>
      <c r="I402" s="353"/>
      <c r="J402" s="353"/>
      <c r="K402" s="353"/>
      <c r="L402" s="353"/>
      <c r="M402" s="354"/>
      <c r="N402" s="354"/>
      <c r="O402" s="354"/>
    </row>
    <row r="403" spans="1:15" ht="11.25" customHeight="1">
      <c r="A403" s="354"/>
      <c r="B403" s="354"/>
      <c r="C403" s="354"/>
      <c r="D403" s="354"/>
      <c r="E403" s="353"/>
      <c r="F403" s="353"/>
      <c r="G403" s="353"/>
      <c r="H403" s="353"/>
      <c r="I403" s="353"/>
      <c r="J403" s="353"/>
      <c r="K403" s="353"/>
      <c r="L403" s="353"/>
      <c r="M403" s="354"/>
      <c r="N403" s="354"/>
      <c r="O403" s="354"/>
    </row>
    <row r="404" spans="1:15" ht="11.25" customHeight="1">
      <c r="A404" s="354"/>
      <c r="B404" s="354"/>
      <c r="C404" s="354"/>
      <c r="D404" s="354"/>
      <c r="E404" s="353"/>
      <c r="F404" s="353"/>
      <c r="G404" s="353"/>
      <c r="H404" s="353"/>
      <c r="I404" s="353"/>
      <c r="J404" s="353"/>
      <c r="K404" s="353"/>
      <c r="L404" s="353"/>
      <c r="M404" s="354"/>
      <c r="N404" s="354"/>
      <c r="O404" s="354"/>
    </row>
    <row r="405" spans="1:15" ht="11.25" customHeight="1">
      <c r="A405" s="354"/>
      <c r="B405" s="354"/>
      <c r="C405" s="354"/>
      <c r="D405" s="354"/>
      <c r="E405" s="353"/>
      <c r="F405" s="353"/>
      <c r="G405" s="353"/>
      <c r="H405" s="353"/>
      <c r="I405" s="353"/>
      <c r="J405" s="353"/>
      <c r="K405" s="353"/>
      <c r="L405" s="353"/>
      <c r="M405" s="354"/>
      <c r="N405" s="354"/>
      <c r="O405" s="354"/>
    </row>
    <row r="406" spans="1:15" ht="11.25" customHeight="1">
      <c r="A406" s="354"/>
      <c r="B406" s="354"/>
      <c r="C406" s="354"/>
      <c r="D406" s="354"/>
      <c r="E406" s="353"/>
      <c r="F406" s="353"/>
      <c r="G406" s="353"/>
      <c r="H406" s="353"/>
      <c r="I406" s="353"/>
      <c r="J406" s="353"/>
      <c r="K406" s="353"/>
      <c r="L406" s="353"/>
      <c r="M406" s="354"/>
      <c r="N406" s="354"/>
      <c r="O406" s="354"/>
    </row>
    <row r="407" spans="1:15" ht="11.25" customHeight="1">
      <c r="A407" s="354"/>
      <c r="B407" s="354"/>
      <c r="C407" s="354"/>
      <c r="D407" s="354"/>
      <c r="E407" s="353"/>
      <c r="F407" s="353"/>
      <c r="G407" s="353"/>
      <c r="H407" s="353"/>
      <c r="I407" s="353"/>
      <c r="J407" s="353"/>
      <c r="K407" s="353"/>
      <c r="L407" s="353"/>
      <c r="M407" s="354"/>
      <c r="N407" s="354"/>
      <c r="O407" s="354"/>
    </row>
    <row r="408" spans="1:15" ht="11.25" customHeight="1">
      <c r="A408" s="354"/>
      <c r="B408" s="354"/>
      <c r="C408" s="354"/>
      <c r="D408" s="354"/>
      <c r="E408" s="353"/>
      <c r="F408" s="353"/>
      <c r="G408" s="353"/>
      <c r="H408" s="353"/>
      <c r="I408" s="353"/>
      <c r="J408" s="353"/>
      <c r="K408" s="353"/>
      <c r="L408" s="353"/>
      <c r="M408" s="354"/>
      <c r="N408" s="354"/>
      <c r="O408" s="354"/>
    </row>
    <row r="409" spans="1:15" ht="11.25" customHeight="1">
      <c r="A409" s="354"/>
      <c r="B409" s="354"/>
      <c r="C409" s="354"/>
      <c r="D409" s="354"/>
      <c r="E409" s="353"/>
      <c r="F409" s="353"/>
      <c r="G409" s="353"/>
      <c r="H409" s="353"/>
      <c r="I409" s="353"/>
      <c r="J409" s="353"/>
      <c r="K409" s="353"/>
      <c r="L409" s="353"/>
      <c r="M409" s="354"/>
      <c r="N409" s="354"/>
      <c r="O409" s="354"/>
    </row>
    <row r="410" spans="1:15" ht="11.25" customHeight="1">
      <c r="A410" s="354"/>
      <c r="B410" s="354"/>
      <c r="C410" s="354"/>
      <c r="D410" s="354"/>
      <c r="E410" s="353"/>
      <c r="F410" s="353"/>
      <c r="G410" s="353"/>
      <c r="H410" s="353"/>
      <c r="I410" s="353"/>
      <c r="J410" s="353"/>
      <c r="K410" s="353"/>
      <c r="L410" s="353"/>
      <c r="M410" s="354"/>
      <c r="N410" s="354"/>
      <c r="O410" s="354"/>
    </row>
    <row r="411" spans="1:15" ht="11.25" customHeight="1">
      <c r="A411" s="354"/>
      <c r="B411" s="354"/>
      <c r="C411" s="354"/>
      <c r="D411" s="354"/>
      <c r="E411" s="353"/>
      <c r="F411" s="353"/>
      <c r="G411" s="353"/>
      <c r="H411" s="353"/>
      <c r="I411" s="353"/>
      <c r="J411" s="353"/>
      <c r="K411" s="353"/>
      <c r="L411" s="353"/>
      <c r="M411" s="354"/>
      <c r="N411" s="354"/>
      <c r="O411" s="354"/>
    </row>
    <row r="412" spans="1:15" ht="11.25" customHeight="1">
      <c r="A412" s="354"/>
      <c r="B412" s="354"/>
      <c r="C412" s="354"/>
      <c r="D412" s="354"/>
      <c r="E412" s="353"/>
      <c r="F412" s="353"/>
      <c r="G412" s="353"/>
      <c r="H412" s="353"/>
      <c r="I412" s="353"/>
      <c r="J412" s="353"/>
      <c r="K412" s="353"/>
      <c r="L412" s="353"/>
      <c r="M412" s="354"/>
      <c r="N412" s="354"/>
      <c r="O412" s="354"/>
    </row>
    <row r="413" spans="1:15" ht="11.25" customHeight="1">
      <c r="A413" s="354"/>
      <c r="B413" s="354"/>
      <c r="C413" s="354"/>
      <c r="D413" s="354"/>
      <c r="E413" s="353"/>
      <c r="F413" s="353"/>
      <c r="G413" s="353"/>
      <c r="H413" s="353"/>
      <c r="I413" s="353"/>
      <c r="J413" s="353"/>
      <c r="K413" s="353"/>
      <c r="L413" s="353"/>
      <c r="M413" s="354"/>
      <c r="N413" s="354"/>
      <c r="O413" s="354"/>
    </row>
    <row r="414" spans="1:15" ht="11.25" customHeight="1">
      <c r="A414" s="354"/>
      <c r="B414" s="354"/>
      <c r="C414" s="354"/>
      <c r="D414" s="354"/>
      <c r="E414" s="353"/>
      <c r="F414" s="353"/>
      <c r="G414" s="353"/>
      <c r="H414" s="353"/>
      <c r="I414" s="353"/>
      <c r="J414" s="353"/>
      <c r="K414" s="353"/>
      <c r="L414" s="353"/>
      <c r="M414" s="354"/>
      <c r="N414" s="354"/>
      <c r="O414" s="354"/>
    </row>
    <row r="415" spans="1:15" ht="11.25" customHeight="1">
      <c r="A415" s="354"/>
      <c r="B415" s="354"/>
      <c r="C415" s="354"/>
      <c r="D415" s="354"/>
      <c r="E415" s="353"/>
      <c r="F415" s="353"/>
      <c r="G415" s="353"/>
      <c r="H415" s="353"/>
      <c r="I415" s="353"/>
      <c r="J415" s="353"/>
      <c r="K415" s="353"/>
      <c r="L415" s="353"/>
      <c r="M415" s="354"/>
      <c r="N415" s="354"/>
      <c r="O415" s="354"/>
    </row>
    <row r="416" spans="1:15" ht="11.25" customHeight="1">
      <c r="A416" s="354"/>
      <c r="B416" s="354"/>
      <c r="C416" s="354"/>
      <c r="D416" s="354"/>
      <c r="E416" s="353"/>
      <c r="F416" s="353"/>
      <c r="G416" s="353"/>
      <c r="H416" s="353"/>
      <c r="I416" s="353"/>
      <c r="J416" s="353"/>
      <c r="K416" s="353"/>
      <c r="L416" s="353"/>
      <c r="M416" s="354"/>
      <c r="N416" s="354"/>
      <c r="O416" s="354"/>
    </row>
    <row r="417" spans="1:15" ht="11.25" customHeight="1">
      <c r="A417" s="354"/>
      <c r="B417" s="354"/>
      <c r="C417" s="354"/>
      <c r="D417" s="354"/>
      <c r="E417" s="353"/>
      <c r="F417" s="353"/>
      <c r="G417" s="353"/>
      <c r="H417" s="353"/>
      <c r="I417" s="353"/>
      <c r="J417" s="353"/>
      <c r="K417" s="353"/>
      <c r="L417" s="353"/>
      <c r="M417" s="354"/>
      <c r="N417" s="354"/>
      <c r="O417" s="354"/>
    </row>
    <row r="418" spans="1:15" ht="11.25" customHeight="1">
      <c r="A418" s="354"/>
      <c r="B418" s="354"/>
      <c r="C418" s="354"/>
      <c r="D418" s="354"/>
      <c r="E418" s="353"/>
      <c r="F418" s="353"/>
      <c r="G418" s="353"/>
      <c r="H418" s="353"/>
      <c r="I418" s="353"/>
      <c r="J418" s="353"/>
      <c r="K418" s="353"/>
      <c r="L418" s="353"/>
      <c r="M418" s="354"/>
      <c r="N418" s="354"/>
      <c r="O418" s="354"/>
    </row>
    <row r="419" spans="1:15" ht="11.25" customHeight="1">
      <c r="A419" s="354"/>
      <c r="B419" s="354"/>
      <c r="C419" s="354"/>
      <c r="D419" s="354"/>
      <c r="E419" s="353"/>
      <c r="F419" s="353"/>
      <c r="G419" s="353"/>
      <c r="H419" s="353"/>
      <c r="I419" s="353"/>
      <c r="J419" s="353"/>
      <c r="K419" s="353"/>
      <c r="L419" s="353"/>
      <c r="M419" s="354"/>
      <c r="N419" s="354"/>
      <c r="O419" s="354"/>
    </row>
    <row r="420" spans="1:15" ht="11.25" customHeight="1">
      <c r="A420" s="354"/>
      <c r="B420" s="354"/>
      <c r="C420" s="354"/>
      <c r="D420" s="354"/>
      <c r="E420" s="353"/>
      <c r="F420" s="353"/>
      <c r="G420" s="353"/>
      <c r="H420" s="353"/>
      <c r="I420" s="353"/>
      <c r="J420" s="353"/>
      <c r="K420" s="353"/>
      <c r="L420" s="353"/>
      <c r="M420" s="354"/>
      <c r="N420" s="354"/>
      <c r="O420" s="354"/>
    </row>
    <row r="421" spans="1:15" ht="11.25" customHeight="1">
      <c r="A421" s="354"/>
      <c r="B421" s="354"/>
      <c r="C421" s="354"/>
      <c r="D421" s="354"/>
      <c r="E421" s="353"/>
      <c r="F421" s="353"/>
      <c r="G421" s="353"/>
      <c r="H421" s="353"/>
      <c r="I421" s="353"/>
      <c r="J421" s="353"/>
      <c r="K421" s="353"/>
      <c r="L421" s="353"/>
      <c r="M421" s="354"/>
      <c r="N421" s="354"/>
      <c r="O421" s="354"/>
    </row>
    <row r="422" spans="1:15" ht="11.25" customHeight="1">
      <c r="A422" s="354"/>
      <c r="B422" s="354"/>
      <c r="C422" s="354"/>
      <c r="D422" s="354"/>
      <c r="E422" s="353"/>
      <c r="F422" s="353"/>
      <c r="G422" s="353"/>
      <c r="H422" s="353"/>
      <c r="I422" s="353"/>
      <c r="J422" s="353"/>
      <c r="K422" s="353"/>
      <c r="L422" s="353"/>
      <c r="M422" s="354"/>
      <c r="N422" s="354"/>
      <c r="O422" s="354"/>
    </row>
    <row r="423" spans="1:15" ht="11.25" customHeight="1">
      <c r="A423" s="354"/>
      <c r="B423" s="354"/>
      <c r="C423" s="354"/>
      <c r="D423" s="354"/>
      <c r="E423" s="353"/>
      <c r="F423" s="353"/>
      <c r="G423" s="353"/>
      <c r="H423" s="353"/>
      <c r="I423" s="353"/>
      <c r="J423" s="353"/>
      <c r="K423" s="353"/>
      <c r="L423" s="353"/>
      <c r="M423" s="354"/>
      <c r="N423" s="354"/>
      <c r="O423" s="354"/>
    </row>
    <row r="424" spans="1:15" ht="11.25" customHeight="1">
      <c r="A424" s="354"/>
      <c r="B424" s="354"/>
      <c r="C424" s="354"/>
      <c r="D424" s="354"/>
      <c r="E424" s="353"/>
      <c r="F424" s="353"/>
      <c r="G424" s="353"/>
      <c r="H424" s="353"/>
      <c r="I424" s="353"/>
      <c r="J424" s="353"/>
      <c r="K424" s="353"/>
      <c r="L424" s="353"/>
      <c r="M424" s="354"/>
      <c r="N424" s="354"/>
      <c r="O424" s="354"/>
    </row>
    <row r="425" spans="1:15" ht="11.25" customHeight="1">
      <c r="A425" s="354"/>
      <c r="B425" s="354"/>
      <c r="C425" s="354"/>
      <c r="D425" s="354"/>
      <c r="E425" s="353"/>
      <c r="F425" s="353"/>
      <c r="G425" s="353"/>
      <c r="H425" s="353"/>
      <c r="I425" s="353"/>
      <c r="J425" s="353"/>
      <c r="K425" s="353"/>
      <c r="L425" s="353"/>
      <c r="M425" s="354"/>
      <c r="N425" s="354"/>
      <c r="O425" s="354"/>
    </row>
    <row r="426" spans="1:15" ht="11.25" customHeight="1">
      <c r="A426" s="354"/>
      <c r="B426" s="354"/>
      <c r="C426" s="354"/>
      <c r="D426" s="354"/>
      <c r="E426" s="353"/>
      <c r="F426" s="353"/>
      <c r="G426" s="353"/>
      <c r="H426" s="353"/>
      <c r="I426" s="353"/>
      <c r="J426" s="353"/>
      <c r="K426" s="353"/>
      <c r="L426" s="353"/>
      <c r="M426" s="354"/>
      <c r="N426" s="354"/>
      <c r="O426" s="354"/>
    </row>
    <row r="427" spans="1:15" ht="11.25" customHeight="1">
      <c r="A427" s="354"/>
      <c r="B427" s="354"/>
      <c r="C427" s="354"/>
      <c r="D427" s="354"/>
      <c r="E427" s="353"/>
      <c r="F427" s="353"/>
      <c r="G427" s="353"/>
      <c r="H427" s="353"/>
      <c r="I427" s="353"/>
      <c r="J427" s="353"/>
      <c r="K427" s="353"/>
      <c r="L427" s="353"/>
      <c r="M427" s="354"/>
      <c r="N427" s="354"/>
      <c r="O427" s="354"/>
    </row>
    <row r="428" spans="1:15" ht="11.25" customHeight="1">
      <c r="A428" s="354"/>
      <c r="B428" s="354"/>
      <c r="C428" s="354"/>
      <c r="D428" s="354"/>
      <c r="E428" s="353"/>
      <c r="F428" s="353"/>
      <c r="G428" s="353"/>
      <c r="H428" s="353"/>
      <c r="I428" s="353"/>
      <c r="J428" s="353"/>
      <c r="K428" s="353"/>
      <c r="L428" s="353"/>
      <c r="M428" s="354"/>
      <c r="N428" s="354"/>
      <c r="O428" s="354"/>
    </row>
    <row r="429" spans="1:15" ht="11.25" customHeight="1">
      <c r="A429" s="354"/>
      <c r="B429" s="354"/>
      <c r="C429" s="354"/>
      <c r="D429" s="354"/>
      <c r="E429" s="353"/>
      <c r="F429" s="353"/>
      <c r="G429" s="353"/>
      <c r="H429" s="353"/>
      <c r="I429" s="353"/>
      <c r="J429" s="353"/>
      <c r="K429" s="353"/>
      <c r="L429" s="353"/>
      <c r="M429" s="354"/>
      <c r="N429" s="354"/>
      <c r="O429" s="354"/>
    </row>
    <row r="430" spans="1:15" ht="11.25" customHeight="1">
      <c r="A430" s="354"/>
      <c r="B430" s="354"/>
      <c r="C430" s="354"/>
      <c r="D430" s="354"/>
      <c r="E430" s="353"/>
      <c r="F430" s="353"/>
      <c r="G430" s="353"/>
      <c r="H430" s="353"/>
      <c r="I430" s="353"/>
      <c r="J430" s="353"/>
      <c r="K430" s="353"/>
      <c r="L430" s="353"/>
      <c r="M430" s="354"/>
      <c r="N430" s="354"/>
      <c r="O430" s="354"/>
    </row>
    <row r="431" spans="1:15" ht="11.25" customHeight="1">
      <c r="A431" s="354"/>
      <c r="B431" s="354"/>
      <c r="C431" s="354"/>
      <c r="D431" s="354"/>
      <c r="E431" s="353"/>
      <c r="F431" s="353"/>
      <c r="G431" s="353"/>
      <c r="H431" s="353"/>
      <c r="I431" s="353"/>
      <c r="J431" s="353"/>
      <c r="K431" s="353"/>
      <c r="L431" s="353"/>
      <c r="M431" s="354"/>
      <c r="N431" s="354"/>
      <c r="O431" s="354"/>
    </row>
    <row r="432" spans="1:15" ht="11.25" customHeight="1">
      <c r="A432" s="354"/>
      <c r="B432" s="354"/>
      <c r="C432" s="354"/>
      <c r="D432" s="354"/>
      <c r="E432" s="353"/>
      <c r="F432" s="353"/>
      <c r="G432" s="353"/>
      <c r="H432" s="353"/>
      <c r="I432" s="353"/>
      <c r="J432" s="353"/>
      <c r="K432" s="353"/>
      <c r="L432" s="353"/>
      <c r="M432" s="354"/>
      <c r="N432" s="354"/>
      <c r="O432" s="354"/>
    </row>
    <row r="433" spans="1:15" ht="11.25" customHeight="1">
      <c r="A433" s="354"/>
      <c r="B433" s="354"/>
      <c r="C433" s="354"/>
      <c r="D433" s="354"/>
      <c r="E433" s="353"/>
      <c r="F433" s="353"/>
      <c r="G433" s="353"/>
      <c r="H433" s="353"/>
      <c r="I433" s="353"/>
      <c r="J433" s="353"/>
      <c r="K433" s="353"/>
      <c r="L433" s="353"/>
      <c r="M433" s="354"/>
      <c r="N433" s="354"/>
      <c r="O433" s="354"/>
    </row>
    <row r="434" spans="1:15" ht="11.25" customHeight="1">
      <c r="A434" s="354"/>
      <c r="B434" s="354"/>
      <c r="C434" s="354"/>
      <c r="D434" s="354"/>
      <c r="E434" s="353"/>
      <c r="F434" s="353"/>
      <c r="G434" s="353"/>
      <c r="H434" s="353"/>
      <c r="I434" s="353"/>
      <c r="J434" s="353"/>
      <c r="K434" s="353"/>
      <c r="L434" s="353"/>
      <c r="M434" s="354"/>
      <c r="N434" s="354"/>
      <c r="O434" s="354"/>
    </row>
    <row r="435" spans="1:15" ht="11.25" customHeight="1">
      <c r="A435" s="354"/>
      <c r="B435" s="354"/>
      <c r="C435" s="354"/>
      <c r="D435" s="354"/>
      <c r="E435" s="353"/>
      <c r="F435" s="353"/>
      <c r="G435" s="353"/>
      <c r="H435" s="353"/>
      <c r="I435" s="353"/>
      <c r="J435" s="353"/>
      <c r="K435" s="353"/>
      <c r="L435" s="353"/>
      <c r="M435" s="354"/>
      <c r="N435" s="354"/>
      <c r="O435" s="354"/>
    </row>
    <row r="436" spans="1:15" ht="11.25" customHeight="1">
      <c r="A436" s="354"/>
      <c r="B436" s="354"/>
      <c r="C436" s="354"/>
      <c r="D436" s="354"/>
      <c r="E436" s="353"/>
      <c r="F436" s="353"/>
      <c r="G436" s="353"/>
      <c r="H436" s="353"/>
      <c r="I436" s="353"/>
      <c r="J436" s="353"/>
      <c r="K436" s="353"/>
      <c r="L436" s="353"/>
      <c r="M436" s="354"/>
      <c r="N436" s="354"/>
      <c r="O436" s="354"/>
    </row>
    <row r="437" spans="1:15" ht="11.25" customHeight="1">
      <c r="A437" s="354"/>
      <c r="B437" s="354"/>
      <c r="C437" s="354"/>
      <c r="D437" s="354"/>
      <c r="E437" s="353"/>
      <c r="F437" s="353"/>
      <c r="G437" s="353"/>
      <c r="H437" s="353"/>
      <c r="I437" s="353"/>
      <c r="J437" s="353"/>
      <c r="K437" s="353"/>
      <c r="L437" s="353"/>
      <c r="M437" s="354"/>
      <c r="N437" s="354"/>
      <c r="O437" s="354"/>
    </row>
    <row r="438" spans="1:15" ht="11.25" customHeight="1">
      <c r="A438" s="354"/>
      <c r="B438" s="354"/>
      <c r="C438" s="354"/>
      <c r="D438" s="354"/>
      <c r="E438" s="353"/>
      <c r="F438" s="353"/>
      <c r="G438" s="353"/>
      <c r="H438" s="353"/>
      <c r="I438" s="353"/>
      <c r="J438" s="353"/>
      <c r="K438" s="353"/>
      <c r="L438" s="353"/>
      <c r="M438" s="354"/>
      <c r="N438" s="354"/>
      <c r="O438" s="354"/>
    </row>
    <row r="439" spans="1:15" ht="11.25" customHeight="1">
      <c r="A439" s="354"/>
      <c r="B439" s="354"/>
      <c r="C439" s="354"/>
      <c r="D439" s="354"/>
      <c r="E439" s="353"/>
      <c r="F439" s="353"/>
      <c r="G439" s="353"/>
      <c r="H439" s="353"/>
      <c r="I439" s="353"/>
      <c r="J439" s="353"/>
      <c r="K439" s="353"/>
      <c r="L439" s="353"/>
      <c r="M439" s="354"/>
      <c r="N439" s="354"/>
      <c r="O439" s="354"/>
    </row>
    <row r="440" spans="1:15" ht="11.25" customHeight="1">
      <c r="A440" s="354"/>
      <c r="B440" s="354"/>
      <c r="C440" s="354"/>
      <c r="D440" s="354"/>
      <c r="E440" s="353"/>
      <c r="F440" s="353"/>
      <c r="G440" s="353"/>
      <c r="H440" s="353"/>
      <c r="I440" s="353"/>
      <c r="J440" s="353"/>
      <c r="K440" s="353"/>
      <c r="L440" s="353"/>
      <c r="M440" s="354"/>
      <c r="N440" s="354"/>
      <c r="O440" s="354"/>
    </row>
    <row r="441" spans="1:15" ht="11.25" customHeight="1">
      <c r="A441" s="354"/>
      <c r="B441" s="354"/>
      <c r="C441" s="354"/>
      <c r="D441" s="354"/>
      <c r="E441" s="353"/>
      <c r="F441" s="353"/>
      <c r="G441" s="353"/>
      <c r="H441" s="353"/>
      <c r="I441" s="353"/>
      <c r="J441" s="353"/>
      <c r="K441" s="353"/>
      <c r="L441" s="353"/>
      <c r="M441" s="354"/>
      <c r="N441" s="354"/>
      <c r="O441" s="354"/>
    </row>
    <row r="442" spans="1:15" ht="11.25" customHeight="1">
      <c r="A442" s="354"/>
      <c r="B442" s="354"/>
      <c r="C442" s="354"/>
      <c r="D442" s="354"/>
      <c r="E442" s="353"/>
      <c r="F442" s="353"/>
      <c r="G442" s="353"/>
      <c r="H442" s="353"/>
      <c r="I442" s="353"/>
      <c r="J442" s="353"/>
      <c r="K442" s="353"/>
      <c r="L442" s="353"/>
      <c r="M442" s="354"/>
      <c r="N442" s="354"/>
      <c r="O442" s="354"/>
    </row>
    <row r="443" spans="1:15" ht="11.25" customHeight="1">
      <c r="A443" s="354"/>
      <c r="B443" s="354"/>
      <c r="C443" s="354"/>
      <c r="D443" s="354"/>
      <c r="E443" s="353"/>
      <c r="F443" s="353"/>
      <c r="G443" s="353"/>
      <c r="H443" s="353"/>
      <c r="I443" s="353"/>
      <c r="J443" s="353"/>
      <c r="K443" s="353"/>
      <c r="L443" s="353"/>
      <c r="M443" s="354"/>
      <c r="N443" s="354"/>
      <c r="O443" s="354"/>
    </row>
    <row r="444" spans="1:15" ht="11.25" customHeight="1">
      <c r="A444" s="354"/>
      <c r="B444" s="354"/>
      <c r="C444" s="354"/>
      <c r="D444" s="354"/>
      <c r="E444" s="353"/>
      <c r="F444" s="353"/>
      <c r="G444" s="353"/>
      <c r="H444" s="353"/>
      <c r="I444" s="353"/>
      <c r="J444" s="353"/>
      <c r="K444" s="353"/>
      <c r="L444" s="353"/>
      <c r="M444" s="354"/>
      <c r="N444" s="354"/>
      <c r="O444" s="354"/>
    </row>
    <row r="445" spans="1:15" ht="11.25" customHeight="1">
      <c r="A445" s="354"/>
      <c r="B445" s="354"/>
      <c r="C445" s="354"/>
      <c r="D445" s="354"/>
      <c r="E445" s="353"/>
      <c r="F445" s="353"/>
      <c r="G445" s="353"/>
      <c r="H445" s="353"/>
      <c r="I445" s="353"/>
      <c r="J445" s="353"/>
      <c r="K445" s="353"/>
      <c r="L445" s="353"/>
      <c r="M445" s="354"/>
      <c r="N445" s="354"/>
      <c r="O445" s="354"/>
    </row>
    <row r="446" spans="1:15" ht="11.25" customHeight="1">
      <c r="A446" s="354"/>
      <c r="B446" s="354"/>
      <c r="C446" s="354"/>
      <c r="D446" s="354"/>
      <c r="E446" s="353"/>
      <c r="F446" s="353"/>
      <c r="G446" s="353"/>
      <c r="H446" s="353"/>
      <c r="I446" s="353"/>
      <c r="J446" s="353"/>
      <c r="K446" s="353"/>
      <c r="L446" s="353"/>
      <c r="M446" s="354"/>
      <c r="N446" s="354"/>
      <c r="O446" s="354"/>
    </row>
    <row r="447" spans="1:15" ht="11.25" customHeight="1">
      <c r="A447" s="354"/>
      <c r="B447" s="354"/>
      <c r="C447" s="354"/>
      <c r="D447" s="354"/>
      <c r="E447" s="353"/>
      <c r="F447" s="353"/>
      <c r="G447" s="353"/>
      <c r="H447" s="353"/>
      <c r="I447" s="353"/>
      <c r="J447" s="353"/>
      <c r="K447" s="353"/>
      <c r="L447" s="353"/>
      <c r="M447" s="354"/>
      <c r="N447" s="354"/>
      <c r="O447" s="354"/>
    </row>
    <row r="448" spans="1:15" ht="11.25" customHeight="1">
      <c r="A448" s="354"/>
      <c r="B448" s="354"/>
      <c r="C448" s="354"/>
      <c r="D448" s="354"/>
      <c r="E448" s="353"/>
      <c r="F448" s="353"/>
      <c r="G448" s="353"/>
      <c r="H448" s="353"/>
      <c r="I448" s="353"/>
      <c r="J448" s="353"/>
      <c r="K448" s="353"/>
      <c r="L448" s="353"/>
      <c r="M448" s="354"/>
      <c r="N448" s="354"/>
      <c r="O448" s="354"/>
    </row>
    <row r="449" spans="1:15" ht="11.25" customHeight="1">
      <c r="A449" s="354"/>
      <c r="B449" s="354"/>
      <c r="C449" s="354"/>
      <c r="D449" s="354"/>
      <c r="E449" s="353"/>
      <c r="F449" s="353"/>
      <c r="G449" s="353"/>
      <c r="H449" s="353"/>
      <c r="I449" s="353"/>
      <c r="J449" s="353"/>
      <c r="K449" s="353"/>
      <c r="L449" s="353"/>
      <c r="M449" s="354"/>
      <c r="N449" s="354"/>
      <c r="O449" s="354"/>
    </row>
    <row r="450" spans="1:15" ht="11.25" customHeight="1">
      <c r="A450" s="354"/>
      <c r="B450" s="354"/>
      <c r="C450" s="354"/>
      <c r="D450" s="354"/>
      <c r="E450" s="353"/>
      <c r="F450" s="353"/>
      <c r="G450" s="353"/>
      <c r="H450" s="353"/>
      <c r="I450" s="353"/>
      <c r="J450" s="353"/>
      <c r="K450" s="353"/>
      <c r="L450" s="353"/>
      <c r="M450" s="354"/>
      <c r="N450" s="354"/>
      <c r="O450" s="354"/>
    </row>
    <row r="451" spans="1:15" ht="11.25" customHeight="1">
      <c r="A451" s="354"/>
      <c r="B451" s="354"/>
      <c r="C451" s="354"/>
      <c r="D451" s="354"/>
      <c r="E451" s="353"/>
      <c r="F451" s="353"/>
      <c r="G451" s="353"/>
      <c r="H451" s="353"/>
      <c r="I451" s="353"/>
      <c r="J451" s="353"/>
      <c r="K451" s="353"/>
      <c r="L451" s="353"/>
      <c r="M451" s="354"/>
      <c r="N451" s="354"/>
      <c r="O451" s="354"/>
    </row>
    <row r="452" spans="1:15" ht="11.25" customHeight="1">
      <c r="A452" s="354"/>
      <c r="B452" s="354"/>
      <c r="C452" s="354"/>
      <c r="D452" s="354"/>
      <c r="E452" s="353"/>
      <c r="F452" s="353"/>
      <c r="G452" s="353"/>
      <c r="H452" s="353"/>
      <c r="I452" s="353"/>
      <c r="J452" s="353"/>
      <c r="K452" s="353"/>
      <c r="L452" s="353"/>
      <c r="M452" s="354"/>
      <c r="N452" s="354"/>
      <c r="O452" s="354"/>
    </row>
    <row r="453" spans="1:15" ht="11.25" customHeight="1">
      <c r="A453" s="354"/>
      <c r="B453" s="354"/>
      <c r="C453" s="354"/>
      <c r="D453" s="354"/>
      <c r="E453" s="353"/>
      <c r="F453" s="353"/>
      <c r="G453" s="353"/>
      <c r="H453" s="353"/>
      <c r="I453" s="353"/>
      <c r="J453" s="353"/>
      <c r="K453" s="353"/>
      <c r="L453" s="353"/>
      <c r="M453" s="354"/>
      <c r="N453" s="354"/>
      <c r="O453" s="354"/>
    </row>
    <row r="454" spans="1:15" ht="11.25" customHeight="1">
      <c r="A454" s="354"/>
      <c r="B454" s="354"/>
      <c r="C454" s="354"/>
      <c r="D454" s="354"/>
      <c r="E454" s="353"/>
      <c r="F454" s="353"/>
      <c r="G454" s="353"/>
      <c r="H454" s="353"/>
      <c r="I454" s="353"/>
      <c r="J454" s="353"/>
      <c r="K454" s="353"/>
      <c r="L454" s="353"/>
      <c r="M454" s="354"/>
      <c r="N454" s="354"/>
      <c r="O454" s="354"/>
    </row>
    <row r="455" spans="1:15" ht="11.25" customHeight="1">
      <c r="A455" s="354"/>
      <c r="B455" s="354"/>
      <c r="C455" s="354"/>
      <c r="D455" s="354"/>
      <c r="E455" s="353"/>
      <c r="F455" s="353"/>
      <c r="G455" s="353"/>
      <c r="H455" s="353"/>
      <c r="I455" s="353"/>
      <c r="J455" s="353"/>
      <c r="K455" s="353"/>
      <c r="L455" s="353"/>
      <c r="M455" s="354"/>
      <c r="N455" s="354"/>
      <c r="O455" s="354"/>
    </row>
    <row r="456" spans="1:15" ht="11.25" customHeight="1">
      <c r="A456" s="354"/>
      <c r="B456" s="354"/>
      <c r="C456" s="354"/>
      <c r="D456" s="354"/>
      <c r="E456" s="353"/>
      <c r="F456" s="353"/>
      <c r="G456" s="353"/>
      <c r="H456" s="353"/>
      <c r="I456" s="353"/>
      <c r="J456" s="353"/>
      <c r="K456" s="353"/>
      <c r="L456" s="353"/>
      <c r="M456" s="354"/>
      <c r="N456" s="354"/>
      <c r="O456" s="354"/>
    </row>
    <row r="457" spans="1:15" ht="11.25" customHeight="1">
      <c r="A457" s="354"/>
      <c r="B457" s="354"/>
      <c r="C457" s="354"/>
      <c r="D457" s="354"/>
      <c r="E457" s="353"/>
      <c r="F457" s="353"/>
      <c r="G457" s="353"/>
      <c r="H457" s="353"/>
      <c r="I457" s="353"/>
      <c r="J457" s="353"/>
      <c r="K457" s="353"/>
      <c r="L457" s="353"/>
      <c r="M457" s="354"/>
      <c r="N457" s="354"/>
      <c r="O457" s="354"/>
    </row>
    <row r="458" spans="1:15" ht="11.25" customHeight="1">
      <c r="A458" s="354"/>
      <c r="B458" s="354"/>
      <c r="C458" s="354"/>
      <c r="D458" s="354"/>
      <c r="E458" s="353"/>
      <c r="F458" s="353"/>
      <c r="G458" s="353"/>
      <c r="H458" s="353"/>
      <c r="I458" s="353"/>
      <c r="J458" s="353"/>
      <c r="K458" s="353"/>
      <c r="L458" s="353"/>
      <c r="M458" s="354"/>
      <c r="N458" s="354"/>
      <c r="O458" s="354"/>
    </row>
    <row r="459" spans="1:15" ht="11.25" customHeight="1">
      <c r="A459" s="354"/>
      <c r="B459" s="354"/>
      <c r="C459" s="354"/>
      <c r="D459" s="354"/>
      <c r="E459" s="353"/>
      <c r="F459" s="353"/>
      <c r="G459" s="353"/>
      <c r="H459" s="353"/>
      <c r="I459" s="353"/>
      <c r="J459" s="353"/>
      <c r="K459" s="353"/>
      <c r="L459" s="353"/>
      <c r="M459" s="354"/>
      <c r="N459" s="354"/>
      <c r="O459" s="354"/>
    </row>
    <row r="460" spans="1:15" ht="11.25" customHeight="1">
      <c r="A460" s="354"/>
      <c r="B460" s="354"/>
      <c r="C460" s="354"/>
      <c r="D460" s="354"/>
      <c r="E460" s="353"/>
      <c r="F460" s="353"/>
      <c r="G460" s="353"/>
      <c r="H460" s="353"/>
      <c r="I460" s="353"/>
      <c r="J460" s="353"/>
      <c r="K460" s="353"/>
      <c r="L460" s="353"/>
      <c r="M460" s="354"/>
      <c r="N460" s="354"/>
      <c r="O460" s="354"/>
    </row>
    <row r="461" spans="1:15" ht="11.25" customHeight="1">
      <c r="A461" s="354"/>
      <c r="B461" s="354"/>
      <c r="C461" s="354"/>
      <c r="D461" s="354"/>
      <c r="E461" s="353"/>
      <c r="F461" s="353"/>
      <c r="G461" s="353"/>
      <c r="H461" s="353"/>
      <c r="I461" s="353"/>
      <c r="J461" s="353"/>
      <c r="K461" s="353"/>
      <c r="L461" s="353"/>
      <c r="M461" s="354"/>
      <c r="N461" s="354"/>
      <c r="O461" s="354"/>
    </row>
    <row r="462" spans="1:15" ht="11.25" customHeight="1">
      <c r="A462" s="354"/>
      <c r="B462" s="354"/>
      <c r="C462" s="354"/>
      <c r="D462" s="354"/>
      <c r="E462" s="353"/>
      <c r="F462" s="353"/>
      <c r="G462" s="353"/>
      <c r="H462" s="353"/>
      <c r="I462" s="353"/>
      <c r="J462" s="353"/>
      <c r="K462" s="353"/>
      <c r="L462" s="353"/>
      <c r="M462" s="354"/>
      <c r="N462" s="354"/>
      <c r="O462" s="354"/>
    </row>
    <row r="463" spans="1:15" ht="11.25" customHeight="1">
      <c r="A463" s="354"/>
      <c r="B463" s="354"/>
      <c r="C463" s="354"/>
      <c r="D463" s="354"/>
      <c r="E463" s="353"/>
      <c r="F463" s="353"/>
      <c r="G463" s="353"/>
      <c r="H463" s="353"/>
      <c r="I463" s="353"/>
      <c r="J463" s="353"/>
      <c r="K463" s="353"/>
      <c r="L463" s="353"/>
      <c r="M463" s="354"/>
      <c r="N463" s="354"/>
      <c r="O463" s="354"/>
    </row>
    <row r="464" spans="1:15" ht="11.25" customHeight="1">
      <c r="A464" s="354"/>
      <c r="B464" s="354"/>
      <c r="C464" s="354"/>
      <c r="D464" s="354"/>
      <c r="E464" s="353"/>
      <c r="F464" s="353"/>
      <c r="G464" s="353"/>
      <c r="H464" s="353"/>
      <c r="I464" s="353"/>
      <c r="J464" s="353"/>
      <c r="K464" s="353"/>
      <c r="L464" s="353"/>
      <c r="M464" s="354"/>
      <c r="N464" s="354"/>
      <c r="O464" s="354"/>
    </row>
    <row r="465" spans="1:15" ht="11.25" customHeight="1">
      <c r="A465" s="354"/>
      <c r="B465" s="354"/>
      <c r="C465" s="354"/>
      <c r="D465" s="354"/>
      <c r="E465" s="353"/>
      <c r="F465" s="353"/>
      <c r="G465" s="353"/>
      <c r="H465" s="353"/>
      <c r="I465" s="353"/>
      <c r="J465" s="353"/>
      <c r="K465" s="353"/>
      <c r="L465" s="353"/>
      <c r="M465" s="354"/>
      <c r="N465" s="354"/>
      <c r="O465" s="354"/>
    </row>
    <row r="466" spans="1:15" ht="11.25" customHeight="1">
      <c r="A466" s="354"/>
      <c r="B466" s="354"/>
      <c r="C466" s="354"/>
      <c r="D466" s="354"/>
      <c r="E466" s="353"/>
      <c r="F466" s="353"/>
      <c r="G466" s="353"/>
      <c r="H466" s="353"/>
      <c r="I466" s="353"/>
      <c r="J466" s="353"/>
      <c r="K466" s="353"/>
      <c r="L466" s="353"/>
      <c r="M466" s="354"/>
      <c r="N466" s="354"/>
      <c r="O466" s="354"/>
    </row>
    <row r="467" spans="1:15" ht="11.25" customHeight="1">
      <c r="A467" s="354"/>
      <c r="B467" s="354"/>
      <c r="C467" s="354"/>
      <c r="D467" s="354"/>
      <c r="E467" s="353"/>
      <c r="F467" s="353"/>
      <c r="G467" s="353"/>
      <c r="H467" s="353"/>
      <c r="I467" s="353"/>
      <c r="J467" s="353"/>
      <c r="K467" s="353"/>
      <c r="L467" s="353"/>
      <c r="M467" s="354"/>
      <c r="N467" s="354"/>
      <c r="O467" s="354"/>
    </row>
    <row r="468" spans="1:15" ht="11.25" customHeight="1">
      <c r="A468" s="354"/>
      <c r="B468" s="354"/>
      <c r="C468" s="354"/>
      <c r="D468" s="354"/>
      <c r="E468" s="353"/>
      <c r="F468" s="353"/>
      <c r="G468" s="353"/>
      <c r="H468" s="353"/>
      <c r="I468" s="353"/>
      <c r="J468" s="353"/>
      <c r="K468" s="353"/>
      <c r="L468" s="353"/>
      <c r="M468" s="354"/>
      <c r="N468" s="354"/>
      <c r="O468" s="354"/>
    </row>
    <row r="469" spans="1:15" ht="11.25" customHeight="1">
      <c r="A469" s="354"/>
      <c r="B469" s="354"/>
      <c r="C469" s="354"/>
      <c r="D469" s="354"/>
      <c r="E469" s="353"/>
      <c r="F469" s="353"/>
      <c r="G469" s="353"/>
      <c r="H469" s="353"/>
      <c r="I469" s="353"/>
      <c r="J469" s="353"/>
      <c r="K469" s="353"/>
      <c r="L469" s="353"/>
      <c r="M469" s="354"/>
      <c r="N469" s="354"/>
      <c r="O469" s="354"/>
    </row>
    <row r="470" spans="1:15" ht="11.25" customHeight="1">
      <c r="A470" s="354"/>
      <c r="B470" s="354"/>
      <c r="C470" s="354"/>
      <c r="D470" s="354"/>
      <c r="E470" s="353"/>
      <c r="F470" s="353"/>
      <c r="G470" s="353"/>
      <c r="H470" s="353"/>
      <c r="I470" s="353"/>
      <c r="J470" s="353"/>
      <c r="K470" s="353"/>
      <c r="L470" s="353"/>
      <c r="M470" s="354"/>
      <c r="N470" s="354"/>
      <c r="O470" s="354"/>
    </row>
    <row r="471" spans="1:15" ht="11.25" customHeight="1">
      <c r="A471" s="354"/>
      <c r="B471" s="354"/>
      <c r="C471" s="354"/>
      <c r="D471" s="354"/>
      <c r="E471" s="353"/>
      <c r="F471" s="353"/>
      <c r="G471" s="353"/>
      <c r="H471" s="353"/>
      <c r="I471" s="353"/>
      <c r="J471" s="353"/>
      <c r="K471" s="353"/>
      <c r="L471" s="353"/>
      <c r="M471" s="354"/>
      <c r="N471" s="354"/>
      <c r="O471" s="354"/>
    </row>
    <row r="472" spans="1:15" ht="11.25" customHeight="1">
      <c r="A472" s="354"/>
      <c r="B472" s="354"/>
      <c r="C472" s="354"/>
      <c r="D472" s="354"/>
      <c r="E472" s="353"/>
      <c r="F472" s="353"/>
      <c r="G472" s="353"/>
      <c r="H472" s="353"/>
      <c r="I472" s="353"/>
      <c r="J472" s="353"/>
      <c r="K472" s="353"/>
      <c r="L472" s="353"/>
      <c r="M472" s="354"/>
      <c r="N472" s="354"/>
      <c r="O472" s="354"/>
    </row>
    <row r="473" spans="1:15" ht="11.25" customHeight="1">
      <c r="A473" s="354"/>
      <c r="B473" s="354"/>
      <c r="C473" s="354"/>
      <c r="D473" s="354"/>
      <c r="E473" s="353"/>
      <c r="F473" s="353"/>
      <c r="G473" s="353"/>
      <c r="H473" s="353"/>
      <c r="I473" s="353"/>
      <c r="J473" s="353"/>
      <c r="K473" s="353"/>
      <c r="L473" s="353"/>
      <c r="M473" s="354"/>
      <c r="N473" s="354"/>
      <c r="O473" s="354"/>
    </row>
    <row r="474" spans="1:15" ht="11.25" customHeight="1">
      <c r="A474" s="354"/>
      <c r="B474" s="354"/>
      <c r="C474" s="354"/>
      <c r="D474" s="354"/>
      <c r="E474" s="353"/>
      <c r="F474" s="353"/>
      <c r="G474" s="353"/>
      <c r="H474" s="353"/>
      <c r="I474" s="353"/>
      <c r="J474" s="353"/>
      <c r="K474" s="353"/>
      <c r="L474" s="353"/>
      <c r="M474" s="354"/>
      <c r="N474" s="354"/>
      <c r="O474" s="354"/>
    </row>
    <row r="475" spans="1:15" ht="11.25" customHeight="1">
      <c r="A475" s="354"/>
      <c r="B475" s="354"/>
      <c r="C475" s="354"/>
      <c r="D475" s="354"/>
      <c r="E475" s="353"/>
      <c r="F475" s="353"/>
      <c r="G475" s="353"/>
      <c r="H475" s="353"/>
      <c r="I475" s="353"/>
      <c r="J475" s="353"/>
      <c r="K475" s="353"/>
      <c r="L475" s="353"/>
      <c r="M475" s="354"/>
      <c r="N475" s="354"/>
      <c r="O475" s="354"/>
    </row>
    <row r="476" spans="1:15" ht="11.25" customHeight="1">
      <c r="A476" s="354"/>
      <c r="B476" s="354"/>
      <c r="C476" s="354"/>
      <c r="D476" s="354"/>
      <c r="E476" s="353"/>
      <c r="F476" s="353"/>
      <c r="G476" s="353"/>
      <c r="H476" s="353"/>
      <c r="I476" s="353"/>
      <c r="J476" s="353"/>
      <c r="K476" s="353"/>
      <c r="L476" s="353"/>
      <c r="M476" s="354"/>
      <c r="N476" s="354"/>
      <c r="O476" s="354"/>
    </row>
    <row r="477" spans="1:15" ht="11.25" customHeight="1">
      <c r="A477" s="354"/>
      <c r="B477" s="354"/>
      <c r="C477" s="354"/>
      <c r="D477" s="354"/>
      <c r="E477" s="353"/>
      <c r="F477" s="353"/>
      <c r="G477" s="353"/>
      <c r="H477" s="353"/>
      <c r="I477" s="353"/>
      <c r="J477" s="353"/>
      <c r="K477" s="353"/>
      <c r="L477" s="353"/>
      <c r="M477" s="354"/>
      <c r="N477" s="354"/>
      <c r="O477" s="354"/>
    </row>
    <row r="478" spans="1:15" ht="11.25" customHeight="1">
      <c r="A478" s="354"/>
      <c r="B478" s="354"/>
      <c r="C478" s="354"/>
      <c r="D478" s="354"/>
      <c r="E478" s="353"/>
      <c r="F478" s="353"/>
      <c r="G478" s="353"/>
      <c r="H478" s="353"/>
      <c r="I478" s="353"/>
      <c r="J478" s="353"/>
      <c r="K478" s="353"/>
      <c r="L478" s="353"/>
      <c r="M478" s="354"/>
      <c r="N478" s="354"/>
      <c r="O478" s="354"/>
    </row>
    <row r="479" spans="1:15" ht="11.25" customHeight="1">
      <c r="A479" s="354"/>
      <c r="B479" s="354"/>
      <c r="C479" s="354"/>
      <c r="D479" s="354"/>
      <c r="E479" s="353"/>
      <c r="F479" s="353"/>
      <c r="G479" s="353"/>
      <c r="H479" s="353"/>
      <c r="I479" s="353"/>
      <c r="J479" s="353"/>
      <c r="K479" s="353"/>
      <c r="L479" s="353"/>
      <c r="M479" s="354"/>
      <c r="N479" s="354"/>
      <c r="O479" s="354"/>
    </row>
    <row r="480" spans="1:15" ht="11.25" customHeight="1">
      <c r="A480" s="354"/>
      <c r="B480" s="354"/>
      <c r="C480" s="354"/>
      <c r="D480" s="354"/>
      <c r="E480" s="353"/>
      <c r="F480" s="353"/>
      <c r="G480" s="353"/>
      <c r="H480" s="353"/>
      <c r="I480" s="353"/>
      <c r="J480" s="353"/>
      <c r="K480" s="353"/>
      <c r="L480" s="353"/>
      <c r="M480" s="354"/>
      <c r="N480" s="354"/>
      <c r="O480" s="354"/>
    </row>
    <row r="481" spans="1:15" ht="11.25" customHeight="1">
      <c r="A481" s="354"/>
      <c r="B481" s="354"/>
      <c r="C481" s="354"/>
      <c r="D481" s="354"/>
      <c r="E481" s="353"/>
      <c r="F481" s="353"/>
      <c r="G481" s="353"/>
      <c r="H481" s="353"/>
      <c r="I481" s="353"/>
      <c r="J481" s="353"/>
      <c r="K481" s="353"/>
      <c r="L481" s="353"/>
      <c r="M481" s="354"/>
      <c r="N481" s="354"/>
      <c r="O481" s="354"/>
    </row>
    <row r="482" spans="1:15" ht="11.25" customHeight="1">
      <c r="A482" s="354"/>
      <c r="B482" s="354"/>
      <c r="C482" s="354"/>
      <c r="D482" s="354"/>
      <c r="E482" s="353"/>
      <c r="F482" s="353"/>
      <c r="G482" s="353"/>
      <c r="H482" s="353"/>
      <c r="I482" s="353"/>
      <c r="J482" s="353"/>
      <c r="K482" s="353"/>
      <c r="L482" s="353"/>
      <c r="M482" s="354"/>
      <c r="N482" s="354"/>
      <c r="O482" s="354"/>
    </row>
    <row r="483" spans="1:15" ht="11.25" customHeight="1">
      <c r="A483" s="354"/>
      <c r="B483" s="354"/>
      <c r="C483" s="354"/>
      <c r="D483" s="354"/>
      <c r="E483" s="353"/>
      <c r="F483" s="353"/>
      <c r="G483" s="353"/>
      <c r="H483" s="353"/>
      <c r="I483" s="353"/>
      <c r="J483" s="353"/>
      <c r="K483" s="353"/>
      <c r="L483" s="353"/>
      <c r="M483" s="354"/>
      <c r="N483" s="354"/>
      <c r="O483" s="354"/>
    </row>
    <row r="484" spans="1:15" ht="11.25" customHeight="1">
      <c r="A484" s="354"/>
      <c r="B484" s="354"/>
      <c r="C484" s="354"/>
      <c r="D484" s="354"/>
      <c r="E484" s="353"/>
      <c r="F484" s="353"/>
      <c r="G484" s="353"/>
      <c r="H484" s="353"/>
      <c r="I484" s="353"/>
      <c r="J484" s="353"/>
      <c r="K484" s="353"/>
      <c r="L484" s="353"/>
      <c r="M484" s="354"/>
      <c r="N484" s="354"/>
      <c r="O484" s="354"/>
    </row>
    <row r="485" spans="1:15" ht="11.25" customHeight="1">
      <c r="A485" s="354"/>
      <c r="B485" s="354"/>
      <c r="C485" s="354"/>
      <c r="D485" s="354"/>
      <c r="E485" s="353"/>
      <c r="F485" s="353"/>
      <c r="G485" s="353"/>
      <c r="H485" s="353"/>
      <c r="I485" s="353"/>
      <c r="J485" s="353"/>
      <c r="K485" s="353"/>
      <c r="L485" s="353"/>
      <c r="M485" s="354"/>
      <c r="N485" s="354"/>
      <c r="O485" s="354"/>
    </row>
    <row r="486" spans="1:15" ht="11.25" customHeight="1">
      <c r="A486" s="354"/>
      <c r="B486" s="354"/>
      <c r="C486" s="354"/>
      <c r="D486" s="354"/>
      <c r="E486" s="353"/>
      <c r="F486" s="353"/>
      <c r="G486" s="353"/>
      <c r="H486" s="353"/>
      <c r="I486" s="353"/>
      <c r="J486" s="353"/>
      <c r="K486" s="353"/>
      <c r="L486" s="353"/>
      <c r="M486" s="354"/>
      <c r="N486" s="354"/>
      <c r="O486" s="354"/>
    </row>
    <row r="487" spans="1:15" ht="11.25" customHeight="1">
      <c r="A487" s="354"/>
      <c r="B487" s="354"/>
      <c r="C487" s="354"/>
      <c r="D487" s="354"/>
      <c r="E487" s="353"/>
      <c r="F487" s="353"/>
      <c r="G487" s="353"/>
      <c r="H487" s="353"/>
      <c r="I487" s="353"/>
      <c r="J487" s="353"/>
      <c r="K487" s="353"/>
      <c r="L487" s="353"/>
      <c r="M487" s="354"/>
      <c r="N487" s="354"/>
      <c r="O487" s="354"/>
    </row>
    <row r="488" spans="1:15" ht="11.25" customHeight="1">
      <c r="A488" s="354"/>
      <c r="B488" s="354"/>
      <c r="C488" s="354"/>
      <c r="D488" s="354"/>
      <c r="E488" s="353"/>
      <c r="F488" s="353"/>
      <c r="G488" s="353"/>
      <c r="H488" s="353"/>
      <c r="I488" s="353"/>
      <c r="J488" s="353"/>
      <c r="K488" s="353"/>
      <c r="L488" s="353"/>
      <c r="M488" s="354"/>
      <c r="N488" s="354"/>
      <c r="O488" s="354"/>
    </row>
    <row r="489" spans="1:15" ht="11.25" customHeight="1">
      <c r="A489" s="354"/>
      <c r="B489" s="354"/>
      <c r="C489" s="354"/>
      <c r="D489" s="354"/>
      <c r="E489" s="353"/>
      <c r="F489" s="353"/>
      <c r="G489" s="353"/>
      <c r="H489" s="353"/>
      <c r="I489" s="353"/>
      <c r="J489" s="353"/>
      <c r="K489" s="353"/>
      <c r="L489" s="353"/>
      <c r="M489" s="354"/>
      <c r="N489" s="354"/>
      <c r="O489" s="354"/>
    </row>
    <row r="490" spans="1:15" ht="11.25" customHeight="1">
      <c r="A490" s="354"/>
      <c r="B490" s="354"/>
      <c r="C490" s="354"/>
      <c r="D490" s="354"/>
      <c r="E490" s="353"/>
      <c r="F490" s="353"/>
      <c r="G490" s="353"/>
      <c r="H490" s="353"/>
      <c r="I490" s="353"/>
      <c r="J490" s="353"/>
      <c r="K490" s="353"/>
      <c r="L490" s="353"/>
      <c r="M490" s="354"/>
      <c r="N490" s="354"/>
      <c r="O490" s="354"/>
    </row>
    <row r="491" spans="1:15" ht="11.25" customHeight="1">
      <c r="A491" s="354"/>
      <c r="B491" s="354"/>
      <c r="C491" s="354"/>
      <c r="D491" s="354"/>
      <c r="E491" s="353"/>
      <c r="F491" s="353"/>
      <c r="G491" s="353"/>
      <c r="H491" s="353"/>
      <c r="I491" s="353"/>
      <c r="J491" s="353"/>
      <c r="K491" s="353"/>
      <c r="L491" s="353"/>
      <c r="M491" s="354"/>
      <c r="N491" s="354"/>
      <c r="O491" s="354"/>
    </row>
    <row r="492" spans="1:15" ht="11.25" customHeight="1">
      <c r="A492" s="354"/>
      <c r="B492" s="354"/>
      <c r="C492" s="354"/>
      <c r="D492" s="354"/>
      <c r="E492" s="353"/>
      <c r="F492" s="353"/>
      <c r="G492" s="353"/>
      <c r="H492" s="353"/>
      <c r="I492" s="353"/>
      <c r="J492" s="353"/>
      <c r="K492" s="353"/>
      <c r="L492" s="353"/>
      <c r="M492" s="354"/>
      <c r="N492" s="354"/>
      <c r="O492" s="354"/>
    </row>
    <row r="493" spans="1:15" ht="11.25" customHeight="1">
      <c r="A493" s="354"/>
      <c r="B493" s="354"/>
      <c r="C493" s="354"/>
      <c r="D493" s="354"/>
      <c r="E493" s="353"/>
      <c r="F493" s="353"/>
      <c r="G493" s="353"/>
      <c r="H493" s="353"/>
      <c r="I493" s="353"/>
      <c r="J493" s="353"/>
      <c r="K493" s="353"/>
      <c r="L493" s="353"/>
      <c r="M493" s="354"/>
      <c r="N493" s="354"/>
      <c r="O493" s="354"/>
    </row>
    <row r="494" spans="1:15" ht="11.25" customHeight="1">
      <c r="A494" s="354"/>
      <c r="B494" s="354"/>
      <c r="C494" s="354"/>
      <c r="D494" s="354"/>
      <c r="E494" s="353"/>
      <c r="F494" s="353"/>
      <c r="G494" s="353"/>
      <c r="H494" s="353"/>
      <c r="I494" s="353"/>
      <c r="J494" s="353"/>
      <c r="K494" s="353"/>
      <c r="L494" s="353"/>
      <c r="M494" s="354"/>
      <c r="N494" s="354"/>
      <c r="O494" s="354"/>
    </row>
    <row r="495" spans="1:15" ht="11.25" customHeight="1">
      <c r="A495" s="354"/>
      <c r="B495" s="354"/>
      <c r="C495" s="354"/>
      <c r="D495" s="354"/>
      <c r="E495" s="353"/>
      <c r="F495" s="353"/>
      <c r="G495" s="353"/>
      <c r="H495" s="353"/>
      <c r="I495" s="353"/>
      <c r="J495" s="353"/>
      <c r="K495" s="353"/>
      <c r="L495" s="353"/>
      <c r="M495" s="354"/>
      <c r="N495" s="354"/>
      <c r="O495" s="354"/>
    </row>
    <row r="496" spans="1:15" ht="11.25" customHeight="1">
      <c r="A496" s="354"/>
      <c r="B496" s="354"/>
      <c r="C496" s="354"/>
      <c r="D496" s="354"/>
      <c r="E496" s="353"/>
      <c r="F496" s="353"/>
      <c r="G496" s="353"/>
      <c r="H496" s="353"/>
      <c r="I496" s="353"/>
      <c r="J496" s="353"/>
      <c r="K496" s="353"/>
      <c r="L496" s="353"/>
      <c r="M496" s="354"/>
      <c r="N496" s="354"/>
      <c r="O496" s="354"/>
    </row>
    <row r="497" spans="1:15" ht="11.25" customHeight="1">
      <c r="A497" s="354"/>
      <c r="B497" s="354"/>
      <c r="C497" s="354"/>
      <c r="D497" s="354"/>
      <c r="E497" s="353"/>
      <c r="F497" s="353"/>
      <c r="G497" s="353"/>
      <c r="H497" s="353"/>
      <c r="I497" s="353"/>
      <c r="J497" s="353"/>
      <c r="K497" s="353"/>
      <c r="L497" s="353"/>
      <c r="M497" s="354"/>
      <c r="N497" s="354"/>
      <c r="O497" s="354"/>
    </row>
    <row r="498" spans="1:15" ht="11.25" customHeight="1">
      <c r="A498" s="354"/>
      <c r="B498" s="354"/>
      <c r="C498" s="354"/>
      <c r="D498" s="354"/>
      <c r="E498" s="353"/>
      <c r="F498" s="353"/>
      <c r="G498" s="353"/>
      <c r="H498" s="353"/>
      <c r="I498" s="353"/>
      <c r="J498" s="353"/>
      <c r="K498" s="353"/>
      <c r="L498" s="353"/>
      <c r="M498" s="354"/>
      <c r="N498" s="354"/>
      <c r="O498" s="354"/>
    </row>
    <row r="499" spans="1:15" ht="11.25" customHeight="1">
      <c r="A499" s="354"/>
      <c r="B499" s="354"/>
      <c r="C499" s="354"/>
      <c r="D499" s="354"/>
      <c r="E499" s="353"/>
      <c r="F499" s="353"/>
      <c r="G499" s="353"/>
      <c r="H499" s="353"/>
      <c r="I499" s="353"/>
      <c r="J499" s="353"/>
      <c r="K499" s="353"/>
      <c r="L499" s="353"/>
      <c r="M499" s="354"/>
      <c r="N499" s="354"/>
      <c r="O499" s="354"/>
    </row>
    <row r="500" spans="1:15" ht="11.25" customHeight="1">
      <c r="A500" s="354"/>
      <c r="B500" s="354"/>
      <c r="C500" s="354"/>
      <c r="D500" s="354"/>
      <c r="E500" s="353"/>
      <c r="F500" s="353"/>
      <c r="G500" s="353"/>
      <c r="H500" s="353"/>
      <c r="I500" s="353"/>
      <c r="J500" s="353"/>
      <c r="K500" s="353"/>
      <c r="L500" s="353"/>
      <c r="M500" s="354"/>
      <c r="N500" s="354"/>
      <c r="O500" s="354"/>
    </row>
    <row r="501" spans="1:15" ht="11.25" customHeight="1">
      <c r="A501" s="354"/>
      <c r="B501" s="354"/>
      <c r="C501" s="354"/>
      <c r="D501" s="354"/>
      <c r="E501" s="353"/>
      <c r="F501" s="353"/>
      <c r="G501" s="353"/>
      <c r="H501" s="353"/>
      <c r="I501" s="353"/>
      <c r="J501" s="353"/>
      <c r="K501" s="353"/>
      <c r="L501" s="353"/>
      <c r="M501" s="354"/>
      <c r="N501" s="354"/>
      <c r="O501" s="354"/>
    </row>
    <row r="502" spans="1:15" ht="11.25" customHeight="1">
      <c r="A502" s="354"/>
      <c r="B502" s="354"/>
      <c r="C502" s="354"/>
      <c r="D502" s="354"/>
      <c r="E502" s="353"/>
      <c r="F502" s="353"/>
      <c r="G502" s="353"/>
      <c r="H502" s="353"/>
      <c r="I502" s="353"/>
      <c r="J502" s="353"/>
      <c r="K502" s="353"/>
      <c r="L502" s="353"/>
      <c r="M502" s="354"/>
      <c r="N502" s="354"/>
      <c r="O502" s="354"/>
    </row>
    <row r="503" spans="1:15" ht="11.25" customHeight="1">
      <c r="A503" s="354"/>
      <c r="B503" s="354"/>
      <c r="C503" s="354"/>
      <c r="D503" s="354"/>
      <c r="E503" s="353"/>
      <c r="F503" s="353"/>
      <c r="G503" s="353"/>
      <c r="H503" s="353"/>
      <c r="I503" s="353"/>
      <c r="J503" s="353"/>
      <c r="K503" s="353"/>
      <c r="L503" s="353"/>
      <c r="M503" s="354"/>
      <c r="N503" s="354"/>
      <c r="O503" s="354"/>
    </row>
    <row r="504" spans="1:15" ht="11.25" customHeight="1">
      <c r="A504" s="354"/>
      <c r="B504" s="354"/>
      <c r="C504" s="354"/>
      <c r="D504" s="354"/>
      <c r="E504" s="353"/>
      <c r="F504" s="353"/>
      <c r="G504" s="353"/>
      <c r="H504" s="353"/>
      <c r="I504" s="353"/>
      <c r="J504" s="353"/>
      <c r="K504" s="353"/>
      <c r="L504" s="353"/>
      <c r="M504" s="354"/>
      <c r="N504" s="354"/>
      <c r="O504" s="354"/>
    </row>
    <row r="505" spans="1:15" ht="11.25" customHeight="1">
      <c r="A505" s="354"/>
      <c r="B505" s="354"/>
      <c r="C505" s="354"/>
      <c r="D505" s="354"/>
      <c r="E505" s="353"/>
      <c r="F505" s="353"/>
      <c r="G505" s="353"/>
      <c r="H505" s="353"/>
      <c r="I505" s="353"/>
      <c r="J505" s="353"/>
      <c r="K505" s="353"/>
      <c r="L505" s="353"/>
      <c r="M505" s="354"/>
      <c r="N505" s="354"/>
      <c r="O505" s="354"/>
    </row>
    <row r="506" spans="1:15" ht="11.25" customHeight="1">
      <c r="A506" s="354"/>
      <c r="B506" s="354"/>
      <c r="C506" s="354"/>
      <c r="D506" s="354"/>
      <c r="E506" s="353"/>
      <c r="F506" s="353"/>
      <c r="G506" s="353"/>
      <c r="H506" s="353"/>
      <c r="I506" s="353"/>
      <c r="J506" s="353"/>
      <c r="K506" s="353"/>
      <c r="L506" s="353"/>
      <c r="M506" s="354"/>
      <c r="N506" s="354"/>
      <c r="O506" s="354"/>
    </row>
    <row r="507" spans="1:15" ht="11.25" customHeight="1">
      <c r="A507" s="354"/>
      <c r="B507" s="354"/>
      <c r="C507" s="354"/>
      <c r="D507" s="354"/>
      <c r="E507" s="353"/>
      <c r="F507" s="353"/>
      <c r="G507" s="353"/>
      <c r="H507" s="353"/>
      <c r="I507" s="353"/>
      <c r="J507" s="353"/>
      <c r="K507" s="353"/>
      <c r="L507" s="353"/>
      <c r="M507" s="354"/>
      <c r="N507" s="354"/>
      <c r="O507" s="354"/>
    </row>
    <row r="508" spans="1:15" ht="11.25" customHeight="1">
      <c r="A508" s="354"/>
      <c r="B508" s="354"/>
      <c r="C508" s="354"/>
      <c r="D508" s="354"/>
      <c r="E508" s="353"/>
      <c r="F508" s="353"/>
      <c r="G508" s="353"/>
      <c r="H508" s="353"/>
      <c r="I508" s="353"/>
      <c r="J508" s="353"/>
      <c r="K508" s="353"/>
      <c r="L508" s="353"/>
      <c r="M508" s="354"/>
      <c r="N508" s="354"/>
      <c r="O508" s="354"/>
    </row>
    <row r="509" spans="1:15" ht="11.25" customHeight="1">
      <c r="A509" s="354"/>
      <c r="B509" s="354"/>
      <c r="C509" s="354"/>
      <c r="D509" s="354"/>
      <c r="E509" s="353"/>
      <c r="F509" s="353"/>
      <c r="G509" s="353"/>
      <c r="H509" s="353"/>
      <c r="I509" s="353"/>
      <c r="J509" s="353"/>
      <c r="K509" s="353"/>
      <c r="L509" s="353"/>
      <c r="M509" s="354"/>
      <c r="N509" s="354"/>
      <c r="O509" s="354"/>
    </row>
    <row r="510" spans="1:15" ht="11.25" customHeight="1">
      <c r="A510" s="354"/>
      <c r="B510" s="354"/>
      <c r="C510" s="354"/>
      <c r="D510" s="354"/>
      <c r="E510" s="353"/>
      <c r="F510" s="353"/>
      <c r="G510" s="353"/>
      <c r="H510" s="353"/>
      <c r="I510" s="353"/>
      <c r="J510" s="353"/>
      <c r="K510" s="353"/>
      <c r="L510" s="353"/>
      <c r="M510" s="354"/>
      <c r="N510" s="354"/>
      <c r="O510" s="354"/>
    </row>
    <row r="511" spans="1:15" ht="11.25" customHeight="1">
      <c r="A511" s="354"/>
      <c r="B511" s="354"/>
      <c r="C511" s="354"/>
      <c r="D511" s="354"/>
      <c r="E511" s="353"/>
      <c r="F511" s="353"/>
      <c r="G511" s="353"/>
      <c r="H511" s="353"/>
      <c r="I511" s="353"/>
      <c r="J511" s="353"/>
      <c r="K511" s="353"/>
      <c r="L511" s="353"/>
      <c r="M511" s="354"/>
      <c r="N511" s="354"/>
      <c r="O511" s="354"/>
    </row>
    <row r="512" spans="1:15" ht="11.25" customHeight="1">
      <c r="A512" s="354"/>
      <c r="B512" s="354"/>
      <c r="C512" s="354"/>
      <c r="D512" s="354"/>
      <c r="E512" s="353"/>
      <c r="F512" s="353"/>
      <c r="G512" s="353"/>
      <c r="H512" s="353"/>
      <c r="I512" s="353"/>
      <c r="J512" s="353"/>
      <c r="K512" s="353"/>
      <c r="L512" s="353"/>
      <c r="M512" s="354"/>
      <c r="N512" s="354"/>
      <c r="O512" s="354"/>
    </row>
    <row r="513" spans="1:15" ht="11.25" customHeight="1">
      <c r="A513" s="354"/>
      <c r="B513" s="354"/>
      <c r="C513" s="354"/>
      <c r="D513" s="354"/>
      <c r="E513" s="353"/>
      <c r="F513" s="353"/>
      <c r="G513" s="353"/>
      <c r="H513" s="353"/>
      <c r="I513" s="353"/>
      <c r="J513" s="353"/>
      <c r="K513" s="353"/>
      <c r="L513" s="353"/>
      <c r="M513" s="354"/>
      <c r="N513" s="354"/>
      <c r="O513" s="354"/>
    </row>
    <row r="514" spans="1:15" ht="11.25" customHeight="1">
      <c r="A514" s="354"/>
      <c r="B514" s="354"/>
      <c r="C514" s="354"/>
      <c r="D514" s="354"/>
      <c r="E514" s="353"/>
      <c r="F514" s="353"/>
      <c r="G514" s="353"/>
      <c r="H514" s="353"/>
      <c r="I514" s="353"/>
      <c r="J514" s="353"/>
      <c r="K514" s="353"/>
      <c r="L514" s="353"/>
      <c r="M514" s="354"/>
      <c r="N514" s="354"/>
      <c r="O514" s="354"/>
    </row>
    <row r="515" spans="1:15" ht="11.25" customHeight="1">
      <c r="A515" s="354"/>
      <c r="B515" s="354"/>
      <c r="C515" s="354"/>
      <c r="D515" s="354"/>
      <c r="E515" s="353"/>
      <c r="F515" s="353"/>
      <c r="G515" s="353"/>
      <c r="H515" s="353"/>
      <c r="I515" s="353"/>
      <c r="J515" s="353"/>
      <c r="K515" s="353"/>
      <c r="L515" s="353"/>
      <c r="M515" s="354"/>
      <c r="N515" s="354"/>
      <c r="O515" s="354"/>
    </row>
    <row r="516" spans="1:15" ht="11.25" customHeight="1">
      <c r="A516" s="354"/>
      <c r="B516" s="354"/>
      <c r="C516" s="354"/>
      <c r="D516" s="354"/>
      <c r="E516" s="353"/>
      <c r="F516" s="353"/>
      <c r="G516" s="353"/>
      <c r="H516" s="353"/>
      <c r="I516" s="353"/>
      <c r="J516" s="353"/>
      <c r="K516" s="353"/>
      <c r="L516" s="353"/>
      <c r="M516" s="354"/>
      <c r="N516" s="354"/>
      <c r="O516" s="354"/>
    </row>
    <row r="517" spans="1:15" ht="11.25" customHeight="1">
      <c r="A517" s="354"/>
      <c r="B517" s="354"/>
      <c r="C517" s="354"/>
      <c r="D517" s="354"/>
      <c r="E517" s="353"/>
      <c r="F517" s="353"/>
      <c r="G517" s="353"/>
      <c r="H517" s="353"/>
      <c r="I517" s="353"/>
      <c r="J517" s="353"/>
      <c r="K517" s="353"/>
      <c r="L517" s="353"/>
      <c r="M517" s="354"/>
      <c r="N517" s="354"/>
      <c r="O517" s="354"/>
    </row>
    <row r="518" spans="1:15" ht="11.25" customHeight="1">
      <c r="A518" s="354"/>
      <c r="B518" s="354"/>
      <c r="C518" s="354"/>
      <c r="D518" s="354"/>
      <c r="E518" s="353"/>
      <c r="F518" s="353"/>
      <c r="G518" s="353"/>
      <c r="H518" s="353"/>
      <c r="I518" s="353"/>
      <c r="J518" s="353"/>
      <c r="K518" s="353"/>
      <c r="L518" s="353"/>
      <c r="M518" s="354"/>
      <c r="N518" s="354"/>
      <c r="O518" s="354"/>
    </row>
    <row r="519" spans="1:15" ht="11.25" customHeight="1">
      <c r="A519" s="354"/>
      <c r="B519" s="354"/>
      <c r="C519" s="354"/>
      <c r="D519" s="354"/>
      <c r="E519" s="353"/>
      <c r="F519" s="353"/>
      <c r="G519" s="353"/>
      <c r="H519" s="353"/>
      <c r="I519" s="353"/>
      <c r="J519" s="353"/>
      <c r="K519" s="353"/>
      <c r="L519" s="353"/>
      <c r="M519" s="354"/>
      <c r="N519" s="354"/>
      <c r="O519" s="354"/>
    </row>
    <row r="520" spans="1:15" ht="11.25" customHeight="1">
      <c r="A520" s="354"/>
      <c r="B520" s="354"/>
      <c r="C520" s="354"/>
      <c r="D520" s="354"/>
      <c r="E520" s="353"/>
      <c r="F520" s="353"/>
      <c r="G520" s="353"/>
      <c r="H520" s="353"/>
      <c r="I520" s="353"/>
      <c r="J520" s="353"/>
      <c r="K520" s="353"/>
      <c r="L520" s="353"/>
      <c r="M520" s="354"/>
      <c r="N520" s="354"/>
      <c r="O520" s="354"/>
    </row>
    <row r="521" spans="1:15" ht="11.25" customHeight="1">
      <c r="A521" s="354"/>
      <c r="B521" s="354"/>
      <c r="C521" s="354"/>
      <c r="D521" s="354"/>
      <c r="E521" s="353"/>
      <c r="F521" s="353"/>
      <c r="G521" s="353"/>
      <c r="H521" s="353"/>
      <c r="I521" s="353"/>
      <c r="J521" s="353"/>
      <c r="K521" s="353"/>
      <c r="L521" s="353"/>
      <c r="M521" s="354"/>
      <c r="N521" s="354"/>
      <c r="O521" s="354"/>
    </row>
    <row r="522" spans="1:15" ht="11.25" customHeight="1">
      <c r="A522" s="354"/>
      <c r="B522" s="354"/>
      <c r="C522" s="354"/>
      <c r="D522" s="354"/>
      <c r="E522" s="353"/>
      <c r="F522" s="353"/>
      <c r="G522" s="353"/>
      <c r="H522" s="353"/>
      <c r="I522" s="353"/>
      <c r="J522" s="353"/>
      <c r="K522" s="353"/>
      <c r="L522" s="353"/>
      <c r="M522" s="354"/>
      <c r="N522" s="354"/>
      <c r="O522" s="354"/>
    </row>
    <row r="523" spans="1:15" ht="11.25" customHeight="1">
      <c r="A523" s="354"/>
      <c r="B523" s="354"/>
      <c r="C523" s="354"/>
      <c r="D523" s="354"/>
      <c r="E523" s="353"/>
      <c r="F523" s="353"/>
      <c r="G523" s="353"/>
      <c r="H523" s="353"/>
      <c r="I523" s="353"/>
      <c r="J523" s="353"/>
      <c r="K523" s="353"/>
      <c r="L523" s="353"/>
      <c r="M523" s="354"/>
      <c r="N523" s="354"/>
      <c r="O523" s="354"/>
    </row>
    <row r="524" spans="1:15" ht="11.25" customHeight="1">
      <c r="A524" s="354"/>
      <c r="B524" s="354"/>
      <c r="C524" s="354"/>
      <c r="D524" s="354"/>
      <c r="E524" s="353"/>
      <c r="F524" s="353"/>
      <c r="G524" s="353"/>
      <c r="H524" s="353"/>
      <c r="I524" s="353"/>
      <c r="J524" s="353"/>
      <c r="K524" s="353"/>
      <c r="L524" s="353"/>
      <c r="M524" s="354"/>
      <c r="N524" s="354"/>
      <c r="O524" s="354"/>
    </row>
    <row r="525" spans="1:15" ht="11.25" customHeight="1">
      <c r="A525" s="354"/>
      <c r="B525" s="354"/>
      <c r="C525" s="354"/>
      <c r="D525" s="354"/>
      <c r="E525" s="353"/>
      <c r="F525" s="353"/>
      <c r="G525" s="353"/>
      <c r="H525" s="353"/>
      <c r="I525" s="353"/>
      <c r="J525" s="353"/>
      <c r="K525" s="353"/>
      <c r="L525" s="353"/>
      <c r="M525" s="354"/>
      <c r="N525" s="354"/>
      <c r="O525" s="354"/>
    </row>
    <row r="526" spans="1:15" ht="11.25" customHeight="1">
      <c r="A526" s="354"/>
      <c r="B526" s="354"/>
      <c r="C526" s="354"/>
      <c r="D526" s="354"/>
      <c r="E526" s="353"/>
      <c r="F526" s="353"/>
      <c r="G526" s="353"/>
      <c r="H526" s="353"/>
      <c r="I526" s="353"/>
      <c r="J526" s="353"/>
      <c r="K526" s="353"/>
      <c r="L526" s="353"/>
      <c r="M526" s="354"/>
      <c r="N526" s="354"/>
      <c r="O526" s="354"/>
    </row>
    <row r="527" spans="1:15" ht="11.25" customHeight="1">
      <c r="A527" s="354"/>
      <c r="B527" s="354"/>
      <c r="C527" s="354"/>
      <c r="D527" s="354"/>
      <c r="E527" s="353"/>
      <c r="F527" s="353"/>
      <c r="G527" s="353"/>
      <c r="H527" s="353"/>
      <c r="I527" s="353"/>
      <c r="J527" s="353"/>
      <c r="K527" s="353"/>
      <c r="L527" s="353"/>
      <c r="M527" s="354"/>
      <c r="N527" s="354"/>
      <c r="O527" s="354"/>
    </row>
    <row r="528" spans="1:15" ht="11.25" customHeight="1">
      <c r="A528" s="354"/>
      <c r="B528" s="354"/>
      <c r="C528" s="354"/>
      <c r="D528" s="354"/>
      <c r="E528" s="353"/>
      <c r="F528" s="353"/>
      <c r="G528" s="353"/>
      <c r="H528" s="353"/>
      <c r="I528" s="353"/>
      <c r="J528" s="353"/>
      <c r="K528" s="353"/>
      <c r="L528" s="353"/>
      <c r="M528" s="354"/>
      <c r="N528" s="354"/>
      <c r="O528" s="354"/>
    </row>
    <row r="529" spans="1:15" ht="11.25" customHeight="1">
      <c r="A529" s="354"/>
      <c r="B529" s="354"/>
      <c r="C529" s="354"/>
      <c r="D529" s="354"/>
      <c r="E529" s="353"/>
      <c r="F529" s="353"/>
      <c r="G529" s="353"/>
      <c r="H529" s="353"/>
      <c r="I529" s="353"/>
      <c r="J529" s="353"/>
      <c r="K529" s="353"/>
      <c r="L529" s="353"/>
      <c r="M529" s="354"/>
      <c r="N529" s="354"/>
      <c r="O529" s="354"/>
    </row>
    <row r="530" spans="1:15" ht="11.25" customHeight="1">
      <c r="A530" s="354"/>
      <c r="B530" s="354"/>
      <c r="C530" s="354"/>
      <c r="D530" s="354"/>
      <c r="E530" s="353"/>
      <c r="F530" s="353"/>
      <c r="G530" s="353"/>
      <c r="H530" s="353"/>
      <c r="I530" s="353"/>
      <c r="J530" s="353"/>
      <c r="K530" s="353"/>
      <c r="L530" s="353"/>
      <c r="M530" s="354"/>
      <c r="N530" s="354"/>
      <c r="O530" s="354"/>
    </row>
    <row r="531" spans="1:15" ht="11.25" customHeight="1">
      <c r="A531" s="354"/>
      <c r="B531" s="354"/>
      <c r="C531" s="354"/>
      <c r="D531" s="354"/>
      <c r="E531" s="353"/>
      <c r="F531" s="353"/>
      <c r="G531" s="353"/>
      <c r="H531" s="353"/>
      <c r="I531" s="353"/>
      <c r="J531" s="353"/>
      <c r="K531" s="353"/>
      <c r="L531" s="353"/>
      <c r="M531" s="354"/>
      <c r="N531" s="354"/>
      <c r="O531" s="354"/>
    </row>
    <row r="532" spans="1:15" ht="11.25" customHeight="1">
      <c r="A532" s="354"/>
      <c r="B532" s="354"/>
      <c r="C532" s="354"/>
      <c r="D532" s="354"/>
      <c r="E532" s="353"/>
      <c r="F532" s="353"/>
      <c r="G532" s="353"/>
      <c r="H532" s="353"/>
      <c r="I532" s="353"/>
      <c r="J532" s="353"/>
      <c r="K532" s="353"/>
      <c r="L532" s="353"/>
      <c r="M532" s="354"/>
      <c r="N532" s="354"/>
      <c r="O532" s="354"/>
    </row>
    <row r="533" spans="1:15" ht="11.25" customHeight="1">
      <c r="A533" s="354"/>
      <c r="B533" s="354"/>
      <c r="C533" s="354"/>
      <c r="D533" s="354"/>
      <c r="E533" s="353"/>
      <c r="F533" s="353"/>
      <c r="G533" s="353"/>
      <c r="H533" s="353"/>
      <c r="I533" s="353"/>
      <c r="J533" s="353"/>
      <c r="K533" s="353"/>
      <c r="L533" s="353"/>
      <c r="M533" s="354"/>
      <c r="N533" s="354"/>
      <c r="O533" s="354"/>
    </row>
    <row r="534" spans="1:15" ht="11.25" customHeight="1">
      <c r="A534" s="354"/>
      <c r="B534" s="354"/>
      <c r="C534" s="354"/>
      <c r="D534" s="354"/>
      <c r="E534" s="353"/>
      <c r="F534" s="353"/>
      <c r="G534" s="353"/>
      <c r="H534" s="353"/>
      <c r="I534" s="353"/>
      <c r="J534" s="353"/>
      <c r="K534" s="353"/>
      <c r="L534" s="353"/>
      <c r="M534" s="354"/>
      <c r="N534" s="354"/>
      <c r="O534" s="354"/>
    </row>
    <row r="535" spans="1:15" ht="11.25" customHeight="1">
      <c r="A535" s="354"/>
      <c r="B535" s="354"/>
      <c r="C535" s="354"/>
      <c r="D535" s="354"/>
      <c r="E535" s="353"/>
      <c r="F535" s="353"/>
      <c r="G535" s="353"/>
      <c r="H535" s="353"/>
      <c r="I535" s="353"/>
      <c r="J535" s="353"/>
      <c r="K535" s="353"/>
      <c r="L535" s="353"/>
      <c r="M535" s="354"/>
      <c r="N535" s="354"/>
      <c r="O535" s="354"/>
    </row>
    <row r="536" spans="1:15" ht="11.25" customHeight="1">
      <c r="A536" s="354"/>
      <c r="B536" s="354"/>
      <c r="C536" s="354"/>
      <c r="D536" s="354"/>
      <c r="E536" s="353"/>
      <c r="F536" s="353"/>
      <c r="G536" s="353"/>
      <c r="H536" s="353"/>
      <c r="I536" s="353"/>
      <c r="J536" s="353"/>
      <c r="K536" s="353"/>
      <c r="L536" s="353"/>
      <c r="M536" s="354"/>
      <c r="N536" s="354"/>
      <c r="O536" s="354"/>
    </row>
    <row r="537" spans="1:15" ht="11.25" customHeight="1">
      <c r="A537" s="354"/>
      <c r="B537" s="354"/>
      <c r="C537" s="354"/>
      <c r="D537" s="354"/>
      <c r="E537" s="353"/>
      <c r="F537" s="353"/>
      <c r="G537" s="353"/>
      <c r="H537" s="353"/>
      <c r="I537" s="353"/>
      <c r="J537" s="353"/>
      <c r="K537" s="353"/>
      <c r="L537" s="353"/>
      <c r="M537" s="354"/>
      <c r="N537" s="354"/>
      <c r="O537" s="354"/>
    </row>
    <row r="538" spans="1:15" ht="11.25" customHeight="1">
      <c r="A538" s="354"/>
      <c r="B538" s="354"/>
      <c r="C538" s="354"/>
      <c r="D538" s="354"/>
      <c r="E538" s="353"/>
      <c r="F538" s="353"/>
      <c r="G538" s="353"/>
      <c r="H538" s="353"/>
      <c r="I538" s="353"/>
      <c r="J538" s="353"/>
      <c r="K538" s="353"/>
      <c r="L538" s="353"/>
      <c r="M538" s="354"/>
      <c r="N538" s="354"/>
      <c r="O538" s="354"/>
    </row>
    <row r="539" spans="1:15" ht="11.25" customHeight="1">
      <c r="A539" s="354"/>
      <c r="B539" s="354"/>
      <c r="C539" s="354"/>
      <c r="D539" s="354"/>
      <c r="E539" s="353"/>
      <c r="F539" s="353"/>
      <c r="G539" s="353"/>
      <c r="H539" s="353"/>
      <c r="I539" s="353"/>
      <c r="J539" s="353"/>
      <c r="K539" s="353"/>
      <c r="L539" s="353"/>
      <c r="M539" s="354"/>
      <c r="N539" s="354"/>
      <c r="O539" s="354"/>
    </row>
    <row r="540" spans="1:15" ht="11.25" customHeight="1">
      <c r="A540" s="354"/>
      <c r="B540" s="354"/>
      <c r="C540" s="354"/>
      <c r="D540" s="354"/>
      <c r="E540" s="353"/>
      <c r="F540" s="353"/>
      <c r="G540" s="353"/>
      <c r="H540" s="353"/>
      <c r="I540" s="353"/>
      <c r="J540" s="353"/>
      <c r="K540" s="353"/>
      <c r="L540" s="353"/>
      <c r="M540" s="354"/>
      <c r="N540" s="354"/>
      <c r="O540" s="354"/>
    </row>
    <row r="541" spans="1:15" ht="11.25" customHeight="1">
      <c r="A541" s="354"/>
      <c r="B541" s="354"/>
      <c r="C541" s="354"/>
      <c r="D541" s="354"/>
      <c r="E541" s="353"/>
      <c r="F541" s="353"/>
      <c r="G541" s="353"/>
      <c r="H541" s="353"/>
      <c r="I541" s="353"/>
      <c r="J541" s="353"/>
      <c r="K541" s="353"/>
      <c r="L541" s="353"/>
      <c r="M541" s="354"/>
      <c r="N541" s="354"/>
      <c r="O541" s="354"/>
    </row>
    <row r="542" spans="1:15" ht="11.25" customHeight="1">
      <c r="A542" s="354"/>
      <c r="B542" s="354"/>
      <c r="C542" s="354"/>
      <c r="D542" s="354"/>
      <c r="E542" s="353"/>
      <c r="F542" s="353"/>
      <c r="G542" s="353"/>
      <c r="H542" s="353"/>
      <c r="I542" s="353"/>
      <c r="J542" s="353"/>
      <c r="K542" s="353"/>
      <c r="L542" s="353"/>
      <c r="M542" s="354"/>
      <c r="N542" s="354"/>
      <c r="O542" s="354"/>
    </row>
    <row r="543" spans="1:15" ht="11.25" customHeight="1">
      <c r="A543" s="354"/>
      <c r="B543" s="354"/>
      <c r="C543" s="354"/>
      <c r="D543" s="354"/>
      <c r="E543" s="353"/>
      <c r="F543" s="353"/>
      <c r="G543" s="353"/>
      <c r="H543" s="353"/>
      <c r="I543" s="353"/>
      <c r="J543" s="353"/>
      <c r="K543" s="353"/>
      <c r="L543" s="353"/>
      <c r="M543" s="354"/>
      <c r="N543" s="354"/>
      <c r="O543" s="354"/>
    </row>
    <row r="544" spans="1:15" ht="11.25" customHeight="1">
      <c r="A544" s="354"/>
      <c r="B544" s="354"/>
      <c r="C544" s="354"/>
      <c r="D544" s="354"/>
      <c r="E544" s="353"/>
      <c r="F544" s="353"/>
      <c r="G544" s="353"/>
      <c r="H544" s="353"/>
      <c r="I544" s="353"/>
      <c r="J544" s="353"/>
      <c r="K544" s="353"/>
      <c r="L544" s="353"/>
      <c r="M544" s="354"/>
      <c r="N544" s="354"/>
      <c r="O544" s="354"/>
    </row>
    <row r="545" spans="1:15" ht="11.25" customHeight="1">
      <c r="A545" s="354"/>
      <c r="B545" s="354"/>
      <c r="C545" s="354"/>
      <c r="D545" s="354"/>
      <c r="E545" s="353"/>
      <c r="F545" s="353"/>
      <c r="G545" s="353"/>
      <c r="H545" s="353"/>
      <c r="I545" s="353"/>
      <c r="J545" s="353"/>
      <c r="K545" s="353"/>
      <c r="L545" s="353"/>
      <c r="M545" s="354"/>
      <c r="N545" s="354"/>
      <c r="O545" s="354"/>
    </row>
    <row r="546" spans="1:15" ht="11.25" customHeight="1">
      <c r="A546" s="354"/>
      <c r="B546" s="354"/>
      <c r="C546" s="354"/>
      <c r="D546" s="354"/>
      <c r="E546" s="353"/>
      <c r="F546" s="353"/>
      <c r="G546" s="353"/>
      <c r="H546" s="353"/>
      <c r="I546" s="353"/>
      <c r="J546" s="353"/>
      <c r="K546" s="353"/>
      <c r="L546" s="353"/>
      <c r="M546" s="354"/>
      <c r="N546" s="354"/>
      <c r="O546" s="354"/>
    </row>
    <row r="547" spans="1:15" ht="11.25" customHeight="1">
      <c r="A547" s="354"/>
      <c r="B547" s="354"/>
      <c r="C547" s="354"/>
      <c r="D547" s="354"/>
      <c r="E547" s="353"/>
      <c r="F547" s="353"/>
      <c r="G547" s="353"/>
      <c r="H547" s="353"/>
      <c r="I547" s="353"/>
      <c r="J547" s="353"/>
      <c r="K547" s="353"/>
      <c r="L547" s="353"/>
      <c r="M547" s="354"/>
      <c r="N547" s="354"/>
      <c r="O547" s="354"/>
    </row>
    <row r="548" spans="1:15" ht="11.25" customHeight="1">
      <c r="A548" s="354"/>
      <c r="B548" s="354"/>
      <c r="C548" s="354"/>
      <c r="D548" s="354"/>
      <c r="E548" s="353"/>
      <c r="F548" s="353"/>
      <c r="G548" s="353"/>
      <c r="H548" s="353"/>
      <c r="I548" s="353"/>
      <c r="J548" s="353"/>
      <c r="K548" s="353"/>
      <c r="L548" s="353"/>
      <c r="M548" s="354"/>
      <c r="N548" s="354"/>
      <c r="O548" s="354"/>
    </row>
    <row r="549" spans="1:15" ht="11.25" customHeight="1">
      <c r="A549" s="354"/>
      <c r="B549" s="354"/>
      <c r="C549" s="354"/>
      <c r="D549" s="354"/>
      <c r="E549" s="353"/>
      <c r="F549" s="353"/>
      <c r="G549" s="353"/>
      <c r="H549" s="353"/>
      <c r="I549" s="353"/>
      <c r="J549" s="353"/>
      <c r="K549" s="353"/>
      <c r="L549" s="353"/>
      <c r="M549" s="354"/>
      <c r="N549" s="354"/>
      <c r="O549" s="354"/>
    </row>
    <row r="550" spans="1:15" ht="11.25" customHeight="1">
      <c r="A550" s="354"/>
      <c r="B550" s="354"/>
      <c r="C550" s="354"/>
      <c r="D550" s="354"/>
      <c r="E550" s="353"/>
      <c r="F550" s="353"/>
      <c r="G550" s="353"/>
      <c r="H550" s="353"/>
      <c r="I550" s="353"/>
      <c r="J550" s="353"/>
      <c r="K550" s="353"/>
      <c r="L550" s="353"/>
      <c r="M550" s="354"/>
      <c r="N550" s="354"/>
      <c r="O550" s="354"/>
    </row>
    <row r="551" spans="1:15" ht="11.25" customHeight="1">
      <c r="A551" s="354"/>
      <c r="B551" s="354"/>
      <c r="C551" s="354"/>
      <c r="D551" s="354"/>
      <c r="E551" s="353"/>
      <c r="F551" s="353"/>
      <c r="G551" s="353"/>
      <c r="H551" s="353"/>
      <c r="I551" s="353"/>
      <c r="J551" s="353"/>
      <c r="K551" s="353"/>
      <c r="L551" s="353"/>
      <c r="M551" s="354"/>
      <c r="N551" s="354"/>
      <c r="O551" s="354"/>
    </row>
    <row r="552" spans="1:15" ht="11.25" customHeight="1">
      <c r="A552" s="354"/>
      <c r="B552" s="354"/>
      <c r="C552" s="354"/>
      <c r="D552" s="354"/>
      <c r="E552" s="353"/>
      <c r="F552" s="353"/>
      <c r="G552" s="353"/>
      <c r="H552" s="353"/>
      <c r="I552" s="353"/>
      <c r="J552" s="353"/>
      <c r="K552" s="353"/>
      <c r="L552" s="353"/>
      <c r="M552" s="354"/>
      <c r="N552" s="354"/>
      <c r="O552" s="354"/>
    </row>
    <row r="553" spans="1:15" ht="11.25" customHeight="1">
      <c r="A553" s="354"/>
      <c r="B553" s="354"/>
      <c r="C553" s="354"/>
      <c r="D553" s="354"/>
      <c r="E553" s="353"/>
      <c r="F553" s="353"/>
      <c r="G553" s="353"/>
      <c r="H553" s="353"/>
      <c r="I553" s="353"/>
      <c r="J553" s="353"/>
      <c r="K553" s="353"/>
      <c r="L553" s="353"/>
      <c r="M553" s="354"/>
      <c r="N553" s="354"/>
      <c r="O553" s="354"/>
    </row>
    <row r="554" spans="1:15" ht="11.25" customHeight="1">
      <c r="A554" s="354"/>
      <c r="B554" s="354"/>
      <c r="C554" s="354"/>
      <c r="D554" s="354"/>
      <c r="E554" s="353"/>
      <c r="F554" s="353"/>
      <c r="G554" s="353"/>
      <c r="H554" s="353"/>
      <c r="I554" s="353"/>
      <c r="J554" s="353"/>
      <c r="K554" s="353"/>
      <c r="L554" s="353"/>
      <c r="M554" s="354"/>
      <c r="N554" s="354"/>
      <c r="O554" s="354"/>
    </row>
    <row r="555" spans="1:15" ht="11.25" customHeight="1">
      <c r="A555" s="354"/>
      <c r="B555" s="354"/>
      <c r="C555" s="354"/>
      <c r="D555" s="354"/>
      <c r="E555" s="353"/>
      <c r="F555" s="353"/>
      <c r="G555" s="353"/>
      <c r="H555" s="353"/>
      <c r="I555" s="353"/>
      <c r="J555" s="353"/>
      <c r="K555" s="353"/>
      <c r="L555" s="353"/>
      <c r="M555" s="354"/>
      <c r="N555" s="354"/>
      <c r="O555" s="354"/>
    </row>
    <row r="556" spans="1:15" ht="11.25" customHeight="1">
      <c r="A556" s="354"/>
      <c r="B556" s="354"/>
      <c r="C556" s="354"/>
      <c r="D556" s="354"/>
      <c r="E556" s="353"/>
      <c r="F556" s="353"/>
      <c r="G556" s="353"/>
      <c r="H556" s="353"/>
      <c r="I556" s="353"/>
      <c r="J556" s="353"/>
      <c r="K556" s="353"/>
      <c r="L556" s="353"/>
      <c r="M556" s="354"/>
      <c r="N556" s="354"/>
      <c r="O556" s="354"/>
    </row>
    <row r="557" spans="1:15" ht="11.25" customHeight="1">
      <c r="A557" s="354"/>
      <c r="B557" s="354"/>
      <c r="C557" s="354"/>
      <c r="D557" s="354"/>
      <c r="E557" s="353"/>
      <c r="F557" s="353"/>
      <c r="G557" s="353"/>
      <c r="H557" s="353"/>
      <c r="I557" s="353"/>
      <c r="J557" s="353"/>
      <c r="K557" s="353"/>
      <c r="L557" s="353"/>
      <c r="M557" s="354"/>
      <c r="N557" s="354"/>
      <c r="O557" s="354"/>
    </row>
    <row r="558" spans="1:15" ht="11.25" customHeight="1">
      <c r="A558" s="354"/>
      <c r="B558" s="354"/>
      <c r="C558" s="354"/>
      <c r="D558" s="354"/>
      <c r="E558" s="353"/>
      <c r="F558" s="353"/>
      <c r="G558" s="353"/>
      <c r="H558" s="353"/>
      <c r="I558" s="353"/>
      <c r="J558" s="353"/>
      <c r="K558" s="353"/>
      <c r="L558" s="353"/>
      <c r="M558" s="354"/>
      <c r="N558" s="354"/>
      <c r="O558" s="354"/>
    </row>
    <row r="559" spans="1:15" ht="11.25" customHeight="1">
      <c r="A559" s="354"/>
      <c r="B559" s="354"/>
      <c r="C559" s="354"/>
      <c r="D559" s="354"/>
      <c r="E559" s="353"/>
      <c r="F559" s="353"/>
      <c r="G559" s="353"/>
      <c r="H559" s="353"/>
      <c r="I559" s="353"/>
      <c r="J559" s="353"/>
      <c r="K559" s="353"/>
      <c r="L559" s="353"/>
      <c r="M559" s="354"/>
      <c r="N559" s="354"/>
      <c r="O559" s="354"/>
    </row>
    <row r="560" spans="1:15" ht="11.25" customHeight="1">
      <c r="A560" s="354"/>
      <c r="B560" s="354"/>
      <c r="C560" s="354"/>
      <c r="D560" s="354"/>
      <c r="E560" s="353"/>
      <c r="F560" s="353"/>
      <c r="G560" s="353"/>
      <c r="H560" s="353"/>
      <c r="I560" s="353"/>
      <c r="J560" s="353"/>
      <c r="K560" s="353"/>
      <c r="L560" s="353"/>
      <c r="M560" s="354"/>
      <c r="N560" s="354"/>
      <c r="O560" s="354"/>
    </row>
    <row r="561" spans="1:15" ht="11.25" customHeight="1">
      <c r="A561" s="354"/>
      <c r="B561" s="354"/>
      <c r="C561" s="354"/>
      <c r="D561" s="354"/>
      <c r="E561" s="353"/>
      <c r="F561" s="353"/>
      <c r="G561" s="353"/>
      <c r="H561" s="353"/>
      <c r="I561" s="353"/>
      <c r="J561" s="353"/>
      <c r="K561" s="353"/>
      <c r="L561" s="353"/>
      <c r="M561" s="354"/>
      <c r="N561" s="354"/>
      <c r="O561" s="354"/>
    </row>
    <row r="562" spans="1:15" ht="11.25" customHeight="1">
      <c r="A562" s="354"/>
      <c r="B562" s="354"/>
      <c r="C562" s="354"/>
      <c r="D562" s="354"/>
      <c r="E562" s="353"/>
      <c r="F562" s="353"/>
      <c r="G562" s="353"/>
      <c r="H562" s="353"/>
      <c r="I562" s="353"/>
      <c r="J562" s="353"/>
      <c r="K562" s="353"/>
      <c r="L562" s="353"/>
      <c r="M562" s="354"/>
      <c r="N562" s="354"/>
      <c r="O562" s="354"/>
    </row>
    <row r="563" spans="1:15" ht="11.25" customHeight="1">
      <c r="A563" s="354"/>
      <c r="B563" s="354"/>
      <c r="C563" s="354"/>
      <c r="D563" s="354"/>
      <c r="E563" s="353"/>
      <c r="F563" s="353"/>
      <c r="G563" s="353"/>
      <c r="H563" s="353"/>
      <c r="I563" s="353"/>
      <c r="J563" s="353"/>
      <c r="K563" s="353"/>
      <c r="L563" s="353"/>
      <c r="M563" s="354"/>
      <c r="N563" s="354"/>
      <c r="O563" s="354"/>
    </row>
    <row r="564" spans="1:15" ht="11.25" customHeight="1">
      <c r="A564" s="354"/>
      <c r="B564" s="354"/>
      <c r="C564" s="354"/>
      <c r="D564" s="354"/>
      <c r="E564" s="353"/>
      <c r="F564" s="353"/>
      <c r="G564" s="353"/>
      <c r="H564" s="353"/>
      <c r="I564" s="353"/>
      <c r="J564" s="353"/>
      <c r="K564" s="353"/>
      <c r="L564" s="353"/>
      <c r="M564" s="354"/>
      <c r="N564" s="354"/>
      <c r="O564" s="354"/>
    </row>
    <row r="565" spans="1:15" ht="11.25" customHeight="1">
      <c r="A565" s="354"/>
      <c r="B565" s="354"/>
      <c r="C565" s="354"/>
      <c r="D565" s="354"/>
      <c r="E565" s="353"/>
      <c r="F565" s="353"/>
      <c r="G565" s="353"/>
      <c r="H565" s="353"/>
      <c r="I565" s="353"/>
      <c r="J565" s="353"/>
      <c r="K565" s="353"/>
      <c r="L565" s="353"/>
      <c r="M565" s="354"/>
      <c r="N565" s="354"/>
      <c r="O565" s="354"/>
    </row>
    <row r="566" spans="1:15" ht="11.25" customHeight="1">
      <c r="A566" s="354"/>
      <c r="B566" s="354"/>
      <c r="C566" s="354"/>
      <c r="D566" s="354"/>
      <c r="E566" s="353"/>
      <c r="F566" s="353"/>
      <c r="G566" s="353"/>
      <c r="H566" s="353"/>
      <c r="I566" s="353"/>
      <c r="J566" s="353"/>
      <c r="K566" s="353"/>
      <c r="L566" s="353"/>
      <c r="M566" s="354"/>
      <c r="N566" s="354"/>
      <c r="O566" s="354"/>
    </row>
    <row r="567" spans="1:15" ht="11.25" customHeight="1">
      <c r="A567" s="354"/>
      <c r="B567" s="354"/>
      <c r="C567" s="354"/>
      <c r="D567" s="354"/>
      <c r="E567" s="353"/>
      <c r="F567" s="353"/>
      <c r="G567" s="353"/>
      <c r="H567" s="353"/>
      <c r="I567" s="353"/>
      <c r="J567" s="353"/>
      <c r="K567" s="353"/>
      <c r="L567" s="353"/>
      <c r="M567" s="354"/>
      <c r="N567" s="354"/>
      <c r="O567" s="354"/>
    </row>
    <row r="568" spans="1:15" ht="11.25" customHeight="1">
      <c r="A568" s="354"/>
      <c r="B568" s="354"/>
      <c r="C568" s="354"/>
      <c r="D568" s="354"/>
      <c r="E568" s="353"/>
      <c r="F568" s="353"/>
      <c r="G568" s="353"/>
      <c r="H568" s="353"/>
      <c r="I568" s="353"/>
      <c r="J568" s="353"/>
      <c r="K568" s="353"/>
      <c r="L568" s="353"/>
      <c r="M568" s="354"/>
      <c r="N568" s="354"/>
      <c r="O568" s="354"/>
    </row>
    <row r="569" spans="1:15" ht="11.25" customHeight="1">
      <c r="A569" s="354"/>
      <c r="B569" s="354"/>
      <c r="C569" s="354"/>
      <c r="D569" s="354"/>
      <c r="E569" s="353"/>
      <c r="F569" s="353"/>
      <c r="G569" s="353"/>
      <c r="H569" s="353"/>
      <c r="I569" s="353"/>
      <c r="J569" s="353"/>
      <c r="K569" s="353"/>
      <c r="L569" s="353"/>
      <c r="M569" s="354"/>
      <c r="N569" s="354"/>
      <c r="O569" s="354"/>
    </row>
    <row r="570" spans="1:15" ht="11.25" customHeight="1">
      <c r="A570" s="354"/>
      <c r="B570" s="354"/>
      <c r="C570" s="354"/>
      <c r="D570" s="354"/>
      <c r="E570" s="353"/>
      <c r="F570" s="353"/>
      <c r="G570" s="353"/>
      <c r="H570" s="353"/>
      <c r="I570" s="353"/>
      <c r="J570" s="353"/>
      <c r="K570" s="353"/>
      <c r="L570" s="353"/>
      <c r="M570" s="354"/>
      <c r="N570" s="354"/>
      <c r="O570" s="354"/>
    </row>
    <row r="571" spans="1:15" ht="11.25" customHeight="1">
      <c r="A571" s="354"/>
      <c r="B571" s="354"/>
      <c r="C571" s="354"/>
      <c r="D571" s="354"/>
      <c r="E571" s="353"/>
      <c r="F571" s="353"/>
      <c r="G571" s="353"/>
      <c r="H571" s="353"/>
      <c r="I571" s="353"/>
      <c r="J571" s="353"/>
      <c r="K571" s="353"/>
      <c r="L571" s="353"/>
      <c r="M571" s="354"/>
      <c r="N571" s="354"/>
      <c r="O571" s="354"/>
    </row>
    <row r="572" spans="1:15" ht="11.25" customHeight="1">
      <c r="A572" s="354"/>
      <c r="B572" s="354"/>
      <c r="C572" s="354"/>
      <c r="D572" s="354"/>
      <c r="E572" s="353"/>
      <c r="F572" s="353"/>
      <c r="G572" s="353"/>
      <c r="H572" s="353"/>
      <c r="I572" s="353"/>
      <c r="J572" s="353"/>
      <c r="K572" s="353"/>
      <c r="L572" s="353"/>
      <c r="M572" s="354"/>
      <c r="N572" s="354"/>
      <c r="O572" s="354"/>
    </row>
    <row r="573" spans="1:15" ht="11.25" customHeight="1">
      <c r="A573" s="354"/>
      <c r="B573" s="354"/>
      <c r="C573" s="354"/>
      <c r="D573" s="354"/>
      <c r="E573" s="353"/>
      <c r="F573" s="353"/>
      <c r="G573" s="353"/>
      <c r="H573" s="353"/>
      <c r="I573" s="353"/>
      <c r="J573" s="353"/>
      <c r="K573" s="353"/>
      <c r="L573" s="353"/>
      <c r="M573" s="354"/>
      <c r="N573" s="354"/>
      <c r="O573" s="354"/>
    </row>
    <row r="574" spans="1:15" ht="11.25" customHeight="1">
      <c r="A574" s="354"/>
      <c r="B574" s="354"/>
      <c r="C574" s="354"/>
      <c r="D574" s="354"/>
      <c r="E574" s="353"/>
      <c r="F574" s="353"/>
      <c r="G574" s="353"/>
      <c r="H574" s="353"/>
      <c r="I574" s="353"/>
      <c r="J574" s="353"/>
      <c r="K574" s="353"/>
      <c r="L574" s="353"/>
      <c r="M574" s="354"/>
      <c r="N574" s="354"/>
      <c r="O574" s="354"/>
    </row>
    <row r="575" spans="1:15" ht="11.25" customHeight="1">
      <c r="A575" s="354"/>
      <c r="B575" s="354"/>
      <c r="C575" s="354"/>
      <c r="D575" s="354"/>
      <c r="E575" s="353"/>
      <c r="F575" s="353"/>
      <c r="G575" s="353"/>
      <c r="H575" s="353"/>
      <c r="I575" s="353"/>
      <c r="J575" s="353"/>
      <c r="K575" s="353"/>
      <c r="L575" s="353"/>
      <c r="M575" s="354"/>
      <c r="N575" s="354"/>
      <c r="O575" s="354"/>
    </row>
    <row r="576" spans="1:15" ht="11.25" customHeight="1">
      <c r="A576" s="354"/>
      <c r="B576" s="354"/>
      <c r="C576" s="354"/>
      <c r="D576" s="354"/>
      <c r="E576" s="353"/>
      <c r="F576" s="353"/>
      <c r="G576" s="353"/>
      <c r="H576" s="353"/>
      <c r="I576" s="353"/>
      <c r="J576" s="353"/>
      <c r="K576" s="353"/>
      <c r="L576" s="353"/>
      <c r="M576" s="354"/>
      <c r="N576" s="354"/>
      <c r="O576" s="354"/>
    </row>
    <row r="577" spans="1:15" ht="11.25" customHeight="1">
      <c r="A577" s="354"/>
      <c r="B577" s="354"/>
      <c r="C577" s="354"/>
      <c r="D577" s="354"/>
      <c r="E577" s="353"/>
      <c r="F577" s="353"/>
      <c r="G577" s="353"/>
      <c r="H577" s="353"/>
      <c r="I577" s="353"/>
      <c r="J577" s="353"/>
      <c r="K577" s="353"/>
      <c r="L577" s="353"/>
      <c r="M577" s="354"/>
      <c r="N577" s="354"/>
      <c r="O577" s="354"/>
    </row>
    <row r="578" spans="1:15" ht="11.25" customHeight="1">
      <c r="A578" s="354"/>
      <c r="B578" s="354"/>
      <c r="C578" s="354"/>
      <c r="D578" s="354"/>
      <c r="E578" s="353"/>
      <c r="F578" s="353"/>
      <c r="G578" s="353"/>
      <c r="H578" s="353"/>
      <c r="I578" s="353"/>
      <c r="J578" s="353"/>
      <c r="K578" s="353"/>
      <c r="L578" s="353"/>
      <c r="M578" s="354"/>
      <c r="N578" s="354"/>
      <c r="O578" s="354"/>
    </row>
    <row r="579" spans="1:15" ht="11.25" customHeight="1">
      <c r="A579" s="354"/>
      <c r="B579" s="354"/>
      <c r="C579" s="354"/>
      <c r="D579" s="354"/>
      <c r="E579" s="353"/>
      <c r="F579" s="353"/>
      <c r="G579" s="353"/>
      <c r="H579" s="353"/>
      <c r="I579" s="353"/>
      <c r="J579" s="353"/>
      <c r="K579" s="353"/>
      <c r="L579" s="353"/>
      <c r="M579" s="354"/>
      <c r="N579" s="354"/>
      <c r="O579" s="354"/>
    </row>
    <row r="580" spans="1:15" ht="11.25" customHeight="1">
      <c r="A580" s="354"/>
      <c r="B580" s="354"/>
      <c r="C580" s="354"/>
      <c r="D580" s="354"/>
      <c r="E580" s="353"/>
      <c r="F580" s="353"/>
      <c r="G580" s="353"/>
      <c r="H580" s="353"/>
      <c r="I580" s="353"/>
      <c r="J580" s="353"/>
      <c r="K580" s="353"/>
      <c r="L580" s="353"/>
      <c r="M580" s="354"/>
      <c r="N580" s="354"/>
      <c r="O580" s="354"/>
    </row>
    <row r="581" spans="1:15" ht="11.25" customHeight="1">
      <c r="A581" s="354"/>
      <c r="B581" s="354"/>
      <c r="C581" s="354"/>
      <c r="D581" s="354"/>
      <c r="E581" s="353"/>
      <c r="F581" s="353"/>
      <c r="G581" s="353"/>
      <c r="H581" s="353"/>
      <c r="I581" s="353"/>
      <c r="J581" s="353"/>
      <c r="K581" s="353"/>
      <c r="L581" s="353"/>
      <c r="M581" s="354"/>
      <c r="N581" s="354"/>
      <c r="O581" s="354"/>
    </row>
    <row r="582" spans="1:15" ht="11.25" customHeight="1">
      <c r="A582" s="354"/>
      <c r="B582" s="354"/>
      <c r="C582" s="354"/>
      <c r="D582" s="354"/>
      <c r="E582" s="353"/>
      <c r="F582" s="353"/>
      <c r="G582" s="353"/>
      <c r="H582" s="353"/>
      <c r="I582" s="353"/>
      <c r="J582" s="353"/>
      <c r="K582" s="353"/>
      <c r="L582" s="353"/>
      <c r="M582" s="354"/>
      <c r="N582" s="354"/>
      <c r="O582" s="354"/>
    </row>
    <row r="583" spans="1:15" ht="11.25" customHeight="1">
      <c r="A583" s="354"/>
      <c r="B583" s="354"/>
      <c r="C583" s="354"/>
      <c r="D583" s="354"/>
      <c r="E583" s="353"/>
      <c r="F583" s="353"/>
      <c r="G583" s="353"/>
      <c r="H583" s="353"/>
      <c r="I583" s="353"/>
      <c r="J583" s="353"/>
      <c r="K583" s="353"/>
      <c r="L583" s="353"/>
      <c r="M583" s="354"/>
      <c r="N583" s="354"/>
      <c r="O583" s="354"/>
    </row>
    <row r="584" spans="1:15" ht="11.25" customHeight="1">
      <c r="A584" s="354"/>
      <c r="B584" s="354"/>
      <c r="C584" s="354"/>
      <c r="D584" s="354"/>
      <c r="E584" s="353"/>
      <c r="F584" s="353"/>
      <c r="G584" s="353"/>
      <c r="H584" s="353"/>
      <c r="I584" s="353"/>
      <c r="J584" s="353"/>
      <c r="K584" s="353"/>
      <c r="L584" s="353"/>
      <c r="M584" s="354"/>
      <c r="N584" s="354"/>
      <c r="O584" s="354"/>
    </row>
    <row r="585" spans="1:15" ht="11.25" customHeight="1">
      <c r="A585" s="354"/>
      <c r="B585" s="354"/>
      <c r="C585" s="354"/>
      <c r="D585" s="354"/>
      <c r="E585" s="353"/>
      <c r="F585" s="353"/>
      <c r="G585" s="353"/>
      <c r="H585" s="353"/>
      <c r="I585" s="353"/>
      <c r="J585" s="353"/>
      <c r="K585" s="353"/>
      <c r="L585" s="353"/>
      <c r="M585" s="354"/>
      <c r="N585" s="354"/>
      <c r="O585" s="354"/>
    </row>
    <row r="586" spans="1:15" ht="11.25" customHeight="1">
      <c r="A586" s="354"/>
      <c r="B586" s="354"/>
      <c r="C586" s="354"/>
      <c r="D586" s="354"/>
      <c r="E586" s="353"/>
      <c r="F586" s="353"/>
      <c r="G586" s="353"/>
      <c r="H586" s="353"/>
      <c r="I586" s="353"/>
      <c r="J586" s="353"/>
      <c r="K586" s="353"/>
      <c r="L586" s="353"/>
      <c r="M586" s="354"/>
      <c r="N586" s="354"/>
      <c r="O586" s="354"/>
    </row>
    <row r="587" spans="1:15" ht="11.25" customHeight="1">
      <c r="A587" s="354"/>
      <c r="B587" s="354"/>
      <c r="C587" s="354"/>
      <c r="D587" s="354"/>
      <c r="E587" s="353"/>
      <c r="F587" s="353"/>
      <c r="G587" s="353"/>
      <c r="H587" s="353"/>
      <c r="I587" s="353"/>
      <c r="J587" s="353"/>
      <c r="K587" s="353"/>
      <c r="L587" s="353"/>
      <c r="M587" s="354"/>
      <c r="N587" s="354"/>
      <c r="O587" s="354"/>
    </row>
    <row r="588" spans="1:15" ht="11.25" customHeight="1">
      <c r="A588" s="354"/>
      <c r="B588" s="354"/>
      <c r="C588" s="354"/>
      <c r="D588" s="354"/>
      <c r="E588" s="353"/>
      <c r="F588" s="353"/>
      <c r="G588" s="353"/>
      <c r="H588" s="353"/>
      <c r="I588" s="353"/>
      <c r="J588" s="353"/>
      <c r="K588" s="353"/>
      <c r="L588" s="353"/>
      <c r="M588" s="354"/>
      <c r="N588" s="354"/>
      <c r="O588" s="354"/>
    </row>
    <row r="589" spans="1:15" ht="11.25" customHeight="1">
      <c r="A589" s="354"/>
      <c r="B589" s="354"/>
      <c r="C589" s="354"/>
      <c r="D589" s="354"/>
      <c r="E589" s="353"/>
      <c r="F589" s="353"/>
      <c r="G589" s="353"/>
      <c r="H589" s="353"/>
      <c r="I589" s="353"/>
      <c r="J589" s="353"/>
      <c r="K589" s="353"/>
      <c r="L589" s="353"/>
      <c r="M589" s="354"/>
      <c r="N589" s="354"/>
      <c r="O589" s="354"/>
    </row>
    <row r="590" spans="1:15" ht="11.25" customHeight="1">
      <c r="A590" s="354"/>
      <c r="B590" s="354"/>
      <c r="C590" s="354"/>
      <c r="D590" s="354"/>
      <c r="E590" s="353"/>
      <c r="F590" s="353"/>
      <c r="G590" s="353"/>
      <c r="H590" s="353"/>
      <c r="I590" s="353"/>
      <c r="J590" s="353"/>
      <c r="K590" s="353"/>
      <c r="L590" s="353"/>
      <c r="M590" s="354"/>
      <c r="N590" s="354"/>
      <c r="O590" s="354"/>
    </row>
    <row r="591" spans="1:15" ht="11.25" customHeight="1">
      <c r="A591" s="354"/>
      <c r="B591" s="354"/>
      <c r="C591" s="354"/>
      <c r="D591" s="354"/>
      <c r="E591" s="353"/>
      <c r="F591" s="353"/>
      <c r="G591" s="353"/>
      <c r="H591" s="353"/>
      <c r="I591" s="353"/>
      <c r="J591" s="353"/>
      <c r="K591" s="353"/>
      <c r="L591" s="353"/>
      <c r="M591" s="354"/>
      <c r="N591" s="354"/>
      <c r="O591" s="354"/>
    </row>
    <row r="592" spans="1:15" ht="11.25" customHeight="1">
      <c r="A592" s="354"/>
      <c r="B592" s="354"/>
      <c r="C592" s="354"/>
      <c r="D592" s="354"/>
      <c r="E592" s="353"/>
      <c r="F592" s="353"/>
      <c r="G592" s="353"/>
      <c r="H592" s="353"/>
      <c r="I592" s="353"/>
      <c r="J592" s="353"/>
      <c r="K592" s="353"/>
      <c r="L592" s="353"/>
      <c r="M592" s="354"/>
      <c r="N592" s="354"/>
      <c r="O592" s="354"/>
    </row>
    <row r="593" spans="1:15" ht="11.25" customHeight="1">
      <c r="A593" s="354"/>
      <c r="B593" s="354"/>
      <c r="C593" s="354"/>
      <c r="D593" s="354"/>
      <c r="E593" s="353"/>
      <c r="F593" s="353"/>
      <c r="G593" s="353"/>
      <c r="H593" s="353"/>
      <c r="I593" s="353"/>
      <c r="J593" s="353"/>
      <c r="K593" s="353"/>
      <c r="L593" s="353"/>
      <c r="M593" s="354"/>
      <c r="N593" s="354"/>
      <c r="O593" s="354"/>
    </row>
    <row r="594" spans="1:15" ht="11.25" customHeight="1">
      <c r="A594" s="354"/>
      <c r="B594" s="354"/>
      <c r="C594" s="354"/>
      <c r="D594" s="354"/>
      <c r="E594" s="353"/>
      <c r="F594" s="353"/>
      <c r="G594" s="353"/>
      <c r="H594" s="353"/>
      <c r="I594" s="353"/>
      <c r="J594" s="353"/>
      <c r="K594" s="353"/>
      <c r="L594" s="353"/>
      <c r="M594" s="354"/>
      <c r="N594" s="354"/>
      <c r="O594" s="354"/>
    </row>
    <row r="595" spans="1:15" ht="11.25" customHeight="1">
      <c r="A595" s="354"/>
      <c r="B595" s="354"/>
      <c r="C595" s="354"/>
      <c r="D595" s="354"/>
      <c r="E595" s="353"/>
      <c r="F595" s="353"/>
      <c r="G595" s="353"/>
      <c r="H595" s="353"/>
      <c r="I595" s="353"/>
      <c r="J595" s="353"/>
      <c r="K595" s="353"/>
      <c r="L595" s="353"/>
      <c r="M595" s="354"/>
      <c r="N595" s="354"/>
      <c r="O595" s="354"/>
    </row>
    <row r="596" spans="1:15" ht="11.25" customHeight="1">
      <c r="A596" s="354"/>
      <c r="B596" s="354"/>
      <c r="C596" s="354"/>
      <c r="D596" s="354"/>
      <c r="E596" s="353"/>
      <c r="F596" s="353"/>
      <c r="G596" s="353"/>
      <c r="H596" s="353"/>
      <c r="I596" s="353"/>
      <c r="J596" s="353"/>
      <c r="K596" s="353"/>
      <c r="L596" s="353"/>
      <c r="M596" s="354"/>
      <c r="N596" s="354"/>
      <c r="O596" s="354"/>
    </row>
    <row r="597" spans="1:15" ht="11.25" customHeight="1">
      <c r="A597" s="354"/>
      <c r="B597" s="354"/>
      <c r="C597" s="354"/>
      <c r="D597" s="354"/>
      <c r="E597" s="353"/>
      <c r="F597" s="353"/>
      <c r="G597" s="353"/>
      <c r="H597" s="353"/>
      <c r="I597" s="353"/>
      <c r="J597" s="353"/>
      <c r="K597" s="353"/>
      <c r="L597" s="353"/>
      <c r="M597" s="354"/>
      <c r="N597" s="354"/>
      <c r="O597" s="354"/>
    </row>
    <row r="598" spans="1:15" ht="11.25" customHeight="1">
      <c r="A598" s="354"/>
      <c r="B598" s="354"/>
      <c r="C598" s="354"/>
      <c r="D598" s="354"/>
      <c r="E598" s="353"/>
      <c r="F598" s="353"/>
      <c r="G598" s="353"/>
      <c r="H598" s="353"/>
      <c r="I598" s="353"/>
      <c r="J598" s="353"/>
      <c r="K598" s="353"/>
      <c r="L598" s="353"/>
      <c r="M598" s="354"/>
      <c r="N598" s="354"/>
      <c r="O598" s="354"/>
    </row>
    <row r="599" spans="1:15" ht="11.25" customHeight="1">
      <c r="A599" s="354"/>
      <c r="B599" s="354"/>
      <c r="C599" s="354"/>
      <c r="D599" s="354"/>
      <c r="E599" s="353"/>
      <c r="F599" s="353"/>
      <c r="G599" s="353"/>
      <c r="H599" s="353"/>
      <c r="I599" s="353"/>
      <c r="J599" s="353"/>
      <c r="K599" s="353"/>
      <c r="L599" s="353"/>
      <c r="M599" s="354"/>
      <c r="N599" s="354"/>
      <c r="O599" s="354"/>
    </row>
    <row r="600" spans="1:15" ht="11.25" customHeight="1">
      <c r="A600" s="354"/>
      <c r="B600" s="354"/>
      <c r="C600" s="354"/>
      <c r="D600" s="354"/>
      <c r="E600" s="353"/>
      <c r="F600" s="353"/>
      <c r="G600" s="353"/>
      <c r="H600" s="353"/>
      <c r="I600" s="353"/>
      <c r="J600" s="353"/>
      <c r="K600" s="353"/>
      <c r="L600" s="353"/>
      <c r="M600" s="354"/>
      <c r="N600" s="354"/>
      <c r="O600" s="354"/>
    </row>
    <row r="601" spans="1:15" ht="11.25" customHeight="1">
      <c r="A601" s="354"/>
      <c r="B601" s="354"/>
      <c r="C601" s="354"/>
      <c r="D601" s="354"/>
      <c r="E601" s="353"/>
      <c r="F601" s="353"/>
      <c r="G601" s="353"/>
      <c r="H601" s="353"/>
      <c r="I601" s="353"/>
      <c r="J601" s="353"/>
      <c r="K601" s="353"/>
      <c r="L601" s="353"/>
      <c r="M601" s="354"/>
      <c r="N601" s="354"/>
      <c r="O601" s="354"/>
    </row>
    <row r="602" spans="1:15" ht="11.25" customHeight="1">
      <c r="A602" s="354"/>
      <c r="B602" s="354"/>
      <c r="C602" s="354"/>
      <c r="D602" s="354"/>
      <c r="E602" s="353"/>
      <c r="F602" s="353"/>
      <c r="G602" s="353"/>
      <c r="H602" s="353"/>
      <c r="I602" s="353"/>
      <c r="J602" s="353"/>
      <c r="K602" s="353"/>
      <c r="L602" s="353"/>
      <c r="M602" s="354"/>
      <c r="N602" s="354"/>
      <c r="O602" s="354"/>
    </row>
    <row r="603" spans="1:15" ht="11.25" customHeight="1">
      <c r="A603" s="354"/>
      <c r="B603" s="354"/>
      <c r="C603" s="354"/>
      <c r="D603" s="354"/>
      <c r="E603" s="353"/>
      <c r="F603" s="353"/>
      <c r="G603" s="353"/>
      <c r="H603" s="353"/>
      <c r="I603" s="353"/>
      <c r="J603" s="353"/>
      <c r="K603" s="353"/>
      <c r="L603" s="353"/>
      <c r="M603" s="354"/>
      <c r="N603" s="354"/>
      <c r="O603" s="354"/>
    </row>
    <row r="604" spans="1:15" ht="11.25" customHeight="1">
      <c r="A604" s="354"/>
      <c r="B604" s="354"/>
      <c r="C604" s="354"/>
      <c r="D604" s="354"/>
      <c r="E604" s="353"/>
      <c r="F604" s="353"/>
      <c r="G604" s="353"/>
      <c r="H604" s="353"/>
      <c r="I604" s="353"/>
      <c r="J604" s="353"/>
      <c r="K604" s="353"/>
      <c r="L604" s="353"/>
      <c r="M604" s="354"/>
      <c r="N604" s="354"/>
      <c r="O604" s="354"/>
    </row>
    <row r="605" spans="1:15" ht="11.25" customHeight="1">
      <c r="A605" s="354"/>
      <c r="B605" s="354"/>
      <c r="C605" s="354"/>
      <c r="D605" s="354"/>
      <c r="E605" s="353"/>
      <c r="F605" s="353"/>
      <c r="G605" s="353"/>
      <c r="H605" s="353"/>
      <c r="I605" s="353"/>
      <c r="J605" s="353"/>
      <c r="K605" s="353"/>
      <c r="L605" s="353"/>
      <c r="M605" s="354"/>
      <c r="N605" s="354"/>
      <c r="O605" s="354"/>
    </row>
    <row r="606" spans="1:15" ht="11.25" customHeight="1">
      <c r="A606" s="354"/>
      <c r="B606" s="354"/>
      <c r="C606" s="354"/>
      <c r="D606" s="354"/>
      <c r="E606" s="353"/>
      <c r="F606" s="353"/>
      <c r="G606" s="353"/>
      <c r="H606" s="353"/>
      <c r="I606" s="353"/>
      <c r="J606" s="353"/>
      <c r="K606" s="353"/>
      <c r="L606" s="353"/>
      <c r="M606" s="354"/>
      <c r="N606" s="354"/>
      <c r="O606" s="354"/>
    </row>
    <row r="607" spans="1:15" ht="11.25" customHeight="1">
      <c r="A607" s="354"/>
      <c r="B607" s="354"/>
      <c r="C607" s="354"/>
      <c r="D607" s="354"/>
      <c r="E607" s="353"/>
      <c r="F607" s="353"/>
      <c r="G607" s="353"/>
      <c r="H607" s="353"/>
      <c r="I607" s="353"/>
      <c r="J607" s="353"/>
      <c r="K607" s="353"/>
      <c r="L607" s="353"/>
      <c r="M607" s="354"/>
      <c r="N607" s="354"/>
      <c r="O607" s="354"/>
    </row>
    <row r="608" spans="1:15" ht="11.25" customHeight="1">
      <c r="A608" s="354"/>
      <c r="B608" s="354"/>
      <c r="C608" s="354"/>
      <c r="D608" s="354"/>
      <c r="E608" s="353"/>
      <c r="F608" s="353"/>
      <c r="G608" s="353"/>
      <c r="H608" s="353"/>
      <c r="I608" s="353"/>
      <c r="J608" s="353"/>
      <c r="K608" s="353"/>
      <c r="L608" s="353"/>
      <c r="M608" s="354"/>
      <c r="N608" s="354"/>
      <c r="O608" s="354"/>
    </row>
    <row r="609" spans="1:15" ht="11.25" customHeight="1">
      <c r="A609" s="354"/>
      <c r="B609" s="354"/>
      <c r="C609" s="354"/>
      <c r="D609" s="354"/>
      <c r="E609" s="353"/>
      <c r="F609" s="353"/>
      <c r="G609" s="353"/>
      <c r="H609" s="353"/>
      <c r="I609" s="353"/>
      <c r="J609" s="353"/>
      <c r="K609" s="353"/>
      <c r="L609" s="353"/>
      <c r="M609" s="354"/>
      <c r="N609" s="354"/>
      <c r="O609" s="354"/>
    </row>
    <row r="610" spans="1:15" ht="11.25" customHeight="1">
      <c r="A610" s="354"/>
      <c r="B610" s="354"/>
      <c r="C610" s="354"/>
      <c r="D610" s="354"/>
      <c r="E610" s="353"/>
      <c r="F610" s="353"/>
      <c r="G610" s="353"/>
      <c r="H610" s="353"/>
      <c r="I610" s="353"/>
      <c r="J610" s="353"/>
      <c r="K610" s="353"/>
      <c r="L610" s="353"/>
      <c r="M610" s="354"/>
      <c r="N610" s="354"/>
      <c r="O610" s="354"/>
    </row>
    <row r="611" spans="1:15" ht="11.25" customHeight="1">
      <c r="A611" s="354"/>
      <c r="B611" s="354"/>
      <c r="C611" s="354"/>
      <c r="D611" s="354"/>
      <c r="E611" s="353"/>
      <c r="F611" s="353"/>
      <c r="G611" s="353"/>
      <c r="H611" s="353"/>
      <c r="I611" s="353"/>
      <c r="J611" s="353"/>
      <c r="K611" s="353"/>
      <c r="L611" s="353"/>
      <c r="M611" s="354"/>
      <c r="N611" s="354"/>
      <c r="O611" s="354"/>
    </row>
    <row r="612" spans="1:15" ht="11.25" customHeight="1">
      <c r="A612" s="354"/>
      <c r="B612" s="354"/>
      <c r="C612" s="354"/>
      <c r="D612" s="354"/>
      <c r="E612" s="353"/>
      <c r="F612" s="353"/>
      <c r="G612" s="353"/>
      <c r="H612" s="353"/>
      <c r="I612" s="353"/>
      <c r="J612" s="353"/>
      <c r="K612" s="353"/>
      <c r="L612" s="353"/>
      <c r="M612" s="354"/>
      <c r="N612" s="354"/>
      <c r="O612" s="354"/>
    </row>
    <row r="613" spans="1:15" ht="11.25" customHeight="1">
      <c r="A613" s="354"/>
      <c r="B613" s="354"/>
      <c r="C613" s="354"/>
      <c r="D613" s="354"/>
      <c r="E613" s="353"/>
      <c r="F613" s="353"/>
      <c r="G613" s="353"/>
      <c r="H613" s="353"/>
      <c r="I613" s="353"/>
      <c r="J613" s="353"/>
      <c r="K613" s="353"/>
      <c r="L613" s="353"/>
      <c r="M613" s="354"/>
      <c r="N613" s="354"/>
      <c r="O613" s="354"/>
    </row>
    <row r="614" spans="1:15" ht="11.25" customHeight="1">
      <c r="A614" s="354"/>
      <c r="B614" s="354"/>
      <c r="C614" s="354"/>
      <c r="D614" s="354"/>
      <c r="E614" s="353"/>
      <c r="F614" s="353"/>
      <c r="G614" s="353"/>
      <c r="H614" s="353"/>
      <c r="I614" s="353"/>
      <c r="J614" s="353"/>
      <c r="K614" s="353"/>
      <c r="L614" s="353"/>
      <c r="M614" s="354"/>
      <c r="N614" s="354"/>
      <c r="O614" s="354"/>
    </row>
    <row r="615" spans="1:15" ht="11.25" customHeight="1">
      <c r="A615" s="354"/>
      <c r="B615" s="354"/>
      <c r="C615" s="354"/>
      <c r="D615" s="354"/>
      <c r="E615" s="353"/>
      <c r="F615" s="353"/>
      <c r="G615" s="353"/>
      <c r="H615" s="353"/>
      <c r="I615" s="353"/>
      <c r="J615" s="353"/>
      <c r="K615" s="353"/>
      <c r="L615" s="353"/>
      <c r="M615" s="354"/>
      <c r="N615" s="354"/>
      <c r="O615" s="354"/>
    </row>
    <row r="616" spans="1:15" ht="11.25" customHeight="1">
      <c r="A616" s="354"/>
      <c r="B616" s="354"/>
      <c r="C616" s="354"/>
      <c r="D616" s="354"/>
      <c r="E616" s="353"/>
      <c r="F616" s="353"/>
      <c r="G616" s="353"/>
      <c r="H616" s="353"/>
      <c r="I616" s="353"/>
      <c r="J616" s="353"/>
      <c r="K616" s="353"/>
      <c r="L616" s="353"/>
      <c r="M616" s="354"/>
      <c r="N616" s="354"/>
      <c r="O616" s="354"/>
    </row>
    <row r="617" spans="1:15" ht="11.25" customHeight="1">
      <c r="A617" s="354"/>
      <c r="B617" s="354"/>
      <c r="C617" s="354"/>
      <c r="D617" s="354"/>
      <c r="E617" s="353"/>
      <c r="F617" s="353"/>
      <c r="G617" s="353"/>
      <c r="H617" s="353"/>
      <c r="I617" s="353"/>
      <c r="J617" s="353"/>
      <c r="K617" s="353"/>
      <c r="L617" s="353"/>
      <c r="M617" s="354"/>
      <c r="N617" s="354"/>
      <c r="O617" s="354"/>
    </row>
    <row r="618" spans="1:15" ht="11.25" customHeight="1">
      <c r="A618" s="354"/>
      <c r="B618" s="354"/>
      <c r="C618" s="354"/>
      <c r="D618" s="354"/>
      <c r="E618" s="353"/>
      <c r="F618" s="353"/>
      <c r="G618" s="353"/>
      <c r="H618" s="353"/>
      <c r="I618" s="353"/>
      <c r="J618" s="353"/>
      <c r="K618" s="353"/>
      <c r="L618" s="353"/>
      <c r="M618" s="354"/>
      <c r="N618" s="354"/>
      <c r="O618" s="354"/>
    </row>
    <row r="619" spans="1:15" ht="11.25" customHeight="1">
      <c r="A619" s="354"/>
      <c r="B619" s="354"/>
      <c r="C619" s="354"/>
      <c r="D619" s="354"/>
      <c r="E619" s="353"/>
      <c r="F619" s="353"/>
      <c r="G619" s="353"/>
      <c r="H619" s="353"/>
      <c r="I619" s="353"/>
      <c r="J619" s="353"/>
      <c r="K619" s="353"/>
      <c r="L619" s="353"/>
      <c r="M619" s="354"/>
      <c r="N619" s="354"/>
      <c r="O619" s="354"/>
    </row>
    <row r="620" spans="1:15" ht="11.25" customHeight="1">
      <c r="A620" s="354"/>
      <c r="B620" s="354"/>
      <c r="C620" s="354"/>
      <c r="D620" s="354"/>
      <c r="E620" s="353"/>
      <c r="F620" s="353"/>
      <c r="G620" s="353"/>
      <c r="H620" s="353"/>
      <c r="I620" s="353"/>
      <c r="J620" s="353"/>
      <c r="K620" s="353"/>
      <c r="L620" s="353"/>
      <c r="M620" s="354"/>
      <c r="N620" s="354"/>
      <c r="O620" s="354"/>
    </row>
    <row r="621" spans="1:15" ht="11.25" customHeight="1">
      <c r="A621" s="354"/>
      <c r="B621" s="354"/>
      <c r="C621" s="354"/>
      <c r="D621" s="354"/>
      <c r="E621" s="353"/>
      <c r="F621" s="353"/>
      <c r="G621" s="353"/>
      <c r="H621" s="353"/>
      <c r="I621" s="353"/>
      <c r="J621" s="353"/>
      <c r="K621" s="353"/>
      <c r="L621" s="353"/>
      <c r="M621" s="354"/>
      <c r="N621" s="354"/>
      <c r="O621" s="354"/>
    </row>
    <row r="622" spans="1:15" ht="11.25" customHeight="1">
      <c r="A622" s="354"/>
      <c r="B622" s="354"/>
      <c r="C622" s="354"/>
      <c r="D622" s="354"/>
      <c r="E622" s="353"/>
      <c r="F622" s="353"/>
      <c r="G622" s="353"/>
      <c r="H622" s="353"/>
      <c r="I622" s="353"/>
      <c r="J622" s="353"/>
      <c r="K622" s="353"/>
      <c r="L622" s="353"/>
      <c r="M622" s="354"/>
      <c r="N622" s="354"/>
      <c r="O622" s="354"/>
    </row>
    <row r="623" spans="1:15" ht="11.25" customHeight="1">
      <c r="A623" s="354"/>
      <c r="B623" s="354"/>
      <c r="C623" s="354"/>
      <c r="D623" s="354"/>
      <c r="E623" s="353"/>
      <c r="F623" s="353"/>
      <c r="G623" s="353"/>
      <c r="H623" s="353"/>
      <c r="I623" s="353"/>
      <c r="J623" s="353"/>
      <c r="K623" s="353"/>
      <c r="L623" s="353"/>
      <c r="M623" s="354"/>
      <c r="N623" s="354"/>
      <c r="O623" s="354"/>
    </row>
    <row r="624" spans="1:15" ht="11.25" customHeight="1">
      <c r="A624" s="354"/>
      <c r="B624" s="354"/>
      <c r="C624" s="354"/>
      <c r="D624" s="354"/>
      <c r="E624" s="353"/>
      <c r="F624" s="353"/>
      <c r="G624" s="353"/>
      <c r="H624" s="353"/>
      <c r="I624" s="353"/>
      <c r="J624" s="353"/>
      <c r="K624" s="353"/>
      <c r="L624" s="353"/>
      <c r="M624" s="354"/>
      <c r="N624" s="354"/>
      <c r="O624" s="354"/>
    </row>
    <row r="625" spans="1:15" ht="11.25" customHeight="1">
      <c r="A625" s="354"/>
      <c r="B625" s="354"/>
      <c r="C625" s="354"/>
      <c r="D625" s="354"/>
      <c r="E625" s="353"/>
      <c r="F625" s="353"/>
      <c r="G625" s="353"/>
      <c r="H625" s="353"/>
      <c r="I625" s="353"/>
      <c r="J625" s="353"/>
      <c r="K625" s="353"/>
      <c r="L625" s="353"/>
      <c r="M625" s="354"/>
      <c r="N625" s="354"/>
      <c r="O625" s="354"/>
    </row>
    <row r="626" spans="1:15" ht="11.25" customHeight="1">
      <c r="A626" s="354"/>
      <c r="B626" s="354"/>
      <c r="C626" s="354"/>
      <c r="D626" s="354"/>
      <c r="E626" s="353"/>
      <c r="F626" s="353"/>
      <c r="G626" s="353"/>
      <c r="H626" s="353"/>
      <c r="I626" s="353"/>
      <c r="J626" s="353"/>
      <c r="K626" s="353"/>
      <c r="L626" s="353"/>
      <c r="M626" s="354"/>
      <c r="N626" s="354"/>
      <c r="O626" s="354"/>
    </row>
    <row r="627" spans="1:15" ht="11.25" customHeight="1">
      <c r="A627" s="354"/>
      <c r="B627" s="354"/>
      <c r="C627" s="354"/>
      <c r="D627" s="354"/>
      <c r="E627" s="353"/>
      <c r="F627" s="353"/>
      <c r="G627" s="353"/>
      <c r="H627" s="353"/>
      <c r="I627" s="353"/>
      <c r="J627" s="353"/>
      <c r="K627" s="353"/>
      <c r="L627" s="353"/>
      <c r="M627" s="354"/>
      <c r="N627" s="354"/>
      <c r="O627" s="354"/>
    </row>
    <row r="628" spans="1:15" ht="11.25" customHeight="1">
      <c r="A628" s="354"/>
      <c r="B628" s="354"/>
      <c r="C628" s="354"/>
      <c r="D628" s="354"/>
      <c r="E628" s="353"/>
      <c r="F628" s="353"/>
      <c r="G628" s="353"/>
      <c r="H628" s="353"/>
      <c r="I628" s="353"/>
      <c r="J628" s="353"/>
      <c r="K628" s="353"/>
      <c r="L628" s="353"/>
      <c r="M628" s="354"/>
      <c r="N628" s="354"/>
      <c r="O628" s="354"/>
    </row>
    <row r="629" spans="1:15" ht="11.25" customHeight="1">
      <c r="A629" s="354"/>
      <c r="B629" s="354"/>
      <c r="C629" s="354"/>
      <c r="D629" s="354"/>
      <c r="E629" s="353"/>
      <c r="F629" s="353"/>
      <c r="G629" s="353"/>
      <c r="H629" s="353"/>
      <c r="I629" s="353"/>
      <c r="J629" s="353"/>
      <c r="K629" s="353"/>
      <c r="L629" s="353"/>
      <c r="M629" s="354"/>
      <c r="N629" s="354"/>
      <c r="O629" s="354"/>
    </row>
    <row r="630" spans="1:15" ht="11.25" customHeight="1">
      <c r="A630" s="354"/>
      <c r="B630" s="354"/>
      <c r="C630" s="354"/>
      <c r="D630" s="354"/>
      <c r="E630" s="353"/>
      <c r="F630" s="353"/>
      <c r="G630" s="353"/>
      <c r="H630" s="353"/>
      <c r="I630" s="353"/>
      <c r="J630" s="353"/>
      <c r="K630" s="353"/>
      <c r="L630" s="353"/>
      <c r="M630" s="354"/>
      <c r="N630" s="354"/>
      <c r="O630" s="354"/>
    </row>
    <row r="631" spans="1:15" ht="11.25" customHeight="1">
      <c r="A631" s="354"/>
      <c r="B631" s="354"/>
      <c r="C631" s="354"/>
      <c r="D631" s="354"/>
      <c r="E631" s="353"/>
      <c r="F631" s="353"/>
      <c r="G631" s="353"/>
      <c r="H631" s="353"/>
      <c r="I631" s="353"/>
      <c r="J631" s="353"/>
      <c r="K631" s="353"/>
      <c r="L631" s="353"/>
      <c r="M631" s="354"/>
      <c r="N631" s="354"/>
      <c r="O631" s="354"/>
    </row>
    <row r="632" spans="1:15" ht="11.25" customHeight="1">
      <c r="A632" s="354"/>
      <c r="B632" s="354"/>
      <c r="C632" s="354"/>
      <c r="D632" s="354"/>
      <c r="E632" s="353"/>
      <c r="F632" s="353"/>
      <c r="G632" s="353"/>
      <c r="H632" s="353"/>
      <c r="I632" s="353"/>
      <c r="J632" s="353"/>
      <c r="K632" s="353"/>
      <c r="L632" s="353"/>
      <c r="M632" s="354"/>
      <c r="N632" s="354"/>
      <c r="O632" s="354"/>
    </row>
    <row r="633" spans="1:15" ht="11.25" customHeight="1">
      <c r="A633" s="354"/>
      <c r="B633" s="354"/>
      <c r="C633" s="354"/>
      <c r="D633" s="354"/>
      <c r="E633" s="353"/>
      <c r="F633" s="353"/>
      <c r="G633" s="353"/>
      <c r="H633" s="353"/>
      <c r="I633" s="353"/>
      <c r="J633" s="353"/>
      <c r="K633" s="353"/>
      <c r="L633" s="353"/>
      <c r="M633" s="354"/>
      <c r="N633" s="354"/>
      <c r="O633" s="354"/>
    </row>
    <row r="634" spans="1:15" ht="11.25" customHeight="1">
      <c r="A634" s="354"/>
      <c r="B634" s="354"/>
      <c r="C634" s="354"/>
      <c r="D634" s="354"/>
      <c r="E634" s="353"/>
      <c r="F634" s="353"/>
      <c r="G634" s="353"/>
      <c r="H634" s="353"/>
      <c r="I634" s="353"/>
      <c r="J634" s="353"/>
      <c r="K634" s="353"/>
      <c r="L634" s="353"/>
      <c r="M634" s="354"/>
      <c r="N634" s="354"/>
      <c r="O634" s="354"/>
    </row>
    <row r="635" spans="1:15" ht="11.25" customHeight="1">
      <c r="A635" s="354"/>
      <c r="B635" s="354"/>
      <c r="C635" s="354"/>
      <c r="D635" s="354"/>
      <c r="E635" s="353"/>
      <c r="F635" s="353"/>
      <c r="G635" s="353"/>
      <c r="H635" s="353"/>
      <c r="I635" s="353"/>
      <c r="J635" s="353"/>
      <c r="K635" s="353"/>
      <c r="L635" s="353"/>
      <c r="M635" s="354"/>
      <c r="N635" s="354"/>
      <c r="O635" s="354"/>
    </row>
    <row r="636" spans="1:15" ht="11.25" customHeight="1">
      <c r="A636" s="354"/>
      <c r="B636" s="354"/>
      <c r="C636" s="354"/>
      <c r="D636" s="354"/>
      <c r="E636" s="353"/>
      <c r="F636" s="353"/>
      <c r="G636" s="353"/>
      <c r="H636" s="353"/>
      <c r="I636" s="353"/>
      <c r="J636" s="353"/>
      <c r="K636" s="353"/>
      <c r="L636" s="353"/>
      <c r="M636" s="354"/>
      <c r="N636" s="354"/>
      <c r="O636" s="354"/>
    </row>
    <row r="637" spans="1:15" ht="11.25" customHeight="1">
      <c r="A637" s="354"/>
      <c r="B637" s="354"/>
      <c r="C637" s="354"/>
      <c r="D637" s="354"/>
      <c r="E637" s="353"/>
      <c r="F637" s="353"/>
      <c r="G637" s="353"/>
      <c r="H637" s="353"/>
      <c r="I637" s="353"/>
      <c r="J637" s="353"/>
      <c r="K637" s="353"/>
      <c r="L637" s="353"/>
      <c r="M637" s="354"/>
      <c r="N637" s="354"/>
      <c r="O637" s="354"/>
    </row>
    <row r="638" spans="1:15" ht="11.25" customHeight="1">
      <c r="A638" s="354"/>
      <c r="B638" s="354"/>
      <c r="C638" s="354"/>
      <c r="D638" s="354"/>
      <c r="E638" s="353"/>
      <c r="F638" s="353"/>
      <c r="G638" s="353"/>
      <c r="H638" s="353"/>
      <c r="I638" s="353"/>
      <c r="J638" s="353"/>
      <c r="K638" s="353"/>
      <c r="L638" s="353"/>
      <c r="M638" s="354"/>
      <c r="N638" s="354"/>
      <c r="O638" s="354"/>
    </row>
    <row r="639" spans="1:15" ht="11.25" customHeight="1">
      <c r="A639" s="354"/>
      <c r="B639" s="354"/>
      <c r="C639" s="354"/>
      <c r="D639" s="354"/>
      <c r="E639" s="353"/>
      <c r="F639" s="353"/>
      <c r="G639" s="353"/>
      <c r="H639" s="353"/>
      <c r="I639" s="353"/>
      <c r="J639" s="353"/>
      <c r="K639" s="353"/>
      <c r="L639" s="353"/>
      <c r="M639" s="354"/>
      <c r="N639" s="354"/>
      <c r="O639" s="354"/>
    </row>
    <row r="640" spans="1:15" ht="11.25" customHeight="1">
      <c r="A640" s="354"/>
      <c r="B640" s="354"/>
      <c r="C640" s="354"/>
      <c r="D640" s="354"/>
      <c r="E640" s="353"/>
      <c r="F640" s="353"/>
      <c r="G640" s="353"/>
      <c r="H640" s="353"/>
      <c r="I640" s="353"/>
      <c r="J640" s="353"/>
      <c r="K640" s="353"/>
      <c r="L640" s="353"/>
      <c r="M640" s="354"/>
      <c r="N640" s="354"/>
      <c r="O640" s="354"/>
    </row>
    <row r="641" spans="1:15" ht="11.25" customHeight="1">
      <c r="A641" s="354"/>
      <c r="B641" s="354"/>
      <c r="C641" s="354"/>
      <c r="D641" s="354"/>
      <c r="E641" s="353"/>
      <c r="F641" s="353"/>
      <c r="G641" s="353"/>
      <c r="H641" s="353"/>
      <c r="I641" s="353"/>
      <c r="J641" s="353"/>
      <c r="K641" s="353"/>
      <c r="L641" s="353"/>
      <c r="M641" s="354"/>
      <c r="N641" s="354"/>
      <c r="O641" s="354"/>
    </row>
    <row r="642" spans="1:15" ht="11.25" customHeight="1">
      <c r="A642" s="354"/>
      <c r="B642" s="354"/>
      <c r="C642" s="354"/>
      <c r="D642" s="354"/>
      <c r="E642" s="353"/>
      <c r="F642" s="353"/>
      <c r="G642" s="353"/>
      <c r="H642" s="353"/>
      <c r="I642" s="353"/>
      <c r="J642" s="353"/>
      <c r="K642" s="353"/>
      <c r="L642" s="353"/>
      <c r="M642" s="354"/>
      <c r="N642" s="354"/>
      <c r="O642" s="354"/>
    </row>
    <row r="643" spans="1:15" ht="11.25" customHeight="1">
      <c r="A643" s="354"/>
      <c r="B643" s="354"/>
      <c r="C643" s="354"/>
      <c r="D643" s="354"/>
      <c r="E643" s="353"/>
      <c r="F643" s="353"/>
      <c r="G643" s="353"/>
      <c r="H643" s="353"/>
      <c r="I643" s="353"/>
      <c r="J643" s="353"/>
      <c r="K643" s="353"/>
      <c r="L643" s="353"/>
      <c r="M643" s="354"/>
      <c r="N643" s="354"/>
      <c r="O643" s="354"/>
    </row>
    <row r="644" spans="1:15" ht="11.25" customHeight="1">
      <c r="A644" s="354"/>
      <c r="B644" s="354"/>
      <c r="C644" s="354"/>
      <c r="D644" s="354"/>
      <c r="E644" s="353"/>
      <c r="F644" s="353"/>
      <c r="G644" s="353"/>
      <c r="H644" s="353"/>
      <c r="I644" s="353"/>
      <c r="J644" s="353"/>
      <c r="K644" s="353"/>
      <c r="L644" s="353"/>
      <c r="M644" s="354"/>
      <c r="N644" s="354"/>
      <c r="O644" s="354"/>
    </row>
    <row r="645" spans="1:15" ht="11.25" customHeight="1">
      <c r="A645" s="354"/>
      <c r="B645" s="354"/>
      <c r="C645" s="354"/>
      <c r="D645" s="354"/>
      <c r="E645" s="353"/>
      <c r="F645" s="353"/>
      <c r="G645" s="353"/>
      <c r="H645" s="353"/>
      <c r="I645" s="353"/>
      <c r="J645" s="353"/>
      <c r="K645" s="353"/>
      <c r="L645" s="353"/>
      <c r="M645" s="354"/>
      <c r="N645" s="354"/>
      <c r="O645" s="354"/>
    </row>
    <row r="646" spans="1:15" ht="11.25" customHeight="1">
      <c r="A646" s="354"/>
      <c r="B646" s="354"/>
      <c r="C646" s="354"/>
      <c r="D646" s="354"/>
      <c r="E646" s="353"/>
      <c r="F646" s="353"/>
      <c r="G646" s="353"/>
      <c r="H646" s="353"/>
      <c r="I646" s="353"/>
      <c r="J646" s="353"/>
      <c r="K646" s="353"/>
      <c r="L646" s="353"/>
      <c r="M646" s="354"/>
      <c r="N646" s="354"/>
      <c r="O646" s="354"/>
    </row>
    <row r="647" spans="1:15" ht="11.25" customHeight="1">
      <c r="A647" s="354"/>
      <c r="B647" s="354"/>
      <c r="C647" s="354"/>
      <c r="D647" s="354"/>
      <c r="E647" s="353"/>
      <c r="F647" s="353"/>
      <c r="G647" s="353"/>
      <c r="H647" s="353"/>
      <c r="I647" s="353"/>
      <c r="J647" s="353"/>
      <c r="K647" s="353"/>
      <c r="L647" s="353"/>
      <c r="M647" s="354"/>
      <c r="N647" s="354"/>
      <c r="O647" s="354"/>
    </row>
    <row r="648" spans="1:15" ht="11.25" customHeight="1">
      <c r="A648" s="354"/>
      <c r="B648" s="354"/>
      <c r="C648" s="354"/>
      <c r="D648" s="354"/>
      <c r="E648" s="353"/>
      <c r="F648" s="353"/>
      <c r="G648" s="353"/>
      <c r="H648" s="353"/>
      <c r="I648" s="353"/>
      <c r="J648" s="353"/>
      <c r="K648" s="353"/>
      <c r="L648" s="353"/>
      <c r="M648" s="354"/>
      <c r="N648" s="354"/>
      <c r="O648" s="354"/>
    </row>
    <row r="649" spans="1:15" ht="11.25" customHeight="1">
      <c r="A649" s="354"/>
      <c r="B649" s="354"/>
      <c r="C649" s="354"/>
      <c r="D649" s="354"/>
      <c r="E649" s="353"/>
      <c r="F649" s="353"/>
      <c r="G649" s="353"/>
      <c r="H649" s="353"/>
      <c r="I649" s="353"/>
      <c r="J649" s="353"/>
      <c r="K649" s="353"/>
      <c r="L649" s="353"/>
      <c r="M649" s="354"/>
      <c r="N649" s="354"/>
      <c r="O649" s="354"/>
    </row>
    <row r="650" spans="1:15" ht="11.25" customHeight="1">
      <c r="A650" s="354"/>
      <c r="B650" s="354"/>
      <c r="C650" s="354"/>
      <c r="D650" s="354"/>
      <c r="E650" s="353"/>
      <c r="F650" s="353"/>
      <c r="G650" s="353"/>
      <c r="H650" s="353"/>
      <c r="I650" s="353"/>
      <c r="J650" s="353"/>
      <c r="K650" s="353"/>
      <c r="L650" s="353"/>
      <c r="M650" s="354"/>
      <c r="N650" s="354"/>
      <c r="O650" s="354"/>
    </row>
    <row r="651" spans="1:15" ht="11.25" customHeight="1">
      <c r="A651" s="354"/>
      <c r="B651" s="354"/>
      <c r="C651" s="354"/>
      <c r="D651" s="354"/>
      <c r="E651" s="353"/>
      <c r="F651" s="353"/>
      <c r="G651" s="353"/>
      <c r="H651" s="353"/>
      <c r="I651" s="353"/>
      <c r="J651" s="353"/>
      <c r="K651" s="353"/>
      <c r="L651" s="353"/>
      <c r="M651" s="354"/>
      <c r="N651" s="354"/>
      <c r="O651" s="354"/>
    </row>
    <row r="652" spans="1:15" ht="11.25" customHeight="1">
      <c r="A652" s="354"/>
      <c r="B652" s="354"/>
      <c r="C652" s="354"/>
      <c r="D652" s="354"/>
      <c r="E652" s="353"/>
      <c r="F652" s="353"/>
      <c r="G652" s="353"/>
      <c r="H652" s="353"/>
      <c r="I652" s="353"/>
      <c r="J652" s="353"/>
      <c r="K652" s="353"/>
      <c r="L652" s="353"/>
      <c r="M652" s="354"/>
      <c r="N652" s="354"/>
      <c r="O652" s="354"/>
    </row>
    <row r="653" spans="1:15" ht="11.25" customHeight="1">
      <c r="A653" s="354"/>
      <c r="B653" s="354"/>
      <c r="C653" s="354"/>
      <c r="D653" s="354"/>
      <c r="E653" s="353"/>
      <c r="F653" s="353"/>
      <c r="G653" s="353"/>
      <c r="H653" s="353"/>
      <c r="I653" s="353"/>
      <c r="J653" s="353"/>
      <c r="K653" s="353"/>
      <c r="L653" s="353"/>
      <c r="M653" s="354"/>
      <c r="N653" s="354"/>
      <c r="O653" s="354"/>
    </row>
    <row r="654" spans="1:15" ht="11.25" customHeight="1">
      <c r="A654" s="354"/>
      <c r="B654" s="354"/>
      <c r="C654" s="354"/>
      <c r="D654" s="354"/>
      <c r="E654" s="353"/>
      <c r="F654" s="353"/>
      <c r="G654" s="353"/>
      <c r="H654" s="353"/>
      <c r="I654" s="353"/>
      <c r="J654" s="353"/>
      <c r="K654" s="353"/>
      <c r="L654" s="353"/>
      <c r="M654" s="354"/>
      <c r="N654" s="354"/>
      <c r="O654" s="354"/>
    </row>
    <row r="655" spans="1:15" ht="11.25" customHeight="1">
      <c r="A655" s="354"/>
      <c r="B655" s="354"/>
      <c r="C655" s="354"/>
      <c r="D655" s="354"/>
      <c r="E655" s="353"/>
      <c r="F655" s="353"/>
      <c r="G655" s="353"/>
      <c r="H655" s="353"/>
      <c r="I655" s="353"/>
      <c r="J655" s="353"/>
      <c r="K655" s="353"/>
      <c r="L655" s="353"/>
      <c r="M655" s="354"/>
      <c r="N655" s="354"/>
      <c r="O655" s="354"/>
    </row>
    <row r="656" spans="1:15" ht="11.25" customHeight="1">
      <c r="A656" s="354"/>
      <c r="B656" s="354"/>
      <c r="C656" s="354"/>
      <c r="D656" s="354"/>
      <c r="E656" s="353"/>
      <c r="F656" s="353"/>
      <c r="G656" s="353"/>
      <c r="H656" s="353"/>
      <c r="I656" s="353"/>
      <c r="J656" s="353"/>
      <c r="K656" s="353"/>
      <c r="L656" s="353"/>
      <c r="M656" s="354"/>
      <c r="N656" s="354"/>
      <c r="O656" s="354"/>
    </row>
    <row r="657" spans="1:15" ht="11.25" customHeight="1">
      <c r="A657" s="354"/>
      <c r="B657" s="354"/>
      <c r="C657" s="354"/>
      <c r="D657" s="354"/>
      <c r="E657" s="353"/>
      <c r="F657" s="353"/>
      <c r="G657" s="353"/>
      <c r="H657" s="353"/>
      <c r="I657" s="353"/>
      <c r="J657" s="353"/>
      <c r="K657" s="353"/>
      <c r="L657" s="353"/>
      <c r="M657" s="354"/>
      <c r="N657" s="354"/>
      <c r="O657" s="354"/>
    </row>
    <row r="658" spans="1:15" ht="11.25" customHeight="1">
      <c r="A658" s="354"/>
      <c r="B658" s="354"/>
      <c r="C658" s="354"/>
      <c r="D658" s="354"/>
      <c r="E658" s="353"/>
      <c r="F658" s="353"/>
      <c r="G658" s="353"/>
      <c r="H658" s="353"/>
      <c r="I658" s="353"/>
      <c r="J658" s="353"/>
      <c r="K658" s="353"/>
      <c r="L658" s="353"/>
      <c r="M658" s="354"/>
      <c r="N658" s="354"/>
      <c r="O658" s="354"/>
    </row>
    <row r="659" spans="1:15" ht="11.25" customHeight="1">
      <c r="A659" s="354"/>
      <c r="B659" s="354"/>
      <c r="C659" s="354"/>
      <c r="D659" s="354"/>
      <c r="E659" s="353"/>
      <c r="F659" s="353"/>
      <c r="G659" s="353"/>
      <c r="H659" s="353"/>
      <c r="I659" s="353"/>
      <c r="J659" s="353"/>
      <c r="K659" s="353"/>
      <c r="L659" s="353"/>
      <c r="M659" s="354"/>
      <c r="N659" s="354"/>
      <c r="O659" s="354"/>
    </row>
    <row r="660" spans="1:15" ht="11.25" customHeight="1">
      <c r="A660" s="354"/>
      <c r="B660" s="354"/>
      <c r="C660" s="354"/>
      <c r="D660" s="354"/>
      <c r="E660" s="353"/>
      <c r="F660" s="353"/>
      <c r="G660" s="353"/>
      <c r="H660" s="353"/>
      <c r="I660" s="353"/>
      <c r="J660" s="353"/>
      <c r="K660" s="353"/>
      <c r="L660" s="353"/>
      <c r="M660" s="354"/>
      <c r="N660" s="354"/>
      <c r="O660" s="354"/>
    </row>
    <row r="661" spans="1:15" ht="11.25" customHeight="1">
      <c r="A661" s="354"/>
      <c r="B661" s="354"/>
      <c r="C661" s="354"/>
      <c r="D661" s="354"/>
      <c r="E661" s="353"/>
      <c r="F661" s="353"/>
      <c r="G661" s="353"/>
      <c r="H661" s="353"/>
      <c r="I661" s="353"/>
      <c r="J661" s="353"/>
      <c r="K661" s="353"/>
      <c r="L661" s="353"/>
      <c r="M661" s="354"/>
      <c r="N661" s="354"/>
      <c r="O661" s="354"/>
    </row>
    <row r="662" spans="1:15" ht="11.25" customHeight="1">
      <c r="A662" s="354"/>
      <c r="B662" s="354"/>
      <c r="C662" s="354"/>
      <c r="D662" s="354"/>
      <c r="E662" s="353"/>
      <c r="F662" s="353"/>
      <c r="G662" s="353"/>
      <c r="H662" s="353"/>
      <c r="I662" s="353"/>
      <c r="J662" s="353"/>
      <c r="K662" s="353"/>
      <c r="L662" s="353"/>
      <c r="M662" s="354"/>
      <c r="N662" s="354"/>
      <c r="O662" s="354"/>
    </row>
    <row r="663" spans="1:15" ht="11.25" customHeight="1">
      <c r="A663" s="354"/>
      <c r="B663" s="354"/>
      <c r="C663" s="354"/>
      <c r="D663" s="354"/>
      <c r="E663" s="353"/>
      <c r="F663" s="353"/>
      <c r="G663" s="353"/>
      <c r="H663" s="353"/>
      <c r="I663" s="353"/>
      <c r="J663" s="353"/>
      <c r="K663" s="353"/>
      <c r="L663" s="353"/>
      <c r="M663" s="354"/>
      <c r="N663" s="354"/>
      <c r="O663" s="354"/>
    </row>
    <row r="664" spans="1:15" ht="11.25" customHeight="1">
      <c r="A664" s="354"/>
      <c r="B664" s="354"/>
      <c r="C664" s="354"/>
      <c r="D664" s="354"/>
      <c r="E664" s="353"/>
      <c r="F664" s="353"/>
      <c r="G664" s="353"/>
      <c r="H664" s="353"/>
      <c r="I664" s="353"/>
      <c r="J664" s="353"/>
      <c r="K664" s="353"/>
      <c r="L664" s="353"/>
      <c r="M664" s="354"/>
      <c r="N664" s="354"/>
      <c r="O664" s="354"/>
    </row>
    <row r="665" spans="1:15" ht="11.25" customHeight="1">
      <c r="A665" s="354"/>
      <c r="B665" s="354"/>
      <c r="C665" s="354"/>
      <c r="D665" s="354"/>
      <c r="E665" s="353"/>
      <c r="F665" s="353"/>
      <c r="G665" s="353"/>
      <c r="H665" s="353"/>
      <c r="I665" s="353"/>
      <c r="J665" s="353"/>
      <c r="K665" s="353"/>
      <c r="L665" s="353"/>
      <c r="M665" s="354"/>
      <c r="N665" s="354"/>
      <c r="O665" s="354"/>
    </row>
    <row r="666" spans="1:15" ht="11.25" customHeight="1">
      <c r="A666" s="354"/>
      <c r="B666" s="354"/>
      <c r="C666" s="354"/>
      <c r="D666" s="354"/>
      <c r="E666" s="353"/>
      <c r="F666" s="353"/>
      <c r="G666" s="353"/>
      <c r="H666" s="353"/>
      <c r="I666" s="353"/>
      <c r="J666" s="353"/>
      <c r="K666" s="353"/>
      <c r="L666" s="353"/>
      <c r="M666" s="354"/>
      <c r="N666" s="354"/>
      <c r="O666" s="354"/>
    </row>
    <row r="667" spans="1:15" ht="11.25" customHeight="1">
      <c r="A667" s="354"/>
      <c r="B667" s="354"/>
      <c r="C667" s="354"/>
      <c r="D667" s="354"/>
      <c r="E667" s="353"/>
      <c r="F667" s="353"/>
      <c r="G667" s="353"/>
      <c r="H667" s="353"/>
      <c r="I667" s="353"/>
      <c r="J667" s="353"/>
      <c r="K667" s="353"/>
      <c r="L667" s="353"/>
      <c r="M667" s="354"/>
      <c r="N667" s="354"/>
      <c r="O667" s="354"/>
    </row>
    <row r="668" spans="1:15" ht="11.25" customHeight="1">
      <c r="A668" s="354"/>
      <c r="B668" s="354"/>
      <c r="C668" s="354"/>
      <c r="D668" s="354"/>
      <c r="E668" s="353"/>
      <c r="F668" s="353"/>
      <c r="G668" s="353"/>
      <c r="H668" s="353"/>
      <c r="I668" s="353"/>
      <c r="J668" s="353"/>
      <c r="K668" s="353"/>
      <c r="L668" s="353"/>
      <c r="M668" s="354"/>
      <c r="N668" s="354"/>
      <c r="O668" s="354"/>
    </row>
    <row r="669" spans="1:15" ht="11.25" customHeight="1">
      <c r="A669" s="354"/>
      <c r="B669" s="354"/>
      <c r="C669" s="354"/>
      <c r="D669" s="354"/>
      <c r="E669" s="353"/>
      <c r="F669" s="353"/>
      <c r="G669" s="353"/>
      <c r="H669" s="353"/>
      <c r="I669" s="353"/>
      <c r="J669" s="353"/>
      <c r="K669" s="353"/>
      <c r="L669" s="353"/>
      <c r="M669" s="354"/>
      <c r="N669" s="354"/>
      <c r="O669" s="354"/>
    </row>
    <row r="670" spans="1:15" ht="11.25" customHeight="1">
      <c r="A670" s="354"/>
      <c r="B670" s="354"/>
      <c r="C670" s="354"/>
      <c r="D670" s="354"/>
      <c r="E670" s="353"/>
      <c r="F670" s="353"/>
      <c r="G670" s="353"/>
      <c r="H670" s="353"/>
      <c r="I670" s="353"/>
      <c r="J670" s="353"/>
      <c r="K670" s="353"/>
      <c r="L670" s="353"/>
      <c r="M670" s="354"/>
      <c r="N670" s="354"/>
      <c r="O670" s="354"/>
    </row>
    <row r="671" spans="1:15" ht="11.25" customHeight="1">
      <c r="A671" s="354"/>
      <c r="B671" s="354"/>
      <c r="C671" s="354"/>
      <c r="D671" s="354"/>
      <c r="E671" s="353"/>
      <c r="F671" s="353"/>
      <c r="G671" s="353"/>
      <c r="H671" s="353"/>
      <c r="I671" s="353"/>
      <c r="J671" s="353"/>
      <c r="K671" s="353"/>
      <c r="L671" s="353"/>
      <c r="M671" s="354"/>
      <c r="N671" s="354"/>
      <c r="O671" s="354"/>
    </row>
    <row r="672" spans="1:15" ht="11.25" customHeight="1">
      <c r="A672" s="354"/>
      <c r="B672" s="354"/>
      <c r="C672" s="354"/>
      <c r="D672" s="354"/>
      <c r="E672" s="353"/>
      <c r="F672" s="353"/>
      <c r="G672" s="353"/>
      <c r="H672" s="353"/>
      <c r="I672" s="353"/>
      <c r="J672" s="353"/>
      <c r="K672" s="353"/>
      <c r="L672" s="353"/>
      <c r="M672" s="354"/>
      <c r="N672" s="354"/>
      <c r="O672" s="354"/>
    </row>
    <row r="673" spans="1:15" ht="11.25" customHeight="1">
      <c r="A673" s="354"/>
      <c r="B673" s="354"/>
      <c r="C673" s="354"/>
      <c r="D673" s="354"/>
      <c r="E673" s="353"/>
      <c r="F673" s="353"/>
      <c r="G673" s="353"/>
      <c r="H673" s="353"/>
      <c r="I673" s="353"/>
      <c r="J673" s="353"/>
      <c r="K673" s="353"/>
      <c r="L673" s="353"/>
      <c r="M673" s="354"/>
      <c r="N673" s="354"/>
      <c r="O673" s="354"/>
    </row>
    <row r="674" spans="1:15" ht="11.25" customHeight="1">
      <c r="A674" s="354"/>
      <c r="B674" s="354"/>
      <c r="C674" s="354"/>
      <c r="D674" s="354"/>
      <c r="E674" s="353"/>
      <c r="F674" s="353"/>
      <c r="G674" s="353"/>
      <c r="H674" s="353"/>
      <c r="I674" s="353"/>
      <c r="J674" s="353"/>
      <c r="K674" s="353"/>
      <c r="L674" s="353"/>
      <c r="M674" s="354"/>
      <c r="N674" s="354"/>
      <c r="O674" s="354"/>
    </row>
    <row r="675" spans="1:15" ht="11.25" customHeight="1">
      <c r="A675" s="354"/>
      <c r="B675" s="354"/>
      <c r="C675" s="354"/>
      <c r="D675" s="354"/>
      <c r="E675" s="353"/>
      <c r="F675" s="353"/>
      <c r="G675" s="353"/>
      <c r="H675" s="353"/>
      <c r="I675" s="353"/>
      <c r="J675" s="353"/>
      <c r="K675" s="353"/>
      <c r="L675" s="353"/>
      <c r="M675" s="354"/>
      <c r="N675" s="354"/>
      <c r="O675" s="354"/>
    </row>
    <row r="676" spans="1:15" ht="11.25" customHeight="1">
      <c r="A676" s="354"/>
      <c r="B676" s="354"/>
      <c r="C676" s="354"/>
      <c r="D676" s="354"/>
      <c r="E676" s="353"/>
      <c r="F676" s="353"/>
      <c r="G676" s="353"/>
      <c r="H676" s="353"/>
      <c r="I676" s="353"/>
      <c r="J676" s="353"/>
      <c r="K676" s="353"/>
      <c r="L676" s="353"/>
      <c r="M676" s="354"/>
      <c r="N676" s="354"/>
      <c r="O676" s="354"/>
    </row>
    <row r="677" spans="1:15" ht="11.25" customHeight="1">
      <c r="A677" s="354"/>
      <c r="B677" s="354"/>
      <c r="C677" s="354"/>
      <c r="D677" s="354"/>
      <c r="E677" s="353"/>
      <c r="F677" s="353"/>
      <c r="G677" s="353"/>
      <c r="H677" s="353"/>
      <c r="I677" s="353"/>
      <c r="J677" s="353"/>
      <c r="K677" s="353"/>
      <c r="L677" s="353"/>
      <c r="M677" s="354"/>
      <c r="N677" s="354"/>
      <c r="O677" s="354"/>
    </row>
    <row r="678" spans="1:15" ht="11.25" customHeight="1">
      <c r="A678" s="354"/>
      <c r="B678" s="354"/>
      <c r="C678" s="354"/>
      <c r="D678" s="354"/>
      <c r="E678" s="353"/>
      <c r="F678" s="353"/>
      <c r="G678" s="353"/>
      <c r="H678" s="353"/>
      <c r="I678" s="353"/>
      <c r="J678" s="353"/>
      <c r="K678" s="353"/>
      <c r="L678" s="353"/>
      <c r="M678" s="354"/>
      <c r="N678" s="354"/>
      <c r="O678" s="354"/>
    </row>
    <row r="679" spans="1:15" ht="11.25" customHeight="1">
      <c r="A679" s="354"/>
      <c r="B679" s="354"/>
      <c r="C679" s="354"/>
      <c r="D679" s="354"/>
      <c r="E679" s="353"/>
      <c r="F679" s="353"/>
      <c r="G679" s="353"/>
      <c r="H679" s="353"/>
      <c r="I679" s="353"/>
      <c r="J679" s="353"/>
      <c r="K679" s="353"/>
      <c r="L679" s="353"/>
      <c r="M679" s="354"/>
      <c r="N679" s="354"/>
      <c r="O679" s="354"/>
    </row>
    <row r="680" spans="1:15" ht="11.25" customHeight="1">
      <c r="A680" s="354"/>
      <c r="B680" s="354"/>
      <c r="C680" s="354"/>
      <c r="D680" s="354"/>
      <c r="E680" s="353"/>
      <c r="F680" s="353"/>
      <c r="G680" s="353"/>
      <c r="H680" s="353"/>
      <c r="I680" s="353"/>
      <c r="J680" s="353"/>
      <c r="K680" s="353"/>
      <c r="L680" s="353"/>
      <c r="M680" s="354"/>
      <c r="N680" s="354"/>
      <c r="O680" s="354"/>
    </row>
    <row r="681" spans="1:15" ht="11.25" customHeight="1">
      <c r="A681" s="354"/>
      <c r="B681" s="354"/>
      <c r="C681" s="354"/>
      <c r="D681" s="354"/>
      <c r="E681" s="353"/>
      <c r="F681" s="353"/>
      <c r="G681" s="353"/>
      <c r="H681" s="353"/>
      <c r="I681" s="353"/>
      <c r="J681" s="353"/>
      <c r="K681" s="353"/>
      <c r="L681" s="353"/>
      <c r="M681" s="354"/>
      <c r="N681" s="354"/>
      <c r="O681" s="354"/>
    </row>
    <row r="682" spans="1:15" ht="11.25" customHeight="1">
      <c r="A682" s="354"/>
      <c r="B682" s="354"/>
      <c r="C682" s="354"/>
      <c r="D682" s="354"/>
      <c r="E682" s="353"/>
      <c r="F682" s="353"/>
      <c r="G682" s="353"/>
      <c r="H682" s="353"/>
      <c r="I682" s="353"/>
      <c r="J682" s="353"/>
      <c r="K682" s="353"/>
      <c r="L682" s="353"/>
      <c r="M682" s="354"/>
      <c r="N682" s="354"/>
      <c r="O682" s="354"/>
    </row>
    <row r="683" spans="1:15" ht="11.25" customHeight="1">
      <c r="A683" s="354"/>
      <c r="B683" s="354"/>
      <c r="C683" s="354"/>
      <c r="D683" s="354"/>
      <c r="E683" s="353"/>
      <c r="F683" s="353"/>
      <c r="G683" s="353"/>
      <c r="H683" s="353"/>
      <c r="I683" s="353"/>
      <c r="J683" s="353"/>
      <c r="K683" s="353"/>
      <c r="L683" s="353"/>
      <c r="M683" s="354"/>
      <c r="N683" s="354"/>
      <c r="O683" s="354"/>
    </row>
    <row r="684" spans="1:15" ht="11.25" customHeight="1">
      <c r="A684" s="354"/>
      <c r="B684" s="354"/>
      <c r="C684" s="354"/>
      <c r="D684" s="354"/>
      <c r="E684" s="353"/>
      <c r="F684" s="353"/>
      <c r="G684" s="353"/>
      <c r="H684" s="353"/>
      <c r="I684" s="353"/>
      <c r="J684" s="353"/>
      <c r="K684" s="353"/>
      <c r="L684" s="353"/>
      <c r="M684" s="354"/>
      <c r="N684" s="354"/>
      <c r="O684" s="354"/>
    </row>
    <row r="685" spans="1:15" ht="11.25" customHeight="1">
      <c r="A685" s="354"/>
      <c r="B685" s="354"/>
      <c r="C685" s="354"/>
      <c r="D685" s="354"/>
      <c r="E685" s="353"/>
      <c r="F685" s="353"/>
      <c r="G685" s="353"/>
      <c r="H685" s="353"/>
      <c r="I685" s="353"/>
      <c r="J685" s="353"/>
      <c r="K685" s="353"/>
      <c r="L685" s="353"/>
      <c r="M685" s="354"/>
      <c r="N685" s="354"/>
      <c r="O685" s="354"/>
    </row>
    <row r="686" spans="1:15" ht="11.25" customHeight="1">
      <c r="A686" s="354"/>
      <c r="B686" s="354"/>
      <c r="C686" s="354"/>
      <c r="D686" s="354"/>
      <c r="E686" s="353"/>
      <c r="F686" s="353"/>
      <c r="G686" s="353"/>
      <c r="H686" s="353"/>
      <c r="I686" s="353"/>
      <c r="J686" s="353"/>
      <c r="K686" s="353"/>
      <c r="L686" s="353"/>
      <c r="M686" s="354"/>
      <c r="N686" s="354"/>
      <c r="O686" s="354"/>
    </row>
    <row r="687" spans="1:15" ht="11.25" customHeight="1">
      <c r="A687" s="354"/>
      <c r="B687" s="354"/>
      <c r="C687" s="354"/>
      <c r="D687" s="354"/>
      <c r="E687" s="353"/>
      <c r="F687" s="353"/>
      <c r="G687" s="353"/>
      <c r="H687" s="353"/>
      <c r="I687" s="353"/>
      <c r="J687" s="353"/>
      <c r="K687" s="353"/>
      <c r="L687" s="353"/>
      <c r="M687" s="354"/>
      <c r="N687" s="354"/>
      <c r="O687" s="354"/>
    </row>
    <row r="688" spans="1:15" ht="11.25" customHeight="1">
      <c r="A688" s="354"/>
      <c r="B688" s="354"/>
      <c r="C688" s="354"/>
      <c r="D688" s="354"/>
      <c r="E688" s="353"/>
      <c r="F688" s="353"/>
      <c r="G688" s="353"/>
      <c r="H688" s="353"/>
      <c r="I688" s="353"/>
      <c r="J688" s="353"/>
      <c r="K688" s="353"/>
      <c r="L688" s="353"/>
      <c r="M688" s="354"/>
      <c r="N688" s="354"/>
      <c r="O688" s="354"/>
    </row>
    <row r="689" spans="1:15" ht="11.25" customHeight="1">
      <c r="A689" s="354"/>
      <c r="B689" s="354"/>
      <c r="C689" s="354"/>
      <c r="D689" s="354"/>
      <c r="E689" s="353"/>
      <c r="F689" s="353"/>
      <c r="G689" s="353"/>
      <c r="H689" s="353"/>
      <c r="I689" s="353"/>
      <c r="J689" s="353"/>
      <c r="K689" s="353"/>
      <c r="L689" s="353"/>
      <c r="M689" s="354"/>
      <c r="N689" s="354"/>
      <c r="O689" s="354"/>
    </row>
    <row r="690" spans="1:15" ht="11.25" customHeight="1">
      <c r="A690" s="354"/>
      <c r="B690" s="354"/>
      <c r="C690" s="354"/>
      <c r="D690" s="354"/>
      <c r="E690" s="353"/>
      <c r="F690" s="353"/>
      <c r="G690" s="353"/>
      <c r="H690" s="353"/>
      <c r="I690" s="353"/>
      <c r="J690" s="353"/>
      <c r="K690" s="353"/>
      <c r="L690" s="353"/>
      <c r="M690" s="354"/>
      <c r="N690" s="354"/>
      <c r="O690" s="354"/>
    </row>
    <row r="691" spans="1:15" ht="11.25" customHeight="1">
      <c r="A691" s="354"/>
      <c r="B691" s="354"/>
      <c r="C691" s="354"/>
      <c r="D691" s="354"/>
      <c r="E691" s="353"/>
      <c r="F691" s="353"/>
      <c r="G691" s="353"/>
      <c r="H691" s="353"/>
      <c r="I691" s="353"/>
      <c r="J691" s="353"/>
      <c r="K691" s="353"/>
      <c r="L691" s="353"/>
      <c r="M691" s="354"/>
      <c r="N691" s="354"/>
      <c r="O691" s="354"/>
    </row>
    <row r="692" spans="1:15" ht="11.25" customHeight="1">
      <c r="A692" s="354"/>
      <c r="B692" s="354"/>
      <c r="C692" s="354"/>
      <c r="D692" s="354"/>
      <c r="E692" s="353"/>
      <c r="F692" s="353"/>
      <c r="G692" s="353"/>
      <c r="H692" s="353"/>
      <c r="I692" s="353"/>
      <c r="J692" s="353"/>
      <c r="K692" s="353"/>
      <c r="L692" s="353"/>
      <c r="M692" s="354"/>
      <c r="N692" s="354"/>
      <c r="O692" s="354"/>
    </row>
    <row r="693" spans="1:15" ht="11.25" customHeight="1">
      <c r="A693" s="354"/>
      <c r="B693" s="354"/>
      <c r="C693" s="354"/>
      <c r="D693" s="354"/>
      <c r="E693" s="353"/>
      <c r="F693" s="353"/>
      <c r="G693" s="353"/>
      <c r="H693" s="353"/>
      <c r="I693" s="353"/>
      <c r="J693" s="353"/>
      <c r="K693" s="353"/>
      <c r="L693" s="353"/>
      <c r="M693" s="354"/>
      <c r="N693" s="354"/>
      <c r="O693" s="354"/>
    </row>
    <row r="694" spans="1:15" ht="11.25" customHeight="1">
      <c r="A694" s="354"/>
      <c r="B694" s="354"/>
      <c r="C694" s="354"/>
      <c r="D694" s="354"/>
      <c r="E694" s="353"/>
      <c r="F694" s="353"/>
      <c r="G694" s="353"/>
      <c r="H694" s="353"/>
      <c r="I694" s="353"/>
      <c r="J694" s="353"/>
      <c r="K694" s="353"/>
      <c r="L694" s="353"/>
      <c r="M694" s="354"/>
      <c r="N694" s="354"/>
      <c r="O694" s="354"/>
    </row>
    <row r="695" spans="1:15" ht="11.25" customHeight="1">
      <c r="A695" s="354"/>
      <c r="B695" s="354"/>
      <c r="C695" s="354"/>
      <c r="D695" s="354"/>
      <c r="E695" s="353"/>
      <c r="F695" s="353"/>
      <c r="G695" s="353"/>
      <c r="H695" s="353"/>
      <c r="I695" s="353"/>
      <c r="J695" s="353"/>
      <c r="K695" s="353"/>
      <c r="L695" s="353"/>
      <c r="M695" s="354"/>
      <c r="N695" s="354"/>
      <c r="O695" s="354"/>
    </row>
    <row r="696" spans="1:15" ht="11.25" customHeight="1">
      <c r="A696" s="354"/>
      <c r="B696" s="354"/>
      <c r="C696" s="354"/>
      <c r="D696" s="354"/>
      <c r="E696" s="353"/>
      <c r="F696" s="353"/>
      <c r="G696" s="353"/>
      <c r="H696" s="353"/>
      <c r="I696" s="353"/>
      <c r="J696" s="353"/>
      <c r="K696" s="353"/>
      <c r="L696" s="353"/>
      <c r="M696" s="354"/>
      <c r="N696" s="354"/>
      <c r="O696" s="354"/>
    </row>
    <row r="697" spans="1:15" ht="11.25" customHeight="1">
      <c r="A697" s="354"/>
      <c r="B697" s="354"/>
      <c r="C697" s="354"/>
      <c r="D697" s="354"/>
      <c r="E697" s="353"/>
      <c r="F697" s="353"/>
      <c r="G697" s="353"/>
      <c r="H697" s="353"/>
      <c r="I697" s="353"/>
      <c r="J697" s="353"/>
      <c r="K697" s="353"/>
      <c r="L697" s="353"/>
      <c r="M697" s="354"/>
      <c r="N697" s="354"/>
      <c r="O697" s="354"/>
    </row>
    <row r="698" spans="1:15" ht="11.25" customHeight="1">
      <c r="A698" s="354"/>
      <c r="B698" s="354"/>
      <c r="C698" s="354"/>
      <c r="D698" s="354"/>
      <c r="E698" s="353"/>
      <c r="F698" s="353"/>
      <c r="G698" s="353"/>
      <c r="H698" s="353"/>
      <c r="I698" s="353"/>
      <c r="J698" s="353"/>
      <c r="K698" s="353"/>
      <c r="L698" s="353"/>
      <c r="M698" s="354"/>
      <c r="N698" s="354"/>
      <c r="O698" s="354"/>
    </row>
    <row r="699" spans="1:15" ht="11.25" customHeight="1">
      <c r="A699" s="354"/>
      <c r="B699" s="354"/>
      <c r="C699" s="354"/>
      <c r="D699" s="354"/>
      <c r="E699" s="353"/>
      <c r="F699" s="353"/>
      <c r="G699" s="353"/>
      <c r="H699" s="353"/>
      <c r="I699" s="353"/>
      <c r="J699" s="353"/>
      <c r="K699" s="353"/>
      <c r="L699" s="353"/>
      <c r="M699" s="354"/>
      <c r="N699" s="354"/>
      <c r="O699" s="354"/>
    </row>
    <row r="700" spans="1:15" ht="11.25" customHeight="1">
      <c r="A700" s="354"/>
      <c r="B700" s="354"/>
      <c r="C700" s="354"/>
      <c r="D700" s="354"/>
      <c r="E700" s="353"/>
      <c r="F700" s="353"/>
      <c r="G700" s="353"/>
      <c r="H700" s="353"/>
      <c r="I700" s="353"/>
      <c r="J700" s="353"/>
      <c r="K700" s="353"/>
      <c r="L700" s="353"/>
      <c r="M700" s="354"/>
      <c r="N700" s="354"/>
      <c r="O700" s="354"/>
    </row>
    <row r="701" spans="1:15" ht="11.25" customHeight="1">
      <c r="A701" s="354"/>
      <c r="B701" s="354"/>
      <c r="C701" s="354"/>
      <c r="D701" s="354"/>
      <c r="E701" s="353"/>
      <c r="F701" s="353"/>
      <c r="G701" s="353"/>
      <c r="H701" s="353"/>
      <c r="I701" s="353"/>
      <c r="J701" s="353"/>
      <c r="K701" s="353"/>
      <c r="L701" s="353"/>
      <c r="M701" s="354"/>
      <c r="N701" s="354"/>
      <c r="O701" s="354"/>
    </row>
    <row r="702" spans="1:15" ht="11.25" customHeight="1">
      <c r="A702" s="354"/>
      <c r="B702" s="354"/>
      <c r="C702" s="354"/>
      <c r="D702" s="354"/>
      <c r="E702" s="353"/>
      <c r="F702" s="353"/>
      <c r="G702" s="353"/>
      <c r="H702" s="353"/>
      <c r="I702" s="353"/>
      <c r="J702" s="353"/>
      <c r="K702" s="353"/>
      <c r="L702" s="353"/>
      <c r="M702" s="354"/>
      <c r="N702" s="354"/>
      <c r="O702" s="354"/>
    </row>
    <row r="703" spans="1:15" ht="11.25" customHeight="1">
      <c r="A703" s="354"/>
      <c r="B703" s="354"/>
      <c r="C703" s="354"/>
      <c r="D703" s="354"/>
      <c r="E703" s="353"/>
      <c r="F703" s="353"/>
      <c r="G703" s="353"/>
      <c r="H703" s="353"/>
      <c r="I703" s="353"/>
      <c r="J703" s="353"/>
      <c r="K703" s="353"/>
      <c r="L703" s="353"/>
      <c r="M703" s="354"/>
      <c r="N703" s="354"/>
      <c r="O703" s="354"/>
    </row>
    <row r="704" spans="1:15" ht="11.25" customHeight="1">
      <c r="A704" s="354"/>
      <c r="B704" s="354"/>
      <c r="C704" s="354"/>
      <c r="D704" s="354"/>
      <c r="E704" s="353"/>
      <c r="F704" s="353"/>
      <c r="G704" s="353"/>
      <c r="H704" s="353"/>
      <c r="I704" s="353"/>
      <c r="J704" s="353"/>
      <c r="K704" s="353"/>
      <c r="L704" s="353"/>
      <c r="M704" s="354"/>
      <c r="N704" s="354"/>
      <c r="O704" s="354"/>
    </row>
    <row r="705" spans="1:15" ht="11.25" customHeight="1">
      <c r="A705" s="354"/>
      <c r="B705" s="354"/>
      <c r="C705" s="354"/>
      <c r="D705" s="354"/>
      <c r="E705" s="353"/>
      <c r="F705" s="353"/>
      <c r="G705" s="353"/>
      <c r="H705" s="353"/>
      <c r="I705" s="353"/>
      <c r="J705" s="353"/>
      <c r="K705" s="353"/>
      <c r="L705" s="353"/>
      <c r="M705" s="354"/>
      <c r="N705" s="354"/>
      <c r="O705" s="354"/>
    </row>
    <row r="706" spans="1:15" ht="11.25" customHeight="1">
      <c r="A706" s="354"/>
      <c r="B706" s="354"/>
      <c r="C706" s="354"/>
      <c r="D706" s="354"/>
      <c r="E706" s="353"/>
      <c r="F706" s="353"/>
      <c r="G706" s="353"/>
      <c r="H706" s="353"/>
      <c r="I706" s="353"/>
      <c r="J706" s="353"/>
      <c r="K706" s="353"/>
      <c r="L706" s="353"/>
      <c r="M706" s="354"/>
      <c r="N706" s="354"/>
      <c r="O706" s="354"/>
    </row>
    <row r="707" spans="1:15" ht="11.25" customHeight="1">
      <c r="A707" s="354"/>
      <c r="B707" s="354"/>
      <c r="C707" s="354"/>
      <c r="D707" s="354"/>
      <c r="E707" s="353"/>
      <c r="F707" s="353"/>
      <c r="G707" s="353"/>
      <c r="H707" s="353"/>
      <c r="I707" s="353"/>
      <c r="J707" s="353"/>
      <c r="K707" s="353"/>
      <c r="L707" s="353"/>
      <c r="M707" s="354"/>
      <c r="N707" s="354"/>
      <c r="O707" s="354"/>
    </row>
    <row r="708" spans="1:15" ht="11.25" customHeight="1">
      <c r="A708" s="354"/>
      <c r="B708" s="354"/>
      <c r="C708" s="354"/>
      <c r="D708" s="354"/>
      <c r="E708" s="353"/>
      <c r="F708" s="353"/>
      <c r="G708" s="353"/>
      <c r="H708" s="353"/>
      <c r="I708" s="353"/>
      <c r="J708" s="353"/>
      <c r="K708" s="353"/>
      <c r="L708" s="353"/>
      <c r="M708" s="354"/>
      <c r="N708" s="354"/>
      <c r="O708" s="354"/>
    </row>
    <row r="709" spans="1:15" ht="11.25" customHeight="1">
      <c r="A709" s="354"/>
      <c r="B709" s="354"/>
      <c r="C709" s="354"/>
      <c r="D709" s="354"/>
      <c r="E709" s="353"/>
      <c r="F709" s="353"/>
      <c r="G709" s="353"/>
      <c r="H709" s="353"/>
      <c r="I709" s="353"/>
      <c r="J709" s="353"/>
      <c r="K709" s="353"/>
      <c r="L709" s="353"/>
      <c r="M709" s="354"/>
      <c r="N709" s="354"/>
      <c r="O709" s="354"/>
    </row>
    <row r="710" spans="1:15" ht="11.25" customHeight="1">
      <c r="A710" s="354"/>
      <c r="B710" s="354"/>
      <c r="C710" s="354"/>
      <c r="D710" s="354"/>
      <c r="E710" s="353"/>
      <c r="F710" s="353"/>
      <c r="G710" s="353"/>
      <c r="H710" s="353"/>
      <c r="I710" s="353"/>
      <c r="J710" s="353"/>
      <c r="K710" s="353"/>
      <c r="L710" s="353"/>
      <c r="M710" s="354"/>
      <c r="N710" s="354"/>
      <c r="O710" s="354"/>
    </row>
    <row r="711" spans="1:15" ht="11.25" customHeight="1">
      <c r="A711" s="354"/>
      <c r="B711" s="354"/>
      <c r="C711" s="354"/>
      <c r="D711" s="354"/>
      <c r="E711" s="353"/>
      <c r="F711" s="353"/>
      <c r="G711" s="353"/>
      <c r="H711" s="353"/>
      <c r="I711" s="353"/>
      <c r="J711" s="353"/>
      <c r="K711" s="353"/>
      <c r="L711" s="353"/>
      <c r="M711" s="354"/>
      <c r="N711" s="354"/>
      <c r="O711" s="354"/>
    </row>
    <row r="712" spans="1:15" ht="11.25" customHeight="1">
      <c r="A712" s="354"/>
      <c r="B712" s="354"/>
      <c r="C712" s="354"/>
      <c r="D712" s="354"/>
      <c r="E712" s="353"/>
      <c r="F712" s="353"/>
      <c r="G712" s="353"/>
      <c r="H712" s="353"/>
      <c r="I712" s="353"/>
      <c r="J712" s="353"/>
      <c r="K712" s="353"/>
      <c r="L712" s="353"/>
      <c r="M712" s="354"/>
      <c r="N712" s="354"/>
      <c r="O712" s="354"/>
    </row>
    <row r="713" spans="1:15" ht="11.25" customHeight="1">
      <c r="A713" s="354"/>
      <c r="B713" s="354"/>
      <c r="C713" s="354"/>
      <c r="D713" s="354"/>
      <c r="E713" s="353"/>
      <c r="F713" s="353"/>
      <c r="G713" s="353"/>
      <c r="H713" s="353"/>
      <c r="I713" s="353"/>
      <c r="J713" s="353"/>
      <c r="K713" s="353"/>
      <c r="L713" s="353"/>
      <c r="M713" s="354"/>
      <c r="N713" s="354"/>
      <c r="O713" s="354"/>
    </row>
    <row r="714" spans="1:15" ht="11.25" customHeight="1">
      <c r="A714" s="354"/>
      <c r="B714" s="354"/>
      <c r="C714" s="354"/>
      <c r="D714" s="354"/>
      <c r="E714" s="353"/>
      <c r="F714" s="353"/>
      <c r="G714" s="353"/>
      <c r="H714" s="353"/>
      <c r="I714" s="353"/>
      <c r="J714" s="353"/>
      <c r="K714" s="353"/>
      <c r="L714" s="353"/>
      <c r="M714" s="354"/>
      <c r="N714" s="354"/>
      <c r="O714" s="354"/>
    </row>
    <row r="715" spans="1:15" ht="11.25" customHeight="1">
      <c r="A715" s="354"/>
      <c r="B715" s="354"/>
      <c r="C715" s="354"/>
      <c r="D715" s="354"/>
      <c r="E715" s="353"/>
      <c r="F715" s="353"/>
      <c r="G715" s="353"/>
      <c r="H715" s="353"/>
      <c r="I715" s="353"/>
      <c r="J715" s="353"/>
      <c r="K715" s="353"/>
      <c r="L715" s="353"/>
      <c r="M715" s="354"/>
      <c r="N715" s="354"/>
      <c r="O715" s="354"/>
    </row>
    <row r="716" spans="1:15" ht="11.25" customHeight="1">
      <c r="A716" s="354"/>
      <c r="B716" s="354"/>
      <c r="C716" s="354"/>
      <c r="D716" s="354"/>
      <c r="E716" s="353"/>
      <c r="F716" s="353"/>
      <c r="G716" s="353"/>
      <c r="H716" s="353"/>
      <c r="I716" s="353"/>
      <c r="J716" s="353"/>
      <c r="K716" s="353"/>
      <c r="L716" s="353"/>
      <c r="M716" s="354"/>
      <c r="N716" s="354"/>
      <c r="O716" s="354"/>
    </row>
    <row r="717" spans="1:15" ht="11.25" customHeight="1">
      <c r="A717" s="354"/>
      <c r="B717" s="354"/>
      <c r="C717" s="354"/>
      <c r="D717" s="354"/>
      <c r="E717" s="353"/>
      <c r="F717" s="353"/>
      <c r="G717" s="353"/>
      <c r="H717" s="353"/>
      <c r="I717" s="353"/>
      <c r="J717" s="353"/>
      <c r="K717" s="353"/>
      <c r="L717" s="353"/>
      <c r="M717" s="354"/>
      <c r="N717" s="354"/>
      <c r="O717" s="354"/>
    </row>
    <row r="718" spans="1:15" ht="11.25" customHeight="1">
      <c r="A718" s="354"/>
      <c r="B718" s="354"/>
      <c r="C718" s="354"/>
      <c r="D718" s="354"/>
      <c r="E718" s="353"/>
      <c r="F718" s="353"/>
      <c r="G718" s="353"/>
      <c r="H718" s="353"/>
      <c r="I718" s="353"/>
      <c r="J718" s="353"/>
      <c r="K718" s="353"/>
      <c r="L718" s="353"/>
      <c r="M718" s="354"/>
      <c r="N718" s="354"/>
      <c r="O718" s="354"/>
    </row>
    <row r="719" spans="1:15" ht="11.25" customHeight="1">
      <c r="A719" s="354"/>
      <c r="B719" s="354"/>
      <c r="C719" s="354"/>
      <c r="D719" s="354"/>
      <c r="E719" s="353"/>
      <c r="F719" s="353"/>
      <c r="G719" s="353"/>
      <c r="H719" s="353"/>
      <c r="I719" s="353"/>
      <c r="J719" s="353"/>
      <c r="K719" s="353"/>
      <c r="L719" s="353"/>
      <c r="M719" s="354"/>
      <c r="N719" s="354"/>
      <c r="O719" s="354"/>
    </row>
    <row r="720" spans="1:15" ht="11.25" customHeight="1">
      <c r="A720" s="354"/>
      <c r="B720" s="354"/>
      <c r="C720" s="354"/>
      <c r="D720" s="354"/>
      <c r="E720" s="353"/>
      <c r="F720" s="353"/>
      <c r="G720" s="353"/>
      <c r="H720" s="353"/>
      <c r="I720" s="353"/>
      <c r="J720" s="353"/>
      <c r="K720" s="353"/>
      <c r="L720" s="353"/>
      <c r="M720" s="354"/>
      <c r="N720" s="354"/>
      <c r="O720" s="354"/>
    </row>
    <row r="721" spans="1:15" ht="11.25" customHeight="1">
      <c r="A721" s="354"/>
      <c r="B721" s="354"/>
      <c r="C721" s="354"/>
      <c r="D721" s="354"/>
      <c r="E721" s="353"/>
      <c r="F721" s="353"/>
      <c r="G721" s="353"/>
      <c r="H721" s="353"/>
      <c r="I721" s="353"/>
      <c r="J721" s="353"/>
      <c r="K721" s="353"/>
      <c r="L721" s="353"/>
      <c r="M721" s="354"/>
      <c r="N721" s="354"/>
      <c r="O721" s="354"/>
    </row>
    <row r="722" spans="1:15" ht="11.25" customHeight="1">
      <c r="A722" s="354"/>
      <c r="B722" s="354"/>
      <c r="C722" s="354"/>
      <c r="D722" s="354"/>
      <c r="E722" s="353"/>
      <c r="F722" s="353"/>
      <c r="G722" s="353"/>
      <c r="H722" s="353"/>
      <c r="I722" s="353"/>
      <c r="J722" s="353"/>
      <c r="K722" s="353"/>
      <c r="L722" s="353"/>
      <c r="M722" s="354"/>
      <c r="N722" s="354"/>
      <c r="O722" s="354"/>
    </row>
    <row r="723" spans="1:15" ht="11.25" customHeight="1">
      <c r="A723" s="354"/>
      <c r="B723" s="354"/>
      <c r="C723" s="354"/>
      <c r="D723" s="354"/>
      <c r="E723" s="353"/>
      <c r="F723" s="353"/>
      <c r="G723" s="353"/>
      <c r="H723" s="353"/>
      <c r="I723" s="353"/>
      <c r="J723" s="353"/>
      <c r="K723" s="353"/>
      <c r="L723" s="353"/>
      <c r="M723" s="354"/>
      <c r="N723" s="354"/>
      <c r="O723" s="354"/>
    </row>
    <row r="724" spans="1:15" ht="11.25" customHeight="1">
      <c r="A724" s="354"/>
      <c r="B724" s="354"/>
      <c r="C724" s="354"/>
      <c r="D724" s="354"/>
      <c r="E724" s="353"/>
      <c r="F724" s="353"/>
      <c r="G724" s="353"/>
      <c r="H724" s="353"/>
      <c r="I724" s="353"/>
      <c r="J724" s="353"/>
      <c r="K724" s="353"/>
      <c r="L724" s="353"/>
      <c r="M724" s="354"/>
      <c r="N724" s="354"/>
      <c r="O724" s="354"/>
    </row>
    <row r="725" spans="1:15" ht="11.25" customHeight="1">
      <c r="A725" s="354"/>
      <c r="B725" s="354"/>
      <c r="C725" s="354"/>
      <c r="D725" s="354"/>
      <c r="E725" s="353"/>
      <c r="F725" s="353"/>
      <c r="G725" s="353"/>
      <c r="H725" s="353"/>
      <c r="I725" s="353"/>
      <c r="J725" s="353"/>
      <c r="K725" s="353"/>
      <c r="L725" s="353"/>
      <c r="M725" s="354"/>
      <c r="N725" s="354"/>
      <c r="O725" s="354"/>
    </row>
    <row r="726" spans="1:15" ht="11.25" customHeight="1">
      <c r="A726" s="354"/>
      <c r="B726" s="354"/>
      <c r="C726" s="354"/>
      <c r="D726" s="354"/>
      <c r="E726" s="353"/>
      <c r="F726" s="353"/>
      <c r="G726" s="353"/>
      <c r="H726" s="353"/>
      <c r="I726" s="353"/>
      <c r="J726" s="353"/>
      <c r="K726" s="353"/>
      <c r="L726" s="353"/>
      <c r="M726" s="354"/>
      <c r="N726" s="354"/>
      <c r="O726" s="354"/>
    </row>
    <row r="727" spans="1:15" ht="11.25" customHeight="1">
      <c r="A727" s="354"/>
      <c r="B727" s="354"/>
      <c r="C727" s="354"/>
      <c r="D727" s="354"/>
      <c r="E727" s="353"/>
      <c r="F727" s="353"/>
      <c r="G727" s="353"/>
      <c r="H727" s="353"/>
      <c r="I727" s="353"/>
      <c r="J727" s="353"/>
      <c r="K727" s="353"/>
      <c r="L727" s="353"/>
      <c r="M727" s="354"/>
      <c r="N727" s="354"/>
      <c r="O727" s="354"/>
    </row>
    <row r="728" spans="1:15" ht="11.25" customHeight="1">
      <c r="A728" s="354"/>
      <c r="B728" s="354"/>
      <c r="C728" s="354"/>
      <c r="D728" s="354"/>
      <c r="E728" s="353"/>
      <c r="F728" s="353"/>
      <c r="G728" s="353"/>
      <c r="H728" s="353"/>
      <c r="I728" s="353"/>
      <c r="J728" s="353"/>
      <c r="K728" s="353"/>
      <c r="L728" s="353"/>
      <c r="M728" s="354"/>
      <c r="N728" s="354"/>
      <c r="O728" s="354"/>
    </row>
    <row r="729" spans="1:15" ht="11.25" customHeight="1">
      <c r="A729" s="354"/>
      <c r="B729" s="354"/>
      <c r="C729" s="354"/>
      <c r="D729" s="354"/>
      <c r="E729" s="353"/>
      <c r="F729" s="353"/>
      <c r="G729" s="353"/>
      <c r="H729" s="353"/>
      <c r="I729" s="353"/>
      <c r="J729" s="353"/>
      <c r="K729" s="353"/>
      <c r="L729" s="353"/>
      <c r="M729" s="354"/>
      <c r="N729" s="354"/>
      <c r="O729" s="354"/>
    </row>
    <row r="730" spans="1:15" ht="11.25" customHeight="1">
      <c r="A730" s="354"/>
      <c r="B730" s="354"/>
      <c r="C730" s="354"/>
      <c r="D730" s="354"/>
      <c r="E730" s="353"/>
      <c r="F730" s="353"/>
      <c r="G730" s="353"/>
      <c r="H730" s="353"/>
      <c r="I730" s="353"/>
      <c r="J730" s="353"/>
      <c r="K730" s="353"/>
      <c r="L730" s="353"/>
      <c r="M730" s="354"/>
      <c r="N730" s="354"/>
      <c r="O730" s="354"/>
    </row>
    <row r="731" spans="1:15" ht="11.25" customHeight="1">
      <c r="A731" s="354"/>
      <c r="B731" s="354"/>
      <c r="C731" s="354"/>
      <c r="D731" s="354"/>
      <c r="E731" s="353"/>
      <c r="F731" s="353"/>
      <c r="G731" s="353"/>
      <c r="H731" s="353"/>
      <c r="I731" s="353"/>
      <c r="J731" s="353"/>
      <c r="K731" s="353"/>
      <c r="L731" s="353"/>
      <c r="M731" s="354"/>
      <c r="N731" s="354"/>
      <c r="O731" s="354"/>
    </row>
    <row r="732" spans="1:15" ht="11.25" customHeight="1">
      <c r="A732" s="354"/>
      <c r="B732" s="354"/>
      <c r="C732" s="354"/>
      <c r="D732" s="354"/>
      <c r="E732" s="353"/>
      <c r="F732" s="353"/>
      <c r="G732" s="353"/>
      <c r="H732" s="353"/>
      <c r="I732" s="353"/>
      <c r="J732" s="353"/>
      <c r="K732" s="353"/>
      <c r="L732" s="353"/>
      <c r="M732" s="354"/>
      <c r="N732" s="354"/>
      <c r="O732" s="354"/>
    </row>
    <row r="733" spans="1:15" ht="11.25" customHeight="1">
      <c r="A733" s="354"/>
      <c r="B733" s="354"/>
      <c r="C733" s="354"/>
      <c r="D733" s="354"/>
      <c r="E733" s="353"/>
      <c r="F733" s="353"/>
      <c r="G733" s="353"/>
      <c r="H733" s="353"/>
      <c r="I733" s="353"/>
      <c r="J733" s="353"/>
      <c r="K733" s="353"/>
      <c r="L733" s="353"/>
      <c r="M733" s="354"/>
      <c r="N733" s="354"/>
      <c r="O733" s="354"/>
    </row>
    <row r="734" spans="1:15" ht="11.25" customHeight="1">
      <c r="A734" s="354"/>
      <c r="B734" s="354"/>
      <c r="C734" s="354"/>
      <c r="D734" s="354"/>
      <c r="E734" s="353"/>
      <c r="F734" s="353"/>
      <c r="G734" s="353"/>
      <c r="H734" s="353"/>
      <c r="I734" s="353"/>
      <c r="J734" s="353"/>
      <c r="K734" s="353"/>
      <c r="L734" s="353"/>
      <c r="M734" s="354"/>
      <c r="N734" s="354"/>
      <c r="O734" s="354"/>
    </row>
    <row r="735" spans="1:15" ht="11.25" customHeight="1">
      <c r="A735" s="354"/>
      <c r="B735" s="354"/>
      <c r="C735" s="354"/>
      <c r="D735" s="354"/>
      <c r="E735" s="353"/>
      <c r="F735" s="353"/>
      <c r="G735" s="353"/>
      <c r="H735" s="353"/>
      <c r="I735" s="353"/>
      <c r="J735" s="353"/>
      <c r="K735" s="353"/>
      <c r="L735" s="353"/>
      <c r="M735" s="354"/>
      <c r="N735" s="354"/>
      <c r="O735" s="354"/>
    </row>
    <row r="736" spans="1:15" ht="11.25" customHeight="1">
      <c r="A736" s="354"/>
      <c r="B736" s="354"/>
      <c r="C736" s="354"/>
      <c r="D736" s="354"/>
      <c r="E736" s="353"/>
      <c r="F736" s="353"/>
      <c r="G736" s="353"/>
      <c r="H736" s="353"/>
      <c r="I736" s="353"/>
      <c r="J736" s="353"/>
      <c r="K736" s="353"/>
      <c r="L736" s="353"/>
      <c r="M736" s="354"/>
      <c r="N736" s="354"/>
      <c r="O736" s="354"/>
    </row>
    <row r="737" spans="1:15" ht="11.25" customHeight="1">
      <c r="A737" s="354"/>
      <c r="B737" s="354"/>
      <c r="C737" s="354"/>
      <c r="D737" s="354"/>
      <c r="E737" s="353"/>
      <c r="F737" s="353"/>
      <c r="G737" s="353"/>
      <c r="H737" s="353"/>
      <c r="I737" s="353"/>
      <c r="J737" s="353"/>
      <c r="K737" s="353"/>
      <c r="L737" s="353"/>
      <c r="M737" s="354"/>
      <c r="N737" s="354"/>
      <c r="O737" s="354"/>
    </row>
    <row r="738" spans="1:15" ht="11.25" customHeight="1">
      <c r="A738" s="354"/>
      <c r="B738" s="354"/>
      <c r="C738" s="354"/>
      <c r="D738" s="354"/>
      <c r="E738" s="353"/>
      <c r="F738" s="353"/>
      <c r="G738" s="353"/>
      <c r="H738" s="353"/>
      <c r="I738" s="353"/>
      <c r="J738" s="353"/>
      <c r="K738" s="353"/>
      <c r="L738" s="353"/>
      <c r="M738" s="354"/>
      <c r="N738" s="354"/>
      <c r="O738" s="354"/>
    </row>
    <row r="739" spans="1:15" ht="11.25" customHeight="1">
      <c r="A739" s="354"/>
      <c r="B739" s="354"/>
      <c r="C739" s="354"/>
      <c r="D739" s="354"/>
      <c r="E739" s="353"/>
      <c r="F739" s="353"/>
      <c r="G739" s="353"/>
      <c r="H739" s="353"/>
      <c r="I739" s="353"/>
      <c r="J739" s="353"/>
      <c r="K739" s="353"/>
      <c r="L739" s="353"/>
      <c r="M739" s="354"/>
      <c r="N739" s="354"/>
      <c r="O739" s="354"/>
    </row>
    <row r="740" spans="1:15" ht="11.25" customHeight="1">
      <c r="A740" s="354"/>
      <c r="B740" s="354"/>
      <c r="C740" s="354"/>
      <c r="D740" s="354"/>
      <c r="E740" s="353"/>
      <c r="F740" s="353"/>
      <c r="G740" s="353"/>
      <c r="H740" s="353"/>
      <c r="I740" s="353"/>
      <c r="J740" s="353"/>
      <c r="K740" s="353"/>
      <c r="L740" s="353"/>
      <c r="M740" s="354"/>
      <c r="N740" s="354"/>
      <c r="O740" s="354"/>
    </row>
    <row r="741" spans="1:15" ht="11.25" customHeight="1">
      <c r="A741" s="354"/>
      <c r="B741" s="354"/>
      <c r="C741" s="354"/>
      <c r="D741" s="354"/>
      <c r="E741" s="353"/>
      <c r="F741" s="353"/>
      <c r="G741" s="353"/>
      <c r="H741" s="353"/>
      <c r="I741" s="353"/>
      <c r="J741" s="353"/>
      <c r="K741" s="353"/>
      <c r="L741" s="353"/>
      <c r="M741" s="354"/>
      <c r="N741" s="354"/>
      <c r="O741" s="354"/>
    </row>
    <row r="742" spans="1:15" ht="11.25" customHeight="1">
      <c r="A742" s="354"/>
      <c r="B742" s="354"/>
      <c r="C742" s="354"/>
      <c r="D742" s="354"/>
      <c r="E742" s="353"/>
      <c r="F742" s="353"/>
      <c r="G742" s="353"/>
      <c r="H742" s="353"/>
      <c r="I742" s="353"/>
      <c r="J742" s="353"/>
      <c r="K742" s="353"/>
      <c r="L742" s="353"/>
      <c r="M742" s="354"/>
      <c r="N742" s="354"/>
      <c r="O742" s="354"/>
    </row>
    <row r="743" spans="1:15" ht="11.25" customHeight="1">
      <c r="A743" s="354"/>
      <c r="B743" s="354"/>
      <c r="C743" s="354"/>
      <c r="D743" s="354"/>
      <c r="E743" s="353"/>
      <c r="F743" s="353"/>
      <c r="G743" s="353"/>
      <c r="H743" s="353"/>
      <c r="I743" s="353"/>
      <c r="J743" s="353"/>
      <c r="K743" s="353"/>
      <c r="L743" s="353"/>
      <c r="M743" s="354"/>
      <c r="N743" s="354"/>
      <c r="O743" s="354"/>
    </row>
    <row r="744" spans="1:15" ht="11.25" customHeight="1">
      <c r="A744" s="354"/>
      <c r="B744" s="354"/>
      <c r="C744" s="354"/>
      <c r="D744" s="354"/>
      <c r="E744" s="353"/>
      <c r="F744" s="353"/>
      <c r="G744" s="353"/>
      <c r="H744" s="353"/>
      <c r="I744" s="353"/>
      <c r="J744" s="353"/>
      <c r="K744" s="353"/>
      <c r="L744" s="353"/>
      <c r="M744" s="354"/>
      <c r="N744" s="354"/>
      <c r="O744" s="354"/>
    </row>
    <row r="745" spans="1:15" ht="11.25" customHeight="1">
      <c r="A745" s="354"/>
      <c r="B745" s="354"/>
      <c r="C745" s="354"/>
      <c r="D745" s="354"/>
      <c r="E745" s="353"/>
      <c r="F745" s="353"/>
      <c r="G745" s="353"/>
      <c r="H745" s="353"/>
      <c r="I745" s="353"/>
      <c r="J745" s="353"/>
      <c r="K745" s="353"/>
      <c r="L745" s="353"/>
      <c r="M745" s="354"/>
      <c r="N745" s="354"/>
      <c r="O745" s="354"/>
    </row>
    <row r="746" spans="1:15" ht="11.25" customHeight="1">
      <c r="A746" s="354"/>
      <c r="B746" s="354"/>
      <c r="C746" s="354"/>
      <c r="D746" s="354"/>
      <c r="E746" s="353"/>
      <c r="F746" s="353"/>
      <c r="G746" s="353"/>
      <c r="H746" s="353"/>
      <c r="I746" s="353"/>
      <c r="J746" s="353"/>
      <c r="K746" s="353"/>
      <c r="L746" s="353"/>
      <c r="M746" s="354"/>
      <c r="N746" s="354"/>
      <c r="O746" s="354"/>
    </row>
    <row r="747" spans="1:15" ht="11.25" customHeight="1">
      <c r="A747" s="354"/>
      <c r="B747" s="354"/>
      <c r="C747" s="354"/>
      <c r="D747" s="354"/>
      <c r="E747" s="353"/>
      <c r="F747" s="353"/>
      <c r="G747" s="353"/>
      <c r="H747" s="353"/>
      <c r="I747" s="353"/>
      <c r="J747" s="353"/>
      <c r="K747" s="353"/>
      <c r="L747" s="353"/>
      <c r="M747" s="354"/>
      <c r="N747" s="354"/>
      <c r="O747" s="354"/>
    </row>
    <row r="748" spans="1:15" ht="11.25" customHeight="1">
      <c r="A748" s="354"/>
      <c r="B748" s="354"/>
      <c r="C748" s="354"/>
      <c r="D748" s="354"/>
      <c r="E748" s="353"/>
      <c r="F748" s="353"/>
      <c r="G748" s="353"/>
      <c r="H748" s="353"/>
      <c r="I748" s="353"/>
      <c r="J748" s="353"/>
      <c r="K748" s="353"/>
      <c r="L748" s="353"/>
      <c r="M748" s="354"/>
      <c r="N748" s="354"/>
      <c r="O748" s="354"/>
    </row>
    <row r="749" spans="1:15" ht="11.25" customHeight="1">
      <c r="A749" s="354"/>
      <c r="B749" s="354"/>
      <c r="C749" s="354"/>
      <c r="D749" s="354"/>
      <c r="E749" s="353"/>
      <c r="F749" s="353"/>
      <c r="G749" s="353"/>
      <c r="H749" s="353"/>
      <c r="I749" s="353"/>
      <c r="J749" s="353"/>
      <c r="K749" s="353"/>
      <c r="L749" s="353"/>
      <c r="M749" s="354"/>
      <c r="N749" s="354"/>
      <c r="O749" s="354"/>
    </row>
    <row r="750" spans="1:15" ht="11.25" customHeight="1">
      <c r="A750" s="354"/>
      <c r="B750" s="354"/>
      <c r="C750" s="354"/>
      <c r="D750" s="354"/>
      <c r="E750" s="353"/>
      <c r="F750" s="353"/>
      <c r="G750" s="353"/>
      <c r="H750" s="353"/>
      <c r="I750" s="353"/>
      <c r="J750" s="353"/>
      <c r="K750" s="353"/>
      <c r="L750" s="353"/>
      <c r="M750" s="354"/>
      <c r="N750" s="354"/>
      <c r="O750" s="354"/>
    </row>
    <row r="751" spans="1:15" ht="11.25" customHeight="1">
      <c r="A751" s="354"/>
      <c r="B751" s="354"/>
      <c r="C751" s="354"/>
      <c r="D751" s="354"/>
      <c r="E751" s="353"/>
      <c r="F751" s="353"/>
      <c r="G751" s="353"/>
      <c r="H751" s="353"/>
      <c r="I751" s="353"/>
      <c r="J751" s="353"/>
      <c r="K751" s="353"/>
      <c r="L751" s="353"/>
      <c r="M751" s="354"/>
      <c r="N751" s="354"/>
      <c r="O751" s="354"/>
    </row>
    <row r="752" spans="1:15" ht="11.25" customHeight="1">
      <c r="A752" s="354"/>
      <c r="B752" s="354"/>
      <c r="C752" s="354"/>
      <c r="D752" s="354"/>
      <c r="E752" s="353"/>
      <c r="F752" s="353"/>
      <c r="G752" s="353"/>
      <c r="H752" s="353"/>
      <c r="I752" s="353"/>
      <c r="J752" s="353"/>
      <c r="K752" s="353"/>
      <c r="L752" s="353"/>
      <c r="M752" s="354"/>
      <c r="N752" s="354"/>
      <c r="O752" s="354"/>
    </row>
    <row r="753" spans="1:15" ht="11.25" customHeight="1">
      <c r="A753" s="354"/>
      <c r="B753" s="354"/>
      <c r="C753" s="354"/>
      <c r="D753" s="354"/>
      <c r="E753" s="353"/>
      <c r="F753" s="353"/>
      <c r="G753" s="353"/>
      <c r="H753" s="353"/>
      <c r="I753" s="353"/>
      <c r="J753" s="353"/>
      <c r="K753" s="353"/>
      <c r="L753" s="353"/>
      <c r="M753" s="354"/>
      <c r="N753" s="354"/>
      <c r="O753" s="354"/>
    </row>
    <row r="754" spans="1:15" ht="11.25" customHeight="1">
      <c r="A754" s="354"/>
      <c r="B754" s="354"/>
      <c r="C754" s="354"/>
      <c r="D754" s="354"/>
      <c r="E754" s="353"/>
      <c r="F754" s="353"/>
      <c r="G754" s="353"/>
      <c r="H754" s="353"/>
      <c r="I754" s="353"/>
      <c r="J754" s="353"/>
      <c r="K754" s="353"/>
      <c r="L754" s="353"/>
      <c r="M754" s="354"/>
      <c r="N754" s="354"/>
      <c r="O754" s="354"/>
    </row>
    <row r="755" spans="1:15" ht="11.25" customHeight="1">
      <c r="A755" s="354"/>
      <c r="B755" s="354"/>
      <c r="C755" s="354"/>
      <c r="D755" s="354"/>
      <c r="E755" s="353"/>
      <c r="F755" s="353"/>
      <c r="G755" s="353"/>
      <c r="H755" s="353"/>
      <c r="I755" s="353"/>
      <c r="J755" s="353"/>
      <c r="K755" s="353"/>
      <c r="L755" s="353"/>
      <c r="M755" s="354"/>
      <c r="N755" s="354"/>
      <c r="O755" s="354"/>
    </row>
    <row r="756" spans="1:15" ht="11.25" customHeight="1">
      <c r="A756" s="354"/>
      <c r="B756" s="354"/>
      <c r="C756" s="354"/>
      <c r="D756" s="354"/>
      <c r="E756" s="353"/>
      <c r="F756" s="353"/>
      <c r="G756" s="353"/>
      <c r="H756" s="353"/>
      <c r="I756" s="353"/>
      <c r="J756" s="353"/>
      <c r="K756" s="353"/>
      <c r="L756" s="353"/>
      <c r="M756" s="354"/>
      <c r="N756" s="354"/>
      <c r="O756" s="354"/>
    </row>
    <row r="757" spans="1:15" ht="11.25" customHeight="1">
      <c r="A757" s="354"/>
      <c r="B757" s="354"/>
      <c r="C757" s="354"/>
      <c r="D757" s="354"/>
      <c r="E757" s="353"/>
      <c r="F757" s="353"/>
      <c r="G757" s="353"/>
      <c r="H757" s="353"/>
      <c r="I757" s="353"/>
      <c r="J757" s="353"/>
      <c r="K757" s="353"/>
      <c r="L757" s="353"/>
      <c r="M757" s="354"/>
      <c r="N757" s="354"/>
      <c r="O757" s="354"/>
    </row>
    <row r="758" spans="1:15" ht="11.25" customHeight="1">
      <c r="A758" s="354"/>
      <c r="B758" s="354"/>
      <c r="C758" s="354"/>
      <c r="D758" s="354"/>
      <c r="E758" s="353"/>
      <c r="F758" s="353"/>
      <c r="G758" s="353"/>
      <c r="H758" s="353"/>
      <c r="I758" s="353"/>
      <c r="J758" s="353"/>
      <c r="K758" s="353"/>
      <c r="L758" s="353"/>
      <c r="M758" s="354"/>
      <c r="N758" s="354"/>
      <c r="O758" s="354"/>
    </row>
    <row r="759" spans="1:15" ht="11.25" customHeight="1">
      <c r="A759" s="354"/>
      <c r="B759" s="354"/>
      <c r="C759" s="354"/>
      <c r="D759" s="354"/>
      <c r="E759" s="353"/>
      <c r="F759" s="353"/>
      <c r="G759" s="353"/>
      <c r="H759" s="353"/>
      <c r="I759" s="353"/>
      <c r="J759" s="353"/>
      <c r="K759" s="353"/>
      <c r="L759" s="353"/>
      <c r="M759" s="354"/>
      <c r="N759" s="354"/>
      <c r="O759" s="354"/>
    </row>
    <row r="760" spans="1:15" ht="11.25" customHeight="1">
      <c r="A760" s="354"/>
      <c r="B760" s="354"/>
      <c r="C760" s="354"/>
      <c r="D760" s="354"/>
      <c r="E760" s="353"/>
      <c r="F760" s="353"/>
      <c r="G760" s="353"/>
      <c r="H760" s="353"/>
      <c r="I760" s="353"/>
      <c r="J760" s="353"/>
      <c r="K760" s="353"/>
      <c r="L760" s="353"/>
      <c r="M760" s="354"/>
      <c r="N760" s="354"/>
      <c r="O760" s="354"/>
    </row>
    <row r="761" spans="1:15" ht="11.25" customHeight="1">
      <c r="A761" s="354"/>
      <c r="B761" s="354"/>
      <c r="C761" s="354"/>
      <c r="D761" s="354"/>
      <c r="E761" s="353"/>
      <c r="F761" s="353"/>
      <c r="G761" s="353"/>
      <c r="H761" s="353"/>
      <c r="I761" s="353"/>
      <c r="J761" s="353"/>
      <c r="K761" s="353"/>
      <c r="L761" s="353"/>
      <c r="M761" s="354"/>
      <c r="N761" s="354"/>
      <c r="O761" s="354"/>
    </row>
    <row r="762" spans="1:15" ht="11.25" customHeight="1">
      <c r="A762" s="354"/>
      <c r="B762" s="354"/>
      <c r="C762" s="354"/>
      <c r="D762" s="354"/>
      <c r="E762" s="353"/>
      <c r="F762" s="353"/>
      <c r="G762" s="353"/>
      <c r="H762" s="353"/>
      <c r="I762" s="353"/>
      <c r="J762" s="353"/>
      <c r="K762" s="353"/>
      <c r="L762" s="353"/>
      <c r="M762" s="354"/>
      <c r="N762" s="354"/>
      <c r="O762" s="354"/>
    </row>
    <row r="763" spans="1:15" ht="11.25" customHeight="1">
      <c r="A763" s="354"/>
      <c r="B763" s="354"/>
      <c r="C763" s="354"/>
      <c r="D763" s="354"/>
      <c r="E763" s="353"/>
      <c r="F763" s="353"/>
      <c r="G763" s="353"/>
      <c r="H763" s="353"/>
      <c r="I763" s="353"/>
      <c r="J763" s="353"/>
      <c r="K763" s="353"/>
      <c r="L763" s="353"/>
      <c r="M763" s="354"/>
      <c r="N763" s="354"/>
      <c r="O763" s="354"/>
    </row>
    <row r="764" spans="1:15" ht="11.25" customHeight="1">
      <c r="A764" s="354"/>
      <c r="B764" s="354"/>
      <c r="C764" s="354"/>
      <c r="D764" s="354"/>
      <c r="E764" s="353"/>
      <c r="F764" s="353"/>
      <c r="G764" s="353"/>
      <c r="H764" s="353"/>
      <c r="I764" s="353"/>
      <c r="J764" s="353"/>
      <c r="K764" s="353"/>
      <c r="L764" s="353"/>
      <c r="M764" s="354"/>
      <c r="N764" s="354"/>
      <c r="O764" s="354"/>
    </row>
    <row r="765" spans="1:15" ht="11.25" customHeight="1">
      <c r="A765" s="354"/>
      <c r="B765" s="354"/>
      <c r="C765" s="354"/>
      <c r="D765" s="354"/>
      <c r="E765" s="353"/>
      <c r="F765" s="353"/>
      <c r="G765" s="353"/>
      <c r="H765" s="353"/>
      <c r="I765" s="353"/>
      <c r="J765" s="353"/>
      <c r="K765" s="353"/>
      <c r="L765" s="353"/>
      <c r="M765" s="354"/>
      <c r="N765" s="354"/>
      <c r="O765" s="354"/>
    </row>
    <row r="766" spans="1:15" ht="11.25" customHeight="1">
      <c r="A766" s="354"/>
      <c r="B766" s="354"/>
      <c r="C766" s="354"/>
      <c r="D766" s="354"/>
      <c r="E766" s="353"/>
      <c r="F766" s="353"/>
      <c r="G766" s="353"/>
      <c r="H766" s="353"/>
      <c r="I766" s="353"/>
      <c r="J766" s="353"/>
      <c r="K766" s="353"/>
      <c r="L766" s="353"/>
      <c r="M766" s="354"/>
      <c r="N766" s="354"/>
      <c r="O766" s="354"/>
    </row>
    <row r="767" spans="1:15" ht="11.25" customHeight="1">
      <c r="A767" s="354"/>
      <c r="B767" s="354"/>
      <c r="C767" s="354"/>
      <c r="D767" s="354"/>
      <c r="E767" s="353"/>
      <c r="F767" s="353"/>
      <c r="G767" s="353"/>
      <c r="H767" s="353"/>
      <c r="I767" s="353"/>
      <c r="J767" s="353"/>
      <c r="K767" s="353"/>
      <c r="L767" s="353"/>
      <c r="M767" s="354"/>
      <c r="N767" s="354"/>
      <c r="O767" s="354"/>
    </row>
    <row r="768" spans="1:15" ht="11.25" customHeight="1">
      <c r="A768" s="354"/>
      <c r="B768" s="354"/>
      <c r="C768" s="354"/>
      <c r="D768" s="354"/>
      <c r="E768" s="353"/>
      <c r="F768" s="353"/>
      <c r="G768" s="353"/>
      <c r="H768" s="353"/>
      <c r="I768" s="353"/>
      <c r="J768" s="353"/>
      <c r="K768" s="353"/>
      <c r="L768" s="353"/>
      <c r="M768" s="354"/>
      <c r="N768" s="354"/>
      <c r="O768" s="354"/>
    </row>
    <row r="769" spans="1:15" ht="11.25" customHeight="1">
      <c r="A769" s="354"/>
      <c r="B769" s="354"/>
      <c r="C769" s="354"/>
      <c r="D769" s="354"/>
      <c r="E769" s="353"/>
      <c r="F769" s="353"/>
      <c r="G769" s="353"/>
      <c r="H769" s="353"/>
      <c r="I769" s="353"/>
      <c r="J769" s="353"/>
      <c r="K769" s="353"/>
      <c r="L769" s="353"/>
      <c r="M769" s="354"/>
      <c r="N769" s="354"/>
      <c r="O769" s="354"/>
    </row>
    <row r="770" spans="1:15" ht="11.25" customHeight="1">
      <c r="A770" s="354"/>
      <c r="B770" s="354"/>
      <c r="C770" s="354"/>
      <c r="D770" s="354"/>
      <c r="E770" s="353"/>
      <c r="F770" s="353"/>
      <c r="G770" s="353"/>
      <c r="H770" s="353"/>
      <c r="I770" s="353"/>
      <c r="J770" s="353"/>
      <c r="K770" s="353"/>
      <c r="L770" s="353"/>
      <c r="M770" s="354"/>
      <c r="N770" s="354"/>
      <c r="O770" s="354"/>
    </row>
    <row r="771" spans="1:15" ht="11.25" customHeight="1">
      <c r="A771" s="354"/>
      <c r="B771" s="354"/>
      <c r="C771" s="354"/>
      <c r="D771" s="354"/>
      <c r="E771" s="353"/>
      <c r="F771" s="353"/>
      <c r="G771" s="353"/>
      <c r="H771" s="353"/>
      <c r="I771" s="353"/>
      <c r="J771" s="353"/>
      <c r="K771" s="353"/>
      <c r="L771" s="353"/>
      <c r="M771" s="354"/>
      <c r="N771" s="354"/>
      <c r="O771" s="354"/>
    </row>
    <row r="772" spans="1:15" ht="11.25" customHeight="1">
      <c r="A772" s="354"/>
      <c r="B772" s="354"/>
      <c r="C772" s="354"/>
      <c r="D772" s="354"/>
      <c r="E772" s="353"/>
      <c r="F772" s="353"/>
      <c r="G772" s="353"/>
      <c r="H772" s="353"/>
      <c r="I772" s="353"/>
      <c r="J772" s="353"/>
      <c r="K772" s="353"/>
      <c r="L772" s="353"/>
      <c r="M772" s="354"/>
      <c r="N772" s="354"/>
      <c r="O772" s="354"/>
    </row>
    <row r="773" spans="1:15" ht="11.25" customHeight="1">
      <c r="A773" s="354"/>
      <c r="B773" s="354"/>
      <c r="C773" s="354"/>
      <c r="D773" s="354"/>
      <c r="E773" s="353"/>
      <c r="F773" s="353"/>
      <c r="G773" s="353"/>
      <c r="H773" s="353"/>
      <c r="I773" s="353"/>
      <c r="J773" s="353"/>
      <c r="K773" s="353"/>
      <c r="L773" s="353"/>
      <c r="M773" s="354"/>
      <c r="N773" s="354"/>
      <c r="O773" s="354"/>
    </row>
    <row r="774" spans="1:15" ht="11.25" customHeight="1">
      <c r="A774" s="354"/>
      <c r="B774" s="354"/>
      <c r="C774" s="354"/>
      <c r="D774" s="354"/>
      <c r="E774" s="353"/>
      <c r="F774" s="353"/>
      <c r="G774" s="353"/>
      <c r="H774" s="353"/>
      <c r="I774" s="353"/>
      <c r="J774" s="353"/>
      <c r="K774" s="353"/>
      <c r="L774" s="353"/>
      <c r="M774" s="354"/>
      <c r="N774" s="354"/>
      <c r="O774" s="354"/>
    </row>
    <row r="775" spans="1:15" ht="11.25" customHeight="1">
      <c r="A775" s="354"/>
      <c r="B775" s="354"/>
      <c r="C775" s="354"/>
      <c r="D775" s="354"/>
      <c r="E775" s="353"/>
      <c r="F775" s="353"/>
      <c r="G775" s="353"/>
      <c r="H775" s="353"/>
      <c r="I775" s="353"/>
      <c r="J775" s="353"/>
      <c r="K775" s="353"/>
      <c r="L775" s="353"/>
      <c r="M775" s="354"/>
      <c r="N775" s="354"/>
      <c r="O775" s="354"/>
    </row>
    <row r="776" spans="1:15" ht="11.25" customHeight="1">
      <c r="A776" s="354"/>
      <c r="B776" s="354"/>
      <c r="C776" s="354"/>
      <c r="D776" s="354"/>
      <c r="E776" s="353"/>
      <c r="F776" s="353"/>
      <c r="G776" s="353"/>
      <c r="H776" s="353"/>
      <c r="I776" s="353"/>
      <c r="J776" s="353"/>
      <c r="K776" s="353"/>
      <c r="L776" s="353"/>
      <c r="M776" s="354"/>
      <c r="N776" s="354"/>
      <c r="O776" s="354"/>
    </row>
    <row r="777" spans="1:15" ht="11.25" customHeight="1">
      <c r="A777" s="354"/>
      <c r="B777" s="354"/>
      <c r="C777" s="354"/>
      <c r="D777" s="354"/>
      <c r="E777" s="353"/>
      <c r="F777" s="353"/>
      <c r="G777" s="353"/>
      <c r="H777" s="353"/>
      <c r="I777" s="353"/>
      <c r="J777" s="353"/>
      <c r="K777" s="353"/>
      <c r="L777" s="353"/>
      <c r="M777" s="354"/>
      <c r="N777" s="354"/>
      <c r="O777" s="354"/>
    </row>
    <row r="778" spans="1:15" ht="11.25" customHeight="1">
      <c r="A778" s="354"/>
      <c r="B778" s="354"/>
      <c r="C778" s="354"/>
      <c r="D778" s="354"/>
      <c r="E778" s="353"/>
      <c r="F778" s="353"/>
      <c r="G778" s="353"/>
      <c r="H778" s="353"/>
      <c r="I778" s="353"/>
      <c r="J778" s="353"/>
      <c r="K778" s="353"/>
      <c r="L778" s="353"/>
      <c r="M778" s="354"/>
      <c r="N778" s="354"/>
      <c r="O778" s="354"/>
    </row>
    <row r="779" spans="1:15" ht="11.25" customHeight="1">
      <c r="A779" s="354"/>
      <c r="B779" s="354"/>
      <c r="C779" s="354"/>
      <c r="D779" s="354"/>
      <c r="E779" s="353"/>
      <c r="F779" s="353"/>
      <c r="G779" s="353"/>
      <c r="H779" s="353"/>
      <c r="I779" s="353"/>
      <c r="J779" s="353"/>
      <c r="K779" s="353"/>
      <c r="L779" s="353"/>
      <c r="M779" s="354"/>
      <c r="N779" s="354"/>
      <c r="O779" s="354"/>
    </row>
    <row r="780" spans="1:15" ht="11.25" customHeight="1">
      <c r="A780" s="354"/>
      <c r="B780" s="354"/>
      <c r="C780" s="354"/>
      <c r="D780" s="354"/>
      <c r="E780" s="353"/>
      <c r="F780" s="353"/>
      <c r="G780" s="353"/>
      <c r="H780" s="353"/>
      <c r="I780" s="353"/>
      <c r="J780" s="353"/>
      <c r="K780" s="353"/>
      <c r="L780" s="353"/>
      <c r="M780" s="354"/>
      <c r="N780" s="354"/>
      <c r="O780" s="354"/>
    </row>
    <row r="781" spans="1:15" ht="11.25" customHeight="1">
      <c r="A781" s="354"/>
      <c r="B781" s="354"/>
      <c r="C781" s="354"/>
      <c r="D781" s="354"/>
      <c r="E781" s="353"/>
      <c r="F781" s="353"/>
      <c r="G781" s="353"/>
      <c r="H781" s="353"/>
      <c r="I781" s="353"/>
      <c r="J781" s="353"/>
      <c r="K781" s="353"/>
      <c r="L781" s="353"/>
      <c r="M781" s="354"/>
      <c r="N781" s="354"/>
      <c r="O781" s="354"/>
    </row>
    <row r="782" spans="1:15" ht="11.25" customHeight="1">
      <c r="A782" s="354"/>
      <c r="B782" s="354"/>
      <c r="C782" s="354"/>
      <c r="D782" s="354"/>
      <c r="E782" s="353"/>
      <c r="F782" s="353"/>
      <c r="G782" s="353"/>
      <c r="H782" s="353"/>
      <c r="I782" s="353"/>
      <c r="J782" s="353"/>
      <c r="K782" s="353"/>
      <c r="L782" s="353"/>
      <c r="M782" s="354"/>
      <c r="N782" s="354"/>
      <c r="O782" s="354"/>
    </row>
    <row r="783" spans="1:15" ht="11.25" customHeight="1">
      <c r="A783" s="354"/>
      <c r="B783" s="354"/>
      <c r="C783" s="354"/>
      <c r="D783" s="354"/>
      <c r="E783" s="353"/>
      <c r="F783" s="353"/>
      <c r="G783" s="353"/>
      <c r="H783" s="353"/>
      <c r="I783" s="353"/>
      <c r="J783" s="353"/>
      <c r="K783" s="353"/>
      <c r="L783" s="353"/>
      <c r="M783" s="354"/>
      <c r="N783" s="354"/>
      <c r="O783" s="354"/>
    </row>
    <row r="784" spans="1:15" ht="11.25" customHeight="1">
      <c r="A784" s="354"/>
      <c r="B784" s="354"/>
      <c r="C784" s="354"/>
      <c r="D784" s="354"/>
      <c r="E784" s="353"/>
      <c r="F784" s="353"/>
      <c r="G784" s="353"/>
      <c r="H784" s="353"/>
      <c r="I784" s="353"/>
      <c r="J784" s="353"/>
      <c r="K784" s="353"/>
      <c r="L784" s="353"/>
      <c r="M784" s="354"/>
      <c r="N784" s="354"/>
      <c r="O784" s="354"/>
    </row>
    <row r="785" spans="1:15" ht="11.25" customHeight="1">
      <c r="A785" s="354"/>
      <c r="B785" s="354"/>
      <c r="C785" s="354"/>
      <c r="D785" s="354"/>
      <c r="E785" s="353"/>
      <c r="F785" s="353"/>
      <c r="G785" s="353"/>
      <c r="H785" s="353"/>
      <c r="I785" s="353"/>
      <c r="J785" s="353"/>
      <c r="K785" s="353"/>
      <c r="L785" s="353"/>
      <c r="M785" s="354"/>
      <c r="N785" s="354"/>
      <c r="O785" s="354"/>
    </row>
    <row r="786" spans="1:15" ht="11.25" customHeight="1">
      <c r="A786" s="354"/>
      <c r="B786" s="354"/>
      <c r="C786" s="354"/>
      <c r="D786" s="354"/>
      <c r="E786" s="353"/>
      <c r="F786" s="353"/>
      <c r="G786" s="353"/>
      <c r="H786" s="353"/>
      <c r="I786" s="353"/>
      <c r="J786" s="353"/>
      <c r="K786" s="353"/>
      <c r="L786" s="353"/>
      <c r="M786" s="354"/>
      <c r="N786" s="354"/>
      <c r="O786" s="354"/>
    </row>
    <row r="787" spans="1:15" ht="11.25" customHeight="1">
      <c r="A787" s="354"/>
      <c r="B787" s="354"/>
      <c r="C787" s="354"/>
      <c r="D787" s="354"/>
      <c r="E787" s="353"/>
      <c r="F787" s="353"/>
      <c r="G787" s="353"/>
      <c r="H787" s="353"/>
      <c r="I787" s="353"/>
      <c r="J787" s="353"/>
      <c r="K787" s="353"/>
      <c r="L787" s="353"/>
      <c r="M787" s="354"/>
      <c r="N787" s="354"/>
      <c r="O787" s="354"/>
    </row>
    <row r="788" spans="1:15" ht="11.25" customHeight="1">
      <c r="A788" s="354"/>
      <c r="B788" s="354"/>
      <c r="C788" s="354"/>
      <c r="D788" s="354"/>
      <c r="E788" s="353"/>
      <c r="F788" s="353"/>
      <c r="G788" s="353"/>
      <c r="H788" s="353"/>
      <c r="I788" s="353"/>
      <c r="J788" s="353"/>
      <c r="K788" s="353"/>
      <c r="L788" s="353"/>
      <c r="M788" s="354"/>
      <c r="N788" s="354"/>
      <c r="O788" s="354"/>
    </row>
    <row r="789" spans="1:15" ht="11.25" customHeight="1">
      <c r="A789" s="354"/>
      <c r="B789" s="354"/>
      <c r="C789" s="354"/>
      <c r="D789" s="354"/>
      <c r="E789" s="353"/>
      <c r="F789" s="353"/>
      <c r="G789" s="353"/>
      <c r="H789" s="353"/>
      <c r="I789" s="353"/>
      <c r="J789" s="353"/>
      <c r="K789" s="353"/>
      <c r="L789" s="353"/>
      <c r="M789" s="354"/>
      <c r="N789" s="354"/>
      <c r="O789" s="354"/>
    </row>
    <row r="790" spans="1:15" ht="11.25" customHeight="1">
      <c r="A790" s="354"/>
      <c r="B790" s="354"/>
      <c r="C790" s="354"/>
      <c r="D790" s="354"/>
      <c r="E790" s="353"/>
      <c r="F790" s="353"/>
      <c r="G790" s="353"/>
      <c r="H790" s="353"/>
      <c r="I790" s="353"/>
      <c r="J790" s="353"/>
      <c r="K790" s="353"/>
      <c r="L790" s="353"/>
      <c r="M790" s="354"/>
      <c r="N790" s="354"/>
      <c r="O790" s="354"/>
    </row>
    <row r="791" spans="1:15" ht="11.25" customHeight="1">
      <c r="A791" s="354"/>
      <c r="B791" s="354"/>
      <c r="C791" s="354"/>
      <c r="D791" s="354"/>
      <c r="E791" s="353"/>
      <c r="F791" s="353"/>
      <c r="G791" s="353"/>
      <c r="H791" s="353"/>
      <c r="I791" s="353"/>
      <c r="J791" s="353"/>
      <c r="K791" s="353"/>
      <c r="L791" s="353"/>
      <c r="M791" s="354"/>
      <c r="N791" s="354"/>
      <c r="O791" s="354"/>
    </row>
    <row r="792" spans="1:15" ht="11.25" customHeight="1">
      <c r="A792" s="354"/>
      <c r="B792" s="354"/>
      <c r="C792" s="354"/>
      <c r="D792" s="354"/>
      <c r="E792" s="353"/>
      <c r="F792" s="353"/>
      <c r="G792" s="353"/>
      <c r="H792" s="353"/>
      <c r="I792" s="353"/>
      <c r="J792" s="353"/>
      <c r="K792" s="353"/>
      <c r="L792" s="353"/>
      <c r="M792" s="354"/>
      <c r="N792" s="354"/>
      <c r="O792" s="354"/>
    </row>
    <row r="793" spans="1:15" ht="11.25" customHeight="1">
      <c r="A793" s="354"/>
      <c r="B793" s="354"/>
      <c r="C793" s="354"/>
      <c r="D793" s="354"/>
      <c r="E793" s="353"/>
      <c r="F793" s="353"/>
      <c r="G793" s="353"/>
      <c r="H793" s="353"/>
      <c r="I793" s="353"/>
      <c r="J793" s="353"/>
      <c r="K793" s="353"/>
      <c r="L793" s="353"/>
      <c r="M793" s="354"/>
      <c r="N793" s="354"/>
      <c r="O793" s="354"/>
    </row>
    <row r="794" spans="1:15" ht="11.25" customHeight="1">
      <c r="A794" s="354"/>
      <c r="B794" s="354"/>
      <c r="C794" s="354"/>
      <c r="D794" s="354"/>
      <c r="E794" s="353"/>
      <c r="F794" s="353"/>
      <c r="G794" s="353"/>
      <c r="H794" s="353"/>
      <c r="I794" s="353"/>
      <c r="J794" s="353"/>
      <c r="K794" s="353"/>
      <c r="L794" s="353"/>
      <c r="M794" s="354"/>
      <c r="N794" s="354"/>
      <c r="O794" s="354"/>
    </row>
    <row r="795" spans="1:15" ht="11.25" customHeight="1">
      <c r="A795" s="354"/>
      <c r="B795" s="354"/>
      <c r="C795" s="354"/>
      <c r="D795" s="354"/>
      <c r="E795" s="353"/>
      <c r="F795" s="353"/>
      <c r="G795" s="353"/>
      <c r="H795" s="353"/>
      <c r="I795" s="353"/>
      <c r="J795" s="353"/>
      <c r="K795" s="353"/>
      <c r="L795" s="353"/>
      <c r="M795" s="354"/>
      <c r="N795" s="354"/>
      <c r="O795" s="354"/>
    </row>
    <row r="796" spans="1:15" ht="11.25" customHeight="1">
      <c r="A796" s="354"/>
      <c r="B796" s="354"/>
      <c r="C796" s="354"/>
      <c r="D796" s="354"/>
      <c r="E796" s="353"/>
      <c r="F796" s="353"/>
      <c r="G796" s="353"/>
      <c r="H796" s="353"/>
      <c r="I796" s="353"/>
      <c r="J796" s="353"/>
      <c r="K796" s="353"/>
      <c r="L796" s="353"/>
      <c r="M796" s="354"/>
      <c r="N796" s="354"/>
      <c r="O796" s="354"/>
    </row>
    <row r="797" spans="1:15" ht="11.25" customHeight="1">
      <c r="A797" s="354"/>
      <c r="B797" s="354"/>
      <c r="C797" s="354"/>
      <c r="D797" s="354"/>
      <c r="E797" s="353"/>
      <c r="F797" s="353"/>
      <c r="G797" s="353"/>
      <c r="H797" s="353"/>
      <c r="I797" s="353"/>
      <c r="J797" s="353"/>
      <c r="K797" s="353"/>
      <c r="L797" s="353"/>
      <c r="M797" s="354"/>
      <c r="N797" s="354"/>
      <c r="O797" s="354"/>
    </row>
    <row r="798" spans="1:15" ht="11.25" customHeight="1">
      <c r="A798" s="354"/>
      <c r="B798" s="354"/>
      <c r="C798" s="354"/>
      <c r="D798" s="354"/>
      <c r="E798" s="353"/>
      <c r="F798" s="353"/>
      <c r="G798" s="353"/>
      <c r="H798" s="353"/>
      <c r="I798" s="353"/>
      <c r="J798" s="353"/>
      <c r="K798" s="353"/>
      <c r="L798" s="353"/>
      <c r="M798" s="354"/>
      <c r="N798" s="354"/>
      <c r="O798" s="354"/>
    </row>
    <row r="799" spans="1:15" ht="11.25" customHeight="1">
      <c r="A799" s="354"/>
      <c r="B799" s="354"/>
      <c r="C799" s="354"/>
      <c r="D799" s="354"/>
      <c r="E799" s="353"/>
      <c r="F799" s="353"/>
      <c r="G799" s="353"/>
      <c r="H799" s="353"/>
      <c r="I799" s="353"/>
      <c r="J799" s="353"/>
      <c r="K799" s="353"/>
      <c r="L799" s="353"/>
      <c r="M799" s="354"/>
      <c r="N799" s="354"/>
      <c r="O799" s="354"/>
    </row>
    <row r="800" spans="1:15" ht="11.25" customHeight="1">
      <c r="A800" s="354"/>
      <c r="B800" s="354"/>
      <c r="C800" s="354"/>
      <c r="D800" s="354"/>
      <c r="E800" s="353"/>
      <c r="F800" s="353"/>
      <c r="G800" s="353"/>
      <c r="H800" s="353"/>
      <c r="I800" s="353"/>
      <c r="J800" s="353"/>
      <c r="K800" s="353"/>
      <c r="L800" s="353"/>
      <c r="M800" s="354"/>
      <c r="N800" s="354"/>
      <c r="O800" s="354"/>
    </row>
    <row r="801" spans="1:15" ht="11.25" customHeight="1">
      <c r="A801" s="354"/>
      <c r="B801" s="354"/>
      <c r="C801" s="354"/>
      <c r="D801" s="354"/>
      <c r="E801" s="353"/>
      <c r="F801" s="353"/>
      <c r="G801" s="353"/>
      <c r="H801" s="353"/>
      <c r="I801" s="353"/>
      <c r="J801" s="353"/>
      <c r="K801" s="353"/>
      <c r="L801" s="353"/>
      <c r="M801" s="354"/>
      <c r="N801" s="354"/>
      <c r="O801" s="354"/>
    </row>
    <row r="802" spans="1:15" ht="11.25" customHeight="1">
      <c r="A802" s="354"/>
      <c r="B802" s="354"/>
      <c r="C802" s="354"/>
      <c r="D802" s="354"/>
      <c r="E802" s="353"/>
      <c r="F802" s="353"/>
      <c r="G802" s="353"/>
      <c r="H802" s="353"/>
      <c r="I802" s="353"/>
      <c r="J802" s="353"/>
      <c r="K802" s="353"/>
      <c r="L802" s="353"/>
      <c r="M802" s="354"/>
      <c r="N802" s="354"/>
      <c r="O802" s="354"/>
    </row>
    <row r="803" spans="1:15" ht="11.25" customHeight="1">
      <c r="A803" s="354"/>
      <c r="B803" s="354"/>
      <c r="C803" s="354"/>
      <c r="D803" s="354"/>
      <c r="E803" s="353"/>
      <c r="F803" s="353"/>
      <c r="G803" s="353"/>
      <c r="H803" s="353"/>
      <c r="I803" s="353"/>
      <c r="J803" s="353"/>
      <c r="K803" s="353"/>
      <c r="L803" s="353"/>
      <c r="M803" s="354"/>
      <c r="N803" s="354"/>
      <c r="O803" s="354"/>
    </row>
    <row r="804" spans="1:15" ht="11.25" customHeight="1">
      <c r="A804" s="354"/>
      <c r="B804" s="354"/>
      <c r="C804" s="354"/>
      <c r="D804" s="354"/>
      <c r="E804" s="353"/>
      <c r="F804" s="353"/>
      <c r="G804" s="353"/>
      <c r="H804" s="353"/>
      <c r="I804" s="353"/>
      <c r="J804" s="353"/>
      <c r="K804" s="353"/>
      <c r="L804" s="353"/>
      <c r="M804" s="354"/>
      <c r="N804" s="354"/>
      <c r="O804" s="354"/>
    </row>
    <row r="805" spans="1:15" ht="11.25" customHeight="1">
      <c r="A805" s="354"/>
      <c r="B805" s="354"/>
      <c r="C805" s="354"/>
      <c r="D805" s="354"/>
      <c r="E805" s="353"/>
      <c r="F805" s="353"/>
      <c r="G805" s="353"/>
      <c r="H805" s="353"/>
      <c r="I805" s="353"/>
      <c r="J805" s="353"/>
      <c r="K805" s="353"/>
      <c r="L805" s="353"/>
      <c r="M805" s="354"/>
      <c r="N805" s="354"/>
      <c r="O805" s="354"/>
    </row>
    <row r="806" spans="1:15" ht="11.25" customHeight="1">
      <c r="A806" s="354"/>
      <c r="B806" s="354"/>
      <c r="C806" s="354"/>
      <c r="D806" s="354"/>
      <c r="E806" s="353"/>
      <c r="F806" s="353"/>
      <c r="G806" s="353"/>
      <c r="H806" s="353"/>
      <c r="I806" s="353"/>
      <c r="J806" s="353"/>
      <c r="K806" s="353"/>
      <c r="L806" s="353"/>
      <c r="M806" s="354"/>
      <c r="N806" s="354"/>
      <c r="O806" s="354"/>
    </row>
    <row r="807" spans="1:15" ht="11.25" customHeight="1">
      <c r="A807" s="354"/>
      <c r="B807" s="354"/>
      <c r="C807" s="354"/>
      <c r="D807" s="354"/>
      <c r="E807" s="353"/>
      <c r="F807" s="353"/>
      <c r="G807" s="353"/>
      <c r="H807" s="353"/>
      <c r="I807" s="353"/>
      <c r="J807" s="353"/>
      <c r="K807" s="353"/>
      <c r="L807" s="353"/>
      <c r="M807" s="354"/>
      <c r="N807" s="354"/>
      <c r="O807" s="354"/>
    </row>
    <row r="808" spans="1:15" ht="11.25" customHeight="1">
      <c r="A808" s="354"/>
      <c r="B808" s="354"/>
      <c r="C808" s="354"/>
      <c r="D808" s="354"/>
      <c r="E808" s="353"/>
      <c r="F808" s="353"/>
      <c r="G808" s="353"/>
      <c r="H808" s="353"/>
      <c r="I808" s="353"/>
      <c r="J808" s="353"/>
      <c r="K808" s="353"/>
      <c r="L808" s="353"/>
      <c r="M808" s="354"/>
      <c r="N808" s="354"/>
      <c r="O808" s="354"/>
    </row>
    <row r="809" spans="1:15" ht="11.25" customHeight="1">
      <c r="A809" s="354"/>
      <c r="B809" s="354"/>
      <c r="C809" s="354"/>
      <c r="D809" s="354"/>
      <c r="E809" s="353"/>
      <c r="F809" s="353"/>
      <c r="G809" s="353"/>
      <c r="H809" s="353"/>
      <c r="I809" s="353"/>
      <c r="J809" s="353"/>
      <c r="K809" s="353"/>
      <c r="L809" s="353"/>
      <c r="M809" s="354"/>
      <c r="N809" s="354"/>
      <c r="O809" s="354"/>
    </row>
    <row r="810" spans="1:15" ht="11.25" customHeight="1">
      <c r="A810" s="354"/>
      <c r="B810" s="354"/>
      <c r="C810" s="354"/>
      <c r="D810" s="354"/>
      <c r="E810" s="353"/>
      <c r="F810" s="353"/>
      <c r="G810" s="353"/>
      <c r="H810" s="353"/>
      <c r="I810" s="353"/>
      <c r="J810" s="353"/>
      <c r="K810" s="353"/>
      <c r="L810" s="353"/>
      <c r="M810" s="354"/>
      <c r="N810" s="354"/>
      <c r="O810" s="354"/>
    </row>
    <row r="811" spans="1:15" ht="11.25" customHeight="1">
      <c r="A811" s="354"/>
      <c r="B811" s="354"/>
      <c r="C811" s="354"/>
      <c r="D811" s="354"/>
      <c r="E811" s="353"/>
      <c r="F811" s="353"/>
      <c r="G811" s="353"/>
      <c r="H811" s="353"/>
      <c r="I811" s="353"/>
      <c r="J811" s="353"/>
      <c r="K811" s="353"/>
      <c r="L811" s="353"/>
      <c r="M811" s="354"/>
      <c r="N811" s="354"/>
      <c r="O811" s="354"/>
    </row>
    <row r="812" spans="1:15" ht="11.25" customHeight="1">
      <c r="A812" s="354"/>
      <c r="B812" s="354"/>
      <c r="C812" s="354"/>
      <c r="D812" s="354"/>
      <c r="E812" s="353"/>
      <c r="F812" s="353"/>
      <c r="G812" s="353"/>
      <c r="H812" s="353"/>
      <c r="I812" s="353"/>
      <c r="J812" s="353"/>
      <c r="K812" s="353"/>
      <c r="L812" s="353"/>
      <c r="M812" s="354"/>
      <c r="N812" s="354"/>
      <c r="O812" s="354"/>
    </row>
    <row r="813" spans="1:15" ht="11.25" customHeight="1">
      <c r="A813" s="354"/>
      <c r="B813" s="354"/>
      <c r="C813" s="354"/>
      <c r="D813" s="354"/>
      <c r="E813" s="353"/>
      <c r="F813" s="353"/>
      <c r="G813" s="353"/>
      <c r="H813" s="353"/>
      <c r="I813" s="353"/>
      <c r="J813" s="353"/>
      <c r="K813" s="353"/>
      <c r="L813" s="353"/>
      <c r="M813" s="354"/>
      <c r="N813" s="354"/>
      <c r="O813" s="354"/>
    </row>
    <row r="814" spans="1:15" ht="11.25" customHeight="1">
      <c r="A814" s="354"/>
      <c r="B814" s="354"/>
      <c r="C814" s="354"/>
      <c r="D814" s="354"/>
      <c r="E814" s="353"/>
      <c r="F814" s="353"/>
      <c r="G814" s="353"/>
      <c r="H814" s="353"/>
      <c r="I814" s="353"/>
      <c r="J814" s="353"/>
      <c r="K814" s="353"/>
      <c r="L814" s="353"/>
      <c r="M814" s="354"/>
      <c r="N814" s="354"/>
      <c r="O814" s="354"/>
    </row>
    <row r="815" spans="1:15" ht="11.25" customHeight="1">
      <c r="A815" s="354"/>
      <c r="B815" s="354"/>
      <c r="C815" s="354"/>
      <c r="D815" s="354"/>
      <c r="E815" s="353"/>
      <c r="F815" s="353"/>
      <c r="G815" s="353"/>
      <c r="H815" s="353"/>
      <c r="I815" s="353"/>
      <c r="J815" s="353"/>
      <c r="K815" s="353"/>
      <c r="L815" s="353"/>
      <c r="M815" s="354"/>
      <c r="N815" s="354"/>
      <c r="O815" s="354"/>
    </row>
    <row r="816" spans="1:15" ht="11.25" customHeight="1">
      <c r="A816" s="354"/>
      <c r="B816" s="354"/>
      <c r="C816" s="354"/>
      <c r="D816" s="354"/>
      <c r="E816" s="353"/>
      <c r="F816" s="353"/>
      <c r="G816" s="353"/>
      <c r="H816" s="353"/>
      <c r="I816" s="353"/>
      <c r="J816" s="353"/>
      <c r="K816" s="353"/>
      <c r="L816" s="353"/>
      <c r="M816" s="354"/>
      <c r="N816" s="354"/>
      <c r="O816" s="354"/>
    </row>
    <row r="817" spans="1:15" ht="11.25" customHeight="1">
      <c r="A817" s="354"/>
      <c r="B817" s="354"/>
      <c r="C817" s="354"/>
      <c r="D817" s="354"/>
      <c r="E817" s="353"/>
      <c r="F817" s="353"/>
      <c r="G817" s="353"/>
      <c r="H817" s="353"/>
      <c r="I817" s="353"/>
      <c r="J817" s="353"/>
      <c r="K817" s="353"/>
      <c r="L817" s="353"/>
      <c r="M817" s="354"/>
      <c r="N817" s="354"/>
      <c r="O817" s="354"/>
    </row>
    <row r="818" spans="1:15" ht="11.25" customHeight="1">
      <c r="A818" s="354"/>
      <c r="B818" s="354"/>
      <c r="C818" s="354"/>
      <c r="D818" s="354"/>
      <c r="E818" s="353"/>
      <c r="F818" s="353"/>
      <c r="G818" s="353"/>
      <c r="H818" s="353"/>
      <c r="I818" s="353"/>
      <c r="J818" s="353"/>
      <c r="K818" s="353"/>
      <c r="L818" s="353"/>
      <c r="M818" s="354"/>
      <c r="N818" s="354"/>
      <c r="O818" s="354"/>
    </row>
    <row r="819" spans="1:15" ht="11.25" customHeight="1">
      <c r="A819" s="354"/>
      <c r="B819" s="354"/>
      <c r="C819" s="354"/>
      <c r="D819" s="354"/>
      <c r="E819" s="353"/>
      <c r="F819" s="353"/>
      <c r="G819" s="353"/>
      <c r="H819" s="353"/>
      <c r="I819" s="353"/>
      <c r="J819" s="353"/>
      <c r="K819" s="353"/>
      <c r="L819" s="353"/>
      <c r="M819" s="354"/>
      <c r="N819" s="354"/>
      <c r="O819" s="354"/>
    </row>
    <row r="820" spans="1:15" ht="11.25" customHeight="1">
      <c r="A820" s="354"/>
      <c r="B820" s="354"/>
      <c r="C820" s="354"/>
      <c r="D820" s="354"/>
      <c r="E820" s="353"/>
      <c r="F820" s="353"/>
      <c r="G820" s="353"/>
      <c r="H820" s="353"/>
      <c r="I820" s="353"/>
      <c r="J820" s="353"/>
      <c r="K820" s="353"/>
      <c r="L820" s="353"/>
      <c r="M820" s="354"/>
      <c r="N820" s="354"/>
      <c r="O820" s="354"/>
    </row>
    <row r="821" spans="1:15" ht="11.25" customHeight="1">
      <c r="A821" s="354"/>
      <c r="B821" s="354"/>
      <c r="C821" s="354"/>
      <c r="D821" s="354"/>
      <c r="E821" s="353"/>
      <c r="F821" s="353"/>
      <c r="G821" s="353"/>
      <c r="H821" s="353"/>
      <c r="I821" s="353"/>
      <c r="J821" s="353"/>
      <c r="K821" s="353"/>
      <c r="L821" s="353"/>
      <c r="M821" s="354"/>
      <c r="N821" s="354"/>
      <c r="O821" s="354"/>
    </row>
    <row r="822" spans="1:15" ht="11.25" customHeight="1">
      <c r="A822" s="354"/>
      <c r="B822" s="354"/>
      <c r="C822" s="354"/>
      <c r="D822" s="354"/>
      <c r="E822" s="353"/>
      <c r="F822" s="353"/>
      <c r="G822" s="353"/>
      <c r="H822" s="353"/>
      <c r="I822" s="353"/>
      <c r="J822" s="353"/>
      <c r="K822" s="353"/>
      <c r="L822" s="353"/>
      <c r="M822" s="354"/>
      <c r="N822" s="354"/>
      <c r="O822" s="354"/>
    </row>
    <row r="823" spans="1:15" ht="11.25" customHeight="1">
      <c r="A823" s="354"/>
      <c r="B823" s="354"/>
      <c r="C823" s="354"/>
      <c r="D823" s="354"/>
      <c r="E823" s="353"/>
      <c r="F823" s="353"/>
      <c r="G823" s="353"/>
      <c r="H823" s="353"/>
      <c r="I823" s="353"/>
      <c r="J823" s="353"/>
      <c r="K823" s="353"/>
      <c r="L823" s="353"/>
      <c r="M823" s="354"/>
      <c r="N823" s="354"/>
      <c r="O823" s="354"/>
    </row>
    <row r="824" spans="1:15" ht="11.25" customHeight="1">
      <c r="A824" s="354"/>
      <c r="B824" s="354"/>
      <c r="C824" s="354"/>
      <c r="D824" s="354"/>
      <c r="E824" s="353"/>
      <c r="F824" s="353"/>
      <c r="G824" s="353"/>
      <c r="H824" s="353"/>
      <c r="I824" s="353"/>
      <c r="J824" s="353"/>
      <c r="K824" s="353"/>
      <c r="L824" s="353"/>
      <c r="M824" s="354"/>
      <c r="N824" s="354"/>
      <c r="O824" s="354"/>
    </row>
    <row r="825" spans="1:15" ht="11.25" customHeight="1">
      <c r="A825" s="354"/>
      <c r="B825" s="354"/>
      <c r="C825" s="354"/>
      <c r="D825" s="354"/>
      <c r="E825" s="353"/>
      <c r="F825" s="353"/>
      <c r="G825" s="353"/>
      <c r="H825" s="353"/>
      <c r="I825" s="353"/>
      <c r="J825" s="353"/>
      <c r="K825" s="353"/>
      <c r="L825" s="353"/>
      <c r="M825" s="354"/>
      <c r="N825" s="354"/>
      <c r="O825" s="354"/>
    </row>
    <row r="826" spans="1:15" ht="11.25" customHeight="1">
      <c r="A826" s="354"/>
      <c r="B826" s="354"/>
      <c r="C826" s="354"/>
      <c r="D826" s="354"/>
      <c r="E826" s="353"/>
      <c r="F826" s="353"/>
      <c r="G826" s="353"/>
      <c r="H826" s="353"/>
      <c r="I826" s="353"/>
      <c r="J826" s="353"/>
      <c r="K826" s="353"/>
      <c r="L826" s="353"/>
      <c r="M826" s="354"/>
      <c r="N826" s="354"/>
      <c r="O826" s="354"/>
    </row>
    <row r="827" spans="1:15" ht="11.25" customHeight="1">
      <c r="A827" s="354"/>
      <c r="B827" s="354"/>
      <c r="C827" s="354"/>
      <c r="D827" s="354"/>
      <c r="E827" s="353"/>
      <c r="F827" s="353"/>
      <c r="G827" s="353"/>
      <c r="H827" s="353"/>
      <c r="I827" s="353"/>
      <c r="J827" s="353"/>
      <c r="K827" s="353"/>
      <c r="L827" s="353"/>
      <c r="M827" s="354"/>
      <c r="N827" s="354"/>
      <c r="O827" s="354"/>
    </row>
    <row r="828" spans="1:15" ht="11.25" customHeight="1">
      <c r="A828" s="354"/>
      <c r="B828" s="354"/>
      <c r="C828" s="354"/>
      <c r="D828" s="354"/>
      <c r="E828" s="353"/>
      <c r="F828" s="353"/>
      <c r="G828" s="353"/>
      <c r="H828" s="353"/>
      <c r="I828" s="353"/>
      <c r="J828" s="353"/>
      <c r="K828" s="353"/>
      <c r="L828" s="353"/>
      <c r="M828" s="354"/>
      <c r="N828" s="354"/>
      <c r="O828" s="354"/>
    </row>
    <row r="829" spans="1:15" ht="11.25" customHeight="1">
      <c r="A829" s="354"/>
      <c r="B829" s="354"/>
      <c r="C829" s="354"/>
      <c r="D829" s="354"/>
      <c r="E829" s="353"/>
      <c r="F829" s="353"/>
      <c r="G829" s="353"/>
      <c r="H829" s="353"/>
      <c r="I829" s="353"/>
      <c r="J829" s="353"/>
      <c r="K829" s="353"/>
      <c r="L829" s="353"/>
      <c r="M829" s="354"/>
      <c r="N829" s="354"/>
      <c r="O829" s="354"/>
    </row>
    <row r="830" spans="1:15" ht="11.25" customHeight="1">
      <c r="A830" s="354"/>
      <c r="B830" s="354"/>
      <c r="C830" s="354"/>
      <c r="D830" s="354"/>
      <c r="E830" s="353"/>
      <c r="F830" s="353"/>
      <c r="G830" s="353"/>
      <c r="H830" s="353"/>
      <c r="I830" s="353"/>
      <c r="J830" s="353"/>
      <c r="K830" s="353"/>
      <c r="L830" s="353"/>
      <c r="M830" s="354"/>
      <c r="N830" s="354"/>
      <c r="O830" s="354"/>
    </row>
    <row r="831" spans="1:15" ht="11.25" customHeight="1">
      <c r="A831" s="354"/>
      <c r="B831" s="354"/>
      <c r="C831" s="354"/>
      <c r="D831" s="354"/>
      <c r="E831" s="353"/>
      <c r="F831" s="353"/>
      <c r="G831" s="353"/>
      <c r="H831" s="353"/>
      <c r="I831" s="353"/>
      <c r="J831" s="353"/>
      <c r="K831" s="353"/>
      <c r="L831" s="353"/>
      <c r="M831" s="354"/>
      <c r="N831" s="354"/>
      <c r="O831" s="354"/>
    </row>
    <row r="832" spans="1:15" ht="11.25" customHeight="1">
      <c r="A832" s="354"/>
      <c r="B832" s="354"/>
      <c r="C832" s="354"/>
      <c r="D832" s="354"/>
      <c r="E832" s="353"/>
      <c r="F832" s="353"/>
      <c r="G832" s="353"/>
      <c r="H832" s="353"/>
      <c r="I832" s="353"/>
      <c r="J832" s="353"/>
      <c r="K832" s="353"/>
      <c r="L832" s="353"/>
      <c r="M832" s="354"/>
      <c r="N832" s="354"/>
      <c r="O832" s="354"/>
    </row>
    <row r="833" spans="1:15" ht="11.25" customHeight="1">
      <c r="A833" s="354"/>
      <c r="B833" s="354"/>
      <c r="C833" s="354"/>
      <c r="D833" s="354"/>
      <c r="E833" s="353"/>
      <c r="F833" s="353"/>
      <c r="G833" s="353"/>
      <c r="H833" s="353"/>
      <c r="I833" s="353"/>
      <c r="J833" s="353"/>
      <c r="K833" s="353"/>
      <c r="L833" s="353"/>
      <c r="M833" s="354"/>
      <c r="N833" s="354"/>
      <c r="O833" s="354"/>
    </row>
    <row r="834" spans="1:15" ht="11.25" customHeight="1">
      <c r="A834" s="354"/>
      <c r="B834" s="354"/>
      <c r="C834" s="354"/>
      <c r="D834" s="354"/>
      <c r="E834" s="353"/>
      <c r="F834" s="353"/>
      <c r="G834" s="353"/>
      <c r="H834" s="353"/>
      <c r="I834" s="353"/>
      <c r="J834" s="353"/>
      <c r="K834" s="353"/>
      <c r="L834" s="353"/>
      <c r="M834" s="354"/>
      <c r="N834" s="354"/>
      <c r="O834" s="354"/>
    </row>
    <row r="835" spans="1:15" ht="11.25" customHeight="1">
      <c r="A835" s="354"/>
      <c r="B835" s="354"/>
      <c r="C835" s="354"/>
      <c r="D835" s="354"/>
      <c r="E835" s="353"/>
      <c r="F835" s="353"/>
      <c r="G835" s="353"/>
      <c r="H835" s="353"/>
      <c r="I835" s="353"/>
      <c r="J835" s="353"/>
      <c r="K835" s="353"/>
      <c r="L835" s="353"/>
      <c r="M835" s="354"/>
      <c r="N835" s="354"/>
      <c r="O835" s="354"/>
    </row>
    <row r="836" spans="1:15" ht="11.25" customHeight="1">
      <c r="A836" s="354"/>
      <c r="B836" s="354"/>
      <c r="C836" s="354"/>
      <c r="D836" s="354"/>
      <c r="E836" s="353"/>
      <c r="F836" s="353"/>
      <c r="G836" s="353"/>
      <c r="H836" s="353"/>
      <c r="I836" s="353"/>
      <c r="J836" s="353"/>
      <c r="K836" s="353"/>
      <c r="L836" s="353"/>
      <c r="M836" s="354"/>
      <c r="N836" s="354"/>
      <c r="O836" s="354"/>
    </row>
    <row r="837" spans="1:15" ht="11.25" customHeight="1">
      <c r="A837" s="354"/>
      <c r="B837" s="354"/>
      <c r="C837" s="354"/>
      <c r="D837" s="354"/>
      <c r="E837" s="353"/>
      <c r="F837" s="353"/>
      <c r="G837" s="353"/>
      <c r="H837" s="353"/>
      <c r="I837" s="353"/>
      <c r="J837" s="353"/>
      <c r="K837" s="353"/>
      <c r="L837" s="353"/>
      <c r="M837" s="354"/>
      <c r="N837" s="354"/>
      <c r="O837" s="354"/>
    </row>
    <row r="838" spans="1:15" ht="11.25" customHeight="1">
      <c r="A838" s="354"/>
      <c r="B838" s="354"/>
      <c r="C838" s="354"/>
      <c r="D838" s="354"/>
      <c r="E838" s="353"/>
      <c r="F838" s="353"/>
      <c r="G838" s="353"/>
      <c r="H838" s="353"/>
      <c r="I838" s="353"/>
      <c r="J838" s="353"/>
      <c r="K838" s="353"/>
      <c r="L838" s="353"/>
      <c r="M838" s="354"/>
      <c r="N838" s="354"/>
      <c r="O838" s="354"/>
    </row>
    <row r="839" spans="1:15" ht="11.25" customHeight="1">
      <c r="A839" s="354"/>
      <c r="B839" s="354"/>
      <c r="C839" s="354"/>
      <c r="D839" s="354"/>
      <c r="E839" s="353"/>
      <c r="F839" s="353"/>
      <c r="G839" s="353"/>
      <c r="H839" s="353"/>
      <c r="I839" s="353"/>
      <c r="J839" s="353"/>
      <c r="K839" s="353"/>
      <c r="L839" s="353"/>
      <c r="M839" s="354"/>
      <c r="N839" s="354"/>
      <c r="O839" s="354"/>
    </row>
    <row r="840" spans="1:15" ht="11.25" customHeight="1">
      <c r="A840" s="354"/>
      <c r="B840" s="354"/>
      <c r="C840" s="354"/>
      <c r="D840" s="354"/>
      <c r="E840" s="353"/>
      <c r="F840" s="353"/>
      <c r="G840" s="353"/>
      <c r="H840" s="353"/>
      <c r="I840" s="353"/>
      <c r="J840" s="353"/>
      <c r="K840" s="353"/>
      <c r="L840" s="353"/>
      <c r="M840" s="354"/>
      <c r="N840" s="354"/>
      <c r="O840" s="354"/>
    </row>
    <row r="841" spans="1:15" ht="11.25" customHeight="1">
      <c r="A841" s="354"/>
      <c r="B841" s="354"/>
      <c r="C841" s="354"/>
      <c r="D841" s="354"/>
      <c r="E841" s="353"/>
      <c r="F841" s="353"/>
      <c r="G841" s="353"/>
      <c r="H841" s="353"/>
      <c r="I841" s="353"/>
      <c r="J841" s="353"/>
      <c r="K841" s="353"/>
      <c r="L841" s="353"/>
      <c r="M841" s="354"/>
      <c r="N841" s="354"/>
      <c r="O841" s="354"/>
    </row>
    <row r="842" spans="1:15" ht="11.25" customHeight="1">
      <c r="A842" s="354"/>
      <c r="B842" s="354"/>
      <c r="C842" s="354"/>
      <c r="D842" s="354"/>
      <c r="E842" s="353"/>
      <c r="F842" s="353"/>
      <c r="G842" s="353"/>
      <c r="H842" s="353"/>
      <c r="I842" s="353"/>
      <c r="J842" s="353"/>
      <c r="K842" s="353"/>
      <c r="L842" s="353"/>
      <c r="M842" s="354"/>
      <c r="N842" s="354"/>
      <c r="O842" s="354"/>
    </row>
    <row r="843" spans="1:15" ht="11.25" customHeight="1">
      <c r="A843" s="354"/>
      <c r="B843" s="354"/>
      <c r="C843" s="354"/>
      <c r="D843" s="354"/>
      <c r="E843" s="353"/>
      <c r="F843" s="353"/>
      <c r="G843" s="353"/>
      <c r="H843" s="353"/>
      <c r="I843" s="353"/>
      <c r="J843" s="353"/>
      <c r="K843" s="353"/>
      <c r="L843" s="353"/>
      <c r="M843" s="354"/>
      <c r="N843" s="354"/>
      <c r="O843" s="354"/>
    </row>
    <row r="844" spans="1:15" ht="11.25" customHeight="1">
      <c r="A844" s="354"/>
      <c r="B844" s="354"/>
      <c r="C844" s="354"/>
      <c r="D844" s="354"/>
      <c r="E844" s="353"/>
      <c r="F844" s="353"/>
      <c r="G844" s="353"/>
      <c r="H844" s="353"/>
      <c r="I844" s="353"/>
      <c r="J844" s="353"/>
      <c r="K844" s="353"/>
      <c r="L844" s="353"/>
      <c r="M844" s="354"/>
      <c r="N844" s="354"/>
      <c r="O844" s="354"/>
    </row>
    <row r="845" spans="1:15" ht="11.25" customHeight="1">
      <c r="A845" s="354"/>
      <c r="B845" s="354"/>
      <c r="C845" s="354"/>
      <c r="D845" s="354"/>
      <c r="E845" s="353"/>
      <c r="F845" s="353"/>
      <c r="G845" s="353"/>
      <c r="H845" s="353"/>
      <c r="I845" s="353"/>
      <c r="J845" s="353"/>
      <c r="K845" s="353"/>
      <c r="L845" s="353"/>
      <c r="M845" s="354"/>
      <c r="N845" s="354"/>
      <c r="O845" s="354"/>
    </row>
    <row r="846" spans="1:15" ht="11.25" customHeight="1">
      <c r="A846" s="354"/>
      <c r="B846" s="354"/>
      <c r="C846" s="354"/>
      <c r="D846" s="354"/>
      <c r="E846" s="353"/>
      <c r="F846" s="353"/>
      <c r="G846" s="353"/>
      <c r="H846" s="353"/>
      <c r="I846" s="353"/>
      <c r="J846" s="353"/>
      <c r="K846" s="353"/>
      <c r="L846" s="353"/>
      <c r="M846" s="354"/>
      <c r="N846" s="354"/>
      <c r="O846" s="354"/>
    </row>
    <row r="847" spans="1:15" ht="11.25" customHeight="1">
      <c r="A847" s="354"/>
      <c r="B847" s="354"/>
      <c r="C847" s="354"/>
      <c r="D847" s="354"/>
      <c r="E847" s="353"/>
      <c r="F847" s="353"/>
      <c r="G847" s="353"/>
      <c r="H847" s="353"/>
      <c r="I847" s="353"/>
      <c r="J847" s="353"/>
      <c r="K847" s="353"/>
      <c r="L847" s="353"/>
      <c r="M847" s="354"/>
      <c r="N847" s="354"/>
      <c r="O847" s="354"/>
    </row>
    <row r="848" spans="1:15" ht="11.25" customHeight="1">
      <c r="A848" s="354"/>
      <c r="B848" s="354"/>
      <c r="C848" s="354"/>
      <c r="D848" s="354"/>
      <c r="E848" s="353"/>
      <c r="F848" s="353"/>
      <c r="G848" s="353"/>
      <c r="H848" s="353"/>
      <c r="I848" s="353"/>
      <c r="J848" s="353"/>
      <c r="K848" s="353"/>
      <c r="L848" s="353"/>
      <c r="M848" s="354"/>
      <c r="N848" s="354"/>
      <c r="O848" s="354"/>
    </row>
    <row r="849" spans="1:15" ht="11.25" customHeight="1">
      <c r="A849" s="354"/>
      <c r="B849" s="354"/>
      <c r="C849" s="354"/>
      <c r="D849" s="354"/>
      <c r="E849" s="353"/>
      <c r="F849" s="353"/>
      <c r="G849" s="353"/>
      <c r="H849" s="353"/>
      <c r="I849" s="353"/>
      <c r="J849" s="353"/>
      <c r="K849" s="353"/>
      <c r="L849" s="353"/>
      <c r="M849" s="354"/>
      <c r="N849" s="354"/>
      <c r="O849" s="354"/>
    </row>
    <row r="850" spans="1:15" ht="11.25" customHeight="1">
      <c r="A850" s="354"/>
      <c r="B850" s="354"/>
      <c r="C850" s="354"/>
      <c r="D850" s="354"/>
      <c r="E850" s="353"/>
      <c r="F850" s="353"/>
      <c r="G850" s="353"/>
      <c r="H850" s="353"/>
      <c r="I850" s="353"/>
      <c r="J850" s="353"/>
      <c r="K850" s="353"/>
      <c r="L850" s="353"/>
      <c r="M850" s="354"/>
      <c r="N850" s="354"/>
      <c r="O850" s="354"/>
    </row>
    <row r="851" spans="1:15" ht="11.25" customHeight="1">
      <c r="A851" s="354"/>
      <c r="B851" s="354"/>
      <c r="C851" s="354"/>
      <c r="D851" s="354"/>
      <c r="E851" s="353"/>
      <c r="F851" s="353"/>
      <c r="G851" s="353"/>
      <c r="H851" s="353"/>
      <c r="I851" s="353"/>
      <c r="J851" s="353"/>
      <c r="K851" s="353"/>
      <c r="L851" s="353"/>
      <c r="M851" s="354"/>
      <c r="N851" s="354"/>
      <c r="O851" s="354"/>
    </row>
    <row r="852" spans="1:15" ht="11.25" customHeight="1">
      <c r="A852" s="354"/>
      <c r="B852" s="354"/>
      <c r="C852" s="354"/>
      <c r="D852" s="354"/>
      <c r="E852" s="353"/>
      <c r="F852" s="353"/>
      <c r="G852" s="353"/>
      <c r="H852" s="353"/>
      <c r="I852" s="353"/>
      <c r="J852" s="353"/>
      <c r="K852" s="353"/>
      <c r="L852" s="353"/>
      <c r="M852" s="354"/>
      <c r="N852" s="354"/>
      <c r="O852" s="354"/>
    </row>
    <row r="853" spans="1:15" ht="11.25" customHeight="1">
      <c r="A853" s="354"/>
      <c r="B853" s="354"/>
      <c r="C853" s="354"/>
      <c r="D853" s="354"/>
      <c r="E853" s="353"/>
      <c r="F853" s="353"/>
      <c r="G853" s="353"/>
      <c r="H853" s="353"/>
      <c r="I853" s="353"/>
      <c r="J853" s="353"/>
      <c r="K853" s="353"/>
      <c r="L853" s="353"/>
      <c r="M853" s="354"/>
      <c r="N853" s="354"/>
      <c r="O853" s="354"/>
    </row>
    <row r="854" spans="1:15" ht="11.25" customHeight="1">
      <c r="A854" s="354"/>
      <c r="B854" s="354"/>
      <c r="C854" s="354"/>
      <c r="D854" s="354"/>
      <c r="E854" s="353"/>
      <c r="F854" s="353"/>
      <c r="G854" s="353"/>
      <c r="H854" s="353"/>
      <c r="I854" s="353"/>
      <c r="J854" s="353"/>
      <c r="K854" s="353"/>
      <c r="L854" s="353"/>
      <c r="M854" s="354"/>
      <c r="N854" s="354"/>
      <c r="O854" s="354"/>
    </row>
    <row r="855" spans="1:15" ht="11.25" customHeight="1">
      <c r="A855" s="354"/>
      <c r="B855" s="354"/>
      <c r="C855" s="354"/>
      <c r="D855" s="354"/>
      <c r="E855" s="353"/>
      <c r="F855" s="353"/>
      <c r="G855" s="353"/>
      <c r="H855" s="353"/>
      <c r="I855" s="353"/>
      <c r="J855" s="353"/>
      <c r="K855" s="353"/>
      <c r="L855" s="353"/>
      <c r="M855" s="354"/>
      <c r="N855" s="354"/>
      <c r="O855" s="354"/>
    </row>
    <row r="856" spans="1:15" ht="11.25" customHeight="1">
      <c r="A856" s="354"/>
      <c r="B856" s="354"/>
      <c r="C856" s="354"/>
      <c r="D856" s="354"/>
      <c r="E856" s="353"/>
      <c r="F856" s="353"/>
      <c r="G856" s="353"/>
      <c r="H856" s="353"/>
      <c r="I856" s="353"/>
      <c r="J856" s="353"/>
      <c r="K856" s="353"/>
      <c r="L856" s="353"/>
      <c r="M856" s="354"/>
      <c r="N856" s="354"/>
      <c r="O856" s="354"/>
    </row>
    <row r="857" spans="1:15" ht="11.25" customHeight="1">
      <c r="A857" s="354"/>
      <c r="B857" s="354"/>
      <c r="C857" s="354"/>
      <c r="D857" s="354"/>
      <c r="E857" s="353"/>
      <c r="F857" s="353"/>
      <c r="G857" s="353"/>
      <c r="H857" s="353"/>
      <c r="I857" s="353"/>
      <c r="J857" s="353"/>
      <c r="K857" s="353"/>
      <c r="L857" s="353"/>
      <c r="M857" s="354"/>
      <c r="N857" s="354"/>
      <c r="O857" s="354"/>
    </row>
    <row r="858" spans="1:15" ht="11.25" customHeight="1">
      <c r="A858" s="354"/>
      <c r="B858" s="354"/>
      <c r="C858" s="354"/>
      <c r="D858" s="354"/>
      <c r="E858" s="353"/>
      <c r="F858" s="353"/>
      <c r="G858" s="353"/>
      <c r="H858" s="353"/>
      <c r="I858" s="353"/>
      <c r="J858" s="353"/>
      <c r="K858" s="353"/>
      <c r="L858" s="353"/>
      <c r="M858" s="354"/>
      <c r="N858" s="354"/>
      <c r="O858" s="354"/>
    </row>
    <row r="859" spans="1:15" ht="11.25" customHeight="1">
      <c r="A859" s="354"/>
      <c r="B859" s="354"/>
      <c r="C859" s="354"/>
      <c r="D859" s="354"/>
      <c r="E859" s="353"/>
      <c r="F859" s="353"/>
      <c r="G859" s="353"/>
      <c r="H859" s="353"/>
      <c r="I859" s="353"/>
      <c r="J859" s="353"/>
      <c r="K859" s="353"/>
      <c r="L859" s="353"/>
      <c r="M859" s="354"/>
      <c r="N859" s="354"/>
      <c r="O859" s="354"/>
    </row>
    <row r="860" spans="1:15" ht="11.25" customHeight="1">
      <c r="A860" s="354"/>
      <c r="B860" s="354"/>
      <c r="C860" s="354"/>
      <c r="D860" s="354"/>
      <c r="E860" s="353"/>
      <c r="F860" s="353"/>
      <c r="G860" s="353"/>
      <c r="H860" s="353"/>
      <c r="I860" s="353"/>
      <c r="J860" s="353"/>
      <c r="K860" s="353"/>
      <c r="L860" s="353"/>
      <c r="M860" s="354"/>
      <c r="N860" s="354"/>
      <c r="O860" s="354"/>
    </row>
    <row r="861" spans="1:15" ht="11.25" customHeight="1">
      <c r="A861" s="354"/>
      <c r="B861" s="354"/>
      <c r="C861" s="354"/>
      <c r="D861" s="354"/>
      <c r="E861" s="353"/>
      <c r="F861" s="353"/>
      <c r="G861" s="353"/>
      <c r="H861" s="353"/>
      <c r="I861" s="353"/>
      <c r="J861" s="353"/>
      <c r="K861" s="353"/>
      <c r="L861" s="353"/>
      <c r="M861" s="354"/>
      <c r="N861" s="354"/>
      <c r="O861" s="354"/>
    </row>
    <row r="862" spans="1:15" ht="11.25" customHeight="1">
      <c r="A862" s="354"/>
      <c r="B862" s="354"/>
      <c r="C862" s="354"/>
      <c r="D862" s="354"/>
      <c r="E862" s="353"/>
      <c r="F862" s="353"/>
      <c r="G862" s="353"/>
      <c r="H862" s="353"/>
      <c r="I862" s="353"/>
      <c r="J862" s="353"/>
      <c r="K862" s="353"/>
      <c r="L862" s="353"/>
      <c r="M862" s="354"/>
      <c r="N862" s="354"/>
      <c r="O862" s="354"/>
    </row>
    <row r="863" spans="1:15" ht="11.25" customHeight="1">
      <c r="A863" s="354"/>
      <c r="B863" s="354"/>
      <c r="C863" s="354"/>
      <c r="D863" s="354"/>
      <c r="E863" s="353"/>
      <c r="F863" s="353"/>
      <c r="G863" s="353"/>
      <c r="H863" s="353"/>
      <c r="I863" s="353"/>
      <c r="J863" s="353"/>
      <c r="K863" s="353"/>
      <c r="L863" s="353"/>
      <c r="M863" s="354"/>
      <c r="N863" s="354"/>
      <c r="O863" s="354"/>
    </row>
    <row r="864" spans="1:15" ht="11.25" customHeight="1">
      <c r="A864" s="354"/>
      <c r="B864" s="354"/>
      <c r="C864" s="354"/>
      <c r="D864" s="354"/>
      <c r="E864" s="353"/>
      <c r="F864" s="353"/>
      <c r="G864" s="353"/>
      <c r="H864" s="353"/>
      <c r="I864" s="353"/>
      <c r="J864" s="353"/>
      <c r="K864" s="353"/>
      <c r="L864" s="353"/>
      <c r="M864" s="354"/>
      <c r="N864" s="354"/>
      <c r="O864" s="354"/>
    </row>
    <row r="865" spans="1:15" ht="11.25" customHeight="1">
      <c r="A865" s="354"/>
      <c r="B865" s="354"/>
      <c r="C865" s="354"/>
      <c r="D865" s="354"/>
      <c r="E865" s="353"/>
      <c r="F865" s="353"/>
      <c r="G865" s="353"/>
      <c r="H865" s="353"/>
      <c r="I865" s="353"/>
      <c r="J865" s="353"/>
      <c r="K865" s="353"/>
      <c r="L865" s="353"/>
      <c r="M865" s="354"/>
      <c r="N865" s="354"/>
      <c r="O865" s="354"/>
    </row>
    <row r="866" spans="1:15" ht="11.25" customHeight="1">
      <c r="A866" s="354"/>
      <c r="B866" s="354"/>
      <c r="C866" s="354"/>
      <c r="D866" s="354"/>
      <c r="E866" s="353"/>
      <c r="F866" s="353"/>
      <c r="G866" s="353"/>
      <c r="H866" s="353"/>
      <c r="I866" s="353"/>
      <c r="J866" s="353"/>
      <c r="K866" s="353"/>
      <c r="L866" s="353"/>
      <c r="M866" s="354"/>
      <c r="N866" s="354"/>
      <c r="O866" s="354"/>
    </row>
    <row r="867" spans="1:15" ht="11.25" customHeight="1">
      <c r="A867" s="354"/>
      <c r="B867" s="354"/>
      <c r="C867" s="354"/>
      <c r="D867" s="354"/>
      <c r="E867" s="353"/>
      <c r="F867" s="353"/>
      <c r="G867" s="353"/>
      <c r="H867" s="353"/>
      <c r="I867" s="353"/>
      <c r="J867" s="353"/>
      <c r="K867" s="353"/>
      <c r="L867" s="353"/>
      <c r="M867" s="354"/>
      <c r="N867" s="354"/>
      <c r="O867" s="354"/>
    </row>
    <row r="868" spans="1:15" ht="11.25" customHeight="1">
      <c r="A868" s="354"/>
      <c r="B868" s="354"/>
      <c r="C868" s="354"/>
      <c r="D868" s="354"/>
      <c r="E868" s="353"/>
      <c r="F868" s="353"/>
      <c r="G868" s="353"/>
      <c r="H868" s="353"/>
      <c r="I868" s="353"/>
      <c r="J868" s="353"/>
      <c r="K868" s="353"/>
      <c r="L868" s="353"/>
      <c r="M868" s="354"/>
      <c r="N868" s="354"/>
      <c r="O868" s="354"/>
    </row>
    <row r="869" spans="1:15" ht="11.25" customHeight="1">
      <c r="A869" s="354"/>
      <c r="B869" s="354"/>
      <c r="C869" s="354"/>
      <c r="D869" s="354"/>
      <c r="E869" s="353"/>
      <c r="F869" s="353"/>
      <c r="G869" s="353"/>
      <c r="H869" s="353"/>
      <c r="I869" s="353"/>
      <c r="J869" s="353"/>
      <c r="K869" s="353"/>
      <c r="L869" s="353"/>
      <c r="M869" s="354"/>
      <c r="N869" s="354"/>
      <c r="O869" s="354"/>
    </row>
    <row r="870" spans="1:15" ht="11.25" customHeight="1">
      <c r="A870" s="354"/>
      <c r="B870" s="354"/>
      <c r="C870" s="354"/>
      <c r="D870" s="354"/>
      <c r="E870" s="353"/>
      <c r="F870" s="353"/>
      <c r="G870" s="353"/>
      <c r="H870" s="353"/>
      <c r="I870" s="353"/>
      <c r="J870" s="353"/>
      <c r="K870" s="353"/>
      <c r="L870" s="353"/>
      <c r="M870" s="354"/>
      <c r="N870" s="354"/>
      <c r="O870" s="354"/>
    </row>
    <row r="871" spans="1:15" ht="11.25" customHeight="1">
      <c r="A871" s="354"/>
      <c r="B871" s="354"/>
      <c r="C871" s="354"/>
      <c r="D871" s="354"/>
      <c r="E871" s="353"/>
      <c r="F871" s="353"/>
      <c r="G871" s="353"/>
      <c r="H871" s="353"/>
      <c r="I871" s="353"/>
      <c r="J871" s="353"/>
      <c r="K871" s="353"/>
      <c r="L871" s="353"/>
      <c r="M871" s="354"/>
      <c r="N871" s="354"/>
      <c r="O871" s="354"/>
    </row>
    <row r="872" spans="1:15" ht="11.25" customHeight="1">
      <c r="A872" s="354"/>
      <c r="B872" s="354"/>
      <c r="C872" s="354"/>
      <c r="D872" s="354"/>
      <c r="E872" s="353"/>
      <c r="F872" s="353"/>
      <c r="G872" s="353"/>
      <c r="H872" s="353"/>
      <c r="I872" s="353"/>
      <c r="J872" s="353"/>
      <c r="K872" s="353"/>
      <c r="L872" s="353"/>
      <c r="M872" s="354"/>
      <c r="N872" s="354"/>
      <c r="O872" s="354"/>
    </row>
    <row r="873" spans="1:15" ht="11.25" customHeight="1">
      <c r="A873" s="354"/>
      <c r="B873" s="354"/>
      <c r="C873" s="354"/>
      <c r="D873" s="354"/>
      <c r="E873" s="353"/>
      <c r="F873" s="353"/>
      <c r="G873" s="353"/>
      <c r="H873" s="353"/>
      <c r="I873" s="353"/>
      <c r="J873" s="353"/>
      <c r="K873" s="353"/>
      <c r="L873" s="353"/>
      <c r="M873" s="354"/>
      <c r="N873" s="354"/>
      <c r="O873" s="354"/>
    </row>
    <row r="874" spans="1:15" ht="11.25" customHeight="1">
      <c r="A874" s="354"/>
      <c r="B874" s="354"/>
      <c r="C874" s="354"/>
      <c r="D874" s="354"/>
      <c r="E874" s="353"/>
      <c r="F874" s="353"/>
      <c r="G874" s="353"/>
      <c r="H874" s="353"/>
      <c r="I874" s="353"/>
      <c r="J874" s="353"/>
      <c r="K874" s="353"/>
      <c r="L874" s="353"/>
      <c r="M874" s="354"/>
      <c r="N874" s="354"/>
      <c r="O874" s="354"/>
    </row>
    <row r="875" spans="1:15" ht="11.25" customHeight="1">
      <c r="A875" s="354"/>
      <c r="B875" s="354"/>
      <c r="C875" s="354"/>
      <c r="D875" s="354"/>
      <c r="E875" s="353"/>
      <c r="F875" s="353"/>
      <c r="G875" s="353"/>
      <c r="H875" s="353"/>
      <c r="I875" s="353"/>
      <c r="J875" s="353"/>
      <c r="K875" s="353"/>
      <c r="L875" s="353"/>
      <c r="M875" s="354"/>
      <c r="N875" s="354"/>
      <c r="O875" s="354"/>
    </row>
    <row r="876" spans="1:15" ht="11.25" customHeight="1">
      <c r="A876" s="354"/>
      <c r="B876" s="354"/>
      <c r="C876" s="354"/>
      <c r="D876" s="354"/>
      <c r="E876" s="353"/>
      <c r="F876" s="353"/>
      <c r="G876" s="353"/>
      <c r="H876" s="353"/>
      <c r="I876" s="353"/>
      <c r="J876" s="353"/>
      <c r="K876" s="353"/>
      <c r="L876" s="353"/>
      <c r="M876" s="354"/>
      <c r="N876" s="354"/>
      <c r="O876" s="354"/>
    </row>
    <row r="877" spans="1:15" ht="11.25" customHeight="1">
      <c r="A877" s="354"/>
      <c r="B877" s="354"/>
      <c r="C877" s="354"/>
      <c r="D877" s="354"/>
      <c r="E877" s="353"/>
      <c r="F877" s="353"/>
      <c r="G877" s="353"/>
      <c r="H877" s="353"/>
      <c r="I877" s="353"/>
      <c r="J877" s="353"/>
      <c r="K877" s="353"/>
      <c r="L877" s="353"/>
      <c r="M877" s="354"/>
      <c r="N877" s="354"/>
      <c r="O877" s="354"/>
    </row>
    <row r="878" spans="1:15" ht="11.25" customHeight="1">
      <c r="A878" s="354"/>
      <c r="B878" s="354"/>
      <c r="C878" s="354"/>
      <c r="D878" s="354"/>
      <c r="E878" s="353"/>
      <c r="F878" s="353"/>
      <c r="G878" s="353"/>
      <c r="H878" s="353"/>
      <c r="I878" s="353"/>
      <c r="J878" s="353"/>
      <c r="K878" s="353"/>
      <c r="L878" s="353"/>
      <c r="M878" s="354"/>
      <c r="N878" s="354"/>
      <c r="O878" s="354"/>
    </row>
    <row r="879" spans="1:15" ht="11.25" customHeight="1">
      <c r="A879" s="354"/>
      <c r="B879" s="354"/>
      <c r="C879" s="354"/>
      <c r="D879" s="354"/>
      <c r="E879" s="353"/>
      <c r="F879" s="353"/>
      <c r="G879" s="353"/>
      <c r="H879" s="353"/>
      <c r="I879" s="353"/>
      <c r="J879" s="353"/>
      <c r="K879" s="353"/>
      <c r="L879" s="353"/>
      <c r="M879" s="354"/>
      <c r="N879" s="354"/>
      <c r="O879" s="354"/>
    </row>
    <row r="880" spans="1:15" ht="11.25" customHeight="1">
      <c r="A880" s="354"/>
      <c r="B880" s="354"/>
      <c r="C880" s="354"/>
      <c r="D880" s="354"/>
      <c r="E880" s="353"/>
      <c r="F880" s="353"/>
      <c r="G880" s="353"/>
      <c r="H880" s="353"/>
      <c r="I880" s="353"/>
      <c r="J880" s="353"/>
      <c r="K880" s="353"/>
      <c r="L880" s="353"/>
      <c r="M880" s="354"/>
      <c r="N880" s="354"/>
      <c r="O880" s="354"/>
    </row>
    <row r="881" spans="1:15" ht="11.25" customHeight="1">
      <c r="A881" s="354"/>
      <c r="B881" s="354"/>
      <c r="C881" s="354"/>
      <c r="D881" s="354"/>
      <c r="E881" s="353"/>
      <c r="F881" s="353"/>
      <c r="G881" s="353"/>
      <c r="H881" s="353"/>
      <c r="I881" s="353"/>
      <c r="J881" s="353"/>
      <c r="K881" s="353"/>
      <c r="L881" s="353"/>
      <c r="M881" s="354"/>
      <c r="N881" s="354"/>
      <c r="O881" s="354"/>
    </row>
    <row r="882" spans="1:15" ht="11.25" customHeight="1">
      <c r="A882" s="354"/>
      <c r="B882" s="354"/>
      <c r="C882" s="354"/>
      <c r="D882" s="354"/>
      <c r="E882" s="353"/>
      <c r="F882" s="353"/>
      <c r="G882" s="353"/>
      <c r="H882" s="353"/>
      <c r="I882" s="353"/>
      <c r="J882" s="353"/>
      <c r="K882" s="353"/>
      <c r="L882" s="353"/>
      <c r="M882" s="354"/>
      <c r="N882" s="354"/>
      <c r="O882" s="354"/>
    </row>
    <row r="883" spans="1:15" ht="11.25" customHeight="1">
      <c r="A883" s="354"/>
      <c r="B883" s="354"/>
      <c r="C883" s="354"/>
      <c r="D883" s="354"/>
      <c r="E883" s="353"/>
      <c r="F883" s="353"/>
      <c r="G883" s="353"/>
      <c r="H883" s="353"/>
      <c r="I883" s="353"/>
      <c r="J883" s="353"/>
      <c r="K883" s="353"/>
      <c r="L883" s="353"/>
      <c r="M883" s="354"/>
      <c r="N883" s="354"/>
      <c r="O883" s="354"/>
    </row>
    <row r="884" spans="1:15" ht="11.25" customHeight="1">
      <c r="A884" s="354"/>
      <c r="B884" s="354"/>
      <c r="C884" s="354"/>
      <c r="D884" s="354"/>
      <c r="E884" s="353"/>
      <c r="F884" s="353"/>
      <c r="G884" s="353"/>
      <c r="H884" s="353"/>
      <c r="I884" s="353"/>
      <c r="J884" s="353"/>
      <c r="K884" s="353"/>
      <c r="L884" s="353"/>
      <c r="M884" s="354"/>
      <c r="N884" s="354"/>
      <c r="O884" s="354"/>
    </row>
    <row r="885" spans="1:15" ht="11.25" customHeight="1">
      <c r="A885" s="354"/>
      <c r="B885" s="354"/>
      <c r="C885" s="354"/>
      <c r="D885" s="354"/>
      <c r="E885" s="353"/>
      <c r="F885" s="353"/>
      <c r="G885" s="353"/>
      <c r="H885" s="353"/>
      <c r="I885" s="353"/>
      <c r="J885" s="353"/>
      <c r="K885" s="353"/>
      <c r="L885" s="353"/>
      <c r="M885" s="354"/>
      <c r="N885" s="354"/>
      <c r="O885" s="354"/>
    </row>
    <row r="886" spans="1:15" ht="11.25" customHeight="1">
      <c r="A886" s="354"/>
      <c r="B886" s="354"/>
      <c r="C886" s="354"/>
      <c r="D886" s="354"/>
      <c r="E886" s="353"/>
      <c r="F886" s="353"/>
      <c r="G886" s="353"/>
      <c r="H886" s="353"/>
      <c r="I886" s="353"/>
      <c r="J886" s="353"/>
      <c r="K886" s="353"/>
      <c r="L886" s="353"/>
      <c r="M886" s="354"/>
      <c r="N886" s="354"/>
      <c r="O886" s="354"/>
    </row>
    <row r="887" spans="1:15" ht="11.25" customHeight="1">
      <c r="A887" s="354"/>
      <c r="B887" s="354"/>
      <c r="C887" s="354"/>
      <c r="D887" s="354"/>
      <c r="E887" s="353"/>
      <c r="F887" s="353"/>
      <c r="G887" s="353"/>
      <c r="H887" s="353"/>
      <c r="I887" s="353"/>
      <c r="J887" s="353"/>
      <c r="K887" s="353"/>
      <c r="L887" s="353"/>
      <c r="M887" s="354"/>
      <c r="N887" s="354"/>
      <c r="O887" s="354"/>
    </row>
    <row r="888" spans="1:15" ht="11.25" customHeight="1">
      <c r="A888" s="354"/>
      <c r="B888" s="354"/>
      <c r="C888" s="354"/>
      <c r="D888" s="354"/>
      <c r="E888" s="353"/>
      <c r="F888" s="353"/>
      <c r="G888" s="353"/>
      <c r="H888" s="353"/>
      <c r="I888" s="353"/>
      <c r="J888" s="353"/>
      <c r="K888" s="353"/>
      <c r="L888" s="353"/>
      <c r="M888" s="354"/>
      <c r="N888" s="354"/>
      <c r="O888" s="354"/>
    </row>
    <row r="889" spans="1:15" ht="11.25" customHeight="1">
      <c r="A889" s="354"/>
      <c r="B889" s="354"/>
      <c r="C889" s="354"/>
      <c r="D889" s="354"/>
      <c r="E889" s="353"/>
      <c r="F889" s="353"/>
      <c r="G889" s="353"/>
      <c r="H889" s="353"/>
      <c r="I889" s="353"/>
      <c r="J889" s="353"/>
      <c r="K889" s="353"/>
      <c r="L889" s="353"/>
      <c r="M889" s="354"/>
      <c r="N889" s="354"/>
      <c r="O889" s="354"/>
    </row>
    <row r="890" spans="1:15" ht="11.25" customHeight="1">
      <c r="A890" s="354"/>
      <c r="B890" s="354"/>
      <c r="C890" s="354"/>
      <c r="D890" s="354"/>
      <c r="E890" s="353"/>
      <c r="F890" s="353"/>
      <c r="G890" s="353"/>
      <c r="H890" s="353"/>
      <c r="I890" s="353"/>
      <c r="J890" s="353"/>
      <c r="K890" s="353"/>
      <c r="L890" s="353"/>
      <c r="M890" s="354"/>
      <c r="N890" s="354"/>
      <c r="O890" s="354"/>
    </row>
    <row r="891" spans="1:15" ht="11.25" customHeight="1">
      <c r="A891" s="354"/>
      <c r="B891" s="354"/>
      <c r="C891" s="354"/>
      <c r="D891" s="354"/>
      <c r="E891" s="353"/>
      <c r="F891" s="353"/>
      <c r="G891" s="353"/>
      <c r="H891" s="353"/>
      <c r="I891" s="353"/>
      <c r="J891" s="353"/>
      <c r="K891" s="353"/>
      <c r="L891" s="353"/>
      <c r="M891" s="354"/>
      <c r="N891" s="354"/>
      <c r="O891" s="354"/>
    </row>
    <row r="892" spans="1:15" ht="11.25" customHeight="1">
      <c r="A892" s="354"/>
      <c r="B892" s="354"/>
      <c r="C892" s="354"/>
      <c r="D892" s="354"/>
      <c r="E892" s="353"/>
      <c r="F892" s="353"/>
      <c r="G892" s="353"/>
      <c r="H892" s="353"/>
      <c r="I892" s="353"/>
      <c r="J892" s="353"/>
      <c r="K892" s="353"/>
      <c r="L892" s="353"/>
      <c r="M892" s="354"/>
      <c r="N892" s="354"/>
      <c r="O892" s="354"/>
    </row>
    <row r="893" spans="1:15" ht="11.25" customHeight="1">
      <c r="A893" s="354"/>
      <c r="B893" s="354"/>
      <c r="C893" s="354"/>
      <c r="D893" s="354"/>
      <c r="E893" s="353"/>
      <c r="F893" s="353"/>
      <c r="G893" s="353"/>
      <c r="H893" s="353"/>
      <c r="I893" s="353"/>
      <c r="J893" s="353"/>
      <c r="K893" s="353"/>
      <c r="L893" s="353"/>
      <c r="M893" s="354"/>
      <c r="N893" s="354"/>
      <c r="O893" s="354"/>
    </row>
    <row r="894" spans="1:15" ht="11.25" customHeight="1">
      <c r="A894" s="354"/>
      <c r="B894" s="354"/>
      <c r="C894" s="354"/>
      <c r="D894" s="354"/>
      <c r="E894" s="353"/>
      <c r="F894" s="353"/>
      <c r="G894" s="353"/>
      <c r="H894" s="353"/>
      <c r="I894" s="353"/>
      <c r="J894" s="353"/>
      <c r="K894" s="353"/>
      <c r="L894" s="353"/>
      <c r="M894" s="354"/>
      <c r="N894" s="354"/>
      <c r="O894" s="354"/>
    </row>
    <row r="895" spans="1:15" ht="11.25" customHeight="1">
      <c r="A895" s="354"/>
      <c r="B895" s="354"/>
      <c r="C895" s="354"/>
      <c r="D895" s="354"/>
      <c r="E895" s="353"/>
      <c r="F895" s="353"/>
      <c r="G895" s="353"/>
      <c r="H895" s="353"/>
      <c r="I895" s="353"/>
      <c r="J895" s="353"/>
      <c r="K895" s="353"/>
      <c r="L895" s="353"/>
      <c r="M895" s="354"/>
      <c r="N895" s="354"/>
      <c r="O895" s="354"/>
    </row>
    <row r="896" spans="1:15" ht="11.25" customHeight="1">
      <c r="A896" s="354"/>
      <c r="B896" s="354"/>
      <c r="C896" s="354"/>
      <c r="D896" s="354"/>
      <c r="E896" s="353"/>
      <c r="F896" s="353"/>
      <c r="G896" s="353"/>
      <c r="H896" s="353"/>
      <c r="I896" s="353"/>
      <c r="J896" s="353"/>
      <c r="K896" s="353"/>
      <c r="L896" s="353"/>
      <c r="M896" s="354"/>
      <c r="N896" s="354"/>
      <c r="O896" s="354"/>
    </row>
    <row r="897" spans="1:15" ht="11.25" customHeight="1">
      <c r="A897" s="354"/>
      <c r="B897" s="354"/>
      <c r="C897" s="354"/>
      <c r="D897" s="354"/>
      <c r="E897" s="353"/>
      <c r="F897" s="353"/>
      <c r="G897" s="353"/>
      <c r="H897" s="353"/>
      <c r="I897" s="353"/>
      <c r="J897" s="353"/>
      <c r="K897" s="353"/>
      <c r="L897" s="353"/>
      <c r="M897" s="354"/>
      <c r="N897" s="354"/>
      <c r="O897" s="354"/>
    </row>
    <row r="898" spans="1:15" ht="11.25" customHeight="1">
      <c r="A898" s="354"/>
      <c r="B898" s="354"/>
      <c r="C898" s="354"/>
      <c r="D898" s="354"/>
      <c r="E898" s="353"/>
      <c r="F898" s="353"/>
      <c r="G898" s="353"/>
      <c r="H898" s="353"/>
      <c r="I898" s="353"/>
      <c r="J898" s="353"/>
      <c r="K898" s="353"/>
      <c r="L898" s="353"/>
      <c r="M898" s="354"/>
      <c r="N898" s="354"/>
      <c r="O898" s="354"/>
    </row>
    <row r="899" spans="1:15" ht="11.25" customHeight="1">
      <c r="A899" s="354"/>
      <c r="B899" s="354"/>
      <c r="C899" s="354"/>
      <c r="D899" s="354"/>
      <c r="E899" s="353"/>
      <c r="F899" s="353"/>
      <c r="G899" s="353"/>
      <c r="H899" s="353"/>
      <c r="I899" s="353"/>
      <c r="J899" s="353"/>
      <c r="K899" s="353"/>
      <c r="L899" s="353"/>
      <c r="M899" s="354"/>
      <c r="N899" s="354"/>
      <c r="O899" s="354"/>
    </row>
    <row r="900" spans="1:15" ht="11.25" customHeight="1">
      <c r="A900" s="354"/>
      <c r="B900" s="354"/>
      <c r="C900" s="354"/>
      <c r="D900" s="354"/>
      <c r="E900" s="353"/>
      <c r="F900" s="353"/>
      <c r="G900" s="353"/>
      <c r="H900" s="353"/>
      <c r="I900" s="353"/>
      <c r="J900" s="353"/>
      <c r="K900" s="353"/>
      <c r="L900" s="353"/>
      <c r="M900" s="354"/>
      <c r="N900" s="354"/>
      <c r="O900" s="354"/>
    </row>
    <row r="901" spans="1:15" ht="11.25" customHeight="1">
      <c r="A901" s="354"/>
      <c r="B901" s="354"/>
      <c r="C901" s="354"/>
      <c r="D901" s="354"/>
      <c r="E901" s="353"/>
      <c r="F901" s="353"/>
      <c r="G901" s="353"/>
      <c r="H901" s="353"/>
      <c r="I901" s="353"/>
      <c r="J901" s="353"/>
      <c r="K901" s="353"/>
      <c r="L901" s="353"/>
      <c r="M901" s="354"/>
      <c r="N901" s="354"/>
      <c r="O901" s="354"/>
    </row>
    <row r="902" spans="1:15" ht="11.25" customHeight="1">
      <c r="A902" s="354"/>
      <c r="B902" s="354"/>
      <c r="C902" s="354"/>
      <c r="D902" s="354"/>
      <c r="E902" s="353"/>
      <c r="F902" s="353"/>
      <c r="G902" s="353"/>
      <c r="H902" s="353"/>
      <c r="I902" s="353"/>
      <c r="J902" s="353"/>
      <c r="K902" s="353"/>
      <c r="L902" s="353"/>
      <c r="M902" s="354"/>
      <c r="N902" s="354"/>
      <c r="O902" s="354"/>
    </row>
    <row r="903" spans="1:15" ht="11.25" customHeight="1">
      <c r="A903" s="354"/>
      <c r="B903" s="354"/>
      <c r="C903" s="354"/>
      <c r="D903" s="354"/>
      <c r="E903" s="353"/>
      <c r="F903" s="353"/>
      <c r="G903" s="353"/>
      <c r="H903" s="353"/>
      <c r="I903" s="353"/>
      <c r="J903" s="353"/>
      <c r="K903" s="353"/>
      <c r="L903" s="353"/>
      <c r="M903" s="354"/>
      <c r="N903" s="354"/>
      <c r="O903" s="354"/>
    </row>
    <row r="904" spans="1:15" ht="11.25" customHeight="1">
      <c r="A904" s="354"/>
      <c r="B904" s="354"/>
      <c r="C904" s="354"/>
      <c r="D904" s="354"/>
      <c r="E904" s="353"/>
      <c r="F904" s="353"/>
      <c r="G904" s="353"/>
      <c r="H904" s="353"/>
      <c r="I904" s="353"/>
      <c r="J904" s="353"/>
      <c r="K904" s="353"/>
      <c r="L904" s="353"/>
      <c r="M904" s="354"/>
      <c r="N904" s="354"/>
      <c r="O904" s="354"/>
    </row>
    <row r="905" spans="1:15" ht="11.25" customHeight="1">
      <c r="A905" s="354"/>
      <c r="B905" s="354"/>
      <c r="C905" s="354"/>
      <c r="D905" s="354"/>
      <c r="E905" s="353"/>
      <c r="F905" s="353"/>
      <c r="G905" s="353"/>
      <c r="H905" s="353"/>
      <c r="I905" s="353"/>
      <c r="J905" s="353"/>
      <c r="K905" s="353"/>
      <c r="L905" s="353"/>
      <c r="M905" s="354"/>
      <c r="N905" s="354"/>
      <c r="O905" s="354"/>
    </row>
    <row r="906" spans="1:15" ht="11.25" customHeight="1">
      <c r="A906" s="354"/>
      <c r="B906" s="354"/>
      <c r="C906" s="354"/>
      <c r="D906" s="354"/>
      <c r="E906" s="353"/>
      <c r="F906" s="353"/>
      <c r="G906" s="353"/>
      <c r="H906" s="353"/>
      <c r="I906" s="353"/>
      <c r="J906" s="353"/>
      <c r="K906" s="353"/>
      <c r="L906" s="353"/>
      <c r="M906" s="354"/>
      <c r="N906" s="354"/>
      <c r="O906" s="354"/>
    </row>
    <row r="907" spans="1:15" ht="11.25" customHeight="1">
      <c r="A907" s="354"/>
      <c r="B907" s="354"/>
      <c r="C907" s="354"/>
      <c r="D907" s="354"/>
      <c r="E907" s="353"/>
      <c r="F907" s="353"/>
      <c r="G907" s="353"/>
      <c r="H907" s="353"/>
      <c r="I907" s="353"/>
      <c r="J907" s="353"/>
      <c r="K907" s="353"/>
      <c r="L907" s="353"/>
      <c r="M907" s="354"/>
      <c r="N907" s="354"/>
      <c r="O907" s="354"/>
    </row>
    <row r="908" spans="1:15" ht="11.25" customHeight="1">
      <c r="A908" s="354"/>
      <c r="B908" s="354"/>
      <c r="C908" s="354"/>
      <c r="D908" s="354"/>
      <c r="E908" s="353"/>
      <c r="F908" s="353"/>
      <c r="G908" s="353"/>
      <c r="H908" s="353"/>
      <c r="I908" s="353"/>
      <c r="J908" s="353"/>
      <c r="K908" s="353"/>
      <c r="L908" s="353"/>
      <c r="M908" s="354"/>
      <c r="N908" s="354"/>
      <c r="O908" s="354"/>
    </row>
    <row r="909" spans="1:15" ht="11.25" customHeight="1">
      <c r="A909" s="354"/>
      <c r="B909" s="354"/>
      <c r="C909" s="354"/>
      <c r="D909" s="354"/>
      <c r="E909" s="353"/>
      <c r="F909" s="353"/>
      <c r="G909" s="353"/>
      <c r="H909" s="353"/>
      <c r="I909" s="353"/>
      <c r="J909" s="353"/>
      <c r="K909" s="353"/>
      <c r="L909" s="353"/>
      <c r="M909" s="354"/>
      <c r="N909" s="354"/>
      <c r="O909" s="354"/>
    </row>
    <row r="910" spans="1:15" ht="11.25" customHeight="1">
      <c r="A910" s="354"/>
      <c r="B910" s="354"/>
      <c r="C910" s="354"/>
      <c r="D910" s="354"/>
      <c r="E910" s="353"/>
      <c r="F910" s="353"/>
      <c r="G910" s="353"/>
      <c r="H910" s="353"/>
      <c r="I910" s="353"/>
      <c r="J910" s="353"/>
      <c r="K910" s="353"/>
      <c r="L910" s="353"/>
      <c r="M910" s="354"/>
      <c r="N910" s="354"/>
      <c r="O910" s="354"/>
    </row>
    <row r="911" spans="1:15" ht="11.25" customHeight="1">
      <c r="A911" s="354"/>
      <c r="B911" s="354"/>
      <c r="C911" s="354"/>
      <c r="D911" s="354"/>
      <c r="E911" s="353"/>
      <c r="F911" s="353"/>
      <c r="G911" s="353"/>
      <c r="H911" s="353"/>
      <c r="I911" s="353"/>
      <c r="J911" s="353"/>
      <c r="K911" s="353"/>
      <c r="L911" s="353"/>
      <c r="M911" s="354"/>
      <c r="N911" s="354"/>
      <c r="O911" s="354"/>
    </row>
    <row r="912" spans="1:15" ht="11.25" customHeight="1">
      <c r="A912" s="354"/>
      <c r="B912" s="354"/>
      <c r="C912" s="354"/>
      <c r="D912" s="354"/>
      <c r="E912" s="353"/>
      <c r="F912" s="353"/>
      <c r="G912" s="353"/>
      <c r="H912" s="353"/>
      <c r="I912" s="353"/>
      <c r="J912" s="353"/>
      <c r="K912" s="353"/>
      <c r="L912" s="353"/>
      <c r="M912" s="354"/>
      <c r="N912" s="354"/>
      <c r="O912" s="354"/>
    </row>
    <row r="913" spans="1:15" ht="11.25" customHeight="1">
      <c r="A913" s="354"/>
      <c r="B913" s="354"/>
      <c r="C913" s="354"/>
      <c r="D913" s="354"/>
      <c r="E913" s="353"/>
      <c r="F913" s="353"/>
      <c r="G913" s="353"/>
      <c r="H913" s="353"/>
      <c r="I913" s="353"/>
      <c r="J913" s="353"/>
      <c r="K913" s="353"/>
      <c r="L913" s="353"/>
      <c r="M913" s="354"/>
      <c r="N913" s="354"/>
      <c r="O913" s="354"/>
    </row>
    <row r="914" spans="1:15" ht="11.25" customHeight="1">
      <c r="A914" s="354"/>
      <c r="B914" s="354"/>
      <c r="C914" s="354"/>
      <c r="D914" s="354"/>
      <c r="E914" s="353"/>
      <c r="F914" s="353"/>
      <c r="G914" s="353"/>
      <c r="H914" s="353"/>
      <c r="I914" s="353"/>
      <c r="J914" s="353"/>
      <c r="K914" s="353"/>
      <c r="L914" s="353"/>
      <c r="M914" s="354"/>
      <c r="N914" s="354"/>
      <c r="O914" s="354"/>
    </row>
    <row r="915" spans="1:15" ht="11.25" customHeight="1">
      <c r="A915" s="354"/>
      <c r="B915" s="354"/>
      <c r="C915" s="354"/>
      <c r="D915" s="354"/>
      <c r="E915" s="353"/>
      <c r="F915" s="353"/>
      <c r="G915" s="353"/>
      <c r="H915" s="353"/>
      <c r="I915" s="353"/>
      <c r="J915" s="353"/>
      <c r="K915" s="353"/>
      <c r="L915" s="353"/>
      <c r="M915" s="354"/>
      <c r="N915" s="354"/>
      <c r="O915" s="354"/>
    </row>
    <row r="916" spans="1:15" ht="11.25" customHeight="1">
      <c r="A916" s="354"/>
      <c r="B916" s="354"/>
      <c r="C916" s="354"/>
      <c r="D916" s="354"/>
      <c r="E916" s="353"/>
      <c r="F916" s="353"/>
      <c r="G916" s="353"/>
      <c r="H916" s="353"/>
      <c r="I916" s="353"/>
      <c r="J916" s="353"/>
      <c r="K916" s="353"/>
      <c r="L916" s="353"/>
      <c r="M916" s="354"/>
      <c r="N916" s="354"/>
      <c r="O916" s="354"/>
    </row>
    <row r="917" spans="1:15" ht="11.25" customHeight="1">
      <c r="A917" s="354"/>
      <c r="B917" s="354"/>
      <c r="C917" s="354"/>
      <c r="D917" s="354"/>
      <c r="E917" s="353"/>
      <c r="F917" s="353"/>
      <c r="G917" s="353"/>
      <c r="H917" s="353"/>
      <c r="I917" s="353"/>
      <c r="J917" s="353"/>
      <c r="K917" s="353"/>
      <c r="L917" s="353"/>
      <c r="M917" s="354"/>
      <c r="N917" s="354"/>
      <c r="O917" s="354"/>
    </row>
    <row r="918" spans="1:15" ht="11.25" customHeight="1">
      <c r="A918" s="354"/>
      <c r="B918" s="354"/>
      <c r="C918" s="354"/>
      <c r="D918" s="354"/>
      <c r="E918" s="353"/>
      <c r="F918" s="353"/>
      <c r="G918" s="353"/>
      <c r="H918" s="353"/>
      <c r="I918" s="353"/>
      <c r="J918" s="353"/>
      <c r="K918" s="353"/>
      <c r="L918" s="353"/>
      <c r="M918" s="354"/>
      <c r="N918" s="354"/>
      <c r="O918" s="354"/>
    </row>
    <row r="919" spans="1:15" ht="11.25" customHeight="1">
      <c r="A919" s="354"/>
      <c r="B919" s="354"/>
      <c r="C919" s="354"/>
      <c r="D919" s="354"/>
      <c r="E919" s="353"/>
      <c r="F919" s="353"/>
      <c r="G919" s="353"/>
      <c r="H919" s="353"/>
      <c r="I919" s="353"/>
      <c r="J919" s="353"/>
      <c r="K919" s="353"/>
      <c r="L919" s="353"/>
      <c r="M919" s="354"/>
      <c r="N919" s="354"/>
      <c r="O919" s="354"/>
    </row>
    <row r="920" spans="1:15" ht="11.25" customHeight="1">
      <c r="A920" s="354"/>
      <c r="B920" s="354"/>
      <c r="C920" s="354"/>
      <c r="D920" s="354"/>
      <c r="E920" s="353"/>
      <c r="F920" s="353"/>
      <c r="G920" s="353"/>
      <c r="H920" s="353"/>
      <c r="I920" s="353"/>
      <c r="J920" s="353"/>
      <c r="K920" s="353"/>
      <c r="L920" s="353"/>
      <c r="M920" s="354"/>
      <c r="N920" s="354"/>
      <c r="O920" s="354"/>
    </row>
    <row r="921" spans="1:15" ht="11.25" customHeight="1">
      <c r="A921" s="354"/>
      <c r="B921" s="354"/>
      <c r="C921" s="354"/>
      <c r="D921" s="354"/>
      <c r="E921" s="353"/>
      <c r="F921" s="353"/>
      <c r="G921" s="353"/>
      <c r="H921" s="353"/>
      <c r="I921" s="353"/>
      <c r="J921" s="353"/>
      <c r="K921" s="353"/>
      <c r="L921" s="353"/>
      <c r="M921" s="354"/>
      <c r="N921" s="354"/>
      <c r="O921" s="354"/>
    </row>
    <row r="922" spans="1:15" ht="11.25" customHeight="1">
      <c r="A922" s="354"/>
      <c r="B922" s="354"/>
      <c r="C922" s="354"/>
      <c r="D922" s="354"/>
      <c r="E922" s="353"/>
      <c r="F922" s="353"/>
      <c r="G922" s="353"/>
      <c r="H922" s="353"/>
      <c r="I922" s="353"/>
      <c r="J922" s="353"/>
      <c r="K922" s="353"/>
      <c r="L922" s="353"/>
      <c r="M922" s="354"/>
      <c r="N922" s="354"/>
      <c r="O922" s="354"/>
    </row>
    <row r="923" spans="1:15" ht="11.25" customHeight="1">
      <c r="A923" s="354"/>
      <c r="B923" s="354"/>
      <c r="C923" s="354"/>
      <c r="D923" s="354"/>
      <c r="E923" s="353"/>
      <c r="F923" s="353"/>
      <c r="G923" s="353"/>
      <c r="H923" s="353"/>
      <c r="I923" s="353"/>
      <c r="J923" s="353"/>
      <c r="K923" s="353"/>
      <c r="L923" s="353"/>
      <c r="M923" s="354"/>
      <c r="N923" s="354"/>
      <c r="O923" s="354"/>
    </row>
    <row r="924" spans="1:15" ht="11.25" customHeight="1">
      <c r="A924" s="354"/>
      <c r="B924" s="354"/>
      <c r="C924" s="354"/>
      <c r="D924" s="354"/>
      <c r="E924" s="353"/>
      <c r="F924" s="353"/>
      <c r="G924" s="353"/>
      <c r="H924" s="353"/>
      <c r="I924" s="353"/>
      <c r="J924" s="353"/>
      <c r="K924" s="353"/>
      <c r="L924" s="353"/>
      <c r="M924" s="354"/>
      <c r="N924" s="354"/>
      <c r="O924" s="354"/>
    </row>
    <row r="925" spans="1:15" ht="11.25" customHeight="1">
      <c r="A925" s="354"/>
      <c r="B925" s="354"/>
      <c r="C925" s="354"/>
      <c r="D925" s="354"/>
      <c r="E925" s="353"/>
      <c r="F925" s="353"/>
      <c r="G925" s="353"/>
      <c r="H925" s="353"/>
      <c r="I925" s="353"/>
      <c r="J925" s="353"/>
      <c r="K925" s="353"/>
      <c r="L925" s="353"/>
      <c r="M925" s="354"/>
      <c r="N925" s="354"/>
      <c r="O925" s="354"/>
    </row>
    <row r="926" spans="1:15" ht="11.25" customHeight="1">
      <c r="A926" s="354"/>
      <c r="B926" s="354"/>
      <c r="C926" s="354"/>
      <c r="D926" s="354"/>
      <c r="E926" s="353"/>
      <c r="F926" s="353"/>
      <c r="G926" s="353"/>
      <c r="H926" s="353"/>
      <c r="I926" s="353"/>
      <c r="J926" s="353"/>
      <c r="K926" s="353"/>
      <c r="L926" s="353"/>
      <c r="M926" s="354"/>
      <c r="N926" s="354"/>
      <c r="O926" s="354"/>
    </row>
    <row r="927" spans="1:15" ht="11.25" customHeight="1">
      <c r="A927" s="354"/>
      <c r="B927" s="354"/>
      <c r="C927" s="354"/>
      <c r="D927" s="354"/>
      <c r="E927" s="353"/>
      <c r="F927" s="353"/>
      <c r="G927" s="353"/>
      <c r="H927" s="353"/>
      <c r="I927" s="353"/>
      <c r="J927" s="353"/>
      <c r="K927" s="353"/>
      <c r="L927" s="353"/>
      <c r="M927" s="354"/>
      <c r="N927" s="354"/>
      <c r="O927" s="354"/>
    </row>
    <row r="928" spans="1:15" ht="11.25" customHeight="1">
      <c r="A928" s="354"/>
      <c r="B928" s="354"/>
      <c r="C928" s="354"/>
      <c r="D928" s="354"/>
      <c r="E928" s="353"/>
      <c r="F928" s="353"/>
      <c r="G928" s="353"/>
      <c r="H928" s="353"/>
      <c r="I928" s="353"/>
      <c r="J928" s="353"/>
      <c r="K928" s="353"/>
      <c r="L928" s="353"/>
      <c r="M928" s="354"/>
      <c r="N928" s="354"/>
      <c r="O928" s="354"/>
    </row>
    <row r="929" spans="1:15" ht="11.25" customHeight="1">
      <c r="A929" s="354"/>
      <c r="B929" s="354"/>
      <c r="C929" s="354"/>
      <c r="D929" s="354"/>
      <c r="E929" s="353"/>
      <c r="F929" s="353"/>
      <c r="G929" s="353"/>
      <c r="H929" s="353"/>
      <c r="I929" s="353"/>
      <c r="J929" s="353"/>
      <c r="K929" s="353"/>
      <c r="L929" s="353"/>
      <c r="M929" s="354"/>
      <c r="N929" s="354"/>
      <c r="O929" s="354"/>
    </row>
    <row r="930" spans="1:15" ht="11.25" customHeight="1">
      <c r="A930" s="354"/>
      <c r="B930" s="354"/>
      <c r="C930" s="354"/>
      <c r="D930" s="354"/>
      <c r="E930" s="353"/>
      <c r="F930" s="353"/>
      <c r="G930" s="353"/>
      <c r="H930" s="353"/>
      <c r="I930" s="353"/>
      <c r="J930" s="353"/>
      <c r="K930" s="353"/>
      <c r="L930" s="353"/>
      <c r="M930" s="354"/>
      <c r="N930" s="354"/>
      <c r="O930" s="354"/>
    </row>
    <row r="931" spans="1:15" ht="11.25" customHeight="1">
      <c r="A931" s="354"/>
      <c r="B931" s="354"/>
      <c r="C931" s="354"/>
      <c r="D931" s="354"/>
      <c r="E931" s="353"/>
      <c r="F931" s="353"/>
      <c r="G931" s="353"/>
      <c r="H931" s="353"/>
      <c r="I931" s="353"/>
      <c r="J931" s="353"/>
      <c r="K931" s="353"/>
      <c r="L931" s="353"/>
      <c r="M931" s="354"/>
      <c r="N931" s="354"/>
      <c r="O931" s="354"/>
    </row>
    <row r="932" spans="1:15" ht="11.25" customHeight="1">
      <c r="A932" s="354"/>
      <c r="B932" s="354"/>
      <c r="C932" s="354"/>
      <c r="D932" s="354"/>
      <c r="E932" s="353"/>
      <c r="F932" s="353"/>
      <c r="G932" s="353"/>
      <c r="H932" s="353"/>
      <c r="I932" s="353"/>
      <c r="J932" s="353"/>
      <c r="K932" s="353"/>
      <c r="L932" s="353"/>
      <c r="M932" s="354"/>
      <c r="N932" s="354"/>
      <c r="O932" s="354"/>
    </row>
    <row r="933" spans="1:15" ht="11.25" customHeight="1">
      <c r="A933" s="354"/>
      <c r="B933" s="354"/>
      <c r="C933" s="354"/>
      <c r="D933" s="354"/>
      <c r="E933" s="353"/>
      <c r="F933" s="353"/>
      <c r="G933" s="353"/>
      <c r="H933" s="353"/>
      <c r="I933" s="353"/>
      <c r="J933" s="353"/>
      <c r="K933" s="353"/>
      <c r="L933" s="353"/>
      <c r="M933" s="354"/>
      <c r="N933" s="354"/>
      <c r="O933" s="354"/>
    </row>
    <row r="934" spans="1:15" ht="11.25" customHeight="1">
      <c r="A934" s="354"/>
      <c r="B934" s="354"/>
      <c r="C934" s="354"/>
      <c r="D934" s="354"/>
      <c r="E934" s="353"/>
      <c r="F934" s="353"/>
      <c r="G934" s="353"/>
      <c r="H934" s="353"/>
      <c r="I934" s="353"/>
      <c r="J934" s="353"/>
      <c r="K934" s="353"/>
      <c r="L934" s="353"/>
      <c r="M934" s="354"/>
      <c r="N934" s="354"/>
      <c r="O934" s="354"/>
    </row>
    <row r="935" spans="1:15" ht="11.25" customHeight="1">
      <c r="A935" s="354"/>
      <c r="B935" s="354"/>
      <c r="C935" s="354"/>
      <c r="D935" s="354"/>
      <c r="E935" s="353"/>
      <c r="F935" s="353"/>
      <c r="G935" s="353"/>
      <c r="H935" s="353"/>
      <c r="I935" s="353"/>
      <c r="J935" s="353"/>
      <c r="K935" s="353"/>
      <c r="L935" s="353"/>
      <c r="M935" s="354"/>
      <c r="N935" s="354"/>
      <c r="O935" s="354"/>
    </row>
    <row r="936" spans="1:15" ht="11.25" customHeight="1">
      <c r="A936" s="354"/>
      <c r="B936" s="354"/>
      <c r="C936" s="354"/>
      <c r="D936" s="354"/>
      <c r="E936" s="353"/>
      <c r="F936" s="353"/>
      <c r="G936" s="353"/>
      <c r="H936" s="353"/>
      <c r="I936" s="353"/>
      <c r="J936" s="353"/>
      <c r="K936" s="353"/>
      <c r="L936" s="353"/>
      <c r="M936" s="354"/>
      <c r="N936" s="354"/>
      <c r="O936" s="354"/>
    </row>
    <row r="937" spans="1:15" ht="11.25" customHeight="1">
      <c r="A937" s="354"/>
      <c r="B937" s="354"/>
      <c r="C937" s="354"/>
      <c r="D937" s="354"/>
      <c r="E937" s="353"/>
      <c r="F937" s="353"/>
      <c r="G937" s="353"/>
      <c r="H937" s="353"/>
      <c r="I937" s="353"/>
      <c r="J937" s="353"/>
      <c r="K937" s="353"/>
      <c r="L937" s="353"/>
      <c r="M937" s="354"/>
      <c r="N937" s="354"/>
      <c r="O937" s="354"/>
    </row>
    <row r="938" spans="1:15" ht="11.25" customHeight="1">
      <c r="A938" s="354"/>
      <c r="B938" s="354"/>
      <c r="C938" s="354"/>
      <c r="D938" s="354"/>
      <c r="E938" s="353"/>
      <c r="F938" s="353"/>
      <c r="G938" s="353"/>
      <c r="H938" s="353"/>
      <c r="I938" s="353"/>
      <c r="J938" s="353"/>
      <c r="K938" s="353"/>
      <c r="L938" s="353"/>
      <c r="M938" s="354"/>
      <c r="N938" s="354"/>
      <c r="O938" s="354"/>
    </row>
    <row r="939" spans="1:15" ht="11.25" customHeight="1">
      <c r="A939" s="354"/>
      <c r="B939" s="354"/>
      <c r="C939" s="354"/>
      <c r="D939" s="354"/>
      <c r="E939" s="353"/>
      <c r="F939" s="353"/>
      <c r="G939" s="353"/>
      <c r="H939" s="353"/>
      <c r="I939" s="353"/>
      <c r="J939" s="353"/>
      <c r="K939" s="353"/>
      <c r="L939" s="353"/>
      <c r="M939" s="354"/>
      <c r="N939" s="354"/>
      <c r="O939" s="354"/>
    </row>
    <row r="940" spans="1:15" ht="11.25" customHeight="1">
      <c r="A940" s="354"/>
      <c r="B940" s="354"/>
      <c r="C940" s="354"/>
      <c r="D940" s="354"/>
      <c r="E940" s="353"/>
      <c r="F940" s="353"/>
      <c r="G940" s="353"/>
      <c r="H940" s="353"/>
      <c r="I940" s="353"/>
      <c r="J940" s="353"/>
      <c r="K940" s="353"/>
      <c r="L940" s="353"/>
      <c r="M940" s="354"/>
      <c r="N940" s="354"/>
      <c r="O940" s="354"/>
    </row>
    <row r="941" spans="1:15" ht="11.25" customHeight="1">
      <c r="A941" s="354"/>
      <c r="B941" s="354"/>
      <c r="C941" s="354"/>
      <c r="D941" s="354"/>
      <c r="E941" s="353"/>
      <c r="F941" s="353"/>
      <c r="G941" s="353"/>
      <c r="H941" s="353"/>
      <c r="I941" s="353"/>
      <c r="J941" s="353"/>
      <c r="K941" s="353"/>
      <c r="L941" s="353"/>
      <c r="M941" s="354"/>
      <c r="N941" s="354"/>
      <c r="O941" s="354"/>
    </row>
    <row r="942" spans="1:15" ht="11.25" customHeight="1">
      <c r="A942" s="354"/>
      <c r="B942" s="354"/>
      <c r="C942" s="354"/>
      <c r="D942" s="354"/>
      <c r="E942" s="353"/>
      <c r="F942" s="353"/>
      <c r="G942" s="353"/>
      <c r="H942" s="353"/>
      <c r="I942" s="353"/>
      <c r="J942" s="353"/>
      <c r="K942" s="353"/>
      <c r="L942" s="353"/>
      <c r="M942" s="354"/>
      <c r="N942" s="354"/>
      <c r="O942" s="354"/>
    </row>
    <row r="943" spans="1:15" ht="11.25" customHeight="1">
      <c r="A943" s="354"/>
      <c r="B943" s="354"/>
      <c r="C943" s="354"/>
      <c r="D943" s="354"/>
      <c r="E943" s="353"/>
      <c r="F943" s="353"/>
      <c r="G943" s="353"/>
      <c r="H943" s="353"/>
      <c r="I943" s="353"/>
      <c r="J943" s="353"/>
      <c r="K943" s="353"/>
      <c r="L943" s="353"/>
      <c r="M943" s="354"/>
      <c r="N943" s="354"/>
      <c r="O943" s="354"/>
    </row>
    <row r="944" spans="1:15" ht="11.25" customHeight="1">
      <c r="A944" s="354"/>
      <c r="B944" s="354"/>
      <c r="C944" s="354"/>
      <c r="D944" s="354"/>
      <c r="E944" s="353"/>
      <c r="F944" s="353"/>
      <c r="G944" s="353"/>
      <c r="H944" s="353"/>
      <c r="I944" s="353"/>
      <c r="J944" s="353"/>
      <c r="K944" s="353"/>
      <c r="L944" s="353"/>
      <c r="M944" s="354"/>
      <c r="N944" s="354"/>
      <c r="O944" s="354"/>
    </row>
    <row r="945" spans="1:15" ht="11.25" customHeight="1">
      <c r="A945" s="354"/>
      <c r="B945" s="354"/>
      <c r="C945" s="354"/>
      <c r="D945" s="354"/>
      <c r="E945" s="353"/>
      <c r="F945" s="353"/>
      <c r="G945" s="353"/>
      <c r="H945" s="353"/>
      <c r="I945" s="353"/>
      <c r="J945" s="353"/>
      <c r="K945" s="353"/>
      <c r="L945" s="353"/>
      <c r="M945" s="354"/>
      <c r="N945" s="354"/>
      <c r="O945" s="354"/>
    </row>
    <row r="946" spans="1:15" ht="11.25" customHeight="1">
      <c r="A946" s="354"/>
      <c r="B946" s="354"/>
      <c r="C946" s="354"/>
      <c r="D946" s="354"/>
      <c r="E946" s="353"/>
      <c r="F946" s="353"/>
      <c r="G946" s="353"/>
      <c r="H946" s="353"/>
      <c r="I946" s="353"/>
      <c r="J946" s="353"/>
      <c r="K946" s="353"/>
      <c r="L946" s="353"/>
      <c r="M946" s="354"/>
      <c r="N946" s="354"/>
      <c r="O946" s="354"/>
    </row>
    <row r="947" spans="1:15" ht="11.25" customHeight="1">
      <c r="A947" s="354"/>
      <c r="B947" s="354"/>
      <c r="C947" s="354"/>
      <c r="D947" s="354"/>
      <c r="E947" s="353"/>
      <c r="F947" s="353"/>
      <c r="G947" s="353"/>
      <c r="H947" s="353"/>
      <c r="I947" s="353"/>
      <c r="J947" s="353"/>
      <c r="K947" s="353"/>
      <c r="L947" s="353"/>
      <c r="M947" s="354"/>
      <c r="N947" s="354"/>
      <c r="O947" s="354"/>
    </row>
    <row r="948" spans="1:15" ht="11.25" customHeight="1">
      <c r="A948" s="354"/>
      <c r="B948" s="354"/>
      <c r="C948" s="354"/>
      <c r="D948" s="354"/>
      <c r="E948" s="353"/>
      <c r="F948" s="353"/>
      <c r="G948" s="353"/>
      <c r="H948" s="353"/>
      <c r="I948" s="353"/>
      <c r="J948" s="353"/>
      <c r="K948" s="353"/>
      <c r="L948" s="353"/>
      <c r="M948" s="354"/>
      <c r="N948" s="354"/>
      <c r="O948" s="354"/>
    </row>
    <row r="949" spans="1:15" ht="11.25" customHeight="1">
      <c r="A949" s="354"/>
      <c r="B949" s="354"/>
      <c r="C949" s="354"/>
      <c r="D949" s="354"/>
      <c r="E949" s="353"/>
      <c r="F949" s="353"/>
      <c r="G949" s="353"/>
      <c r="H949" s="353"/>
      <c r="I949" s="353"/>
      <c r="J949" s="353"/>
      <c r="K949" s="353"/>
      <c r="L949" s="353"/>
      <c r="M949" s="354"/>
      <c r="N949" s="354"/>
      <c r="O949" s="354"/>
    </row>
    <row r="950" spans="1:15" ht="11.25" customHeight="1">
      <c r="A950" s="354"/>
      <c r="B950" s="354"/>
      <c r="C950" s="354"/>
      <c r="D950" s="354"/>
      <c r="E950" s="353"/>
      <c r="F950" s="353"/>
      <c r="G950" s="353"/>
      <c r="H950" s="353"/>
      <c r="I950" s="353"/>
      <c r="J950" s="353"/>
      <c r="K950" s="353"/>
      <c r="L950" s="353"/>
      <c r="M950" s="354"/>
      <c r="N950" s="354"/>
      <c r="O950" s="354"/>
    </row>
    <row r="951" spans="1:15" ht="11.25" customHeight="1">
      <c r="A951" s="354"/>
      <c r="B951" s="354"/>
      <c r="C951" s="354"/>
      <c r="D951" s="354"/>
      <c r="E951" s="353"/>
      <c r="F951" s="353"/>
      <c r="G951" s="353"/>
      <c r="H951" s="353"/>
      <c r="I951" s="353"/>
      <c r="J951" s="353"/>
      <c r="K951" s="353"/>
      <c r="L951" s="353"/>
      <c r="M951" s="354"/>
      <c r="N951" s="354"/>
      <c r="O951" s="354"/>
    </row>
    <row r="952" spans="1:15" ht="11.25" customHeight="1">
      <c r="A952" s="354"/>
      <c r="B952" s="354"/>
      <c r="C952" s="354"/>
      <c r="D952" s="354"/>
      <c r="E952" s="353"/>
      <c r="F952" s="353"/>
      <c r="G952" s="353"/>
      <c r="H952" s="353"/>
      <c r="I952" s="353"/>
      <c r="J952" s="353"/>
      <c r="K952" s="353"/>
      <c r="L952" s="353"/>
      <c r="M952" s="354"/>
      <c r="N952" s="354"/>
      <c r="O952" s="354"/>
    </row>
    <row r="953" spans="1:15" ht="11.25" customHeight="1">
      <c r="A953" s="354"/>
      <c r="B953" s="354"/>
      <c r="C953" s="354"/>
      <c r="D953" s="354"/>
      <c r="E953" s="353"/>
      <c r="F953" s="353"/>
      <c r="G953" s="353"/>
      <c r="H953" s="353"/>
      <c r="I953" s="353"/>
      <c r="J953" s="353"/>
      <c r="K953" s="353"/>
      <c r="L953" s="353"/>
      <c r="M953" s="354"/>
      <c r="N953" s="354"/>
      <c r="O953" s="354"/>
    </row>
    <row r="954" spans="1:15" ht="11.25" customHeight="1">
      <c r="A954" s="354"/>
      <c r="B954" s="354"/>
      <c r="C954" s="354"/>
      <c r="D954" s="354"/>
      <c r="E954" s="353"/>
      <c r="F954" s="353"/>
      <c r="G954" s="353"/>
      <c r="H954" s="353"/>
      <c r="I954" s="353"/>
      <c r="J954" s="353"/>
      <c r="K954" s="353"/>
      <c r="L954" s="353"/>
      <c r="M954" s="354"/>
      <c r="N954" s="354"/>
      <c r="O954" s="354"/>
    </row>
    <row r="955" spans="1:15" ht="11.25" customHeight="1">
      <c r="A955" s="354"/>
      <c r="B955" s="354"/>
      <c r="C955" s="354"/>
      <c r="D955" s="354"/>
      <c r="E955" s="353"/>
      <c r="F955" s="353"/>
      <c r="G955" s="353"/>
      <c r="H955" s="353"/>
      <c r="I955" s="353"/>
      <c r="J955" s="353"/>
      <c r="K955" s="353"/>
      <c r="L955" s="353"/>
      <c r="M955" s="354"/>
      <c r="N955" s="354"/>
      <c r="O955" s="354"/>
    </row>
    <row r="956" spans="1:15" ht="11.25" customHeight="1">
      <c r="A956" s="354"/>
      <c r="B956" s="354"/>
      <c r="C956" s="354"/>
      <c r="D956" s="354"/>
      <c r="E956" s="353"/>
      <c r="F956" s="353"/>
      <c r="G956" s="353"/>
      <c r="H956" s="353"/>
      <c r="I956" s="353"/>
      <c r="J956" s="353"/>
      <c r="K956" s="353"/>
      <c r="L956" s="353"/>
      <c r="M956" s="354"/>
      <c r="N956" s="354"/>
      <c r="O956" s="354"/>
    </row>
    <row r="957" spans="1:15" ht="11.25" customHeight="1">
      <c r="A957" s="354"/>
      <c r="B957" s="354"/>
      <c r="C957" s="354"/>
      <c r="D957" s="354"/>
      <c r="E957" s="353"/>
      <c r="F957" s="353"/>
      <c r="G957" s="353"/>
      <c r="H957" s="353"/>
      <c r="I957" s="353"/>
      <c r="J957" s="353"/>
      <c r="K957" s="353"/>
      <c r="L957" s="353"/>
      <c r="M957" s="354"/>
      <c r="N957" s="354"/>
      <c r="O957" s="354"/>
    </row>
    <row r="958" spans="1:15" ht="11.25" customHeight="1">
      <c r="A958" s="354"/>
      <c r="B958" s="354"/>
      <c r="C958" s="354"/>
      <c r="D958" s="354"/>
      <c r="E958" s="353"/>
      <c r="F958" s="353"/>
      <c r="G958" s="353"/>
      <c r="H958" s="353"/>
      <c r="I958" s="353"/>
      <c r="J958" s="353"/>
      <c r="K958" s="353"/>
      <c r="L958" s="353"/>
      <c r="M958" s="354"/>
      <c r="N958" s="354"/>
      <c r="O958" s="354"/>
    </row>
    <row r="959" spans="1:15" ht="11.25" customHeight="1">
      <c r="A959" s="354"/>
      <c r="B959" s="354"/>
      <c r="C959" s="354"/>
      <c r="D959" s="354"/>
      <c r="E959" s="353"/>
      <c r="F959" s="353"/>
      <c r="G959" s="353"/>
      <c r="H959" s="353"/>
      <c r="I959" s="353"/>
      <c r="J959" s="353"/>
      <c r="K959" s="353"/>
      <c r="L959" s="353"/>
      <c r="M959" s="354"/>
      <c r="N959" s="354"/>
      <c r="O959" s="354"/>
    </row>
    <row r="960" spans="1:15" ht="11.25" customHeight="1">
      <c r="A960" s="354"/>
      <c r="B960" s="354"/>
      <c r="C960" s="354"/>
      <c r="D960" s="354"/>
      <c r="E960" s="353"/>
      <c r="F960" s="353"/>
      <c r="G960" s="353"/>
      <c r="H960" s="353"/>
      <c r="I960" s="353"/>
      <c r="J960" s="353"/>
      <c r="K960" s="353"/>
      <c r="L960" s="353"/>
      <c r="M960" s="354"/>
      <c r="N960" s="354"/>
      <c r="O960" s="354"/>
    </row>
    <row r="961" spans="1:15" ht="11.25" customHeight="1">
      <c r="A961" s="354"/>
      <c r="B961" s="354"/>
      <c r="C961" s="354"/>
      <c r="D961" s="354"/>
      <c r="E961" s="353"/>
      <c r="F961" s="353"/>
      <c r="G961" s="353"/>
      <c r="H961" s="353"/>
      <c r="I961" s="353"/>
      <c r="J961" s="353"/>
      <c r="K961" s="353"/>
      <c r="L961" s="353"/>
      <c r="M961" s="354"/>
      <c r="N961" s="354"/>
      <c r="O961" s="354"/>
    </row>
    <row r="962" spans="1:15" ht="11.25" customHeight="1">
      <c r="A962" s="354"/>
      <c r="B962" s="354"/>
      <c r="C962" s="354"/>
      <c r="D962" s="354"/>
      <c r="E962" s="353"/>
      <c r="F962" s="353"/>
      <c r="G962" s="353"/>
      <c r="H962" s="353"/>
      <c r="I962" s="353"/>
      <c r="J962" s="353"/>
      <c r="K962" s="353"/>
      <c r="L962" s="353"/>
      <c r="M962" s="354"/>
      <c r="N962" s="354"/>
      <c r="O962" s="354"/>
    </row>
    <row r="963" spans="1:15" ht="11.25" customHeight="1">
      <c r="A963" s="354"/>
      <c r="B963" s="354"/>
      <c r="C963" s="354"/>
      <c r="D963" s="354"/>
      <c r="E963" s="353"/>
      <c r="F963" s="353"/>
      <c r="G963" s="353"/>
      <c r="H963" s="353"/>
      <c r="I963" s="353"/>
      <c r="J963" s="353"/>
      <c r="K963" s="353"/>
      <c r="L963" s="353"/>
      <c r="M963" s="354"/>
      <c r="N963" s="354"/>
      <c r="O963" s="354"/>
    </row>
    <row r="964" spans="1:15" ht="11.25" customHeight="1">
      <c r="A964" s="354"/>
      <c r="B964" s="354"/>
      <c r="C964" s="354"/>
      <c r="D964" s="354"/>
      <c r="E964" s="353"/>
      <c r="F964" s="353"/>
      <c r="G964" s="353"/>
      <c r="H964" s="353"/>
      <c r="I964" s="353"/>
      <c r="J964" s="353"/>
      <c r="K964" s="353"/>
      <c r="L964" s="353"/>
      <c r="M964" s="354"/>
      <c r="N964" s="354"/>
      <c r="O964" s="354"/>
    </row>
    <row r="965" spans="1:15" ht="11.25" customHeight="1">
      <c r="A965" s="354"/>
      <c r="B965" s="354"/>
      <c r="C965" s="354"/>
      <c r="D965" s="354"/>
      <c r="E965" s="353"/>
      <c r="F965" s="353"/>
      <c r="G965" s="353"/>
      <c r="H965" s="353"/>
      <c r="I965" s="353"/>
      <c r="J965" s="353"/>
      <c r="K965" s="353"/>
      <c r="L965" s="353"/>
      <c r="M965" s="354"/>
      <c r="N965" s="354"/>
      <c r="O965" s="354"/>
    </row>
    <row r="966" spans="1:15" ht="11.25" customHeight="1">
      <c r="A966" s="354"/>
      <c r="B966" s="354"/>
      <c r="C966" s="354"/>
      <c r="D966" s="354"/>
      <c r="E966" s="353"/>
      <c r="F966" s="353"/>
      <c r="G966" s="353"/>
      <c r="H966" s="353"/>
      <c r="I966" s="353"/>
      <c r="J966" s="353"/>
      <c r="K966" s="353"/>
      <c r="L966" s="353"/>
      <c r="M966" s="354"/>
      <c r="N966" s="354"/>
      <c r="O966" s="354"/>
    </row>
    <row r="967" spans="1:15" ht="11.25" customHeight="1">
      <c r="A967" s="354"/>
      <c r="B967" s="354"/>
      <c r="C967" s="354"/>
      <c r="D967" s="354"/>
      <c r="E967" s="353"/>
      <c r="F967" s="353"/>
      <c r="G967" s="353"/>
      <c r="H967" s="353"/>
      <c r="I967" s="353"/>
      <c r="J967" s="353"/>
      <c r="K967" s="353"/>
      <c r="L967" s="353"/>
      <c r="M967" s="354"/>
      <c r="N967" s="354"/>
      <c r="O967" s="354"/>
    </row>
    <row r="968" spans="1:15" ht="11.25" customHeight="1">
      <c r="A968" s="354"/>
      <c r="B968" s="354"/>
      <c r="C968" s="354"/>
      <c r="D968" s="354"/>
      <c r="E968" s="353"/>
      <c r="F968" s="353"/>
      <c r="G968" s="353"/>
      <c r="H968" s="353"/>
      <c r="I968" s="353"/>
      <c r="J968" s="353"/>
      <c r="K968" s="353"/>
      <c r="L968" s="353"/>
      <c r="M968" s="354"/>
      <c r="N968" s="354"/>
      <c r="O968" s="354"/>
    </row>
    <row r="969" spans="1:15" ht="11.25" customHeight="1">
      <c r="A969" s="354"/>
      <c r="B969" s="354"/>
      <c r="C969" s="354"/>
      <c r="D969" s="354"/>
      <c r="E969" s="353"/>
      <c r="F969" s="353"/>
      <c r="G969" s="353"/>
      <c r="H969" s="353"/>
      <c r="I969" s="353"/>
      <c r="J969" s="353"/>
      <c r="K969" s="353"/>
      <c r="L969" s="353"/>
      <c r="M969" s="354"/>
      <c r="N969" s="354"/>
      <c r="O969" s="354"/>
    </row>
    <row r="970" spans="1:15" ht="11.25" customHeight="1">
      <c r="A970" s="354"/>
      <c r="B970" s="354"/>
      <c r="C970" s="354"/>
      <c r="D970" s="354"/>
      <c r="E970" s="353"/>
      <c r="F970" s="353"/>
      <c r="G970" s="353"/>
      <c r="H970" s="353"/>
      <c r="I970" s="353"/>
      <c r="J970" s="353"/>
      <c r="K970" s="353"/>
      <c r="L970" s="353"/>
      <c r="M970" s="354"/>
      <c r="N970" s="354"/>
      <c r="O970" s="354"/>
    </row>
    <row r="971" spans="1:15" ht="11.25" customHeight="1">
      <c r="A971" s="354"/>
      <c r="B971" s="354"/>
      <c r="C971" s="354"/>
      <c r="D971" s="354"/>
      <c r="E971" s="353"/>
      <c r="F971" s="353"/>
      <c r="G971" s="353"/>
      <c r="H971" s="353"/>
      <c r="I971" s="353"/>
      <c r="J971" s="353"/>
      <c r="K971" s="353"/>
      <c r="L971" s="353"/>
      <c r="M971" s="354"/>
      <c r="N971" s="354"/>
      <c r="O971" s="354"/>
    </row>
    <row r="972" spans="1:15" ht="11.25" customHeight="1">
      <c r="A972" s="354"/>
      <c r="B972" s="354"/>
      <c r="C972" s="354"/>
      <c r="D972" s="354"/>
      <c r="E972" s="353"/>
      <c r="F972" s="353"/>
      <c r="G972" s="353"/>
      <c r="H972" s="353"/>
      <c r="I972" s="353"/>
      <c r="J972" s="353"/>
      <c r="K972" s="353"/>
      <c r="L972" s="353"/>
      <c r="M972" s="354"/>
      <c r="N972" s="354"/>
      <c r="O972" s="354"/>
    </row>
    <row r="973" spans="1:15" ht="11.25" customHeight="1">
      <c r="A973" s="354"/>
      <c r="B973" s="354"/>
      <c r="C973" s="354"/>
      <c r="D973" s="354"/>
      <c r="E973" s="353"/>
      <c r="F973" s="353"/>
      <c r="G973" s="353"/>
      <c r="H973" s="353"/>
      <c r="I973" s="353"/>
      <c r="J973" s="353"/>
      <c r="K973" s="353"/>
      <c r="L973" s="353"/>
      <c r="M973" s="354"/>
      <c r="N973" s="354"/>
      <c r="O973" s="354"/>
    </row>
    <row r="974" spans="1:15" ht="11.25" customHeight="1">
      <c r="A974" s="354"/>
      <c r="B974" s="354"/>
      <c r="C974" s="354"/>
      <c r="D974" s="354"/>
      <c r="E974" s="353"/>
      <c r="F974" s="353"/>
      <c r="G974" s="353"/>
      <c r="H974" s="353"/>
      <c r="I974" s="353"/>
      <c r="J974" s="353"/>
      <c r="K974" s="353"/>
      <c r="L974" s="353"/>
      <c r="M974" s="354"/>
      <c r="N974" s="354"/>
      <c r="O974" s="354"/>
    </row>
    <row r="975" spans="1:15" ht="11.25" customHeight="1">
      <c r="A975" s="354"/>
      <c r="B975" s="354"/>
      <c r="C975" s="354"/>
      <c r="D975" s="354"/>
      <c r="E975" s="353"/>
      <c r="F975" s="353"/>
      <c r="G975" s="353"/>
      <c r="H975" s="353"/>
      <c r="I975" s="353"/>
      <c r="J975" s="353"/>
      <c r="K975" s="353"/>
      <c r="L975" s="353"/>
      <c r="M975" s="354"/>
      <c r="N975" s="354"/>
      <c r="O975" s="354"/>
    </row>
    <row r="976" spans="1:15" ht="11.25" customHeight="1">
      <c r="A976" s="354"/>
      <c r="B976" s="354"/>
      <c r="C976" s="354"/>
      <c r="D976" s="354"/>
      <c r="E976" s="353"/>
      <c r="F976" s="353"/>
      <c r="G976" s="353"/>
      <c r="H976" s="353"/>
      <c r="I976" s="353"/>
      <c r="J976" s="353"/>
      <c r="K976" s="353"/>
      <c r="L976" s="353"/>
      <c r="M976" s="354"/>
      <c r="N976" s="354"/>
      <c r="O976" s="354"/>
    </row>
    <row r="977" spans="1:15" ht="11.25" customHeight="1">
      <c r="A977" s="354"/>
      <c r="B977" s="354"/>
      <c r="C977" s="354"/>
      <c r="D977" s="354"/>
      <c r="E977" s="353"/>
      <c r="F977" s="353"/>
      <c r="G977" s="353"/>
      <c r="H977" s="353"/>
      <c r="I977" s="353"/>
      <c r="J977" s="353"/>
      <c r="K977" s="353"/>
      <c r="L977" s="353"/>
      <c r="M977" s="354"/>
      <c r="N977" s="354"/>
      <c r="O977" s="354"/>
    </row>
    <row r="978" spans="1:15" ht="11.25" customHeight="1">
      <c r="A978" s="354"/>
      <c r="B978" s="354"/>
      <c r="C978" s="354"/>
      <c r="D978" s="354"/>
      <c r="E978" s="353"/>
      <c r="F978" s="353"/>
      <c r="G978" s="353"/>
      <c r="H978" s="353"/>
      <c r="I978" s="353"/>
      <c r="J978" s="353"/>
      <c r="K978" s="353"/>
      <c r="L978" s="353"/>
      <c r="M978" s="354"/>
      <c r="N978" s="354"/>
      <c r="O978" s="354"/>
    </row>
    <row r="979" spans="1:15" ht="11.25" customHeight="1">
      <c r="A979" s="354"/>
      <c r="B979" s="354"/>
      <c r="C979" s="354"/>
      <c r="D979" s="354"/>
      <c r="E979" s="353"/>
      <c r="F979" s="353"/>
      <c r="G979" s="353"/>
      <c r="H979" s="353"/>
      <c r="I979" s="353"/>
      <c r="J979" s="353"/>
      <c r="K979" s="353"/>
      <c r="L979" s="353"/>
      <c r="M979" s="354"/>
      <c r="N979" s="354"/>
      <c r="O979" s="354"/>
    </row>
    <row r="980" spans="1:15" ht="11.25" customHeight="1">
      <c r="A980" s="354"/>
      <c r="B980" s="354"/>
      <c r="C980" s="354"/>
      <c r="D980" s="354"/>
      <c r="E980" s="353"/>
      <c r="F980" s="353"/>
      <c r="G980" s="353"/>
      <c r="H980" s="353"/>
      <c r="I980" s="353"/>
      <c r="J980" s="353"/>
      <c r="K980" s="353"/>
      <c r="L980" s="353"/>
      <c r="M980" s="354"/>
      <c r="N980" s="354"/>
      <c r="O980" s="354"/>
    </row>
    <row r="981" spans="1:15" ht="11.25" customHeight="1">
      <c r="A981" s="354"/>
      <c r="B981" s="354"/>
      <c r="C981" s="354"/>
      <c r="D981" s="354"/>
      <c r="E981" s="353"/>
      <c r="F981" s="353"/>
      <c r="G981" s="353"/>
      <c r="H981" s="353"/>
      <c r="I981" s="353"/>
      <c r="J981" s="353"/>
      <c r="K981" s="353"/>
      <c r="L981" s="353"/>
      <c r="M981" s="354"/>
      <c r="N981" s="354"/>
      <c r="O981" s="354"/>
    </row>
    <row r="982" spans="1:15" ht="11.25" customHeight="1">
      <c r="A982" s="354"/>
      <c r="B982" s="354"/>
      <c r="C982" s="354"/>
      <c r="D982" s="354"/>
      <c r="E982" s="353"/>
      <c r="F982" s="353"/>
      <c r="G982" s="353"/>
      <c r="H982" s="353"/>
      <c r="I982" s="353"/>
      <c r="J982" s="353"/>
      <c r="K982" s="353"/>
      <c r="L982" s="353"/>
      <c r="M982" s="354"/>
      <c r="N982" s="354"/>
      <c r="O982" s="354"/>
    </row>
    <row r="983" spans="1:15" ht="11.25" customHeight="1">
      <c r="A983" s="354"/>
      <c r="B983" s="354"/>
      <c r="C983" s="354"/>
      <c r="D983" s="354"/>
      <c r="E983" s="353"/>
      <c r="F983" s="353"/>
      <c r="G983" s="353"/>
      <c r="H983" s="353"/>
      <c r="I983" s="353"/>
      <c r="J983" s="353"/>
      <c r="K983" s="353"/>
      <c r="L983" s="353"/>
      <c r="M983" s="354"/>
      <c r="N983" s="354"/>
      <c r="O983" s="354"/>
    </row>
    <row r="984" spans="1:15" ht="11.25" customHeight="1">
      <c r="A984" s="354"/>
      <c r="B984" s="354"/>
      <c r="C984" s="354"/>
      <c r="D984" s="354"/>
      <c r="E984" s="353"/>
      <c r="F984" s="353"/>
      <c r="G984" s="353"/>
      <c r="H984" s="353"/>
      <c r="I984" s="353"/>
      <c r="J984" s="353"/>
      <c r="K984" s="353"/>
      <c r="L984" s="353"/>
      <c r="M984" s="354"/>
      <c r="N984" s="354"/>
      <c r="O984" s="354"/>
    </row>
    <row r="985" spans="1:15" ht="11.25" customHeight="1">
      <c r="A985" s="354"/>
      <c r="B985" s="354"/>
      <c r="C985" s="354"/>
      <c r="D985" s="354"/>
      <c r="E985" s="353"/>
      <c r="F985" s="353"/>
      <c r="G985" s="353"/>
      <c r="H985" s="353"/>
      <c r="I985" s="353"/>
      <c r="J985" s="353"/>
      <c r="K985" s="353"/>
      <c r="L985" s="353"/>
      <c r="M985" s="354"/>
      <c r="N985" s="354"/>
      <c r="O985" s="354"/>
    </row>
    <row r="986" spans="1:15" ht="11.25" customHeight="1">
      <c r="A986" s="354"/>
      <c r="B986" s="354"/>
      <c r="C986" s="354"/>
      <c r="D986" s="354"/>
      <c r="E986" s="353"/>
      <c r="F986" s="353"/>
      <c r="G986" s="353"/>
      <c r="H986" s="353"/>
      <c r="I986" s="353"/>
      <c r="J986" s="353"/>
      <c r="K986" s="353"/>
      <c r="L986" s="353"/>
      <c r="M986" s="354"/>
      <c r="N986" s="354"/>
      <c r="O986" s="354"/>
    </row>
    <row r="987" spans="1:15" ht="11.25" customHeight="1">
      <c r="A987" s="354"/>
      <c r="B987" s="354"/>
      <c r="C987" s="354"/>
      <c r="D987" s="354"/>
      <c r="E987" s="353"/>
      <c r="F987" s="353"/>
      <c r="G987" s="353"/>
      <c r="H987" s="353"/>
      <c r="I987" s="353"/>
      <c r="J987" s="353"/>
      <c r="K987" s="353"/>
      <c r="L987" s="353"/>
      <c r="M987" s="354"/>
      <c r="N987" s="354"/>
      <c r="O987" s="354"/>
    </row>
    <row r="988" spans="1:15" ht="11.25" customHeight="1">
      <c r="A988" s="354"/>
      <c r="B988" s="354"/>
      <c r="C988" s="354"/>
      <c r="D988" s="354"/>
      <c r="E988" s="353"/>
      <c r="F988" s="353"/>
      <c r="G988" s="353"/>
      <c r="H988" s="353"/>
      <c r="I988" s="353"/>
      <c r="J988" s="353"/>
      <c r="K988" s="353"/>
      <c r="L988" s="353"/>
      <c r="M988" s="354"/>
      <c r="N988" s="354"/>
      <c r="O988" s="354"/>
    </row>
    <row r="989" spans="1:15" ht="11.25" customHeight="1">
      <c r="A989" s="354"/>
      <c r="B989" s="354"/>
      <c r="C989" s="354"/>
      <c r="D989" s="354"/>
      <c r="E989" s="353"/>
      <c r="F989" s="353"/>
      <c r="G989" s="353"/>
      <c r="H989" s="353"/>
      <c r="I989" s="353"/>
      <c r="J989" s="353"/>
      <c r="K989" s="353"/>
      <c r="L989" s="353"/>
      <c r="M989" s="354"/>
      <c r="N989" s="354"/>
      <c r="O989" s="354"/>
    </row>
    <row r="990" spans="1:15" ht="11.25" customHeight="1">
      <c r="A990" s="354"/>
      <c r="B990" s="354"/>
      <c r="C990" s="354"/>
      <c r="D990" s="354"/>
      <c r="E990" s="353"/>
      <c r="F990" s="353"/>
      <c r="G990" s="353"/>
      <c r="H990" s="353"/>
      <c r="I990" s="353"/>
      <c r="J990" s="353"/>
      <c r="K990" s="353"/>
      <c r="L990" s="353"/>
      <c r="M990" s="354"/>
      <c r="N990" s="354"/>
      <c r="O990" s="354"/>
    </row>
    <row r="991" spans="1:15" ht="11.25" customHeight="1">
      <c r="A991" s="354"/>
      <c r="B991" s="354"/>
      <c r="C991" s="354"/>
      <c r="D991" s="354"/>
      <c r="E991" s="353"/>
      <c r="F991" s="353"/>
      <c r="G991" s="353"/>
      <c r="H991" s="353"/>
      <c r="I991" s="353"/>
      <c r="J991" s="353"/>
      <c r="K991" s="353"/>
      <c r="L991" s="353"/>
      <c r="M991" s="354"/>
      <c r="N991" s="354"/>
      <c r="O991" s="354"/>
    </row>
    <row r="992" spans="1:15" ht="11.25" customHeight="1">
      <c r="A992" s="354"/>
      <c r="B992" s="354"/>
      <c r="C992" s="354"/>
      <c r="D992" s="354"/>
      <c r="E992" s="353"/>
      <c r="F992" s="353"/>
      <c r="G992" s="353"/>
      <c r="H992" s="353"/>
      <c r="I992" s="353"/>
      <c r="J992" s="353"/>
      <c r="K992" s="353"/>
      <c r="L992" s="353"/>
      <c r="M992" s="354"/>
      <c r="N992" s="354"/>
      <c r="O992" s="354"/>
    </row>
    <row r="993" spans="1:15" ht="11.25" customHeight="1">
      <c r="A993" s="354"/>
      <c r="B993" s="354"/>
      <c r="C993" s="354"/>
      <c r="D993" s="354"/>
      <c r="E993" s="353"/>
      <c r="F993" s="353"/>
      <c r="G993" s="353"/>
      <c r="H993" s="353"/>
      <c r="I993" s="353"/>
      <c r="J993" s="353"/>
      <c r="K993" s="353"/>
      <c r="L993" s="353"/>
      <c r="M993" s="354"/>
      <c r="N993" s="354"/>
      <c r="O993" s="354"/>
    </row>
    <row r="994" spans="1:15" ht="11.25" customHeight="1">
      <c r="A994" s="354"/>
      <c r="B994" s="354"/>
      <c r="C994" s="354"/>
      <c r="D994" s="354"/>
      <c r="E994" s="353"/>
      <c r="F994" s="353"/>
      <c r="G994" s="353"/>
      <c r="H994" s="353"/>
      <c r="I994" s="353"/>
      <c r="J994" s="353"/>
      <c r="K994" s="353"/>
      <c r="L994" s="353"/>
      <c r="M994" s="354"/>
      <c r="N994" s="354"/>
      <c r="O994" s="354"/>
    </row>
    <row r="995" spans="1:15" ht="11.25" customHeight="1">
      <c r="A995" s="354"/>
      <c r="B995" s="354"/>
      <c r="C995" s="354"/>
      <c r="D995" s="354"/>
      <c r="E995" s="353"/>
      <c r="F995" s="353"/>
      <c r="G995" s="353"/>
      <c r="H995" s="353"/>
      <c r="I995" s="353"/>
      <c r="J995" s="353"/>
      <c r="K995" s="353"/>
      <c r="L995" s="353"/>
      <c r="M995" s="354"/>
      <c r="N995" s="354"/>
      <c r="O995" s="354"/>
    </row>
    <row r="996" spans="1:15" ht="11.25" customHeight="1">
      <c r="A996" s="354"/>
      <c r="B996" s="354"/>
      <c r="C996" s="354"/>
      <c r="D996" s="354"/>
      <c r="E996" s="353"/>
      <c r="F996" s="353"/>
      <c r="G996" s="353"/>
      <c r="H996" s="353"/>
      <c r="I996" s="353"/>
      <c r="J996" s="353"/>
      <c r="K996" s="353"/>
      <c r="L996" s="353"/>
      <c r="M996" s="354"/>
      <c r="N996" s="354"/>
      <c r="O996" s="354"/>
    </row>
    <row r="997" spans="1:15" ht="11.25" customHeight="1">
      <c r="A997" s="354"/>
      <c r="B997" s="354"/>
      <c r="C997" s="354"/>
      <c r="D997" s="354"/>
      <c r="E997" s="353"/>
      <c r="F997" s="353"/>
      <c r="G997" s="353"/>
      <c r="H997" s="353"/>
      <c r="I997" s="353"/>
      <c r="J997" s="353"/>
      <c r="K997" s="353"/>
      <c r="L997" s="353"/>
      <c r="M997" s="354"/>
      <c r="N997" s="354"/>
      <c r="O997" s="354"/>
    </row>
    <row r="998" spans="1:15" ht="11.25" customHeight="1">
      <c r="A998" s="354"/>
      <c r="B998" s="354"/>
      <c r="C998" s="354"/>
      <c r="D998" s="354"/>
      <c r="E998" s="353"/>
      <c r="F998" s="353"/>
      <c r="G998" s="353"/>
      <c r="H998" s="353"/>
      <c r="I998" s="353"/>
      <c r="J998" s="353"/>
      <c r="K998" s="353"/>
      <c r="L998" s="353"/>
      <c r="M998" s="354"/>
      <c r="N998" s="354"/>
      <c r="O998" s="354"/>
    </row>
    <row r="999" spans="1:15" ht="11.25" customHeight="1">
      <c r="A999" s="354"/>
      <c r="B999" s="354"/>
      <c r="C999" s="354"/>
      <c r="D999" s="354"/>
      <c r="E999" s="353"/>
      <c r="F999" s="353"/>
      <c r="G999" s="353"/>
      <c r="I999" s="353"/>
      <c r="K999" s="353"/>
      <c r="M999" s="354"/>
      <c r="N999" s="354"/>
      <c r="O999" s="354"/>
    </row>
    <row r="1000" spans="1:15" ht="11.25" customHeight="1">
      <c r="A1000" s="354"/>
      <c r="B1000" s="354"/>
      <c r="C1000" s="354"/>
      <c r="D1000" s="354"/>
      <c r="E1000" s="353"/>
      <c r="F1000" s="353"/>
      <c r="G1000" s="353"/>
      <c r="I1000" s="353"/>
      <c r="K1000" s="353"/>
      <c r="M1000" s="354"/>
      <c r="N1000" s="354"/>
      <c r="O1000" s="354"/>
    </row>
    <row r="1001" spans="1:15" ht="11.25" customHeight="1">
      <c r="A1001" s="354"/>
      <c r="B1001" s="354"/>
      <c r="C1001" s="354"/>
      <c r="D1001" s="354"/>
      <c r="E1001" s="353"/>
      <c r="F1001" s="353"/>
      <c r="M1001" s="354"/>
      <c r="N1001" s="354"/>
      <c r="O1001" s="354"/>
    </row>
    <row r="1002" spans="1:15" ht="11.25" customHeight="1">
      <c r="A1002" s="354"/>
      <c r="B1002" s="354"/>
      <c r="C1002" s="354"/>
      <c r="D1002" s="354"/>
      <c r="E1002" s="353"/>
      <c r="F1002" s="353"/>
      <c r="M1002" s="354"/>
      <c r="N1002" s="354"/>
      <c r="O1002" s="354"/>
    </row>
    <row r="1003" spans="1:15" ht="15" customHeight="1">
      <c r="E1003" s="353"/>
      <c r="F1003" s="353"/>
      <c r="N1003" s="354"/>
      <c r="O1003" s="354"/>
    </row>
  </sheetData>
  <sheetProtection algorithmName="SHA-512" hashValue="F56PcHgbemz492DeasnvbPzVxtuGWgwmLlPugSmgsExoFRwfiHx8Bs8ptaTqmtgXO0SOX0DG2AcIkRl3zv8Csw==" saltValue="tEz06bjcXpI2xdjVRRef+w==" spinCount="100000" sheet="1" objects="1" scenarios="1"/>
  <phoneticPr fontId="29" type="noConversion"/>
  <conditionalFormatting sqref="F1:F5 F7:F32">
    <cfRule type="duplicateValues" dxfId="3" priority="4"/>
  </conditionalFormatting>
  <conditionalFormatting sqref="L2:L24">
    <cfRule type="duplicateValues" dxfId="2" priority="3"/>
  </conditionalFormatting>
  <conditionalFormatting sqref="AC5">
    <cfRule type="containsText" dxfId="1" priority="1" operator="containsText" text="aprovado">
      <formula>NOT(ISERROR(SEARCH("aprovado",AC5)))</formula>
    </cfRule>
    <cfRule type="containsText" dxfId="0" priority="2" operator="containsText" text="reprovado">
      <formula>NOT(ISERROR(SEARCH("reprovado",AC5)))</formula>
    </cfRule>
  </conditionalFormatting>
  <pageMargins left="0.511811024" right="0.511811024" top="0.78740157499999996" bottom="0.78740157499999996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13</vt:i4>
      </vt:variant>
    </vt:vector>
  </HeadingPairs>
  <TitlesOfParts>
    <vt:vector size="20" baseType="lpstr">
      <vt:lpstr>Pedido</vt:lpstr>
      <vt:lpstr>Planilha2</vt:lpstr>
      <vt:lpstr>Planilha1</vt:lpstr>
      <vt:lpstr>Cálculo</vt:lpstr>
      <vt:lpstr>BU</vt:lpstr>
      <vt:lpstr>Cálculo Substituição Tributária</vt:lpstr>
      <vt:lpstr>Sup</vt:lpstr>
      <vt:lpstr>avista</vt:lpstr>
      <vt:lpstr>b_100k</vt:lpstr>
      <vt:lpstr>b_10k</vt:lpstr>
      <vt:lpstr>b_1k</vt:lpstr>
      <vt:lpstr>b_25k</vt:lpstr>
      <vt:lpstr>b_3k</vt:lpstr>
      <vt:lpstr>b_5001</vt:lpstr>
      <vt:lpstr>b_50k</vt:lpstr>
      <vt:lpstr>b_75k</vt:lpstr>
      <vt:lpstr>cc_10k</vt:lpstr>
      <vt:lpstr>ccr</vt:lpstr>
      <vt:lpstr>condpgto</vt:lpstr>
      <vt:lpstr>formadepgto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Banach</dc:creator>
  <cp:lastModifiedBy>Marketing Profissional</cp:lastModifiedBy>
  <cp:lastPrinted>2023-06-23T17:33:03Z</cp:lastPrinted>
  <dcterms:created xsi:type="dcterms:W3CDTF">2017-11-21T21:29:58Z</dcterms:created>
  <dcterms:modified xsi:type="dcterms:W3CDTF">2026-06-30T20:17:00Z</dcterms:modified>
</cp:coreProperties>
</file>