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lo Dream 2020\Project\DCF\TESLA\"/>
    </mc:Choice>
  </mc:AlternateContent>
  <xr:revisionPtr revIDLastSave="0" documentId="13_ncr:1_{9FBBCC38-F369-4914-9246-790B3A4F05C2}" xr6:coauthVersionLast="47" xr6:coauthVersionMax="47" xr10:uidLastSave="{00000000-0000-0000-0000-000000000000}"/>
  <bookViews>
    <workbookView xWindow="-110" yWindow="-110" windowWidth="19420" windowHeight="10420" xr2:uid="{002E55EC-3551-44EB-8853-9ECC378E9B78}"/>
  </bookViews>
  <sheets>
    <sheet name="Sheet1" sheetId="1" r:id="rId1"/>
  </sheets>
  <definedNames>
    <definedName name="case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3" i="1" l="1"/>
  <c r="F173" i="1"/>
  <c r="AA167" i="1"/>
  <c r="AA169" i="1" s="1"/>
  <c r="AA171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W50" i="1"/>
  <c r="N51" i="1"/>
  <c r="V50" i="1"/>
  <c r="U50" i="1"/>
  <c r="S50" i="1"/>
  <c r="R50" i="1"/>
  <c r="P50" i="1"/>
  <c r="N50" i="1"/>
  <c r="W56" i="1"/>
  <c r="V56" i="1"/>
  <c r="R56" i="1"/>
  <c r="Q56" i="1"/>
  <c r="O56" i="1"/>
  <c r="N56" i="1"/>
  <c r="W24" i="1"/>
  <c r="V24" i="1"/>
  <c r="U24" i="1"/>
  <c r="T24" i="1"/>
  <c r="S24" i="1"/>
  <c r="R24" i="1"/>
  <c r="Q24" i="1"/>
  <c r="P24" i="1"/>
  <c r="O24" i="1"/>
  <c r="N24" i="1"/>
  <c r="W26" i="1"/>
  <c r="V26" i="1"/>
  <c r="U26" i="1"/>
  <c r="T26" i="1"/>
  <c r="S26" i="1"/>
  <c r="R26" i="1"/>
  <c r="Q26" i="1"/>
  <c r="P26" i="1"/>
  <c r="O26" i="1"/>
  <c r="N26" i="1"/>
  <c r="N20" i="1"/>
  <c r="N18" i="1"/>
  <c r="F165" i="1"/>
  <c r="F164" i="1"/>
  <c r="G164" i="1"/>
  <c r="G28" i="1"/>
  <c r="G44" i="1" s="1"/>
  <c r="G113" i="1" s="1"/>
  <c r="N113" i="1" s="1"/>
  <c r="T113" i="1" s="1"/>
  <c r="U113" i="1" s="1"/>
  <c r="V113" i="1" s="1"/>
  <c r="W113" i="1" s="1"/>
  <c r="W155" i="1"/>
  <c r="V155" i="1"/>
  <c r="U155" i="1"/>
  <c r="T155" i="1"/>
  <c r="S155" i="1"/>
  <c r="R155" i="1"/>
  <c r="Q155" i="1"/>
  <c r="P155" i="1"/>
  <c r="O155" i="1"/>
  <c r="N155" i="1"/>
  <c r="G154" i="1"/>
  <c r="G165" i="1" s="1"/>
  <c r="F154" i="1"/>
  <c r="E154" i="1"/>
  <c r="W142" i="1"/>
  <c r="V142" i="1"/>
  <c r="U142" i="1"/>
  <c r="T142" i="1"/>
  <c r="S142" i="1"/>
  <c r="R142" i="1"/>
  <c r="Q142" i="1"/>
  <c r="P142" i="1"/>
  <c r="O142" i="1"/>
  <c r="N142" i="1"/>
  <c r="W119" i="1"/>
  <c r="V119" i="1"/>
  <c r="U119" i="1"/>
  <c r="T119" i="1"/>
  <c r="S119" i="1"/>
  <c r="R119" i="1"/>
  <c r="Q119" i="1"/>
  <c r="P119" i="1"/>
  <c r="O119" i="1"/>
  <c r="N119" i="1"/>
  <c r="W125" i="1"/>
  <c r="V125" i="1"/>
  <c r="U125" i="1"/>
  <c r="T125" i="1"/>
  <c r="S125" i="1"/>
  <c r="R125" i="1"/>
  <c r="Q125" i="1"/>
  <c r="P125" i="1"/>
  <c r="O125" i="1"/>
  <c r="N125" i="1"/>
  <c r="F119" i="1"/>
  <c r="G119" i="1"/>
  <c r="W93" i="1"/>
  <c r="V93" i="1"/>
  <c r="U93" i="1"/>
  <c r="T93" i="1"/>
  <c r="S93" i="1"/>
  <c r="R93" i="1"/>
  <c r="Q93" i="1"/>
  <c r="P93" i="1"/>
  <c r="O93" i="1"/>
  <c r="N93" i="1"/>
  <c r="N92" i="1" s="1"/>
  <c r="G100" i="1"/>
  <c r="F100" i="1"/>
  <c r="E100" i="1"/>
  <c r="W86" i="1"/>
  <c r="V86" i="1"/>
  <c r="U86" i="1"/>
  <c r="T86" i="1"/>
  <c r="S86" i="1"/>
  <c r="R86" i="1"/>
  <c r="Q86" i="1"/>
  <c r="P86" i="1"/>
  <c r="O86" i="1"/>
  <c r="N86" i="1"/>
  <c r="N85" i="1" s="1"/>
  <c r="G86" i="1"/>
  <c r="F86" i="1"/>
  <c r="W72" i="1"/>
  <c r="V72" i="1"/>
  <c r="U72" i="1"/>
  <c r="T72" i="1"/>
  <c r="S72" i="1"/>
  <c r="R72" i="1"/>
  <c r="Q72" i="1"/>
  <c r="P72" i="1"/>
  <c r="O72" i="1"/>
  <c r="N72" i="1"/>
  <c r="G72" i="1"/>
  <c r="F72" i="1"/>
  <c r="E72" i="1"/>
  <c r="W65" i="1"/>
  <c r="V65" i="1"/>
  <c r="U65" i="1"/>
  <c r="T65" i="1"/>
  <c r="S65" i="1"/>
  <c r="R65" i="1"/>
  <c r="Q65" i="1"/>
  <c r="P65" i="1"/>
  <c r="O65" i="1"/>
  <c r="N65" i="1"/>
  <c r="G65" i="1"/>
  <c r="F65" i="1"/>
  <c r="E65" i="1"/>
  <c r="G61" i="1"/>
  <c r="G77" i="1" s="1"/>
  <c r="F61" i="1"/>
  <c r="E61" i="1"/>
  <c r="U56" i="1"/>
  <c r="T56" i="1"/>
  <c r="S56" i="1"/>
  <c r="P56" i="1"/>
  <c r="G56" i="1"/>
  <c r="F56" i="1"/>
  <c r="E56" i="1"/>
  <c r="T50" i="1"/>
  <c r="Q50" i="1"/>
  <c r="O50" i="1"/>
  <c r="G50" i="1"/>
  <c r="F50" i="1"/>
  <c r="E50" i="1"/>
  <c r="W39" i="1"/>
  <c r="V39" i="1"/>
  <c r="U39" i="1"/>
  <c r="T39" i="1"/>
  <c r="S39" i="1"/>
  <c r="R39" i="1"/>
  <c r="Q39" i="1"/>
  <c r="P39" i="1"/>
  <c r="O39" i="1"/>
  <c r="N39" i="1"/>
  <c r="N38" i="1" s="1"/>
  <c r="G39" i="1"/>
  <c r="F39" i="1"/>
  <c r="E39" i="1"/>
  <c r="W32" i="1"/>
  <c r="V32" i="1"/>
  <c r="U32" i="1"/>
  <c r="T32" i="1"/>
  <c r="S32" i="1"/>
  <c r="R32" i="1"/>
  <c r="Q32" i="1"/>
  <c r="P32" i="1"/>
  <c r="O32" i="1"/>
  <c r="N32" i="1"/>
  <c r="N31" i="1" s="1"/>
  <c r="G32" i="1"/>
  <c r="F32" i="1"/>
  <c r="F28" i="1"/>
  <c r="F44" i="1" s="1"/>
  <c r="F113" i="1" s="1"/>
  <c r="E28" i="1"/>
  <c r="E44" i="1" s="1"/>
  <c r="E113" i="1" s="1"/>
  <c r="G23" i="1"/>
  <c r="F23" i="1"/>
  <c r="W23" i="1"/>
  <c r="V23" i="1"/>
  <c r="U23" i="1"/>
  <c r="T23" i="1"/>
  <c r="S23" i="1"/>
  <c r="R23" i="1"/>
  <c r="Q23" i="1"/>
  <c r="P23" i="1"/>
  <c r="O23" i="1"/>
  <c r="N23" i="1"/>
  <c r="N22" i="1" s="1"/>
  <c r="W17" i="1"/>
  <c r="V17" i="1"/>
  <c r="U17" i="1"/>
  <c r="T17" i="1"/>
  <c r="S17" i="1"/>
  <c r="R17" i="1"/>
  <c r="Q17" i="1"/>
  <c r="P17" i="1"/>
  <c r="O17" i="1"/>
  <c r="N17" i="1"/>
  <c r="N16" i="1" s="1"/>
  <c r="G17" i="1"/>
  <c r="F17" i="1"/>
  <c r="E141" i="1"/>
  <c r="F141" i="1"/>
  <c r="G141" i="1"/>
  <c r="E3" i="1"/>
  <c r="F3" i="1" s="1"/>
  <c r="G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G166" i="1" l="1"/>
  <c r="F166" i="1"/>
  <c r="AA172" i="1"/>
  <c r="AA174" i="1" s="1"/>
  <c r="AA175" i="1" s="1"/>
  <c r="AA177" i="1" s="1"/>
  <c r="W171" i="1" s="1"/>
  <c r="O92" i="1"/>
  <c r="P92" i="1" s="1"/>
  <c r="Q92" i="1" s="1"/>
  <c r="R92" i="1" s="1"/>
  <c r="S92" i="1" s="1"/>
  <c r="T92" i="1" s="1"/>
  <c r="U92" i="1" s="1"/>
  <c r="V92" i="1" s="1"/>
  <c r="W92" i="1" s="1"/>
  <c r="N28" i="1"/>
  <c r="N44" i="1" s="1"/>
  <c r="F101" i="1"/>
  <c r="G101" i="1"/>
  <c r="E101" i="1"/>
  <c r="E155" i="1"/>
  <c r="F155" i="1"/>
  <c r="G155" i="1"/>
  <c r="E142" i="1"/>
  <c r="F142" i="1"/>
  <c r="G142" i="1"/>
  <c r="E125" i="1"/>
  <c r="F125" i="1"/>
  <c r="G125" i="1"/>
  <c r="E93" i="1"/>
  <c r="F93" i="1"/>
  <c r="G93" i="1"/>
  <c r="G78" i="1"/>
  <c r="O85" i="1"/>
  <c r="N64" i="1"/>
  <c r="N71" i="1"/>
  <c r="F62" i="1"/>
  <c r="E62" i="1"/>
  <c r="G62" i="1"/>
  <c r="E77" i="1"/>
  <c r="F77" i="1"/>
  <c r="N55" i="1"/>
  <c r="N49" i="1"/>
  <c r="F45" i="1"/>
  <c r="G45" i="1"/>
  <c r="O38" i="1"/>
  <c r="P38" i="1" s="1"/>
  <c r="Q38" i="1" s="1"/>
  <c r="R38" i="1" s="1"/>
  <c r="S38" i="1" s="1"/>
  <c r="T38" i="1" s="1"/>
  <c r="U38" i="1" s="1"/>
  <c r="O22" i="1"/>
  <c r="O31" i="1"/>
  <c r="P31" i="1" s="1"/>
  <c r="O16" i="1"/>
  <c r="N100" i="1" l="1"/>
  <c r="N61" i="1"/>
  <c r="N77" i="1" s="1"/>
  <c r="O49" i="1"/>
  <c r="O28" i="1"/>
  <c r="O44" i="1" s="1"/>
  <c r="F78" i="1"/>
  <c r="F79" i="1"/>
  <c r="G79" i="1"/>
  <c r="E81" i="1"/>
  <c r="E103" i="1" s="1"/>
  <c r="E78" i="1"/>
  <c r="O71" i="1"/>
  <c r="P85" i="1"/>
  <c r="T71" i="1"/>
  <c r="S71" i="1"/>
  <c r="V38" i="1"/>
  <c r="U71" i="1"/>
  <c r="Q71" i="1"/>
  <c r="R71" i="1"/>
  <c r="P71" i="1"/>
  <c r="O64" i="1"/>
  <c r="Q31" i="1"/>
  <c r="P64" i="1"/>
  <c r="P22" i="1"/>
  <c r="O55" i="1"/>
  <c r="F81" i="1"/>
  <c r="F103" i="1" s="1"/>
  <c r="P16" i="1"/>
  <c r="P28" i="1" l="1"/>
  <c r="P44" i="1" s="1"/>
  <c r="P100" i="1" s="1"/>
  <c r="O61" i="1"/>
  <c r="O77" i="1" s="1"/>
  <c r="O81" i="1" s="1"/>
  <c r="F104" i="1"/>
  <c r="F110" i="1"/>
  <c r="F115" i="1" s="1"/>
  <c r="N79" i="1"/>
  <c r="N81" i="1"/>
  <c r="E104" i="1"/>
  <c r="E110" i="1"/>
  <c r="E115" i="1" s="1"/>
  <c r="O100" i="1"/>
  <c r="O101" i="1" s="1"/>
  <c r="N101" i="1"/>
  <c r="O124" i="1"/>
  <c r="O118" i="1"/>
  <c r="N118" i="1"/>
  <c r="N124" i="1"/>
  <c r="O141" i="1"/>
  <c r="O154" i="1"/>
  <c r="O165" i="1" s="1"/>
  <c r="N141" i="1"/>
  <c r="N166" i="1" s="1"/>
  <c r="N154" i="1"/>
  <c r="N165" i="1" s="1"/>
  <c r="N45" i="1"/>
  <c r="N78" i="1"/>
  <c r="F130" i="1"/>
  <c r="F163" i="1" s="1"/>
  <c r="F169" i="1" s="1"/>
  <c r="F82" i="1"/>
  <c r="E130" i="1"/>
  <c r="E131" i="1" s="1"/>
  <c r="E82" i="1"/>
  <c r="Q85" i="1"/>
  <c r="W38" i="1"/>
  <c r="V71" i="1"/>
  <c r="N62" i="1"/>
  <c r="R31" i="1"/>
  <c r="Q64" i="1"/>
  <c r="O45" i="1"/>
  <c r="P49" i="1"/>
  <c r="Q22" i="1"/>
  <c r="P55" i="1"/>
  <c r="G81" i="1"/>
  <c r="G103" i="1" s="1"/>
  <c r="Q16" i="1"/>
  <c r="O62" i="1" l="1"/>
  <c r="P61" i="1"/>
  <c r="O166" i="1"/>
  <c r="Q28" i="1"/>
  <c r="Q44" i="1" s="1"/>
  <c r="G104" i="1"/>
  <c r="G110" i="1"/>
  <c r="G115" i="1" s="1"/>
  <c r="P101" i="1"/>
  <c r="F131" i="1"/>
  <c r="F132" i="1"/>
  <c r="O78" i="1"/>
  <c r="O79" i="1"/>
  <c r="P124" i="1"/>
  <c r="P118" i="1"/>
  <c r="P141" i="1"/>
  <c r="P166" i="1" s="1"/>
  <c r="P154" i="1"/>
  <c r="P165" i="1" s="1"/>
  <c r="P45" i="1"/>
  <c r="G130" i="1"/>
  <c r="G163" i="1" s="1"/>
  <c r="G169" i="1" s="1"/>
  <c r="G82" i="1"/>
  <c r="R85" i="1"/>
  <c r="W71" i="1"/>
  <c r="S31" i="1"/>
  <c r="R64" i="1"/>
  <c r="Q49" i="1"/>
  <c r="R22" i="1"/>
  <c r="Q55" i="1"/>
  <c r="N103" i="1"/>
  <c r="R16" i="1"/>
  <c r="R28" i="1" l="1"/>
  <c r="R44" i="1" s="1"/>
  <c r="Q100" i="1"/>
  <c r="Q101" i="1" s="1"/>
  <c r="Q61" i="1"/>
  <c r="N104" i="1"/>
  <c r="N110" i="1"/>
  <c r="G131" i="1"/>
  <c r="G132" i="1"/>
  <c r="Q124" i="1"/>
  <c r="Q118" i="1"/>
  <c r="Q141" i="1"/>
  <c r="Q166" i="1" s="1"/>
  <c r="Q154" i="1"/>
  <c r="Q165" i="1" s="1"/>
  <c r="Q45" i="1"/>
  <c r="N82" i="1"/>
  <c r="N130" i="1"/>
  <c r="N163" i="1" s="1"/>
  <c r="S85" i="1"/>
  <c r="P77" i="1"/>
  <c r="P81" i="1" s="1"/>
  <c r="P62" i="1"/>
  <c r="T31" i="1"/>
  <c r="S64" i="1"/>
  <c r="R49" i="1"/>
  <c r="S22" i="1"/>
  <c r="R55" i="1"/>
  <c r="O103" i="1"/>
  <c r="S16" i="1"/>
  <c r="N112" i="1" l="1"/>
  <c r="N164" i="1" s="1"/>
  <c r="N169" i="1" s="1"/>
  <c r="N173" i="1" s="1"/>
  <c r="R100" i="1"/>
  <c r="R101" i="1" s="1"/>
  <c r="S28" i="1"/>
  <c r="S44" i="1" s="1"/>
  <c r="S100" i="1" s="1"/>
  <c r="R61" i="1"/>
  <c r="O104" i="1"/>
  <c r="O110" i="1"/>
  <c r="P78" i="1"/>
  <c r="P79" i="1"/>
  <c r="N131" i="1"/>
  <c r="N132" i="1"/>
  <c r="R118" i="1"/>
  <c r="R124" i="1"/>
  <c r="R141" i="1"/>
  <c r="R166" i="1" s="1"/>
  <c r="R154" i="1"/>
  <c r="R165" i="1" s="1"/>
  <c r="O82" i="1"/>
  <c r="O130" i="1"/>
  <c r="O163" i="1" s="1"/>
  <c r="T85" i="1"/>
  <c r="R45" i="1"/>
  <c r="Q62" i="1"/>
  <c r="Q77" i="1"/>
  <c r="U31" i="1"/>
  <c r="T64" i="1"/>
  <c r="S49" i="1"/>
  <c r="T22" i="1"/>
  <c r="S55" i="1"/>
  <c r="P103" i="1"/>
  <c r="T16" i="1"/>
  <c r="N115" i="1" l="1"/>
  <c r="O112" i="1"/>
  <c r="O164" i="1" s="1"/>
  <c r="O169" i="1" s="1"/>
  <c r="O173" i="1" s="1"/>
  <c r="S61" i="1"/>
  <c r="T28" i="1"/>
  <c r="T44" i="1" s="1"/>
  <c r="Q79" i="1"/>
  <c r="Q81" i="1"/>
  <c r="Q103" i="1" s="1"/>
  <c r="P104" i="1"/>
  <c r="P110" i="1"/>
  <c r="S101" i="1"/>
  <c r="O131" i="1"/>
  <c r="O132" i="1"/>
  <c r="S118" i="1"/>
  <c r="S124" i="1"/>
  <c r="S141" i="1"/>
  <c r="S166" i="1" s="1"/>
  <c r="S154" i="1"/>
  <c r="S165" i="1" s="1"/>
  <c r="P82" i="1"/>
  <c r="P130" i="1"/>
  <c r="P163" i="1" s="1"/>
  <c r="Q78" i="1"/>
  <c r="U85" i="1"/>
  <c r="S45" i="1"/>
  <c r="R62" i="1"/>
  <c r="R77" i="1"/>
  <c r="V31" i="1"/>
  <c r="U64" i="1"/>
  <c r="U22" i="1"/>
  <c r="T55" i="1"/>
  <c r="T49" i="1"/>
  <c r="U16" i="1"/>
  <c r="P112" i="1" l="1"/>
  <c r="P164" i="1" s="1"/>
  <c r="P169" i="1" s="1"/>
  <c r="P173" i="1" s="1"/>
  <c r="O115" i="1"/>
  <c r="T100" i="1"/>
  <c r="T101" i="1" s="1"/>
  <c r="U28" i="1"/>
  <c r="U44" i="1" s="1"/>
  <c r="T61" i="1"/>
  <c r="R79" i="1"/>
  <c r="R81" i="1"/>
  <c r="R103" i="1" s="1"/>
  <c r="Q104" i="1"/>
  <c r="Q110" i="1"/>
  <c r="P131" i="1"/>
  <c r="P132" i="1"/>
  <c r="T118" i="1"/>
  <c r="T124" i="1"/>
  <c r="T141" i="1"/>
  <c r="T166" i="1" s="1"/>
  <c r="T154" i="1"/>
  <c r="T165" i="1" s="1"/>
  <c r="Q82" i="1"/>
  <c r="Q130" i="1"/>
  <c r="Q163" i="1" s="1"/>
  <c r="R78" i="1"/>
  <c r="V85" i="1"/>
  <c r="T45" i="1"/>
  <c r="S62" i="1"/>
  <c r="S77" i="1"/>
  <c r="W31" i="1"/>
  <c r="V64" i="1"/>
  <c r="U49" i="1"/>
  <c r="V22" i="1"/>
  <c r="U55" i="1"/>
  <c r="V16" i="1"/>
  <c r="Q112" i="1" l="1"/>
  <c r="Q164" i="1" s="1"/>
  <c r="Q169" i="1" s="1"/>
  <c r="Q173" i="1" s="1"/>
  <c r="P115" i="1"/>
  <c r="V28" i="1"/>
  <c r="V44" i="1" s="1"/>
  <c r="V100" i="1" s="1"/>
  <c r="U100" i="1"/>
  <c r="U101" i="1" s="1"/>
  <c r="S79" i="1"/>
  <c r="S81" i="1"/>
  <c r="S103" i="1" s="1"/>
  <c r="U61" i="1"/>
  <c r="R110" i="1"/>
  <c r="R104" i="1"/>
  <c r="Q131" i="1"/>
  <c r="Q132" i="1"/>
  <c r="U118" i="1"/>
  <c r="U124" i="1"/>
  <c r="U141" i="1"/>
  <c r="U166" i="1" s="1"/>
  <c r="U154" i="1"/>
  <c r="U165" i="1" s="1"/>
  <c r="R82" i="1"/>
  <c r="R130" i="1"/>
  <c r="R163" i="1" s="1"/>
  <c r="S78" i="1"/>
  <c r="W85" i="1"/>
  <c r="U45" i="1"/>
  <c r="T62" i="1"/>
  <c r="T77" i="1"/>
  <c r="W64" i="1"/>
  <c r="V49" i="1"/>
  <c r="W22" i="1"/>
  <c r="V55" i="1"/>
  <c r="W16" i="1"/>
  <c r="R112" i="1" l="1"/>
  <c r="R164" i="1" s="1"/>
  <c r="R169" i="1" s="1"/>
  <c r="R173" i="1" s="1"/>
  <c r="Q115" i="1"/>
  <c r="W28" i="1"/>
  <c r="W44" i="1" s="1"/>
  <c r="W100" i="1" s="1"/>
  <c r="T79" i="1"/>
  <c r="T81" i="1"/>
  <c r="T103" i="1" s="1"/>
  <c r="V61" i="1"/>
  <c r="S110" i="1"/>
  <c r="S104" i="1"/>
  <c r="R131" i="1"/>
  <c r="R132" i="1"/>
  <c r="V118" i="1"/>
  <c r="V124" i="1"/>
  <c r="V101" i="1"/>
  <c r="V141" i="1"/>
  <c r="V166" i="1" s="1"/>
  <c r="V154" i="1"/>
  <c r="V165" i="1" s="1"/>
  <c r="S82" i="1"/>
  <c r="S130" i="1"/>
  <c r="S163" i="1" s="1"/>
  <c r="T78" i="1"/>
  <c r="V45" i="1"/>
  <c r="U62" i="1"/>
  <c r="U77" i="1"/>
  <c r="W49" i="1"/>
  <c r="W55" i="1"/>
  <c r="R115" i="1" l="1"/>
  <c r="S112" i="1"/>
  <c r="S164" i="1" s="1"/>
  <c r="S169" i="1" s="1"/>
  <c r="S173" i="1" s="1"/>
  <c r="W61" i="1"/>
  <c r="U79" i="1"/>
  <c r="U81" i="1"/>
  <c r="U103" i="1" s="1"/>
  <c r="T104" i="1"/>
  <c r="T110" i="1"/>
  <c r="S131" i="1"/>
  <c r="S132" i="1"/>
  <c r="W124" i="1"/>
  <c r="W118" i="1"/>
  <c r="W101" i="1"/>
  <c r="W141" i="1"/>
  <c r="W166" i="1" s="1"/>
  <c r="W154" i="1"/>
  <c r="W165" i="1" s="1"/>
  <c r="T82" i="1"/>
  <c r="T130" i="1"/>
  <c r="T163" i="1" s="1"/>
  <c r="U78" i="1"/>
  <c r="W45" i="1"/>
  <c r="V62" i="1"/>
  <c r="V77" i="1"/>
  <c r="S115" i="1" l="1"/>
  <c r="T112" i="1"/>
  <c r="T164" i="1" s="1"/>
  <c r="T169" i="1" s="1"/>
  <c r="T173" i="1" s="1"/>
  <c r="V79" i="1"/>
  <c r="V81" i="1"/>
  <c r="V103" i="1" s="1"/>
  <c r="U104" i="1"/>
  <c r="U110" i="1"/>
  <c r="T131" i="1"/>
  <c r="T132" i="1"/>
  <c r="U82" i="1"/>
  <c r="U130" i="1"/>
  <c r="U163" i="1" s="1"/>
  <c r="V78" i="1"/>
  <c r="W77" i="1"/>
  <c r="W62" i="1"/>
  <c r="T115" i="1" l="1"/>
  <c r="U112" i="1"/>
  <c r="U164" i="1" s="1"/>
  <c r="U169" i="1" s="1"/>
  <c r="U173" i="1" s="1"/>
  <c r="W79" i="1"/>
  <c r="W81" i="1"/>
  <c r="W103" i="1" s="1"/>
  <c r="V110" i="1"/>
  <c r="V104" i="1"/>
  <c r="U131" i="1"/>
  <c r="U132" i="1"/>
  <c r="V82" i="1"/>
  <c r="V130" i="1"/>
  <c r="V163" i="1" s="1"/>
  <c r="W78" i="1"/>
  <c r="U115" i="1" l="1"/>
  <c r="V112" i="1"/>
  <c r="V164" i="1" s="1"/>
  <c r="V169" i="1" s="1"/>
  <c r="V173" i="1" s="1"/>
  <c r="W104" i="1"/>
  <c r="W110" i="1"/>
  <c r="V131" i="1"/>
  <c r="V132" i="1"/>
  <c r="W82" i="1"/>
  <c r="W130" i="1"/>
  <c r="W163" i="1" s="1"/>
  <c r="W112" i="1" l="1"/>
  <c r="W164" i="1" s="1"/>
  <c r="W169" i="1" s="1"/>
  <c r="V115" i="1"/>
  <c r="W131" i="1"/>
  <c r="W132" i="1"/>
  <c r="W170" i="1" l="1"/>
  <c r="W173" i="1" s="1"/>
  <c r="B178" i="1" s="1"/>
  <c r="B181" i="1" s="1"/>
  <c r="B183" i="1" s="1"/>
  <c r="W115" i="1"/>
</calcChain>
</file>

<file path=xl/sharedStrings.xml><?xml version="1.0" encoding="utf-8"?>
<sst xmlns="http://schemas.openxmlformats.org/spreadsheetml/2006/main" count="321" uniqueCount="92">
  <si>
    <t>Discounted Cash Flow Model</t>
  </si>
  <si>
    <t xml:space="preserve"> </t>
  </si>
  <si>
    <t>Automotive sales</t>
  </si>
  <si>
    <t>Automotive leasing</t>
  </si>
  <si>
    <t>Total automotive revenues</t>
  </si>
  <si>
    <t>Energy generation and storage</t>
  </si>
  <si>
    <t>Services and other</t>
  </si>
  <si>
    <t>Total revenues</t>
  </si>
  <si>
    <t>Total automotive COGS</t>
  </si>
  <si>
    <t>-------</t>
  </si>
  <si>
    <t>Gross profit</t>
  </si>
  <si>
    <t>Research and development</t>
  </si>
  <si>
    <t>Selling, general and administrative</t>
  </si>
  <si>
    <t>Restructuring and other</t>
  </si>
  <si>
    <t>Total operating expenses</t>
  </si>
  <si>
    <t>Interest income</t>
  </si>
  <si>
    <t>Interest expense</t>
  </si>
  <si>
    <t>Other (expense) income, net</t>
  </si>
  <si>
    <t>Income (loss) before income taxes</t>
  </si>
  <si>
    <t>Provision for income taxes</t>
  </si>
  <si>
    <t>Net income (loss)</t>
  </si>
  <si>
    <t>Depreciation &amp; amortization</t>
  </si>
  <si>
    <t>Adj. EBITDA</t>
  </si>
  <si>
    <t xml:space="preserve">Stock-based compensation </t>
  </si>
  <si>
    <t>Current Assets</t>
  </si>
  <si>
    <t>(-)Current Liabilities</t>
  </si>
  <si>
    <t>(+)ST Debt</t>
  </si>
  <si>
    <t>Net Working Capital</t>
  </si>
  <si>
    <t>(-)Unrestricted Cash</t>
  </si>
  <si>
    <t>$TSLA</t>
  </si>
  <si>
    <t>Scenario</t>
  </si>
  <si>
    <t>Bull Case:</t>
  </si>
  <si>
    <t>Base Case:</t>
  </si>
  <si>
    <t>Bear Case:</t>
  </si>
  <si>
    <t>% of auto sales</t>
  </si>
  <si>
    <t>Revenue</t>
  </si>
  <si>
    <t>Expenses</t>
  </si>
  <si>
    <t>% of revenue</t>
  </si>
  <si>
    <t>% of growth</t>
  </si>
  <si>
    <t>Automotive sales COGS</t>
  </si>
  <si>
    <t>Effective tax rate</t>
  </si>
  <si>
    <t>% of capex</t>
  </si>
  <si>
    <t>Balance Sheet</t>
  </si>
  <si>
    <t>Net PP&amp;E</t>
  </si>
  <si>
    <t>Total cost of revenues (COGS)</t>
  </si>
  <si>
    <t>Capital Expenditures</t>
  </si>
  <si>
    <t xml:space="preserve">PP&amp;E </t>
  </si>
  <si>
    <t>Solar Energy PP&amp;E</t>
  </si>
  <si>
    <t>Historical</t>
  </si>
  <si>
    <t>Projected</t>
  </si>
  <si>
    <t>Model S/X production</t>
  </si>
  <si>
    <t>Model 3/Y production</t>
  </si>
  <si>
    <t>Model S/X deliveries</t>
  </si>
  <si>
    <t>Model 3/Y deliveries</t>
  </si>
  <si>
    <t>of which subject to operating lease accounting</t>
  </si>
  <si>
    <t>Q1</t>
  </si>
  <si>
    <t>Q2</t>
  </si>
  <si>
    <t>Q3</t>
  </si>
  <si>
    <t>Q4</t>
  </si>
  <si>
    <t>% growth</t>
  </si>
  <si>
    <t>Adjusted EBITDA</t>
  </si>
  <si>
    <t>- Taxes</t>
  </si>
  <si>
    <t>- Capex</t>
  </si>
  <si>
    <t>- Changes in NWC</t>
  </si>
  <si>
    <t>- Other</t>
  </si>
  <si>
    <t>Total operating profit (loss)</t>
  </si>
  <si>
    <t>Total Capital Expenditures</t>
  </si>
  <si>
    <t>Unlevered FCF (FCFF)</t>
  </si>
  <si>
    <t>A</t>
  </si>
  <si>
    <t>Perpetuity Growth Rate</t>
  </si>
  <si>
    <t>Discount Rate (WACC)</t>
  </si>
  <si>
    <t>US Citizens:</t>
  </si>
  <si>
    <t>AD Trips / Year:</t>
  </si>
  <si>
    <t>% pop. using tesla AD trip:</t>
  </si>
  <si>
    <t>US C. using Tesla AD trip:</t>
  </si>
  <si>
    <t>Revenue / Trip:</t>
  </si>
  <si>
    <t>Revenue in 2040:</t>
  </si>
  <si>
    <t>EBITDA Margin:</t>
  </si>
  <si>
    <t>AD Business EBITDA in 2040:</t>
  </si>
  <si>
    <t>% chance successful business:</t>
  </si>
  <si>
    <t>Autonomous Driving</t>
  </si>
  <si>
    <t>EV of AD Business</t>
  </si>
  <si>
    <t>Value of AD business in 2040:</t>
  </si>
  <si>
    <t>Terminal Value (Car Sales &amp; Others)</t>
  </si>
  <si>
    <t>Value of Self Driving by 2040</t>
  </si>
  <si>
    <t>FCF to DCF</t>
  </si>
  <si>
    <t>Enterprise Value</t>
  </si>
  <si>
    <t>(-) Debt</t>
  </si>
  <si>
    <t>(+) Cash</t>
  </si>
  <si>
    <t>Equity Value</t>
  </si>
  <si>
    <t>Shares outstanding</t>
  </si>
  <si>
    <t>Fair Value of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</si>
</sst>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[$$-409]* #,##0.00_);_([$$-409]* \(#,##0.00\);_([$$-409]* &quot;-&quot;??_);_(@_)"/>
    <numFmt numFmtId="167" formatCode="_([$$-409]* #,##0_);_([$$-409]* \(#,##0\);_([$$-409]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3" fontId="3" fillId="0" borderId="0" xfId="0" applyNumberFormat="1" applyFont="1"/>
    <xf numFmtId="0" fontId="0" fillId="0" borderId="0" xfId="0" applyBorder="1"/>
    <xf numFmtId="0" fontId="0" fillId="0" borderId="0" xfId="0" applyFont="1" applyAlignment="1">
      <alignment horizontal="left"/>
    </xf>
    <xf numFmtId="37" fontId="4" fillId="0" borderId="0" xfId="0" applyNumberFormat="1" applyFont="1"/>
    <xf numFmtId="37" fontId="3" fillId="0" borderId="0" xfId="0" applyNumberFormat="1" applyFont="1"/>
    <xf numFmtId="0" fontId="0" fillId="0" borderId="0" xfId="0" applyFont="1" applyBorder="1" applyAlignment="1">
      <alignment horizontal="left"/>
    </xf>
    <xf numFmtId="37" fontId="3" fillId="0" borderId="0" xfId="0" applyNumberFormat="1" applyFont="1" applyBorder="1"/>
    <xf numFmtId="0" fontId="3" fillId="0" borderId="0" xfId="0" applyFont="1" applyBorder="1" applyAlignment="1">
      <alignment horizontal="left" indent="1"/>
    </xf>
    <xf numFmtId="43" fontId="3" fillId="0" borderId="0" xfId="1" applyFont="1"/>
    <xf numFmtId="164" fontId="4" fillId="0" borderId="0" xfId="1" applyNumberFormat="1" applyFont="1"/>
    <xf numFmtId="164" fontId="3" fillId="0" borderId="0" xfId="1" applyNumberFormat="1" applyFont="1"/>
    <xf numFmtId="0" fontId="5" fillId="0" borderId="0" xfId="0" applyFont="1"/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left" indent="1"/>
    </xf>
    <xf numFmtId="165" fontId="6" fillId="0" borderId="0" xfId="2" applyNumberFormat="1" applyFont="1"/>
    <xf numFmtId="165" fontId="0" fillId="0" borderId="0" xfId="2" applyNumberFormat="1" applyFont="1"/>
    <xf numFmtId="43" fontId="0" fillId="0" borderId="0" xfId="1" applyFont="1"/>
    <xf numFmtId="0" fontId="0" fillId="0" borderId="0" xfId="0" applyAlignment="1">
      <alignment horizontal="right"/>
    </xf>
    <xf numFmtId="164" fontId="0" fillId="0" borderId="0" xfId="0" applyNumberFormat="1"/>
    <xf numFmtId="9" fontId="4" fillId="0" borderId="0" xfId="2" applyFont="1" applyBorder="1"/>
    <xf numFmtId="165" fontId="4" fillId="0" borderId="2" xfId="2" applyNumberFormat="1" applyFont="1" applyBorder="1"/>
    <xf numFmtId="0" fontId="6" fillId="0" borderId="0" xfId="0" applyFont="1" applyAlignment="1">
      <alignment horizontal="left" indent="2"/>
    </xf>
    <xf numFmtId="165" fontId="4" fillId="0" borderId="0" xfId="2" applyNumberFormat="1" applyFont="1" applyBorder="1"/>
    <xf numFmtId="0" fontId="3" fillId="3" borderId="0" xfId="0" applyFont="1" applyFill="1" applyAlignment="1">
      <alignment horizontal="left" indent="1"/>
    </xf>
    <xf numFmtId="0" fontId="3" fillId="3" borderId="0" xfId="0" applyFont="1" applyFill="1"/>
    <xf numFmtId="164" fontId="3" fillId="3" borderId="0" xfId="1" applyNumberFormat="1" applyFont="1" applyFill="1"/>
    <xf numFmtId="0" fontId="0" fillId="3" borderId="0" xfId="0" applyFill="1"/>
    <xf numFmtId="0" fontId="6" fillId="0" borderId="0" xfId="0" applyFont="1" applyBorder="1" applyAlignment="1">
      <alignment horizontal="left" indent="1"/>
    </xf>
    <xf numFmtId="165" fontId="7" fillId="0" borderId="0" xfId="2" applyNumberFormat="1" applyFont="1"/>
    <xf numFmtId="0" fontId="0" fillId="0" borderId="0" xfId="0" applyFill="1"/>
    <xf numFmtId="0" fontId="0" fillId="4" borderId="0" xfId="0" applyFill="1"/>
    <xf numFmtId="0" fontId="6" fillId="3" borderId="0" xfId="0" applyFont="1" applyFill="1" applyAlignment="1">
      <alignment horizontal="left" indent="2"/>
    </xf>
    <xf numFmtId="165" fontId="6" fillId="3" borderId="0" xfId="2" applyNumberFormat="1" applyFont="1" applyFill="1"/>
    <xf numFmtId="164" fontId="3" fillId="0" borderId="0" xfId="0" applyNumberFormat="1" applyFont="1"/>
    <xf numFmtId="0" fontId="3" fillId="0" borderId="1" xfId="0" applyFont="1" applyBorder="1" applyAlignment="1">
      <alignment horizontal="centerContinuous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64" fontId="0" fillId="0" borderId="0" xfId="0" applyNumberFormat="1" applyFont="1"/>
    <xf numFmtId="0" fontId="0" fillId="0" borderId="0" xfId="0" quotePrefix="1" applyAlignment="1">
      <alignment horizontal="left" indent="1"/>
    </xf>
    <xf numFmtId="165" fontId="8" fillId="0" borderId="2" xfId="2" applyNumberFormat="1" applyFont="1" applyBorder="1"/>
    <xf numFmtId="165" fontId="8" fillId="0" borderId="2" xfId="0" applyNumberFormat="1" applyFont="1" applyBorder="1"/>
    <xf numFmtId="43" fontId="0" fillId="0" borderId="0" xfId="0" applyNumberFormat="1" applyBorder="1"/>
    <xf numFmtId="164" fontId="0" fillId="0" borderId="0" xfId="0" applyNumberFormat="1" applyBorder="1"/>
    <xf numFmtId="0" fontId="3" fillId="0" borderId="0" xfId="0" applyFont="1" applyAlignment="1">
      <alignment horizontal="left"/>
    </xf>
    <xf numFmtId="164" fontId="0" fillId="0" borderId="0" xfId="1" applyNumberFormat="1" applyFont="1"/>
    <xf numFmtId="0" fontId="0" fillId="0" borderId="5" xfId="0" applyFont="1" applyBorder="1" applyAlignment="1">
      <alignment horizontal="right"/>
    </xf>
    <xf numFmtId="164" fontId="4" fillId="0" borderId="6" xfId="1" applyNumberFormat="1" applyFont="1" applyBorder="1"/>
    <xf numFmtId="0" fontId="0" fillId="0" borderId="5" xfId="0" applyBorder="1" applyAlignment="1">
      <alignment horizontal="right"/>
    </xf>
    <xf numFmtId="9" fontId="4" fillId="0" borderId="6" xfId="2" applyFont="1" applyBorder="1"/>
    <xf numFmtId="164" fontId="0" fillId="0" borderId="6" xfId="0" applyNumberFormat="1" applyFont="1" applyBorder="1"/>
    <xf numFmtId="166" fontId="0" fillId="0" borderId="6" xfId="0" applyNumberFormat="1" applyBorder="1"/>
    <xf numFmtId="167" fontId="0" fillId="0" borderId="6" xfId="0" applyNumberFormat="1" applyBorder="1"/>
    <xf numFmtId="0" fontId="3" fillId="0" borderId="5" xfId="0" applyFont="1" applyBorder="1" applyAlignment="1">
      <alignment horizontal="right"/>
    </xf>
    <xf numFmtId="167" fontId="3" fillId="0" borderId="6" xfId="0" applyNumberFormat="1" applyFont="1" applyBorder="1"/>
    <xf numFmtId="0" fontId="3" fillId="0" borderId="7" xfId="0" applyFont="1" applyBorder="1" applyAlignment="1">
      <alignment horizontal="right"/>
    </xf>
    <xf numFmtId="167" fontId="3" fillId="0" borderId="8" xfId="0" applyNumberFormat="1" applyFont="1" applyBorder="1"/>
    <xf numFmtId="0" fontId="0" fillId="0" borderId="10" xfId="0" applyBorder="1" applyAlignment="1">
      <alignment horizontal="centerContinuous"/>
    </xf>
    <xf numFmtId="0" fontId="3" fillId="0" borderId="9" xfId="0" applyFont="1" applyBorder="1" applyAlignment="1">
      <alignment horizontal="centerContinuous"/>
    </xf>
    <xf numFmtId="0" fontId="0" fillId="0" borderId="3" xfId="0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167" fontId="0" fillId="0" borderId="8" xfId="0" applyNumberFormat="1" applyBorder="1"/>
    <xf numFmtId="165" fontId="4" fillId="0" borderId="4" xfId="2" applyNumberFormat="1" applyFont="1" applyBorder="1"/>
    <xf numFmtId="22" fontId="0" fillId="0" borderId="0" xfId="0" applyNumberFormat="1"/>
    <xf numFmtId="6" fontId="3" fillId="0" borderId="0" xfId="0" applyNumberFormat="1" applyFont="1"/>
    <xf numFmtId="38" fontId="0" fillId="0" borderId="0" xfId="1" applyNumberFormat="1" applyFont="1"/>
    <xf numFmtId="0" fontId="3" fillId="5" borderId="0" xfId="0" applyFont="1" applyFill="1"/>
    <xf numFmtId="44" fontId="3" fillId="5" borderId="0" xfId="3" applyFont="1" applyFill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8772-FD3E-480C-8B42-A50FF50FC505}">
  <sheetPr>
    <pageSetUpPr fitToPage="1"/>
  </sheetPr>
  <dimension ref="A1:AA183"/>
  <sheetViews>
    <sheetView showGridLines="0" tabSelected="1" topLeftCell="A7" zoomScale="70" zoomScaleNormal="70" zoomScalePageLayoutView="55" workbookViewId="0">
      <selection activeCell="F23" sqref="F23:G23"/>
    </sheetView>
  </sheetViews>
  <sheetFormatPr defaultRowHeight="14.5" outlineLevelCol="1" x14ac:dyDescent="0.35"/>
  <cols>
    <col min="1" max="1" width="24.26953125" customWidth="1"/>
    <col min="2" max="2" width="11" bestFit="1" customWidth="1"/>
    <col min="3" max="3" width="7.90625" customWidth="1"/>
    <col min="4" max="4" width="6.6328125" hidden="1" customWidth="1"/>
    <col min="5" max="7" width="9.6328125" customWidth="1"/>
    <col min="8" max="12" width="8" hidden="1" customWidth="1" outlineLevel="1"/>
    <col min="13" max="13" width="11.1796875" customWidth="1" collapsed="1"/>
    <col min="14" max="22" width="9.6328125" customWidth="1"/>
    <col min="23" max="23" width="10.54296875" bestFit="1" customWidth="1"/>
    <col min="24" max="24" width="0" hidden="1" customWidth="1"/>
    <col min="26" max="26" width="25.6328125" customWidth="1"/>
    <col min="27" max="27" width="17.1796875" bestFit="1" customWidth="1"/>
  </cols>
  <sheetData>
    <row r="1" spans="1:27" ht="21" x14ac:dyDescent="0.5">
      <c r="A1" s="20" t="s">
        <v>29</v>
      </c>
    </row>
    <row r="2" spans="1:27" x14ac:dyDescent="0.35">
      <c r="A2" t="s">
        <v>30</v>
      </c>
      <c r="B2" s="21" t="s">
        <v>68</v>
      </c>
      <c r="E2" s="43" t="s">
        <v>48</v>
      </c>
      <c r="F2" s="43"/>
      <c r="G2" s="43"/>
      <c r="H2" s="45"/>
      <c r="I2" s="45"/>
      <c r="J2" s="45"/>
      <c r="K2" s="45"/>
      <c r="L2" s="45"/>
      <c r="N2" s="43" t="s">
        <v>49</v>
      </c>
      <c r="O2" s="43"/>
      <c r="P2" s="43"/>
      <c r="Q2" s="43"/>
      <c r="R2" s="43"/>
      <c r="S2" s="43"/>
      <c r="T2" s="43"/>
      <c r="U2" s="43"/>
      <c r="V2" s="43"/>
      <c r="W2" s="43"/>
    </row>
    <row r="3" spans="1:27" x14ac:dyDescent="0.35">
      <c r="A3" s="71">
        <v>44536.684039004627</v>
      </c>
      <c r="D3" s="5">
        <v>2017</v>
      </c>
      <c r="E3" s="5">
        <f>+D3+1</f>
        <v>2018</v>
      </c>
      <c r="F3" s="5">
        <f>+E3+1</f>
        <v>2019</v>
      </c>
      <c r="G3" s="5">
        <f>+F3+1</f>
        <v>2020</v>
      </c>
      <c r="H3" s="44"/>
      <c r="I3" s="44" t="s">
        <v>55</v>
      </c>
      <c r="J3" s="44" t="s">
        <v>56</v>
      </c>
      <c r="K3" s="44" t="s">
        <v>57</v>
      </c>
      <c r="L3" s="44" t="s">
        <v>58</v>
      </c>
      <c r="N3" s="5">
        <f>+G3+1</f>
        <v>2021</v>
      </c>
      <c r="O3" s="5">
        <f>+N3+1</f>
        <v>2022</v>
      </c>
      <c r="P3" s="5">
        <f t="shared" ref="P3:W3" si="0">+O3+1</f>
        <v>2023</v>
      </c>
      <c r="Q3" s="5">
        <f t="shared" si="0"/>
        <v>2024</v>
      </c>
      <c r="R3" s="5">
        <f t="shared" si="0"/>
        <v>2025</v>
      </c>
      <c r="S3" s="5">
        <f t="shared" si="0"/>
        <v>2026</v>
      </c>
      <c r="T3" s="5">
        <f t="shared" si="0"/>
        <v>2027</v>
      </c>
      <c r="U3" s="5">
        <f t="shared" si="0"/>
        <v>2028</v>
      </c>
      <c r="V3" s="5">
        <f t="shared" si="0"/>
        <v>2029</v>
      </c>
      <c r="W3" s="5">
        <f t="shared" si="0"/>
        <v>2030</v>
      </c>
      <c r="AA3" s="5">
        <v>2040</v>
      </c>
    </row>
    <row r="4" spans="1:27" s="1" customFormat="1" x14ac:dyDescent="0.35">
      <c r="A4" s="2" t="s">
        <v>35</v>
      </c>
    </row>
    <row r="6" spans="1:27" x14ac:dyDescent="0.35">
      <c r="A6" t="s">
        <v>50</v>
      </c>
    </row>
    <row r="7" spans="1:27" x14ac:dyDescent="0.35">
      <c r="A7" t="s">
        <v>52</v>
      </c>
    </row>
    <row r="8" spans="1:27" x14ac:dyDescent="0.35">
      <c r="A8" s="22" t="s">
        <v>54</v>
      </c>
    </row>
    <row r="9" spans="1:27" x14ac:dyDescent="0.35">
      <c r="A9" s="22"/>
    </row>
    <row r="10" spans="1:27" x14ac:dyDescent="0.35">
      <c r="A10" t="s">
        <v>51</v>
      </c>
    </row>
    <row r="11" spans="1:27" x14ac:dyDescent="0.35">
      <c r="A11" t="s">
        <v>53</v>
      </c>
    </row>
    <row r="12" spans="1:27" x14ac:dyDescent="0.35">
      <c r="A12" s="22" t="s">
        <v>54</v>
      </c>
    </row>
    <row r="16" spans="1:27" x14ac:dyDescent="0.35">
      <c r="A16" s="8" t="s">
        <v>2</v>
      </c>
      <c r="E16" s="18">
        <v>17632</v>
      </c>
      <c r="F16" s="18">
        <v>19952</v>
      </c>
      <c r="G16" s="18">
        <v>26184</v>
      </c>
      <c r="H16" s="18"/>
      <c r="I16" s="18"/>
      <c r="J16" s="18"/>
      <c r="K16" s="18"/>
      <c r="L16" s="18"/>
      <c r="N16" s="27">
        <f>G16*(1+N17)</f>
        <v>27820.5</v>
      </c>
      <c r="O16" s="27">
        <f>N16*(1+O17)</f>
        <v>41730.75</v>
      </c>
      <c r="P16" s="27">
        <f t="shared" ref="P16:W16" si="1">O16*(1+P17)</f>
        <v>62596.125</v>
      </c>
      <c r="Q16" s="27">
        <f t="shared" si="1"/>
        <v>93894.1875</v>
      </c>
      <c r="R16" s="27">
        <f t="shared" si="1"/>
        <v>140841.28125</v>
      </c>
      <c r="S16" s="27">
        <f t="shared" si="1"/>
        <v>211261.921875</v>
      </c>
      <c r="T16" s="27">
        <f t="shared" si="1"/>
        <v>295766.69062499999</v>
      </c>
      <c r="U16" s="27">
        <f t="shared" si="1"/>
        <v>354920.02875</v>
      </c>
      <c r="V16" s="27">
        <f t="shared" si="1"/>
        <v>390412.031625</v>
      </c>
      <c r="W16" s="27">
        <f t="shared" si="1"/>
        <v>425549.11447125004</v>
      </c>
    </row>
    <row r="17" spans="1:23" x14ac:dyDescent="0.35">
      <c r="A17" s="22" t="s">
        <v>38</v>
      </c>
      <c r="E17" s="25"/>
      <c r="F17" s="23">
        <f t="shared" ref="F17:G17" si="2">IFERROR(F16/E16-1,0)</f>
        <v>0.13157894736842102</v>
      </c>
      <c r="G17" s="23">
        <f t="shared" si="2"/>
        <v>0.31234963913392133</v>
      </c>
      <c r="H17" s="23"/>
      <c r="I17" s="23"/>
      <c r="J17" s="23"/>
      <c r="K17" s="23"/>
      <c r="L17" s="23"/>
      <c r="N17" s="23">
        <f t="shared" ref="N17:W17" si="3">IF(case="A",N18,IF(case="B",N19,N20))</f>
        <v>6.25E-2</v>
      </c>
      <c r="O17" s="23">
        <f t="shared" si="3"/>
        <v>0.5</v>
      </c>
      <c r="P17" s="23">
        <f t="shared" si="3"/>
        <v>0.5</v>
      </c>
      <c r="Q17" s="23">
        <f t="shared" si="3"/>
        <v>0.5</v>
      </c>
      <c r="R17" s="23">
        <f t="shared" si="3"/>
        <v>0.5</v>
      </c>
      <c r="S17" s="23">
        <f t="shared" si="3"/>
        <v>0.5</v>
      </c>
      <c r="T17" s="23">
        <f t="shared" si="3"/>
        <v>0.4</v>
      </c>
      <c r="U17" s="23">
        <f t="shared" si="3"/>
        <v>0.2</v>
      </c>
      <c r="V17" s="23">
        <f t="shared" si="3"/>
        <v>0.1</v>
      </c>
      <c r="W17" s="23">
        <f t="shared" si="3"/>
        <v>0.09</v>
      </c>
    </row>
    <row r="18" spans="1:23" x14ac:dyDescent="0.35">
      <c r="E18" s="18"/>
      <c r="F18" s="18"/>
      <c r="G18" s="18"/>
      <c r="H18" s="18"/>
      <c r="I18" s="18"/>
      <c r="J18" s="18"/>
      <c r="K18" s="18"/>
      <c r="L18" s="18"/>
      <c r="M18" s="26" t="s">
        <v>31</v>
      </c>
      <c r="N18" s="29">
        <f>N19*(1.25)</f>
        <v>6.25E-2</v>
      </c>
      <c r="O18" s="29">
        <v>0.5</v>
      </c>
      <c r="P18" s="29">
        <v>0.5</v>
      </c>
      <c r="Q18" s="29">
        <v>0.5</v>
      </c>
      <c r="R18" s="29">
        <v>0.5</v>
      </c>
      <c r="S18" s="29">
        <v>0.5</v>
      </c>
      <c r="T18" s="29">
        <v>0.4</v>
      </c>
      <c r="U18" s="29">
        <v>0.2</v>
      </c>
      <c r="V18" s="29">
        <v>0.1</v>
      </c>
      <c r="W18" s="29">
        <v>0.09</v>
      </c>
    </row>
    <row r="19" spans="1:23" x14ac:dyDescent="0.35">
      <c r="E19" s="18"/>
      <c r="F19" s="18"/>
      <c r="G19" s="18"/>
      <c r="H19" s="18"/>
      <c r="I19" s="18"/>
      <c r="J19" s="18"/>
      <c r="K19" s="18"/>
      <c r="L19" s="18"/>
      <c r="M19" s="26" t="s">
        <v>32</v>
      </c>
      <c r="N19" s="29">
        <v>0.05</v>
      </c>
      <c r="O19" s="29">
        <v>0.3</v>
      </c>
      <c r="P19" s="29">
        <v>0.3</v>
      </c>
      <c r="Q19" s="29">
        <v>0.3</v>
      </c>
      <c r="R19" s="29">
        <v>0.25</v>
      </c>
      <c r="S19" s="29">
        <v>0.3</v>
      </c>
      <c r="T19" s="29">
        <v>0.2</v>
      </c>
      <c r="U19" s="29">
        <v>0.1</v>
      </c>
      <c r="V19" s="29">
        <v>7.0000000000000007E-2</v>
      </c>
      <c r="W19" s="29">
        <v>7.0000000000000007E-2</v>
      </c>
    </row>
    <row r="20" spans="1:23" x14ac:dyDescent="0.35">
      <c r="E20" s="18"/>
      <c r="F20" s="18"/>
      <c r="G20" s="18"/>
      <c r="H20" s="18"/>
      <c r="I20" s="18"/>
      <c r="J20" s="18"/>
      <c r="K20" s="18"/>
      <c r="L20" s="18"/>
      <c r="M20" s="26" t="s">
        <v>33</v>
      </c>
      <c r="N20" s="29">
        <f>N19*(0.75)</f>
        <v>3.7500000000000006E-2</v>
      </c>
      <c r="O20" s="29">
        <v>0.15</v>
      </c>
      <c r="P20" s="29">
        <v>0.15</v>
      </c>
      <c r="Q20" s="29">
        <v>0.15</v>
      </c>
      <c r="R20" s="29">
        <v>0.15</v>
      </c>
      <c r="S20" s="29">
        <v>0.15</v>
      </c>
      <c r="T20" s="29">
        <v>0.1</v>
      </c>
      <c r="U20" s="29">
        <v>0.05</v>
      </c>
      <c r="V20" s="29">
        <v>0.05</v>
      </c>
      <c r="W20" s="29">
        <v>0.04</v>
      </c>
    </row>
    <row r="21" spans="1:23" x14ac:dyDescent="0.35">
      <c r="E21" s="18"/>
      <c r="F21" s="18"/>
      <c r="G21" s="18"/>
      <c r="H21" s="18"/>
      <c r="I21" s="18"/>
      <c r="J21" s="18"/>
      <c r="K21" s="18"/>
      <c r="L21" s="18"/>
      <c r="M21" s="26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spans="1:23" x14ac:dyDescent="0.35">
      <c r="A22" t="s">
        <v>3</v>
      </c>
      <c r="E22" s="18">
        <v>883</v>
      </c>
      <c r="F22" s="18">
        <v>869</v>
      </c>
      <c r="G22" s="18">
        <v>1052</v>
      </c>
      <c r="H22" s="18"/>
      <c r="I22" s="18"/>
      <c r="J22" s="18"/>
      <c r="K22" s="18"/>
      <c r="L22" s="18"/>
      <c r="N22" s="27">
        <f>G22*(1+N23)</f>
        <v>1104.6000000000001</v>
      </c>
      <c r="O22" s="27">
        <f>N22*(1+O23)</f>
        <v>1187.4450000000002</v>
      </c>
      <c r="P22" s="27">
        <f t="shared" ref="P22" si="4">O22*(1+P23)</f>
        <v>1306.1895000000002</v>
      </c>
      <c r="Q22" s="27">
        <f t="shared" ref="Q22" si="5">P22*(1+Q23)</f>
        <v>1436.8084500000002</v>
      </c>
      <c r="R22" s="27">
        <f t="shared" ref="R22" si="6">Q22*(1+R23)</f>
        <v>1580.4892950000003</v>
      </c>
      <c r="S22" s="27">
        <f t="shared" ref="S22" si="7">R22*(1+S23)</f>
        <v>1738.5382245000005</v>
      </c>
      <c r="T22" s="27">
        <f t="shared" ref="T22" si="8">S22*(1+T23)</f>
        <v>1912.3920469500008</v>
      </c>
      <c r="U22" s="27">
        <f t="shared" ref="U22" si="9">T22*(1+U23)</f>
        <v>2103.6312516450012</v>
      </c>
      <c r="V22" s="27">
        <f t="shared" ref="V22" si="10">U22*(1+V23)</f>
        <v>2313.9943768095013</v>
      </c>
      <c r="W22" s="27">
        <f t="shared" ref="W22" si="11">V22*(1+W23)</f>
        <v>2545.3938144904519</v>
      </c>
    </row>
    <row r="23" spans="1:23" x14ac:dyDescent="0.35">
      <c r="A23" s="22" t="s">
        <v>34</v>
      </c>
      <c r="E23" s="24" t="s">
        <v>1</v>
      </c>
      <c r="F23" s="23">
        <f t="shared" ref="F23:G23" si="12">F22/F16</f>
        <v>4.3554530874097837E-2</v>
      </c>
      <c r="G23" s="23">
        <f t="shared" si="12"/>
        <v>4.0177207454934312E-2</v>
      </c>
      <c r="H23" s="24"/>
      <c r="I23" s="24"/>
      <c r="J23" s="24"/>
      <c r="K23" s="24"/>
      <c r="L23" s="24"/>
      <c r="N23" s="23">
        <f t="shared" ref="N23:W23" si="13">IF(case="A",N24,IF(case="B",N25,N26))</f>
        <v>0.05</v>
      </c>
      <c r="O23" s="23">
        <f t="shared" si="13"/>
        <v>7.4999999999999997E-2</v>
      </c>
      <c r="P23" s="23">
        <f t="shared" si="13"/>
        <v>0.1</v>
      </c>
      <c r="Q23" s="23">
        <f t="shared" si="13"/>
        <v>0.1</v>
      </c>
      <c r="R23" s="23">
        <f t="shared" si="13"/>
        <v>0.1</v>
      </c>
      <c r="S23" s="23">
        <f t="shared" si="13"/>
        <v>0.1</v>
      </c>
      <c r="T23" s="23">
        <f t="shared" si="13"/>
        <v>0.1</v>
      </c>
      <c r="U23" s="23">
        <f t="shared" si="13"/>
        <v>0.1</v>
      </c>
      <c r="V23" s="23">
        <f t="shared" si="13"/>
        <v>0.1</v>
      </c>
      <c r="W23" s="23">
        <f t="shared" si="13"/>
        <v>0.1</v>
      </c>
    </row>
    <row r="24" spans="1:23" x14ac:dyDescent="0.35">
      <c r="E24" s="18"/>
      <c r="F24" s="18"/>
      <c r="G24" s="18"/>
      <c r="H24" s="18"/>
      <c r="I24" s="18"/>
      <c r="J24" s="18"/>
      <c r="K24" s="18"/>
      <c r="L24" s="18"/>
      <c r="M24" s="26" t="s">
        <v>31</v>
      </c>
      <c r="N24" s="29">
        <f>N25</f>
        <v>0.05</v>
      </c>
      <c r="O24" s="29">
        <f t="shared" ref="O24:W24" si="14">O25</f>
        <v>7.4999999999999997E-2</v>
      </c>
      <c r="P24" s="29">
        <f t="shared" si="14"/>
        <v>0.1</v>
      </c>
      <c r="Q24" s="29">
        <f t="shared" si="14"/>
        <v>0.1</v>
      </c>
      <c r="R24" s="29">
        <f t="shared" si="14"/>
        <v>0.1</v>
      </c>
      <c r="S24" s="29">
        <f t="shared" si="14"/>
        <v>0.1</v>
      </c>
      <c r="T24" s="29">
        <f t="shared" si="14"/>
        <v>0.1</v>
      </c>
      <c r="U24" s="29">
        <f t="shared" si="14"/>
        <v>0.1</v>
      </c>
      <c r="V24" s="29">
        <f t="shared" si="14"/>
        <v>0.1</v>
      </c>
      <c r="W24" s="29">
        <f t="shared" si="14"/>
        <v>0.1</v>
      </c>
    </row>
    <row r="25" spans="1:23" x14ac:dyDescent="0.35">
      <c r="E25" s="18"/>
      <c r="F25" s="18"/>
      <c r="G25" s="18"/>
      <c r="H25" s="18"/>
      <c r="I25" s="18"/>
      <c r="J25" s="18"/>
      <c r="K25" s="18"/>
      <c r="L25" s="18"/>
      <c r="M25" s="26" t="s">
        <v>32</v>
      </c>
      <c r="N25" s="29">
        <v>0.05</v>
      </c>
      <c r="O25" s="29">
        <v>7.4999999999999997E-2</v>
      </c>
      <c r="P25" s="29">
        <v>0.1</v>
      </c>
      <c r="Q25" s="29">
        <v>0.1</v>
      </c>
      <c r="R25" s="29">
        <v>0.1</v>
      </c>
      <c r="S25" s="29">
        <v>0.1</v>
      </c>
      <c r="T25" s="29">
        <v>0.1</v>
      </c>
      <c r="U25" s="29">
        <v>0.1</v>
      </c>
      <c r="V25" s="29">
        <v>0.1</v>
      </c>
      <c r="W25" s="29">
        <v>0.1</v>
      </c>
    </row>
    <row r="26" spans="1:23" x14ac:dyDescent="0.35">
      <c r="E26" s="18"/>
      <c r="F26" s="18"/>
      <c r="G26" s="18"/>
      <c r="H26" s="18"/>
      <c r="I26" s="18"/>
      <c r="J26" s="18"/>
      <c r="K26" s="18"/>
      <c r="L26" s="18"/>
      <c r="M26" s="26" t="s">
        <v>33</v>
      </c>
      <c r="N26" s="29">
        <f>N25</f>
        <v>0.05</v>
      </c>
      <c r="O26" s="29">
        <f t="shared" ref="O26:W26" si="15">O25</f>
        <v>7.4999999999999997E-2</v>
      </c>
      <c r="P26" s="29">
        <f t="shared" si="15"/>
        <v>0.1</v>
      </c>
      <c r="Q26" s="29">
        <f t="shared" si="15"/>
        <v>0.1</v>
      </c>
      <c r="R26" s="29">
        <f t="shared" si="15"/>
        <v>0.1</v>
      </c>
      <c r="S26" s="29">
        <f t="shared" si="15"/>
        <v>0.1</v>
      </c>
      <c r="T26" s="29">
        <f t="shared" si="15"/>
        <v>0.1</v>
      </c>
      <c r="U26" s="29">
        <f t="shared" si="15"/>
        <v>0.1</v>
      </c>
      <c r="V26" s="29">
        <f t="shared" si="15"/>
        <v>0.1</v>
      </c>
      <c r="W26" s="29">
        <f t="shared" si="15"/>
        <v>0.1</v>
      </c>
    </row>
    <row r="27" spans="1:23" x14ac:dyDescent="0.35">
      <c r="E27" s="6" t="s">
        <v>9</v>
      </c>
      <c r="F27" s="6" t="s">
        <v>9</v>
      </c>
      <c r="G27" s="6" t="s">
        <v>9</v>
      </c>
      <c r="H27" s="6"/>
      <c r="I27" s="6"/>
      <c r="J27" s="6"/>
      <c r="K27" s="6"/>
      <c r="L27" s="6"/>
      <c r="N27" s="6" t="s">
        <v>9</v>
      </c>
      <c r="O27" s="6" t="s">
        <v>9</v>
      </c>
      <c r="P27" s="6" t="s">
        <v>9</v>
      </c>
      <c r="Q27" s="6" t="s">
        <v>9</v>
      </c>
      <c r="R27" s="6" t="s">
        <v>9</v>
      </c>
      <c r="S27" s="6" t="s">
        <v>9</v>
      </c>
      <c r="T27" s="6" t="s">
        <v>9</v>
      </c>
      <c r="U27" s="6" t="s">
        <v>9</v>
      </c>
      <c r="V27" s="6" t="s">
        <v>9</v>
      </c>
      <c r="W27" s="6" t="s">
        <v>9</v>
      </c>
    </row>
    <row r="28" spans="1:23" s="3" customFormat="1" x14ac:dyDescent="0.35">
      <c r="A28" s="4" t="s">
        <v>4</v>
      </c>
      <c r="E28" s="19">
        <f>SUM(E16,E22)</f>
        <v>18515</v>
      </c>
      <c r="F28" s="19">
        <f t="shared" ref="F28" si="16">SUM(F16,F22)</f>
        <v>20821</v>
      </c>
      <c r="G28" s="19">
        <f>SUM(G16,G22)</f>
        <v>27236</v>
      </c>
      <c r="H28" s="19"/>
      <c r="I28" s="19"/>
      <c r="J28" s="19"/>
      <c r="K28" s="19"/>
      <c r="L28" s="19"/>
      <c r="N28" s="19">
        <f t="shared" ref="N28:W28" si="17">SUM(N16,N22)</f>
        <v>28925.1</v>
      </c>
      <c r="O28" s="19">
        <f t="shared" si="17"/>
        <v>42918.195</v>
      </c>
      <c r="P28" s="19">
        <f t="shared" si="17"/>
        <v>63902.3145</v>
      </c>
      <c r="Q28" s="19">
        <f t="shared" si="17"/>
        <v>95330.995949999997</v>
      </c>
      <c r="R28" s="19">
        <f t="shared" si="17"/>
        <v>142421.77054500001</v>
      </c>
      <c r="S28" s="19">
        <f t="shared" si="17"/>
        <v>213000.46009949999</v>
      </c>
      <c r="T28" s="19">
        <f t="shared" si="17"/>
        <v>297679.08267194999</v>
      </c>
      <c r="U28" s="19">
        <f t="shared" si="17"/>
        <v>357023.66000164498</v>
      </c>
      <c r="V28" s="19">
        <f t="shared" si="17"/>
        <v>392726.02600180951</v>
      </c>
      <c r="W28" s="19">
        <f t="shared" si="17"/>
        <v>428094.50828574051</v>
      </c>
    </row>
    <row r="29" spans="1:23" s="3" customFormat="1" x14ac:dyDescent="0.35">
      <c r="A29" s="4"/>
      <c r="E29" s="19"/>
      <c r="F29" s="19"/>
      <c r="G29" s="19"/>
      <c r="H29" s="19"/>
      <c r="I29" s="19"/>
      <c r="J29" s="19"/>
      <c r="K29" s="19"/>
      <c r="L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1" spans="1:23" x14ac:dyDescent="0.35">
      <c r="A31" s="8" t="s">
        <v>5</v>
      </c>
      <c r="E31" s="18">
        <v>1555</v>
      </c>
      <c r="F31" s="18">
        <v>1531</v>
      </c>
      <c r="G31" s="18">
        <v>1994</v>
      </c>
      <c r="H31" s="18"/>
      <c r="I31" s="18"/>
      <c r="J31" s="18"/>
      <c r="K31" s="18"/>
      <c r="L31" s="18"/>
      <c r="N31" s="27">
        <f>G31*(1+N32)</f>
        <v>2133.58</v>
      </c>
      <c r="O31" s="27">
        <f>N31*(1+O32)</f>
        <v>2282.9306000000001</v>
      </c>
      <c r="P31" s="27">
        <f t="shared" ref="P31" si="18">O31*(1+P32)</f>
        <v>2442.7357420000003</v>
      </c>
      <c r="Q31" s="27">
        <f t="shared" ref="Q31" si="19">P31*(1+Q32)</f>
        <v>2613.7272439400003</v>
      </c>
      <c r="R31" s="27">
        <f t="shared" ref="R31" si="20">Q31*(1+R32)</f>
        <v>2796.6881510158005</v>
      </c>
      <c r="S31" s="27">
        <f t="shared" ref="S31" si="21">R31*(1+S32)</f>
        <v>2992.4563215869066</v>
      </c>
      <c r="T31" s="27">
        <f t="shared" ref="T31" si="22">S31*(1+T32)</f>
        <v>7481.140803967266</v>
      </c>
      <c r="U31" s="27">
        <f t="shared" ref="U31" si="23">T31*(1+U32)</f>
        <v>18702.852009918166</v>
      </c>
      <c r="V31" s="27">
        <f t="shared" ref="V31" si="24">U31*(1+V32)</f>
        <v>46757.130024795413</v>
      </c>
      <c r="W31" s="27">
        <f t="shared" ref="W31" si="25">V31*(1+W32)</f>
        <v>50030.129126531094</v>
      </c>
    </row>
    <row r="32" spans="1:23" x14ac:dyDescent="0.35">
      <c r="A32" s="22" t="s">
        <v>38</v>
      </c>
      <c r="E32" s="25"/>
      <c r="F32" s="23">
        <f t="shared" ref="F32" si="26">IFERROR(F31/E31-1,0)</f>
        <v>-1.5434083601286175E-2</v>
      </c>
      <c r="G32" s="23">
        <f t="shared" ref="G32" si="27">IFERROR(G31/F31-1,0)</f>
        <v>0.30241672109732209</v>
      </c>
      <c r="H32" s="23"/>
      <c r="I32" s="23"/>
      <c r="J32" s="23"/>
      <c r="K32" s="23"/>
      <c r="L32" s="23"/>
      <c r="N32" s="23">
        <f t="shared" ref="N32:W32" si="28">IF(case="A",N33,IF(case="B",N34,N35))</f>
        <v>7.0000000000000007E-2</v>
      </c>
      <c r="O32" s="23">
        <f t="shared" si="28"/>
        <v>7.0000000000000007E-2</v>
      </c>
      <c r="P32" s="23">
        <f t="shared" si="28"/>
        <v>7.0000000000000007E-2</v>
      </c>
      <c r="Q32" s="23">
        <f t="shared" si="28"/>
        <v>7.0000000000000007E-2</v>
      </c>
      <c r="R32" s="23">
        <f t="shared" si="28"/>
        <v>7.0000000000000007E-2</v>
      </c>
      <c r="S32" s="23">
        <f t="shared" si="28"/>
        <v>7.0000000000000007E-2</v>
      </c>
      <c r="T32" s="23">
        <f t="shared" si="28"/>
        <v>1.5</v>
      </c>
      <c r="U32" s="23">
        <f t="shared" si="28"/>
        <v>1.5</v>
      </c>
      <c r="V32" s="23">
        <f t="shared" si="28"/>
        <v>1.5</v>
      </c>
      <c r="W32" s="23">
        <f t="shared" si="28"/>
        <v>7.0000000000000007E-2</v>
      </c>
    </row>
    <row r="33" spans="1:23" x14ac:dyDescent="0.35">
      <c r="E33" s="18"/>
      <c r="F33" s="18"/>
      <c r="G33" s="18"/>
      <c r="H33" s="18"/>
      <c r="I33" s="18"/>
      <c r="J33" s="18"/>
      <c r="K33" s="18"/>
      <c r="L33" s="18"/>
      <c r="M33" s="26" t="s">
        <v>31</v>
      </c>
      <c r="N33" s="29">
        <v>7.0000000000000007E-2</v>
      </c>
      <c r="O33" s="29">
        <v>7.0000000000000007E-2</v>
      </c>
      <c r="P33" s="29">
        <v>7.0000000000000007E-2</v>
      </c>
      <c r="Q33" s="29">
        <v>7.0000000000000007E-2</v>
      </c>
      <c r="R33" s="29">
        <v>7.0000000000000007E-2</v>
      </c>
      <c r="S33" s="29">
        <v>7.0000000000000007E-2</v>
      </c>
      <c r="T33" s="29">
        <v>1.5</v>
      </c>
      <c r="U33" s="29">
        <v>1.5</v>
      </c>
      <c r="V33" s="29">
        <v>1.5</v>
      </c>
      <c r="W33" s="29">
        <v>7.0000000000000007E-2</v>
      </c>
    </row>
    <row r="34" spans="1:23" x14ac:dyDescent="0.35">
      <c r="E34" s="18"/>
      <c r="F34" s="18"/>
      <c r="G34" s="18"/>
      <c r="H34" s="18"/>
      <c r="I34" s="18"/>
      <c r="J34" s="18"/>
      <c r="K34" s="18"/>
      <c r="L34" s="18"/>
      <c r="M34" s="26" t="s">
        <v>32</v>
      </c>
      <c r="N34" s="29">
        <v>0.05</v>
      </c>
      <c r="O34" s="29">
        <v>0.05</v>
      </c>
      <c r="P34" s="29">
        <v>0.05</v>
      </c>
      <c r="Q34" s="29">
        <v>0.05</v>
      </c>
      <c r="R34" s="29">
        <v>0.05</v>
      </c>
      <c r="S34" s="29">
        <v>0.05</v>
      </c>
      <c r="T34" s="29">
        <v>1</v>
      </c>
      <c r="U34" s="29">
        <v>1</v>
      </c>
      <c r="V34" s="29">
        <v>1</v>
      </c>
      <c r="W34" s="29">
        <v>0.05</v>
      </c>
    </row>
    <row r="35" spans="1:23" x14ac:dyDescent="0.35">
      <c r="E35" s="18"/>
      <c r="F35" s="18"/>
      <c r="G35" s="18"/>
      <c r="H35" s="18"/>
      <c r="I35" s="18"/>
      <c r="J35" s="18"/>
      <c r="K35" s="18"/>
      <c r="L35" s="18"/>
      <c r="M35" s="26" t="s">
        <v>33</v>
      </c>
      <c r="N35" s="29">
        <v>7.0000000000000007E-2</v>
      </c>
      <c r="O35" s="29">
        <v>7.0000000000000007E-2</v>
      </c>
      <c r="P35" s="29">
        <v>7.0000000000000007E-2</v>
      </c>
      <c r="Q35" s="29">
        <v>7.0000000000000007E-2</v>
      </c>
      <c r="R35" s="29">
        <v>7.0000000000000007E-2</v>
      </c>
      <c r="S35" s="29">
        <v>7.0000000000000007E-2</v>
      </c>
      <c r="T35" s="29">
        <v>0.5</v>
      </c>
      <c r="U35" s="29">
        <v>0.5</v>
      </c>
      <c r="V35" s="29">
        <v>0.5</v>
      </c>
      <c r="W35" s="29">
        <v>0.03</v>
      </c>
    </row>
    <row r="36" spans="1:23" x14ac:dyDescent="0.35">
      <c r="E36" s="18"/>
      <c r="F36" s="18"/>
      <c r="G36" s="18"/>
      <c r="H36" s="18"/>
      <c r="I36" s="18"/>
      <c r="J36" s="18"/>
      <c r="K36" s="18"/>
      <c r="L36" s="18"/>
      <c r="M36" s="26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spans="1:23" x14ac:dyDescent="0.35">
      <c r="E37" s="18"/>
      <c r="F37" s="18"/>
      <c r="G37" s="18"/>
      <c r="H37" s="18"/>
      <c r="I37" s="18"/>
      <c r="J37" s="18"/>
      <c r="K37" s="18"/>
      <c r="L37" s="18"/>
      <c r="M37" s="26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spans="1:23" x14ac:dyDescent="0.35">
      <c r="A38" s="8" t="s">
        <v>6</v>
      </c>
      <c r="E38" s="18">
        <v>1391</v>
      </c>
      <c r="F38" s="18">
        <v>2226</v>
      </c>
      <c r="G38" s="18">
        <v>2306</v>
      </c>
      <c r="H38" s="18"/>
      <c r="I38" s="18"/>
      <c r="J38" s="18"/>
      <c r="K38" s="18"/>
      <c r="L38" s="18"/>
      <c r="N38" s="27">
        <f>G38*(1+N39)</f>
        <v>2552.7420000000002</v>
      </c>
      <c r="O38" s="27">
        <f>N38*(1+O39)</f>
        <v>2825.8853940000004</v>
      </c>
      <c r="P38" s="27">
        <f t="shared" ref="P38" si="29">O38*(1+P39)</f>
        <v>3128.2551311580005</v>
      </c>
      <c r="Q38" s="27">
        <f t="shared" ref="Q38" si="30">P38*(1+Q39)</f>
        <v>3462.9784301919067</v>
      </c>
      <c r="R38" s="27">
        <f t="shared" ref="R38" si="31">Q38*(1+R39)</f>
        <v>3833.5171222224408</v>
      </c>
      <c r="S38" s="27">
        <f t="shared" ref="S38" si="32">R38*(1+S39)</f>
        <v>4243.7034543002419</v>
      </c>
      <c r="T38" s="27">
        <f t="shared" ref="T38" si="33">S38*(1+T39)</f>
        <v>4697.7797239103675</v>
      </c>
      <c r="U38" s="27">
        <f t="shared" ref="U38" si="34">T38*(1+U39)</f>
        <v>5200.4421543687768</v>
      </c>
      <c r="V38" s="27">
        <f t="shared" ref="V38" si="35">U38*(1+V39)</f>
        <v>5756.8894648862361</v>
      </c>
      <c r="W38" s="27">
        <f t="shared" ref="W38" si="36">V38*(1+W39)</f>
        <v>6372.8766376290632</v>
      </c>
    </row>
    <row r="39" spans="1:23" x14ac:dyDescent="0.35">
      <c r="A39" s="22" t="s">
        <v>34</v>
      </c>
      <c r="E39" s="23">
        <f>E38/E16</f>
        <v>7.8890653357531759E-2</v>
      </c>
      <c r="F39" s="23">
        <f t="shared" ref="F39:G39" si="37">F38/F16</f>
        <v>0.11156776263031275</v>
      </c>
      <c r="G39" s="23">
        <f t="shared" si="37"/>
        <v>8.8069049801405438E-2</v>
      </c>
      <c r="H39" s="23"/>
      <c r="I39" s="23"/>
      <c r="J39" s="23"/>
      <c r="K39" s="23"/>
      <c r="L39" s="23"/>
      <c r="N39" s="23">
        <f t="shared" ref="N39:W39" si="38">IF(case="A",N40,IF(case="B",N41,N42))</f>
        <v>0.107</v>
      </c>
      <c r="O39" s="23">
        <f t="shared" si="38"/>
        <v>0.107</v>
      </c>
      <c r="P39" s="23">
        <f t="shared" si="38"/>
        <v>0.107</v>
      </c>
      <c r="Q39" s="23">
        <f t="shared" si="38"/>
        <v>0.107</v>
      </c>
      <c r="R39" s="23">
        <f t="shared" si="38"/>
        <v>0.107</v>
      </c>
      <c r="S39" s="23">
        <f t="shared" si="38"/>
        <v>0.107</v>
      </c>
      <c r="T39" s="23">
        <f t="shared" si="38"/>
        <v>0.107</v>
      </c>
      <c r="U39" s="23">
        <f t="shared" si="38"/>
        <v>0.107</v>
      </c>
      <c r="V39" s="23">
        <f t="shared" si="38"/>
        <v>0.107</v>
      </c>
      <c r="W39" s="23">
        <f t="shared" si="38"/>
        <v>0.107</v>
      </c>
    </row>
    <row r="40" spans="1:23" x14ac:dyDescent="0.35">
      <c r="A40" s="8"/>
      <c r="E40" s="18"/>
      <c r="F40" s="18"/>
      <c r="G40" s="18"/>
      <c r="H40" s="18"/>
      <c r="I40" s="18"/>
      <c r="J40" s="18"/>
      <c r="K40" s="18"/>
      <c r="L40" s="18"/>
      <c r="M40" s="26" t="s">
        <v>31</v>
      </c>
      <c r="N40" s="29">
        <v>0.107</v>
      </c>
      <c r="O40" s="29">
        <v>0.107</v>
      </c>
      <c r="P40" s="29">
        <v>0.107</v>
      </c>
      <c r="Q40" s="29">
        <v>0.107</v>
      </c>
      <c r="R40" s="29">
        <v>0.107</v>
      </c>
      <c r="S40" s="29">
        <v>0.107</v>
      </c>
      <c r="T40" s="29">
        <v>0.107</v>
      </c>
      <c r="U40" s="29">
        <v>0.107</v>
      </c>
      <c r="V40" s="29">
        <v>0.107</v>
      </c>
      <c r="W40" s="29">
        <v>0.107</v>
      </c>
    </row>
    <row r="41" spans="1:23" x14ac:dyDescent="0.35">
      <c r="A41" s="8"/>
      <c r="E41" s="18"/>
      <c r="F41" s="18"/>
      <c r="G41" s="18"/>
      <c r="H41" s="18"/>
      <c r="I41" s="18"/>
      <c r="J41" s="18"/>
      <c r="K41" s="18"/>
      <c r="L41" s="18"/>
      <c r="M41" s="26" t="s">
        <v>32</v>
      </c>
      <c r="N41" s="29">
        <v>0.107</v>
      </c>
      <c r="O41" s="29">
        <v>0.107</v>
      </c>
      <c r="P41" s="29">
        <v>0.107</v>
      </c>
      <c r="Q41" s="29">
        <v>0.107</v>
      </c>
      <c r="R41" s="29">
        <v>0.107</v>
      </c>
      <c r="S41" s="29">
        <v>0.107</v>
      </c>
      <c r="T41" s="29">
        <v>0.107</v>
      </c>
      <c r="U41" s="29">
        <v>0.107</v>
      </c>
      <c r="V41" s="29">
        <v>0.107</v>
      </c>
      <c r="W41" s="29">
        <v>0.107</v>
      </c>
    </row>
    <row r="42" spans="1:23" x14ac:dyDescent="0.35">
      <c r="A42" s="8"/>
      <c r="E42" s="18"/>
      <c r="F42" s="18"/>
      <c r="G42" s="18"/>
      <c r="H42" s="18"/>
      <c r="I42" s="18"/>
      <c r="J42" s="18"/>
      <c r="K42" s="18"/>
      <c r="L42" s="18"/>
      <c r="M42" s="26" t="s">
        <v>33</v>
      </c>
      <c r="N42" s="29">
        <v>0.107</v>
      </c>
      <c r="O42" s="29">
        <v>0.107</v>
      </c>
      <c r="P42" s="29">
        <v>0.107</v>
      </c>
      <c r="Q42" s="29">
        <v>0.107</v>
      </c>
      <c r="R42" s="29">
        <v>0.107</v>
      </c>
      <c r="S42" s="29">
        <v>0.107</v>
      </c>
      <c r="T42" s="29">
        <v>0.107</v>
      </c>
      <c r="U42" s="29">
        <v>0.107</v>
      </c>
      <c r="V42" s="29">
        <v>0.107</v>
      </c>
      <c r="W42" s="29">
        <v>0.107</v>
      </c>
    </row>
    <row r="43" spans="1:23" x14ac:dyDescent="0.35">
      <c r="A43" s="8"/>
      <c r="E43" s="6" t="s">
        <v>9</v>
      </c>
      <c r="F43" s="6" t="s">
        <v>9</v>
      </c>
      <c r="G43" s="6" t="s">
        <v>9</v>
      </c>
      <c r="H43" s="6"/>
      <c r="I43" s="6"/>
      <c r="J43" s="6"/>
      <c r="K43" s="6"/>
      <c r="L43" s="6"/>
      <c r="N43" s="6" t="s">
        <v>9</v>
      </c>
      <c r="O43" s="6" t="s">
        <v>9</v>
      </c>
      <c r="P43" s="6" t="s">
        <v>9</v>
      </c>
      <c r="Q43" s="6" t="s">
        <v>9</v>
      </c>
      <c r="R43" s="6" t="s">
        <v>9</v>
      </c>
      <c r="S43" s="6" t="s">
        <v>9</v>
      </c>
      <c r="T43" s="6" t="s">
        <v>9</v>
      </c>
      <c r="U43" s="6" t="s">
        <v>9</v>
      </c>
      <c r="V43" s="6" t="s">
        <v>9</v>
      </c>
      <c r="W43" s="6" t="s">
        <v>9</v>
      </c>
    </row>
    <row r="44" spans="1:23" s="33" customFormat="1" x14ac:dyDescent="0.35">
      <c r="A44" s="32" t="s">
        <v>7</v>
      </c>
      <c r="E44" s="34">
        <f>SUM(E28,E31,E38)</f>
        <v>21461</v>
      </c>
      <c r="F44" s="34">
        <f t="shared" ref="F44:W44" si="39">SUM(F28,F31,F38)</f>
        <v>24578</v>
      </c>
      <c r="G44" s="34">
        <f t="shared" si="39"/>
        <v>31536</v>
      </c>
      <c r="H44" s="34"/>
      <c r="I44" s="34"/>
      <c r="J44" s="34"/>
      <c r="K44" s="34"/>
      <c r="L44" s="34"/>
      <c r="N44" s="34">
        <f t="shared" si="39"/>
        <v>33611.421999999999</v>
      </c>
      <c r="O44" s="34">
        <f t="shared" si="39"/>
        <v>48027.010993999997</v>
      </c>
      <c r="P44" s="34">
        <f t="shared" si="39"/>
        <v>69473.305373158</v>
      </c>
      <c r="Q44" s="34">
        <f t="shared" si="39"/>
        <v>101407.70162413191</v>
      </c>
      <c r="R44" s="34">
        <f t="shared" si="39"/>
        <v>149051.97581823825</v>
      </c>
      <c r="S44" s="34">
        <f t="shared" si="39"/>
        <v>220236.61987538714</v>
      </c>
      <c r="T44" s="34">
        <f t="shared" si="39"/>
        <v>309858.00319982762</v>
      </c>
      <c r="U44" s="34">
        <f t="shared" si="39"/>
        <v>380926.95416593197</v>
      </c>
      <c r="V44" s="34">
        <f t="shared" si="39"/>
        <v>445240.04549149115</v>
      </c>
      <c r="W44" s="34">
        <f t="shared" si="39"/>
        <v>484497.51404990064</v>
      </c>
    </row>
    <row r="45" spans="1:23" s="33" customFormat="1" x14ac:dyDescent="0.35">
      <c r="A45" s="40" t="s">
        <v>38</v>
      </c>
      <c r="E45" s="34"/>
      <c r="F45" s="41">
        <f t="shared" ref="F45:G45" si="40">IFERROR(F44/E44-1,0)</f>
        <v>0.14524020315921904</v>
      </c>
      <c r="G45" s="41">
        <f t="shared" si="40"/>
        <v>0.28309870615998056</v>
      </c>
      <c r="H45" s="41"/>
      <c r="I45" s="41"/>
      <c r="J45" s="41"/>
      <c r="K45" s="41"/>
      <c r="L45" s="41"/>
      <c r="N45" s="41">
        <f>IFERROR(N44/G44-1,0)</f>
        <v>6.5811199898528683E-2</v>
      </c>
      <c r="O45" s="41">
        <f t="shared" ref="O45" si="41">IFERROR(O44/N44-1,0)</f>
        <v>0.42888958979480241</v>
      </c>
      <c r="P45" s="41">
        <f t="shared" ref="P45" si="42">IFERROR(P44/O44-1,0)</f>
        <v>0.44654651487341757</v>
      </c>
      <c r="Q45" s="41">
        <f t="shared" ref="Q45" si="43">IFERROR(Q44/P44-1,0)</f>
        <v>0.45966427075041993</v>
      </c>
      <c r="R45" s="41">
        <f t="shared" ref="R45" si="44">IFERROR(R44/Q44-1,0)</f>
        <v>0.46982895215099196</v>
      </c>
      <c r="S45" s="41">
        <f t="shared" ref="S45" si="45">IFERROR(S44/R44-1,0)</f>
        <v>0.47758269332809888</v>
      </c>
      <c r="T45" s="41">
        <f t="shared" ref="T45" si="46">IFERROR(T44/S44-1,0)</f>
        <v>0.40693225030037916</v>
      </c>
      <c r="U45" s="41">
        <f t="shared" ref="U45" si="47">IFERROR(U44/T44-1,0)</f>
        <v>0.22935973972656098</v>
      </c>
      <c r="V45" s="41">
        <f t="shared" ref="V45" si="48">IFERROR(V44/U44-1,0)</f>
        <v>0.16883313355017759</v>
      </c>
      <c r="W45" s="41">
        <f t="shared" ref="W45" si="49">IFERROR(W44/V44-1,0)</f>
        <v>8.8171468303292366E-2</v>
      </c>
    </row>
    <row r="46" spans="1:23" x14ac:dyDescent="0.35">
      <c r="A46" s="7"/>
    </row>
    <row r="47" spans="1:23" s="1" customFormat="1" x14ac:dyDescent="0.35">
      <c r="A47" s="2" t="s">
        <v>36</v>
      </c>
    </row>
    <row r="49" spans="1:23" x14ac:dyDescent="0.35">
      <c r="A49" t="s">
        <v>39</v>
      </c>
      <c r="E49" s="18">
        <v>13686</v>
      </c>
      <c r="F49" s="18">
        <v>15939</v>
      </c>
      <c r="G49" s="18">
        <v>19696</v>
      </c>
      <c r="H49" s="18"/>
      <c r="I49" s="18"/>
      <c r="J49" s="18"/>
      <c r="K49" s="18"/>
      <c r="L49" s="18"/>
      <c r="N49" s="27">
        <f>N16*N50</f>
        <v>22228.5795</v>
      </c>
      <c r="O49" s="27">
        <f t="shared" ref="O49:W49" si="50">O16*O50</f>
        <v>32549.985000000001</v>
      </c>
      <c r="P49" s="27">
        <f t="shared" si="50"/>
        <v>47573.055</v>
      </c>
      <c r="Q49" s="27">
        <f t="shared" si="50"/>
        <v>70420.640625</v>
      </c>
      <c r="R49" s="27">
        <f t="shared" si="50"/>
        <v>105630.9609375</v>
      </c>
      <c r="S49" s="27">
        <f t="shared" si="50"/>
        <v>158446.44140625</v>
      </c>
      <c r="T49" s="27">
        <f t="shared" si="50"/>
        <v>221825.01796874998</v>
      </c>
      <c r="U49" s="27">
        <f t="shared" si="50"/>
        <v>266190.02156249998</v>
      </c>
      <c r="V49" s="27">
        <f t="shared" si="50"/>
        <v>292809.02371874999</v>
      </c>
      <c r="W49" s="27">
        <f t="shared" si="50"/>
        <v>319161.83585343754</v>
      </c>
    </row>
    <row r="50" spans="1:23" x14ac:dyDescent="0.35">
      <c r="A50" s="22" t="s">
        <v>37</v>
      </c>
      <c r="B50" s="27"/>
      <c r="C50" s="27"/>
      <c r="D50" s="27"/>
      <c r="E50" s="23">
        <f>E49/E16</f>
        <v>0.7762023593466425</v>
      </c>
      <c r="F50" s="23">
        <f t="shared" ref="F50:G50" si="51">F49/F16</f>
        <v>0.79886728147554131</v>
      </c>
      <c r="G50" s="23">
        <f t="shared" si="51"/>
        <v>0.7522150931866789</v>
      </c>
      <c r="H50" s="23"/>
      <c r="I50" s="23"/>
      <c r="J50" s="23"/>
      <c r="K50" s="23"/>
      <c r="L50" s="23"/>
      <c r="N50" s="23">
        <f t="shared" ref="N50:W50" si="52">IF(case="A",N51,IF(case="B",N52,N53))</f>
        <v>0.79900000000000004</v>
      </c>
      <c r="O50" s="23">
        <f t="shared" si="52"/>
        <v>0.78</v>
      </c>
      <c r="P50" s="23">
        <f t="shared" si="52"/>
        <v>0.76</v>
      </c>
      <c r="Q50" s="23">
        <f t="shared" si="52"/>
        <v>0.75</v>
      </c>
      <c r="R50" s="23">
        <f t="shared" si="52"/>
        <v>0.75</v>
      </c>
      <c r="S50" s="23">
        <f t="shared" si="52"/>
        <v>0.75</v>
      </c>
      <c r="T50" s="23">
        <f t="shared" si="52"/>
        <v>0.75</v>
      </c>
      <c r="U50" s="23">
        <f t="shared" si="52"/>
        <v>0.75</v>
      </c>
      <c r="V50" s="23">
        <f t="shared" si="52"/>
        <v>0.75</v>
      </c>
      <c r="W50" s="23">
        <f t="shared" si="52"/>
        <v>0.75</v>
      </c>
    </row>
    <row r="51" spans="1:23" x14ac:dyDescent="0.35">
      <c r="M51" s="26" t="s">
        <v>31</v>
      </c>
      <c r="N51" s="29">
        <f>N52</f>
        <v>0.79900000000000004</v>
      </c>
      <c r="O51" s="29">
        <v>0.78</v>
      </c>
      <c r="P51" s="29">
        <v>0.76</v>
      </c>
      <c r="Q51" s="29">
        <v>0.75</v>
      </c>
      <c r="R51" s="29">
        <v>0.75</v>
      </c>
      <c r="S51" s="29">
        <v>0.75</v>
      </c>
      <c r="T51" s="29">
        <v>0.75</v>
      </c>
      <c r="U51" s="29">
        <v>0.75</v>
      </c>
      <c r="V51" s="29">
        <v>0.75</v>
      </c>
      <c r="W51" s="29">
        <v>0.75</v>
      </c>
    </row>
    <row r="52" spans="1:23" x14ac:dyDescent="0.35">
      <c r="A52" s="26"/>
      <c r="M52" s="26" t="s">
        <v>32</v>
      </c>
      <c r="N52" s="29">
        <v>0.79900000000000004</v>
      </c>
      <c r="O52" s="29">
        <v>0.78</v>
      </c>
      <c r="P52" s="29">
        <v>0.77</v>
      </c>
      <c r="Q52" s="29">
        <v>0.77</v>
      </c>
      <c r="R52" s="29">
        <v>0.77</v>
      </c>
      <c r="S52" s="29">
        <v>0.77</v>
      </c>
      <c r="T52" s="29">
        <v>0.77</v>
      </c>
      <c r="U52" s="29">
        <v>0.77</v>
      </c>
      <c r="V52" s="29">
        <v>0.77</v>
      </c>
      <c r="W52" s="29">
        <v>0.77</v>
      </c>
    </row>
    <row r="53" spans="1:23" x14ac:dyDescent="0.35">
      <c r="A53" s="26"/>
      <c r="M53" s="26" t="s">
        <v>33</v>
      </c>
      <c r="N53" s="29">
        <f>N52</f>
        <v>0.79900000000000004</v>
      </c>
      <c r="O53" s="29">
        <f>N53</f>
        <v>0.79900000000000004</v>
      </c>
      <c r="P53" s="29">
        <f t="shared" ref="P53:W53" si="53">O53</f>
        <v>0.79900000000000004</v>
      </c>
      <c r="Q53" s="29">
        <f t="shared" si="53"/>
        <v>0.79900000000000004</v>
      </c>
      <c r="R53" s="29">
        <f t="shared" si="53"/>
        <v>0.79900000000000004</v>
      </c>
      <c r="S53" s="29">
        <f t="shared" si="53"/>
        <v>0.79900000000000004</v>
      </c>
      <c r="T53" s="29">
        <f t="shared" si="53"/>
        <v>0.79900000000000004</v>
      </c>
      <c r="U53" s="29">
        <f t="shared" si="53"/>
        <v>0.79900000000000004</v>
      </c>
      <c r="V53" s="29">
        <f t="shared" si="53"/>
        <v>0.79900000000000004</v>
      </c>
      <c r="W53" s="29">
        <f t="shared" si="53"/>
        <v>0.79900000000000004</v>
      </c>
    </row>
    <row r="54" spans="1:23" x14ac:dyDescent="0.35">
      <c r="A54" s="26"/>
    </row>
    <row r="55" spans="1:23" x14ac:dyDescent="0.35">
      <c r="A55" t="s">
        <v>3</v>
      </c>
      <c r="E55" s="18">
        <v>488</v>
      </c>
      <c r="F55" s="18">
        <v>459</v>
      </c>
      <c r="G55" s="18">
        <v>563</v>
      </c>
      <c r="H55" s="18"/>
      <c r="I55" s="18"/>
      <c r="J55" s="18"/>
      <c r="K55" s="18"/>
      <c r="L55" s="18"/>
      <c r="N55" s="27">
        <f>N22*N56</f>
        <v>583.22880000000009</v>
      </c>
      <c r="O55" s="27">
        <f t="shared" ref="O55" si="54">O22*O56</f>
        <v>626.9709600000001</v>
      </c>
      <c r="P55" s="27">
        <f t="shared" ref="P55" si="55">P22*P56</f>
        <v>689.66805600000009</v>
      </c>
      <c r="Q55" s="27">
        <f t="shared" ref="Q55" si="56">Q22*Q56</f>
        <v>758.63486160000014</v>
      </c>
      <c r="R55" s="27">
        <f t="shared" ref="R55" si="57">R22*R56</f>
        <v>834.49834776000023</v>
      </c>
      <c r="S55" s="27">
        <f t="shared" ref="S55" si="58">S22*S56</f>
        <v>917.94818253600033</v>
      </c>
      <c r="T55" s="27">
        <f t="shared" ref="T55" si="59">T22*T56</f>
        <v>1009.7430007896005</v>
      </c>
      <c r="U55" s="27">
        <f t="shared" ref="U55" si="60">U22*U56</f>
        <v>1110.7173008685606</v>
      </c>
      <c r="V55" s="27">
        <f t="shared" ref="V55" si="61">V22*V56</f>
        <v>1221.7890309554168</v>
      </c>
      <c r="W55" s="27">
        <f t="shared" ref="W55" si="62">W22*W56</f>
        <v>1343.9679340509585</v>
      </c>
    </row>
    <row r="56" spans="1:23" x14ac:dyDescent="0.35">
      <c r="A56" s="22" t="s">
        <v>37</v>
      </c>
      <c r="B56" s="27"/>
      <c r="C56" s="27"/>
      <c r="D56" s="27"/>
      <c r="E56" s="23">
        <f>E55/E22</f>
        <v>0.55266138165345413</v>
      </c>
      <c r="F56" s="23">
        <f t="shared" ref="F56" si="63">F55/F22</f>
        <v>0.52819332566168009</v>
      </c>
      <c r="G56" s="23">
        <f t="shared" ref="G56" si="64">G55/G22</f>
        <v>0.53517110266159695</v>
      </c>
      <c r="H56" s="23"/>
      <c r="I56" s="23"/>
      <c r="J56" s="23"/>
      <c r="K56" s="23"/>
      <c r="L56" s="23"/>
      <c r="N56" s="23">
        <f t="shared" ref="N56:W56" si="65">IF(case="A",N57,IF(case="B",N58,N59))</f>
        <v>0.52800000000000002</v>
      </c>
      <c r="O56" s="23">
        <f t="shared" si="65"/>
        <v>0.52800000000000002</v>
      </c>
      <c r="P56" s="23">
        <f t="shared" si="65"/>
        <v>0.52800000000000002</v>
      </c>
      <c r="Q56" s="23">
        <f t="shared" si="65"/>
        <v>0.52800000000000002</v>
      </c>
      <c r="R56" s="23">
        <f t="shared" si="65"/>
        <v>0.52800000000000002</v>
      </c>
      <c r="S56" s="23">
        <f t="shared" si="65"/>
        <v>0.52800000000000002</v>
      </c>
      <c r="T56" s="23">
        <f t="shared" si="65"/>
        <v>0.52800000000000002</v>
      </c>
      <c r="U56" s="23">
        <f t="shared" si="65"/>
        <v>0.52800000000000002</v>
      </c>
      <c r="V56" s="23">
        <f t="shared" si="65"/>
        <v>0.52800000000000002</v>
      </c>
      <c r="W56" s="23">
        <f t="shared" si="65"/>
        <v>0.52800000000000002</v>
      </c>
    </row>
    <row r="57" spans="1:23" x14ac:dyDescent="0.35">
      <c r="M57" s="26" t="s">
        <v>31</v>
      </c>
      <c r="N57" s="29">
        <v>0.52800000000000002</v>
      </c>
      <c r="O57" s="29">
        <v>0.52800000000000002</v>
      </c>
      <c r="P57" s="29">
        <v>0.52800000000000002</v>
      </c>
      <c r="Q57" s="29">
        <v>0.52800000000000002</v>
      </c>
      <c r="R57" s="29">
        <v>0.52800000000000002</v>
      </c>
      <c r="S57" s="29">
        <v>0.52800000000000002</v>
      </c>
      <c r="T57" s="29">
        <v>0.52800000000000002</v>
      </c>
      <c r="U57" s="29">
        <v>0.52800000000000002</v>
      </c>
      <c r="V57" s="29">
        <v>0.52800000000000002</v>
      </c>
      <c r="W57" s="29">
        <v>0.52800000000000002</v>
      </c>
    </row>
    <row r="58" spans="1:23" x14ac:dyDescent="0.35">
      <c r="A58" s="26"/>
      <c r="M58" s="26" t="s">
        <v>32</v>
      </c>
      <c r="N58" s="29">
        <v>0.53500000000000003</v>
      </c>
      <c r="O58" s="29">
        <v>0.53500000000000003</v>
      </c>
      <c r="P58" s="29">
        <v>0.53500000000000003</v>
      </c>
      <c r="Q58" s="29">
        <v>0.53500000000000003</v>
      </c>
      <c r="R58" s="29">
        <v>0.53500000000000003</v>
      </c>
      <c r="S58" s="29">
        <v>0.53500000000000003</v>
      </c>
      <c r="T58" s="29">
        <v>0.53500000000000003</v>
      </c>
      <c r="U58" s="29">
        <v>0.53500000000000003</v>
      </c>
      <c r="V58" s="29">
        <v>0.53500000000000003</v>
      </c>
      <c r="W58" s="29">
        <v>0.53500000000000003</v>
      </c>
    </row>
    <row r="59" spans="1:23" x14ac:dyDescent="0.35">
      <c r="A59" s="26"/>
      <c r="M59" s="26" t="s">
        <v>33</v>
      </c>
      <c r="N59" s="29">
        <v>0.55300000000000005</v>
      </c>
      <c r="O59" s="29">
        <v>0.55300000000000005</v>
      </c>
      <c r="P59" s="29">
        <v>0.55300000000000005</v>
      </c>
      <c r="Q59" s="29">
        <v>0.55300000000000005</v>
      </c>
      <c r="R59" s="29">
        <v>0.55300000000000005</v>
      </c>
      <c r="S59" s="29">
        <v>0.55300000000000005</v>
      </c>
      <c r="T59" s="29">
        <v>0.55300000000000005</v>
      </c>
      <c r="U59" s="29">
        <v>0.55300000000000005</v>
      </c>
      <c r="V59" s="29">
        <v>0.55300000000000005</v>
      </c>
      <c r="W59" s="29">
        <v>0.55300000000000005</v>
      </c>
    </row>
    <row r="60" spans="1:23" x14ac:dyDescent="0.35">
      <c r="E60" s="6" t="s">
        <v>9</v>
      </c>
      <c r="F60" s="6" t="s">
        <v>9</v>
      </c>
      <c r="G60" s="6" t="s">
        <v>9</v>
      </c>
      <c r="H60" s="6"/>
      <c r="I60" s="6"/>
      <c r="J60" s="6"/>
      <c r="K60" s="6"/>
      <c r="L60" s="6"/>
      <c r="N60" s="6" t="s">
        <v>9</v>
      </c>
      <c r="O60" s="6" t="s">
        <v>9</v>
      </c>
      <c r="P60" s="6" t="s">
        <v>9</v>
      </c>
      <c r="Q60" s="6" t="s">
        <v>9</v>
      </c>
      <c r="R60" s="6" t="s">
        <v>9</v>
      </c>
      <c r="S60" s="6" t="s">
        <v>9</v>
      </c>
      <c r="T60" s="6" t="s">
        <v>9</v>
      </c>
      <c r="U60" s="6" t="s">
        <v>9</v>
      </c>
      <c r="V60" s="6" t="s">
        <v>9</v>
      </c>
      <c r="W60" s="6" t="s">
        <v>9</v>
      </c>
    </row>
    <row r="61" spans="1:23" x14ac:dyDescent="0.35">
      <c r="A61" s="4" t="s">
        <v>8</v>
      </c>
      <c r="E61" s="19">
        <f>SUM(E49,E55)</f>
        <v>14174</v>
      </c>
      <c r="F61" s="19">
        <f>SUM(F49,F55)</f>
        <v>16398</v>
      </c>
      <c r="G61" s="19">
        <f>SUM(G49,G55)</f>
        <v>20259</v>
      </c>
      <c r="H61" s="19"/>
      <c r="I61" s="19"/>
      <c r="J61" s="19"/>
      <c r="K61" s="19"/>
      <c r="L61" s="19"/>
      <c r="N61" s="19">
        <f t="shared" ref="N61:W61" si="66">SUM(N49,N55)</f>
        <v>22811.808300000001</v>
      </c>
      <c r="O61" s="19">
        <f t="shared" si="66"/>
        <v>33176.955959999999</v>
      </c>
      <c r="P61" s="19">
        <f t="shared" si="66"/>
        <v>48262.723056000003</v>
      </c>
      <c r="Q61" s="19">
        <f t="shared" si="66"/>
        <v>71179.275486600003</v>
      </c>
      <c r="R61" s="19">
        <f t="shared" si="66"/>
        <v>106465.45928526</v>
      </c>
      <c r="S61" s="19">
        <f t="shared" si="66"/>
        <v>159364.389588786</v>
      </c>
      <c r="T61" s="19">
        <f t="shared" si="66"/>
        <v>222834.76096953958</v>
      </c>
      <c r="U61" s="19">
        <f t="shared" si="66"/>
        <v>267300.73886336852</v>
      </c>
      <c r="V61" s="19">
        <f t="shared" si="66"/>
        <v>294030.81274970539</v>
      </c>
      <c r="W61" s="19">
        <f t="shared" si="66"/>
        <v>320505.80378748849</v>
      </c>
    </row>
    <row r="62" spans="1:23" x14ac:dyDescent="0.35">
      <c r="A62" s="30" t="s">
        <v>37</v>
      </c>
      <c r="E62" s="23">
        <f>E61/E28</f>
        <v>0.76554145287604647</v>
      </c>
      <c r="F62" s="23">
        <f>F61/F28</f>
        <v>0.78757024158301714</v>
      </c>
      <c r="G62" s="23">
        <f>G61/G28</f>
        <v>0.74383169334704069</v>
      </c>
      <c r="H62" s="23"/>
      <c r="I62" s="23"/>
      <c r="J62" s="23"/>
      <c r="K62" s="23"/>
      <c r="L62" s="23"/>
      <c r="N62" s="23">
        <f t="shared" ref="N62:W62" si="67">N61/N28</f>
        <v>0.78865097441322596</v>
      </c>
      <c r="O62" s="23">
        <f t="shared" si="67"/>
        <v>0.77302775571060245</v>
      </c>
      <c r="P62" s="23">
        <f t="shared" si="67"/>
        <v>0.75525782491023863</v>
      </c>
      <c r="Q62" s="23">
        <f t="shared" si="67"/>
        <v>0.74665406332199347</v>
      </c>
      <c r="R62" s="23">
        <f t="shared" si="67"/>
        <v>0.74753641158828921</v>
      </c>
      <c r="S62" s="23">
        <f t="shared" si="67"/>
        <v>0.74818800632797366</v>
      </c>
      <c r="T62" s="23">
        <f t="shared" si="67"/>
        <v>0.7485737962149972</v>
      </c>
      <c r="U62" s="23">
        <f t="shared" si="67"/>
        <v>0.74869194624842772</v>
      </c>
      <c r="V62" s="23">
        <f t="shared" si="67"/>
        <v>0.74869194624842772</v>
      </c>
      <c r="W62" s="23">
        <f t="shared" si="67"/>
        <v>0.74868001710865273</v>
      </c>
    </row>
    <row r="63" spans="1:23" x14ac:dyDescent="0.35">
      <c r="A63" s="7"/>
    </row>
    <row r="64" spans="1:23" x14ac:dyDescent="0.35">
      <c r="A64" s="8" t="s">
        <v>5</v>
      </c>
      <c r="E64" s="18">
        <v>1365</v>
      </c>
      <c r="F64" s="18">
        <v>1341</v>
      </c>
      <c r="G64" s="18">
        <v>1976</v>
      </c>
      <c r="H64" s="18"/>
      <c r="I64" s="18"/>
      <c r="J64" s="18"/>
      <c r="K64" s="18"/>
      <c r="L64" s="18"/>
      <c r="N64" s="27">
        <f t="shared" ref="N64:W64" si="68">N31*N65</f>
        <v>1664.1923999999999</v>
      </c>
      <c r="O64" s="27">
        <f t="shared" si="68"/>
        <v>1780.6858680000003</v>
      </c>
      <c r="P64" s="27">
        <f t="shared" si="68"/>
        <v>1905.3338787600003</v>
      </c>
      <c r="Q64" s="27">
        <f t="shared" si="68"/>
        <v>2038.7072502732003</v>
      </c>
      <c r="R64" s="27">
        <f t="shared" si="68"/>
        <v>2181.4167577923245</v>
      </c>
      <c r="S64" s="27">
        <f t="shared" si="68"/>
        <v>2334.1159308377873</v>
      </c>
      <c r="T64" s="27">
        <f t="shared" si="68"/>
        <v>5835.2898270944679</v>
      </c>
      <c r="U64" s="27">
        <f t="shared" si="68"/>
        <v>14588.22456773617</v>
      </c>
      <c r="V64" s="27">
        <f t="shared" si="68"/>
        <v>36470.561419340425</v>
      </c>
      <c r="W64" s="27">
        <f t="shared" si="68"/>
        <v>39023.500718694253</v>
      </c>
    </row>
    <row r="65" spans="1:23" x14ac:dyDescent="0.35">
      <c r="A65" s="22" t="s">
        <v>37</v>
      </c>
      <c r="E65" s="23">
        <f>E64/E31</f>
        <v>0.87781350482315113</v>
      </c>
      <c r="F65" s="23">
        <f>F64/F31</f>
        <v>0.87589810581319394</v>
      </c>
      <c r="G65" s="23">
        <f>G64/G31</f>
        <v>0.99097291875626881</v>
      </c>
      <c r="H65" s="23"/>
      <c r="I65" s="23"/>
      <c r="J65" s="23"/>
      <c r="K65" s="23"/>
      <c r="L65" s="23"/>
      <c r="N65" s="23">
        <f t="shared" ref="N65:W65" si="69">IF(case="A",N66,IF(case="B",N67,N68))</f>
        <v>0.78</v>
      </c>
      <c r="O65" s="23">
        <f t="shared" si="69"/>
        <v>0.78</v>
      </c>
      <c r="P65" s="23">
        <f t="shared" si="69"/>
        <v>0.78</v>
      </c>
      <c r="Q65" s="23">
        <f t="shared" si="69"/>
        <v>0.78</v>
      </c>
      <c r="R65" s="23">
        <f t="shared" si="69"/>
        <v>0.78</v>
      </c>
      <c r="S65" s="23">
        <f t="shared" si="69"/>
        <v>0.78</v>
      </c>
      <c r="T65" s="23">
        <f t="shared" si="69"/>
        <v>0.78</v>
      </c>
      <c r="U65" s="23">
        <f t="shared" si="69"/>
        <v>0.78</v>
      </c>
      <c r="V65" s="23">
        <f t="shared" si="69"/>
        <v>0.78</v>
      </c>
      <c r="W65" s="23">
        <f t="shared" si="69"/>
        <v>0.78</v>
      </c>
    </row>
    <row r="66" spans="1:23" x14ac:dyDescent="0.35">
      <c r="A66" s="8"/>
      <c r="E66" s="18"/>
      <c r="F66" s="18"/>
      <c r="G66" s="18"/>
      <c r="H66" s="18"/>
      <c r="I66" s="18"/>
      <c r="J66" s="18"/>
      <c r="K66" s="18"/>
      <c r="L66" s="18"/>
      <c r="M66" s="26" t="s">
        <v>31</v>
      </c>
      <c r="N66" s="29">
        <v>0.78</v>
      </c>
      <c r="O66" s="29">
        <v>0.78</v>
      </c>
      <c r="P66" s="29">
        <v>0.78</v>
      </c>
      <c r="Q66" s="29">
        <v>0.78</v>
      </c>
      <c r="R66" s="29">
        <v>0.78</v>
      </c>
      <c r="S66" s="29">
        <v>0.78</v>
      </c>
      <c r="T66" s="29">
        <v>0.78</v>
      </c>
      <c r="U66" s="29">
        <v>0.78</v>
      </c>
      <c r="V66" s="29">
        <v>0.78</v>
      </c>
      <c r="W66" s="29">
        <v>0.78</v>
      </c>
    </row>
    <row r="67" spans="1:23" x14ac:dyDescent="0.35">
      <c r="A67" s="8"/>
      <c r="E67" s="18"/>
      <c r="F67" s="18"/>
      <c r="G67" s="18"/>
      <c r="H67" s="18"/>
      <c r="I67" s="18"/>
      <c r="J67" s="18"/>
      <c r="K67" s="18"/>
      <c r="L67" s="18"/>
      <c r="M67" s="26" t="s">
        <v>32</v>
      </c>
      <c r="N67" s="29">
        <v>0.876</v>
      </c>
      <c r="O67" s="29">
        <v>0.876</v>
      </c>
      <c r="P67" s="29">
        <v>0.876</v>
      </c>
      <c r="Q67" s="29">
        <v>0.876</v>
      </c>
      <c r="R67" s="29">
        <v>0.876</v>
      </c>
      <c r="S67" s="29">
        <v>0.876</v>
      </c>
      <c r="T67" s="29">
        <v>0.876</v>
      </c>
      <c r="U67" s="29">
        <v>0.876</v>
      </c>
      <c r="V67" s="29">
        <v>0.876</v>
      </c>
      <c r="W67" s="29">
        <v>0.876</v>
      </c>
    </row>
    <row r="68" spans="1:23" x14ac:dyDescent="0.35">
      <c r="A68" s="8"/>
      <c r="E68" s="18"/>
      <c r="F68" s="18"/>
      <c r="G68" s="18"/>
      <c r="H68" s="18"/>
      <c r="I68" s="18"/>
      <c r="J68" s="18"/>
      <c r="K68" s="18"/>
      <c r="L68" s="18"/>
      <c r="M68" s="26" t="s">
        <v>33</v>
      </c>
      <c r="N68" s="29">
        <v>0.876</v>
      </c>
      <c r="O68" s="29">
        <v>0.876</v>
      </c>
      <c r="P68" s="29">
        <v>0.876</v>
      </c>
      <c r="Q68" s="29">
        <v>0.876</v>
      </c>
      <c r="R68" s="29">
        <v>0.876</v>
      </c>
      <c r="S68" s="29">
        <v>0.876</v>
      </c>
      <c r="T68" s="29">
        <v>0.876</v>
      </c>
      <c r="U68" s="29">
        <v>0.876</v>
      </c>
      <c r="V68" s="29">
        <v>0.876</v>
      </c>
      <c r="W68" s="29">
        <v>0.876</v>
      </c>
    </row>
    <row r="69" spans="1:23" x14ac:dyDescent="0.35">
      <c r="A69" s="8"/>
      <c r="E69" s="18"/>
      <c r="F69" s="18"/>
      <c r="G69" s="18"/>
      <c r="H69" s="18"/>
      <c r="I69" s="18"/>
      <c r="J69" s="18"/>
      <c r="K69" s="18"/>
      <c r="L69" s="18"/>
      <c r="M69" s="26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x14ac:dyDescent="0.35">
      <c r="A70" s="8"/>
      <c r="E70" s="18"/>
      <c r="F70" s="18"/>
      <c r="G70" s="18"/>
      <c r="H70" s="18"/>
      <c r="I70" s="18"/>
      <c r="J70" s="18"/>
      <c r="K70" s="18"/>
      <c r="L70" s="18"/>
      <c r="M70" s="26"/>
      <c r="N70" s="31"/>
      <c r="O70" s="31"/>
      <c r="P70" s="31"/>
      <c r="Q70" s="31"/>
      <c r="R70" s="31"/>
      <c r="S70" s="31"/>
      <c r="T70" s="31"/>
      <c r="U70" s="31"/>
      <c r="V70" s="31"/>
      <c r="W70" s="31"/>
    </row>
    <row r="71" spans="1:23" x14ac:dyDescent="0.35">
      <c r="A71" s="8" t="s">
        <v>6</v>
      </c>
      <c r="E71" s="18">
        <v>1880</v>
      </c>
      <c r="F71" s="18">
        <v>2770</v>
      </c>
      <c r="G71" s="18">
        <v>2671</v>
      </c>
      <c r="H71" s="18"/>
      <c r="I71" s="18"/>
      <c r="J71" s="18"/>
      <c r="K71" s="18"/>
      <c r="L71" s="18"/>
      <c r="N71" s="27">
        <f t="shared" ref="N71:W71" si="70">N38*N72</f>
        <v>2552.7420000000002</v>
      </c>
      <c r="O71" s="27">
        <f t="shared" si="70"/>
        <v>2825.8853940000004</v>
      </c>
      <c r="P71" s="27">
        <f t="shared" si="70"/>
        <v>3128.2551311580005</v>
      </c>
      <c r="Q71" s="27">
        <f t="shared" si="70"/>
        <v>3462.9784301919067</v>
      </c>
      <c r="R71" s="27">
        <f t="shared" si="70"/>
        <v>3833.5171222224408</v>
      </c>
      <c r="S71" s="27">
        <f t="shared" si="70"/>
        <v>4243.7034543002419</v>
      </c>
      <c r="T71" s="27">
        <f t="shared" si="70"/>
        <v>4697.7797239103675</v>
      </c>
      <c r="U71" s="27">
        <f t="shared" si="70"/>
        <v>5200.4421543687768</v>
      </c>
      <c r="V71" s="27">
        <f t="shared" si="70"/>
        <v>5756.8894648862361</v>
      </c>
      <c r="W71" s="27">
        <f t="shared" si="70"/>
        <v>6372.8766376290632</v>
      </c>
    </row>
    <row r="72" spans="1:23" x14ac:dyDescent="0.35">
      <c r="A72" s="22" t="s">
        <v>37</v>
      </c>
      <c r="E72" s="23">
        <f>E71/E38</f>
        <v>1.3515456506110712</v>
      </c>
      <c r="F72" s="23">
        <f>F71/F38</f>
        <v>1.2443845462713388</v>
      </c>
      <c r="G72" s="23">
        <f>G71/G38</f>
        <v>1.1582827406764962</v>
      </c>
      <c r="H72" s="23"/>
      <c r="I72" s="23"/>
      <c r="J72" s="23"/>
      <c r="K72" s="23"/>
      <c r="L72" s="23"/>
      <c r="N72" s="23">
        <f t="shared" ref="N72:W72" si="71">IF(case="A",N73,IF(case="B",N74,N75))</f>
        <v>1</v>
      </c>
      <c r="O72" s="23">
        <f t="shared" si="71"/>
        <v>1</v>
      </c>
      <c r="P72" s="23">
        <f t="shared" si="71"/>
        <v>1</v>
      </c>
      <c r="Q72" s="23">
        <f t="shared" si="71"/>
        <v>1</v>
      </c>
      <c r="R72" s="23">
        <f t="shared" si="71"/>
        <v>1</v>
      </c>
      <c r="S72" s="23">
        <f t="shared" si="71"/>
        <v>1</v>
      </c>
      <c r="T72" s="23">
        <f t="shared" si="71"/>
        <v>1</v>
      </c>
      <c r="U72" s="23">
        <f t="shared" si="71"/>
        <v>1</v>
      </c>
      <c r="V72" s="23">
        <f t="shared" si="71"/>
        <v>1</v>
      </c>
      <c r="W72" s="23">
        <f t="shared" si="71"/>
        <v>1</v>
      </c>
    </row>
    <row r="73" spans="1:23" x14ac:dyDescent="0.35">
      <c r="A73" s="8"/>
      <c r="E73" s="18"/>
      <c r="F73" s="18"/>
      <c r="G73" s="18"/>
      <c r="H73" s="18"/>
      <c r="I73" s="18"/>
      <c r="J73" s="18"/>
      <c r="K73" s="18"/>
      <c r="L73" s="18"/>
      <c r="M73" s="26" t="s">
        <v>31</v>
      </c>
      <c r="N73" s="29">
        <v>1</v>
      </c>
      <c r="O73" s="29">
        <v>1</v>
      </c>
      <c r="P73" s="29">
        <v>1</v>
      </c>
      <c r="Q73" s="29">
        <v>1</v>
      </c>
      <c r="R73" s="29">
        <v>1</v>
      </c>
      <c r="S73" s="29">
        <v>1</v>
      </c>
      <c r="T73" s="29">
        <v>1</v>
      </c>
      <c r="U73" s="29">
        <v>1</v>
      </c>
      <c r="V73" s="29">
        <v>1</v>
      </c>
      <c r="W73" s="29">
        <v>1</v>
      </c>
    </row>
    <row r="74" spans="1:23" x14ac:dyDescent="0.35">
      <c r="A74" s="8"/>
      <c r="E74" s="18"/>
      <c r="F74" s="18"/>
      <c r="G74" s="18"/>
      <c r="H74" s="18"/>
      <c r="I74" s="18"/>
      <c r="J74" s="18"/>
      <c r="K74" s="18"/>
      <c r="L74" s="18"/>
      <c r="M74" s="26" t="s">
        <v>32</v>
      </c>
      <c r="N74" s="29">
        <v>1</v>
      </c>
      <c r="O74" s="29">
        <v>1</v>
      </c>
      <c r="P74" s="29">
        <v>1</v>
      </c>
      <c r="Q74" s="29">
        <v>1</v>
      </c>
      <c r="R74" s="29">
        <v>1</v>
      </c>
      <c r="S74" s="29">
        <v>1</v>
      </c>
      <c r="T74" s="29">
        <v>1</v>
      </c>
      <c r="U74" s="29">
        <v>1</v>
      </c>
      <c r="V74" s="29">
        <v>1</v>
      </c>
      <c r="W74" s="29">
        <v>1</v>
      </c>
    </row>
    <row r="75" spans="1:23" x14ac:dyDescent="0.35">
      <c r="A75" s="8"/>
      <c r="E75" s="18"/>
      <c r="F75" s="18"/>
      <c r="G75" s="18"/>
      <c r="H75" s="18"/>
      <c r="I75" s="18"/>
      <c r="J75" s="18"/>
      <c r="K75" s="18"/>
      <c r="L75" s="18"/>
      <c r="M75" s="26" t="s">
        <v>33</v>
      </c>
      <c r="N75" s="29">
        <v>1</v>
      </c>
      <c r="O75" s="29">
        <v>1</v>
      </c>
      <c r="P75" s="29">
        <v>1</v>
      </c>
      <c r="Q75" s="29">
        <v>1</v>
      </c>
      <c r="R75" s="29">
        <v>1</v>
      </c>
      <c r="S75" s="29">
        <v>1</v>
      </c>
      <c r="T75" s="29">
        <v>1</v>
      </c>
      <c r="U75" s="29">
        <v>1</v>
      </c>
      <c r="V75" s="29">
        <v>1</v>
      </c>
      <c r="W75" s="29">
        <v>1</v>
      </c>
    </row>
    <row r="76" spans="1:23" x14ac:dyDescent="0.35">
      <c r="A76" s="8"/>
      <c r="E76" s="6" t="s">
        <v>9</v>
      </c>
      <c r="F76" s="6" t="s">
        <v>9</v>
      </c>
      <c r="G76" s="6" t="s">
        <v>9</v>
      </c>
      <c r="H76" s="6"/>
      <c r="I76" s="6"/>
      <c r="J76" s="6"/>
      <c r="K76" s="6"/>
      <c r="L76" s="6"/>
      <c r="N76" s="6" t="s">
        <v>9</v>
      </c>
      <c r="O76" s="6" t="s">
        <v>9</v>
      </c>
      <c r="P76" s="6" t="s">
        <v>9</v>
      </c>
      <c r="Q76" s="6" t="s">
        <v>9</v>
      </c>
      <c r="R76" s="6" t="s">
        <v>9</v>
      </c>
      <c r="S76" s="6" t="s">
        <v>9</v>
      </c>
      <c r="T76" s="6" t="s">
        <v>9</v>
      </c>
      <c r="U76" s="6" t="s">
        <v>9</v>
      </c>
      <c r="V76" s="6" t="s">
        <v>9</v>
      </c>
      <c r="W76" s="6" t="s">
        <v>9</v>
      </c>
    </row>
    <row r="77" spans="1:23" x14ac:dyDescent="0.35">
      <c r="A77" s="4" t="s">
        <v>44</v>
      </c>
      <c r="E77" s="19">
        <f>SUM(E61,E64,E71)</f>
        <v>17419</v>
      </c>
      <c r="F77" s="19">
        <f t="shared" ref="F77:W77" si="72">SUM(F61,F64,F71)</f>
        <v>20509</v>
      </c>
      <c r="G77" s="19">
        <f t="shared" si="72"/>
        <v>24906</v>
      </c>
      <c r="H77" s="19"/>
      <c r="I77" s="19"/>
      <c r="J77" s="19"/>
      <c r="K77" s="19"/>
      <c r="L77" s="19"/>
      <c r="N77" s="19">
        <f t="shared" si="72"/>
        <v>27028.742700000003</v>
      </c>
      <c r="O77" s="19">
        <f t="shared" si="72"/>
        <v>37783.527221999997</v>
      </c>
      <c r="P77" s="19">
        <f t="shared" si="72"/>
        <v>53296.312065918006</v>
      </c>
      <c r="Q77" s="19">
        <f t="shared" si="72"/>
        <v>76680.961167065121</v>
      </c>
      <c r="R77" s="19">
        <f t="shared" si="72"/>
        <v>112480.39316527477</v>
      </c>
      <c r="S77" s="19">
        <f t="shared" si="72"/>
        <v>165942.20897392402</v>
      </c>
      <c r="T77" s="19">
        <f t="shared" si="72"/>
        <v>233367.83052054443</v>
      </c>
      <c r="U77" s="19">
        <f t="shared" si="72"/>
        <v>287089.40558547346</v>
      </c>
      <c r="V77" s="19">
        <f t="shared" si="72"/>
        <v>336258.26363393205</v>
      </c>
      <c r="W77" s="19">
        <f t="shared" si="72"/>
        <v>365902.18114381179</v>
      </c>
    </row>
    <row r="78" spans="1:23" x14ac:dyDescent="0.35">
      <c r="A78" s="30" t="s">
        <v>37</v>
      </c>
      <c r="E78" s="23">
        <f>E77/E44</f>
        <v>0.81165835701971012</v>
      </c>
      <c r="F78" s="23">
        <f>F77/F44</f>
        <v>0.83444543901049717</v>
      </c>
      <c r="G78" s="23">
        <f>G77/G44</f>
        <v>0.7897640791476408</v>
      </c>
      <c r="H78" s="23"/>
      <c r="I78" s="23"/>
      <c r="J78" s="23"/>
      <c r="K78" s="23"/>
      <c r="L78" s="23"/>
      <c r="N78" s="23">
        <f t="shared" ref="N78:W78" si="73">N77/N44</f>
        <v>0.80415350174711453</v>
      </c>
      <c r="O78" s="23">
        <f t="shared" si="73"/>
        <v>0.78671411024767468</v>
      </c>
      <c r="P78" s="23">
        <f t="shared" si="73"/>
        <v>0.76714806902666521</v>
      </c>
      <c r="Q78" s="23">
        <f t="shared" si="73"/>
        <v>0.75616506378660908</v>
      </c>
      <c r="R78" s="23">
        <f t="shared" si="73"/>
        <v>0.75463872617454753</v>
      </c>
      <c r="S78" s="23">
        <f t="shared" si="73"/>
        <v>0.75347237470233774</v>
      </c>
      <c r="T78" s="23">
        <f t="shared" si="73"/>
        <v>0.7531444342589575</v>
      </c>
      <c r="U78" s="23">
        <f t="shared" si="73"/>
        <v>0.75365999293506858</v>
      </c>
      <c r="V78" s="23">
        <f t="shared" si="73"/>
        <v>0.75522915568554394</v>
      </c>
      <c r="W78" s="23">
        <f t="shared" si="73"/>
        <v>0.7552199351555926</v>
      </c>
    </row>
    <row r="79" spans="1:23" x14ac:dyDescent="0.35">
      <c r="A79" s="30" t="s">
        <v>59</v>
      </c>
      <c r="E79" s="23"/>
      <c r="F79" s="23">
        <f t="shared" ref="F79" si="74">F77/E77-1</f>
        <v>0.1773925024398646</v>
      </c>
      <c r="G79" s="23">
        <f>G77/F77-1</f>
        <v>0.21439368082305332</v>
      </c>
      <c r="H79" s="19"/>
      <c r="I79" s="19"/>
      <c r="J79" s="19"/>
      <c r="K79" s="19"/>
      <c r="L79" s="19"/>
      <c r="N79" s="23">
        <f>N77/G77-1</f>
        <v>8.5230173452180313E-2</v>
      </c>
      <c r="O79" s="23">
        <f t="shared" ref="O79:W79" si="75">O77/N77-1</f>
        <v>0.39790176854952231</v>
      </c>
      <c r="P79" s="23">
        <f t="shared" si="75"/>
        <v>0.41057005484880915</v>
      </c>
      <c r="Q79" s="23">
        <f t="shared" si="75"/>
        <v>0.4387667400368056</v>
      </c>
      <c r="R79" s="23">
        <f t="shared" si="75"/>
        <v>0.46686206658538465</v>
      </c>
      <c r="S79" s="23">
        <f t="shared" si="75"/>
        <v>0.47529897704121926</v>
      </c>
      <c r="T79" s="23">
        <f t="shared" si="75"/>
        <v>0.4063198987378529</v>
      </c>
      <c r="U79" s="23">
        <f t="shared" si="75"/>
        <v>0.23020128757720815</v>
      </c>
      <c r="V79" s="23">
        <f t="shared" si="75"/>
        <v>0.17126671027161899</v>
      </c>
      <c r="W79" s="23">
        <f t="shared" si="75"/>
        <v>8.8158182908336213E-2</v>
      </c>
    </row>
    <row r="80" spans="1:23" x14ac:dyDescent="0.35">
      <c r="E80" s="6" t="s">
        <v>9</v>
      </c>
      <c r="F80" s="6" t="s">
        <v>9</v>
      </c>
      <c r="G80" s="6" t="s">
        <v>9</v>
      </c>
      <c r="H80" s="6"/>
      <c r="I80" s="6"/>
      <c r="J80" s="6"/>
      <c r="K80" s="6"/>
      <c r="L80" s="6"/>
      <c r="N80" s="6" t="s">
        <v>9</v>
      </c>
      <c r="O80" s="6" t="s">
        <v>9</v>
      </c>
      <c r="P80" s="6" t="s">
        <v>9</v>
      </c>
      <c r="Q80" s="6" t="s">
        <v>9</v>
      </c>
      <c r="R80" s="6" t="s">
        <v>9</v>
      </c>
      <c r="S80" s="6" t="s">
        <v>9</v>
      </c>
      <c r="T80" s="6" t="s">
        <v>9</v>
      </c>
      <c r="U80" s="6" t="s">
        <v>9</v>
      </c>
      <c r="V80" s="6" t="s">
        <v>9</v>
      </c>
      <c r="W80" s="6" t="s">
        <v>9</v>
      </c>
    </row>
    <row r="81" spans="1:23" s="35" customFormat="1" x14ac:dyDescent="0.35">
      <c r="A81" s="32" t="s">
        <v>10</v>
      </c>
      <c r="E81" s="34">
        <f>E44-E77</f>
        <v>4042</v>
      </c>
      <c r="F81" s="34">
        <f>F44-F77</f>
        <v>4069</v>
      </c>
      <c r="G81" s="34">
        <f>G44-G77</f>
        <v>6630</v>
      </c>
      <c r="H81" s="34"/>
      <c r="I81" s="34"/>
      <c r="J81" s="34"/>
      <c r="K81" s="34"/>
      <c r="L81" s="34"/>
      <c r="N81" s="34">
        <f t="shared" ref="N81:W81" si="76">N44-N77</f>
        <v>6582.6792999999961</v>
      </c>
      <c r="O81" s="34">
        <f t="shared" si="76"/>
        <v>10243.483772</v>
      </c>
      <c r="P81" s="34">
        <f t="shared" si="76"/>
        <v>16176.993307239994</v>
      </c>
      <c r="Q81" s="34">
        <f t="shared" si="76"/>
        <v>24726.740457066786</v>
      </c>
      <c r="R81" s="34">
        <f t="shared" si="76"/>
        <v>36571.58265296348</v>
      </c>
      <c r="S81" s="34">
        <f t="shared" si="76"/>
        <v>54294.410901463125</v>
      </c>
      <c r="T81" s="34">
        <f t="shared" si="76"/>
        <v>76490.172679283191</v>
      </c>
      <c r="U81" s="34">
        <f t="shared" si="76"/>
        <v>93837.548580458504</v>
      </c>
      <c r="V81" s="34">
        <f t="shared" si="76"/>
        <v>108981.78185755911</v>
      </c>
      <c r="W81" s="34">
        <f t="shared" si="76"/>
        <v>118595.33290608885</v>
      </c>
    </row>
    <row r="82" spans="1:23" s="35" customFormat="1" x14ac:dyDescent="0.35">
      <c r="A82" s="40" t="s">
        <v>37</v>
      </c>
      <c r="E82" s="41">
        <f>E81/E44</f>
        <v>0.18834164298028983</v>
      </c>
      <c r="F82" s="41">
        <f>F81/F44</f>
        <v>0.1655545609895028</v>
      </c>
      <c r="G82" s="41">
        <f>G81/G44</f>
        <v>0.2102359208523592</v>
      </c>
      <c r="H82" s="41"/>
      <c r="I82" s="41"/>
      <c r="J82" s="41"/>
      <c r="K82" s="41"/>
      <c r="L82" s="41"/>
      <c r="N82" s="41">
        <f t="shared" ref="N82:W82" si="77">N81/N44</f>
        <v>0.19584649825288547</v>
      </c>
      <c r="O82" s="41">
        <f t="shared" si="77"/>
        <v>0.21328588975232532</v>
      </c>
      <c r="P82" s="41">
        <f t="shared" si="77"/>
        <v>0.23285193097333479</v>
      </c>
      <c r="Q82" s="41">
        <f t="shared" si="77"/>
        <v>0.24383493621339095</v>
      </c>
      <c r="R82" s="41">
        <f t="shared" si="77"/>
        <v>0.2453612738254525</v>
      </c>
      <c r="S82" s="41">
        <f t="shared" si="77"/>
        <v>0.24652762529766228</v>
      </c>
      <c r="T82" s="41">
        <f t="shared" si="77"/>
        <v>0.24685556574104245</v>
      </c>
      <c r="U82" s="41">
        <f t="shared" si="77"/>
        <v>0.24634000706493148</v>
      </c>
      <c r="V82" s="41">
        <f t="shared" si="77"/>
        <v>0.24477084431445603</v>
      </c>
      <c r="W82" s="41">
        <f t="shared" si="77"/>
        <v>0.24478006484440737</v>
      </c>
    </row>
    <row r="83" spans="1:23" x14ac:dyDescent="0.35">
      <c r="A83" s="4"/>
      <c r="E83" s="13" t="s">
        <v>1</v>
      </c>
      <c r="F83" s="13"/>
      <c r="G83" s="13"/>
      <c r="H83" s="13"/>
      <c r="I83" s="13"/>
      <c r="J83" s="13"/>
      <c r="K83" s="13"/>
      <c r="L83" s="13"/>
      <c r="N83" s="9"/>
      <c r="O83" s="9"/>
      <c r="P83" s="9"/>
      <c r="Q83" s="9"/>
      <c r="R83" s="6"/>
      <c r="S83" s="6"/>
      <c r="T83" s="6"/>
      <c r="U83" s="6"/>
      <c r="V83" s="6"/>
      <c r="W83" s="6"/>
    </row>
    <row r="84" spans="1:23" x14ac:dyDescent="0.35">
      <c r="R84" s="17"/>
      <c r="S84" s="17"/>
      <c r="T84" s="17"/>
      <c r="U84" s="17"/>
      <c r="V84" s="17"/>
      <c r="W84" s="17"/>
    </row>
    <row r="85" spans="1:23" x14ac:dyDescent="0.35">
      <c r="A85" t="s">
        <v>11</v>
      </c>
      <c r="E85" s="18">
        <v>1460</v>
      </c>
      <c r="F85" s="18">
        <v>1343</v>
      </c>
      <c r="G85" s="18">
        <v>1491</v>
      </c>
      <c r="H85" s="18"/>
      <c r="I85" s="18"/>
      <c r="J85" s="18"/>
      <c r="K85" s="18"/>
      <c r="L85" s="18"/>
      <c r="N85" s="27">
        <f>G85*(1+N86)</f>
        <v>1491</v>
      </c>
      <c r="O85" s="27">
        <f>N85*(1+O86)</f>
        <v>1535.73</v>
      </c>
      <c r="P85" s="27">
        <f t="shared" ref="P85" si="78">O85*(1+P86)</f>
        <v>1581.8019000000002</v>
      </c>
      <c r="Q85" s="27">
        <f t="shared" ref="Q85" si="79">P85*(1+Q86)</f>
        <v>1629.2559570000003</v>
      </c>
      <c r="R85" s="27">
        <f t="shared" ref="R85" si="80">Q85*(1+R86)</f>
        <v>1678.1336357100004</v>
      </c>
      <c r="S85" s="27">
        <f t="shared" ref="S85" si="81">R85*(1+S86)</f>
        <v>1728.4776447813003</v>
      </c>
      <c r="T85" s="27">
        <f t="shared" ref="T85" si="82">S85*(1+T86)</f>
        <v>1780.3319741247394</v>
      </c>
      <c r="U85" s="27">
        <f t="shared" ref="U85" si="83">T85*(1+U86)</f>
        <v>1833.7419333484816</v>
      </c>
      <c r="V85" s="27">
        <f t="shared" ref="V85" si="84">U85*(1+V86)</f>
        <v>1888.754191348936</v>
      </c>
      <c r="W85" s="27">
        <f t="shared" ref="W85" si="85">V85*(1+W86)</f>
        <v>1945.4168170894043</v>
      </c>
    </row>
    <row r="86" spans="1:23" x14ac:dyDescent="0.35">
      <c r="A86" s="22" t="s">
        <v>59</v>
      </c>
      <c r="E86" s="18"/>
      <c r="F86" s="23">
        <f t="shared" ref="F86:G86" si="86">IFERROR(F85/E85-1,0)</f>
        <v>-8.0136986301369895E-2</v>
      </c>
      <c r="G86" s="23">
        <f t="shared" si="86"/>
        <v>0.11020104244229345</v>
      </c>
      <c r="H86" s="23"/>
      <c r="I86" s="23"/>
      <c r="J86" s="23"/>
      <c r="K86" s="23"/>
      <c r="L86" s="23"/>
      <c r="N86" s="23">
        <f t="shared" ref="N86" si="87">IF(case="A",N87,IF(case="B",N88,N89))</f>
        <v>0</v>
      </c>
      <c r="O86" s="23">
        <f t="shared" ref="O86" si="88">IF(case="A",O87,IF(case="B",O88,O89))</f>
        <v>0.03</v>
      </c>
      <c r="P86" s="23">
        <f t="shared" ref="P86" si="89">IF(case="A",P87,IF(case="B",P88,P89))</f>
        <v>0.03</v>
      </c>
      <c r="Q86" s="23">
        <f t="shared" ref="Q86" si="90">IF(case="A",Q87,IF(case="B",Q88,Q89))</f>
        <v>0.03</v>
      </c>
      <c r="R86" s="23">
        <f t="shared" ref="R86" si="91">IF(case="A",R87,IF(case="B",R88,R89))</f>
        <v>0.03</v>
      </c>
      <c r="S86" s="23">
        <f t="shared" ref="S86" si="92">IF(case="A",S87,IF(case="B",S88,S89))</f>
        <v>0.03</v>
      </c>
      <c r="T86" s="23">
        <f t="shared" ref="T86" si="93">IF(case="A",T87,IF(case="B",T88,T89))</f>
        <v>0.03</v>
      </c>
      <c r="U86" s="23">
        <f t="shared" ref="U86" si="94">IF(case="A",U87,IF(case="B",U88,U89))</f>
        <v>0.03</v>
      </c>
      <c r="V86" s="23">
        <f t="shared" ref="V86" si="95">IF(case="A",V87,IF(case="B",V88,V89))</f>
        <v>0.03</v>
      </c>
      <c r="W86" s="23">
        <f t="shared" ref="W86" si="96">IF(case="A",W87,IF(case="B",W88,W89))</f>
        <v>0.03</v>
      </c>
    </row>
    <row r="87" spans="1:23" x14ac:dyDescent="0.35">
      <c r="E87" s="18"/>
      <c r="F87" s="18"/>
      <c r="G87" s="18"/>
      <c r="H87" s="18"/>
      <c r="I87" s="18"/>
      <c r="J87" s="18"/>
      <c r="K87" s="18"/>
      <c r="L87" s="18"/>
      <c r="M87" s="26" t="s">
        <v>31</v>
      </c>
      <c r="N87" s="29">
        <v>0</v>
      </c>
      <c r="O87" s="29">
        <v>0.03</v>
      </c>
      <c r="P87" s="29">
        <v>0.03</v>
      </c>
      <c r="Q87" s="29">
        <v>0.03</v>
      </c>
      <c r="R87" s="29">
        <v>0.03</v>
      </c>
      <c r="S87" s="29">
        <v>0.03</v>
      </c>
      <c r="T87" s="29">
        <v>0.03</v>
      </c>
      <c r="U87" s="29">
        <v>0.03</v>
      </c>
      <c r="V87" s="29">
        <v>0.03</v>
      </c>
      <c r="W87" s="29">
        <v>0.03</v>
      </c>
    </row>
    <row r="88" spans="1:23" x14ac:dyDescent="0.35">
      <c r="E88" s="18"/>
      <c r="F88" s="18"/>
      <c r="G88" s="18"/>
      <c r="H88" s="18"/>
      <c r="I88" s="18"/>
      <c r="J88" s="18"/>
      <c r="K88" s="18"/>
      <c r="L88" s="18"/>
      <c r="M88" s="26" t="s">
        <v>32</v>
      </c>
      <c r="N88" s="29">
        <v>0</v>
      </c>
      <c r="O88" s="29">
        <v>0.05</v>
      </c>
      <c r="P88" s="29">
        <v>0.05</v>
      </c>
      <c r="Q88" s="29">
        <v>0.05</v>
      </c>
      <c r="R88" s="29">
        <v>0.05</v>
      </c>
      <c r="S88" s="29">
        <v>0.05</v>
      </c>
      <c r="T88" s="29">
        <v>0.05</v>
      </c>
      <c r="U88" s="29">
        <v>0.05</v>
      </c>
      <c r="V88" s="29">
        <v>0.05</v>
      </c>
      <c r="W88" s="29">
        <v>0.05</v>
      </c>
    </row>
    <row r="89" spans="1:23" x14ac:dyDescent="0.35">
      <c r="E89" s="18"/>
      <c r="F89" s="18"/>
      <c r="G89" s="18"/>
      <c r="H89" s="18"/>
      <c r="I89" s="18"/>
      <c r="J89" s="18"/>
      <c r="K89" s="18"/>
      <c r="L89" s="18"/>
      <c r="M89" s="26" t="s">
        <v>33</v>
      </c>
      <c r="N89" s="29">
        <v>0</v>
      </c>
      <c r="O89" s="29">
        <v>7.0000000000000007E-2</v>
      </c>
      <c r="P89" s="29">
        <v>7.0000000000000007E-2</v>
      </c>
      <c r="Q89" s="29">
        <v>7.0000000000000007E-2</v>
      </c>
      <c r="R89" s="29">
        <v>7.0000000000000007E-2</v>
      </c>
      <c r="S89" s="29">
        <v>7.0000000000000007E-2</v>
      </c>
      <c r="T89" s="29">
        <v>7.0000000000000007E-2</v>
      </c>
      <c r="U89" s="29">
        <v>7.0000000000000007E-2</v>
      </c>
      <c r="V89" s="29">
        <v>7.0000000000000007E-2</v>
      </c>
      <c r="W89" s="29">
        <v>7.0000000000000007E-2</v>
      </c>
    </row>
    <row r="90" spans="1:23" x14ac:dyDescent="0.35">
      <c r="E90" s="18"/>
      <c r="F90" s="18"/>
      <c r="G90" s="18"/>
      <c r="H90" s="18"/>
      <c r="I90" s="18"/>
      <c r="J90" s="18"/>
      <c r="K90" s="18"/>
      <c r="L90" s="18"/>
      <c r="R90" s="9"/>
      <c r="S90" s="9"/>
      <c r="T90" s="9"/>
      <c r="U90" s="9"/>
      <c r="V90" s="9"/>
      <c r="W90" s="9"/>
    </row>
    <row r="91" spans="1:23" x14ac:dyDescent="0.35">
      <c r="E91" s="18"/>
      <c r="F91" s="18"/>
      <c r="G91" s="18"/>
      <c r="H91" s="18"/>
      <c r="I91" s="18"/>
      <c r="J91" s="18"/>
      <c r="K91" s="18"/>
      <c r="L91" s="18"/>
      <c r="R91" s="9"/>
      <c r="S91" s="9"/>
      <c r="T91" s="9"/>
      <c r="U91" s="9"/>
      <c r="V91" s="9"/>
      <c r="W91" s="9"/>
    </row>
    <row r="92" spans="1:23" x14ac:dyDescent="0.35">
      <c r="A92" t="s">
        <v>12</v>
      </c>
      <c r="E92" s="18">
        <v>2835</v>
      </c>
      <c r="F92" s="18">
        <v>2646</v>
      </c>
      <c r="G92" s="18">
        <v>3145</v>
      </c>
      <c r="H92" s="18"/>
      <c r="I92" s="18"/>
      <c r="J92" s="18"/>
      <c r="K92" s="18"/>
      <c r="L92" s="18"/>
      <c r="N92" s="27">
        <f>G92*(1+N93)</f>
        <v>3145</v>
      </c>
      <c r="O92" s="27">
        <f>N92*(1+O93)</f>
        <v>3239.35</v>
      </c>
      <c r="P92" s="27">
        <f t="shared" ref="P92" si="97">O92*(1+P93)</f>
        <v>3336.5304999999998</v>
      </c>
      <c r="Q92" s="27">
        <f t="shared" ref="Q92" si="98">P92*(1+Q93)</f>
        <v>3436.6264149999997</v>
      </c>
      <c r="R92" s="27">
        <f t="shared" ref="R92" si="99">Q92*(1+R93)</f>
        <v>3539.7252074499997</v>
      </c>
      <c r="S92" s="27">
        <f t="shared" ref="S92" si="100">R92*(1+S93)</f>
        <v>3645.9169636735</v>
      </c>
      <c r="T92" s="27">
        <f t="shared" ref="T92" si="101">S92*(1+T93)</f>
        <v>3755.2944725837051</v>
      </c>
      <c r="U92" s="27">
        <f t="shared" ref="U92" si="102">T92*(1+U93)</f>
        <v>3867.9533067612165</v>
      </c>
      <c r="V92" s="27">
        <f t="shared" ref="V92" si="103">U92*(1+V93)</f>
        <v>3983.9919059640529</v>
      </c>
      <c r="W92" s="27">
        <f t="shared" ref="W92" si="104">V92*(1+W93)</f>
        <v>4103.5116631429746</v>
      </c>
    </row>
    <row r="93" spans="1:23" x14ac:dyDescent="0.35">
      <c r="A93" s="22" t="s">
        <v>59</v>
      </c>
      <c r="E93" s="23">
        <f t="shared" ref="E93:G93" si="105">E92/E$44</f>
        <v>0.1321000885326872</v>
      </c>
      <c r="F93" s="23">
        <f t="shared" si="105"/>
        <v>0.10765725445520384</v>
      </c>
      <c r="G93" s="23">
        <f t="shared" si="105"/>
        <v>9.9727295788939629E-2</v>
      </c>
      <c r="H93" s="23"/>
      <c r="I93" s="23"/>
      <c r="J93" s="23"/>
      <c r="K93" s="23"/>
      <c r="L93" s="23"/>
      <c r="N93" s="23">
        <f t="shared" ref="N93" si="106">IF(case="A",N94,IF(case="B",N95,N96))</f>
        <v>0</v>
      </c>
      <c r="O93" s="23">
        <f t="shared" ref="O93" si="107">IF(case="A",O94,IF(case="B",O95,O96))</f>
        <v>0.03</v>
      </c>
      <c r="P93" s="23">
        <f t="shared" ref="P93" si="108">IF(case="A",P94,IF(case="B",P95,P96))</f>
        <v>0.03</v>
      </c>
      <c r="Q93" s="23">
        <f t="shared" ref="Q93" si="109">IF(case="A",Q94,IF(case="B",Q95,Q96))</f>
        <v>0.03</v>
      </c>
      <c r="R93" s="23">
        <f t="shared" ref="R93" si="110">IF(case="A",R94,IF(case="B",R95,R96))</f>
        <v>0.03</v>
      </c>
      <c r="S93" s="23">
        <f t="shared" ref="S93" si="111">IF(case="A",S94,IF(case="B",S95,S96))</f>
        <v>0.03</v>
      </c>
      <c r="T93" s="23">
        <f t="shared" ref="T93" si="112">IF(case="A",T94,IF(case="B",T95,T96))</f>
        <v>0.03</v>
      </c>
      <c r="U93" s="23">
        <f t="shared" ref="U93" si="113">IF(case="A",U94,IF(case="B",U95,U96))</f>
        <v>0.03</v>
      </c>
      <c r="V93" s="23">
        <f t="shared" ref="V93" si="114">IF(case="A",V94,IF(case="B",V95,V96))</f>
        <v>0.03</v>
      </c>
      <c r="W93" s="23">
        <f t="shared" ref="W93" si="115">IF(case="A",W94,IF(case="B",W95,W96))</f>
        <v>0.03</v>
      </c>
    </row>
    <row r="94" spans="1:23" x14ac:dyDescent="0.35">
      <c r="E94" s="18"/>
      <c r="F94" s="18"/>
      <c r="G94" s="18"/>
      <c r="H94" s="18"/>
      <c r="I94" s="18"/>
      <c r="J94" s="18"/>
      <c r="K94" s="18"/>
      <c r="L94" s="18"/>
      <c r="M94" s="26" t="s">
        <v>31</v>
      </c>
      <c r="N94" s="29">
        <v>0</v>
      </c>
      <c r="O94" s="29">
        <v>0.03</v>
      </c>
      <c r="P94" s="29">
        <v>0.03</v>
      </c>
      <c r="Q94" s="29">
        <v>0.03</v>
      </c>
      <c r="R94" s="29">
        <v>0.03</v>
      </c>
      <c r="S94" s="29">
        <v>0.03</v>
      </c>
      <c r="T94" s="29">
        <v>0.03</v>
      </c>
      <c r="U94" s="29">
        <v>0.03</v>
      </c>
      <c r="V94" s="29">
        <v>0.03</v>
      </c>
      <c r="W94" s="29">
        <v>0.03</v>
      </c>
    </row>
    <row r="95" spans="1:23" x14ac:dyDescent="0.35">
      <c r="E95" s="18"/>
      <c r="F95" s="18"/>
      <c r="G95" s="18"/>
      <c r="H95" s="18"/>
      <c r="I95" s="18"/>
      <c r="J95" s="18"/>
      <c r="K95" s="18"/>
      <c r="L95" s="18"/>
      <c r="M95" s="26" t="s">
        <v>32</v>
      </c>
      <c r="N95" s="29">
        <v>0</v>
      </c>
      <c r="O95" s="29">
        <v>0.03</v>
      </c>
      <c r="P95" s="29">
        <v>0.03</v>
      </c>
      <c r="Q95" s="29">
        <v>0.03</v>
      </c>
      <c r="R95" s="29">
        <v>0.03</v>
      </c>
      <c r="S95" s="29">
        <v>0.03</v>
      </c>
      <c r="T95" s="29">
        <v>0.03</v>
      </c>
      <c r="U95" s="29">
        <v>0.03</v>
      </c>
      <c r="V95" s="29">
        <v>0.03</v>
      </c>
      <c r="W95" s="29">
        <v>0.03</v>
      </c>
    </row>
    <row r="96" spans="1:23" x14ac:dyDescent="0.35">
      <c r="E96" s="18"/>
      <c r="F96" s="18"/>
      <c r="G96" s="18"/>
      <c r="H96" s="18"/>
      <c r="I96" s="18"/>
      <c r="J96" s="18"/>
      <c r="K96" s="18"/>
      <c r="L96" s="18"/>
      <c r="M96" s="26" t="s">
        <v>33</v>
      </c>
      <c r="N96" s="29">
        <v>0</v>
      </c>
      <c r="O96" s="29">
        <v>0.03</v>
      </c>
      <c r="P96" s="29">
        <v>0.03</v>
      </c>
      <c r="Q96" s="29">
        <v>0.03</v>
      </c>
      <c r="R96" s="29">
        <v>0.03</v>
      </c>
      <c r="S96" s="29">
        <v>0.03</v>
      </c>
      <c r="T96" s="29">
        <v>0.03</v>
      </c>
      <c r="U96" s="29">
        <v>0.03</v>
      </c>
      <c r="V96" s="29">
        <v>0.03</v>
      </c>
      <c r="W96" s="29">
        <v>0.03</v>
      </c>
    </row>
    <row r="97" spans="1:23" x14ac:dyDescent="0.35">
      <c r="E97" s="18"/>
      <c r="F97" s="18"/>
      <c r="G97" s="18"/>
      <c r="H97" s="18"/>
      <c r="I97" s="18"/>
      <c r="J97" s="18"/>
      <c r="K97" s="18"/>
      <c r="L97" s="18"/>
      <c r="M97" s="26"/>
      <c r="N97" s="31"/>
      <c r="O97" s="31"/>
      <c r="P97" s="31"/>
      <c r="Q97" s="31"/>
      <c r="R97" s="31"/>
      <c r="S97" s="31"/>
      <c r="T97" s="31"/>
      <c r="U97" s="31"/>
      <c r="V97" s="31"/>
      <c r="W97" s="31"/>
    </row>
    <row r="98" spans="1:23" x14ac:dyDescent="0.35">
      <c r="A98" t="s">
        <v>13</v>
      </c>
      <c r="E98" s="18">
        <v>135</v>
      </c>
      <c r="F98" s="18">
        <v>149</v>
      </c>
      <c r="G98" s="18">
        <v>0</v>
      </c>
      <c r="H98" s="18"/>
      <c r="I98" s="18"/>
      <c r="J98" s="18"/>
      <c r="K98" s="18"/>
      <c r="L98" s="18"/>
      <c r="R98" s="9"/>
      <c r="S98" s="9"/>
      <c r="T98" s="9"/>
      <c r="U98" s="9"/>
      <c r="V98" s="9"/>
      <c r="W98" s="9"/>
    </row>
    <row r="99" spans="1:23" x14ac:dyDescent="0.35">
      <c r="E99" s="6" t="s">
        <v>9</v>
      </c>
      <c r="F99" s="6" t="s">
        <v>9</v>
      </c>
      <c r="G99" s="6" t="s">
        <v>9</v>
      </c>
      <c r="H99" s="6"/>
      <c r="I99" s="6"/>
      <c r="J99" s="6"/>
      <c r="K99" s="6"/>
      <c r="L99" s="6"/>
      <c r="N99" s="6" t="s">
        <v>9</v>
      </c>
      <c r="O99" s="6" t="s">
        <v>9</v>
      </c>
      <c r="P99" s="6" t="s">
        <v>9</v>
      </c>
      <c r="Q99" s="6" t="s">
        <v>9</v>
      </c>
      <c r="R99" s="6" t="s">
        <v>9</v>
      </c>
      <c r="S99" s="6" t="s">
        <v>9</v>
      </c>
      <c r="T99" s="6" t="s">
        <v>9</v>
      </c>
      <c r="U99" s="6" t="s">
        <v>9</v>
      </c>
      <c r="V99" s="6" t="s">
        <v>9</v>
      </c>
      <c r="W99" s="6" t="s">
        <v>9</v>
      </c>
    </row>
    <row r="100" spans="1:23" x14ac:dyDescent="0.35">
      <c r="A100" s="4" t="s">
        <v>14</v>
      </c>
      <c r="E100" s="19">
        <f>SUM(E85,E92,E98)</f>
        <v>4430</v>
      </c>
      <c r="F100" s="19">
        <f t="shared" ref="F100:W100" si="116">SUM(F85,F92,F98)</f>
        <v>4138</v>
      </c>
      <c r="G100" s="19">
        <f t="shared" si="116"/>
        <v>4636</v>
      </c>
      <c r="H100" s="19"/>
      <c r="I100" s="19"/>
      <c r="J100" s="19"/>
      <c r="K100" s="19"/>
      <c r="L100" s="19"/>
      <c r="N100" s="19">
        <f t="shared" si="116"/>
        <v>4636</v>
      </c>
      <c r="O100" s="19">
        <f t="shared" si="116"/>
        <v>4775.08</v>
      </c>
      <c r="P100" s="19">
        <f t="shared" si="116"/>
        <v>4918.3324000000002</v>
      </c>
      <c r="Q100" s="19">
        <f t="shared" si="116"/>
        <v>5065.882372</v>
      </c>
      <c r="R100" s="19">
        <f t="shared" si="116"/>
        <v>5217.8588431600001</v>
      </c>
      <c r="S100" s="19">
        <f t="shared" si="116"/>
        <v>5374.3946084548006</v>
      </c>
      <c r="T100" s="19">
        <f t="shared" si="116"/>
        <v>5535.6264467084447</v>
      </c>
      <c r="U100" s="19">
        <f t="shared" si="116"/>
        <v>5701.6952401096978</v>
      </c>
      <c r="V100" s="19">
        <f t="shared" si="116"/>
        <v>5872.7460973129891</v>
      </c>
      <c r="W100" s="19">
        <f t="shared" si="116"/>
        <v>6048.9284802323791</v>
      </c>
    </row>
    <row r="101" spans="1:23" x14ac:dyDescent="0.35">
      <c r="A101" s="22" t="s">
        <v>37</v>
      </c>
      <c r="B101" s="10"/>
      <c r="C101" s="10"/>
      <c r="D101" s="10"/>
      <c r="E101" s="23">
        <f>E100/E$44</f>
        <v>0.20642094962956059</v>
      </c>
      <c r="F101" s="23">
        <f t="shared" ref="F101" si="117">F100/F$44</f>
        <v>0.16836194971112378</v>
      </c>
      <c r="G101" s="23">
        <f t="shared" ref="G101" si="118">G100/G$44</f>
        <v>0.14700659563673263</v>
      </c>
      <c r="H101" s="10"/>
      <c r="I101" s="10"/>
      <c r="J101" s="10"/>
      <c r="K101" s="10"/>
      <c r="L101" s="10"/>
      <c r="M101" s="10"/>
      <c r="N101" s="23">
        <f t="shared" ref="N101" si="119">N100/N$44</f>
        <v>0.13792930272334208</v>
      </c>
      <c r="O101" s="23">
        <f t="shared" ref="O101" si="120">O100/O$44</f>
        <v>9.9424884063606403E-2</v>
      </c>
      <c r="P101" s="23">
        <f t="shared" ref="P101" si="121">P100/P$44</f>
        <v>7.079456452492712E-2</v>
      </c>
      <c r="Q101" s="23">
        <f t="shared" ref="Q101" si="122">Q100/Q$44</f>
        <v>4.9955597956225409E-2</v>
      </c>
      <c r="R101" s="23">
        <f t="shared" ref="R101" si="123">R100/R$44</f>
        <v>3.5006975348806708E-2</v>
      </c>
      <c r="S101" s="23">
        <f t="shared" ref="S101" si="124">S100/S$44</f>
        <v>2.4402820073681233E-2</v>
      </c>
      <c r="T101" s="23">
        <f t="shared" ref="T101" si="125">T100/T$44</f>
        <v>1.786504266323086E-2</v>
      </c>
      <c r="U101" s="23">
        <f t="shared" ref="U101" si="126">U100/U$44</f>
        <v>1.4967949045753366E-2</v>
      </c>
      <c r="V101" s="23">
        <f t="shared" ref="V101" si="127">V100/V$44</f>
        <v>1.3190067148677492E-2</v>
      </c>
      <c r="W101" s="23">
        <f t="shared" ref="W101" si="128">W100/W$44</f>
        <v>1.2484952563883274E-2</v>
      </c>
    </row>
    <row r="102" spans="1:23" x14ac:dyDescent="0.35">
      <c r="A102" s="22"/>
      <c r="B102" s="10"/>
      <c r="C102" s="10"/>
      <c r="D102" s="10"/>
      <c r="E102" s="23"/>
      <c r="F102" s="23"/>
      <c r="G102" s="23"/>
      <c r="H102" s="10"/>
      <c r="I102" s="10"/>
      <c r="J102" s="10"/>
      <c r="K102" s="10"/>
      <c r="L102" s="10"/>
      <c r="M102" s="10"/>
      <c r="N102" s="23"/>
      <c r="O102" s="23"/>
      <c r="P102" s="23"/>
      <c r="Q102" s="23"/>
      <c r="R102" s="23"/>
      <c r="S102" s="23"/>
      <c r="T102" s="23"/>
      <c r="U102" s="23"/>
      <c r="V102" s="23"/>
      <c r="W102" s="23"/>
    </row>
    <row r="103" spans="1:23" x14ac:dyDescent="0.35">
      <c r="A103" s="4" t="s">
        <v>65</v>
      </c>
      <c r="E103" s="19">
        <f>E81-E100</f>
        <v>-388</v>
      </c>
      <c r="F103" s="19">
        <f t="shared" ref="F103:G103" si="129">F81-F100</f>
        <v>-69</v>
      </c>
      <c r="G103" s="19">
        <f t="shared" si="129"/>
        <v>1994</v>
      </c>
      <c r="H103" s="19"/>
      <c r="I103" s="19"/>
      <c r="J103" s="19"/>
      <c r="K103" s="19"/>
      <c r="L103" s="19"/>
      <c r="N103" s="19">
        <f t="shared" ref="N103:W103" si="130">N81-N100</f>
        <v>1946.6792999999961</v>
      </c>
      <c r="O103" s="19">
        <f t="shared" si="130"/>
        <v>5468.4037719999997</v>
      </c>
      <c r="P103" s="19">
        <f t="shared" si="130"/>
        <v>11258.660907239995</v>
      </c>
      <c r="Q103" s="19">
        <f t="shared" si="130"/>
        <v>19660.858085066786</v>
      </c>
      <c r="R103" s="19">
        <f t="shared" si="130"/>
        <v>31353.72380980348</v>
      </c>
      <c r="S103" s="19">
        <f t="shared" si="130"/>
        <v>48920.016293008324</v>
      </c>
      <c r="T103" s="19">
        <f t="shared" si="130"/>
        <v>70954.54623257475</v>
      </c>
      <c r="U103" s="19">
        <f t="shared" si="130"/>
        <v>88135.853340348811</v>
      </c>
      <c r="V103" s="19">
        <f t="shared" si="130"/>
        <v>103109.03576024612</v>
      </c>
      <c r="W103" s="19">
        <f t="shared" si="130"/>
        <v>112546.40442585647</v>
      </c>
    </row>
    <row r="104" spans="1:23" x14ac:dyDescent="0.35">
      <c r="A104" s="22" t="s">
        <v>37</v>
      </c>
      <c r="B104" s="10"/>
      <c r="C104" s="10"/>
      <c r="D104" s="10"/>
      <c r="E104" s="23">
        <f>E103/E$44</f>
        <v>-1.8079306649270769E-2</v>
      </c>
      <c r="F104" s="23">
        <f t="shared" ref="F104" si="131">F103/F$44</f>
        <v>-2.8073887216209618E-3</v>
      </c>
      <c r="G104" s="23">
        <f t="shared" ref="G104" si="132">G103/G$44</f>
        <v>6.3229325215626589E-2</v>
      </c>
      <c r="H104" s="10"/>
      <c r="I104" s="10"/>
      <c r="J104" s="10"/>
      <c r="K104" s="10"/>
      <c r="L104" s="10"/>
      <c r="M104" s="10"/>
      <c r="N104" s="23">
        <f t="shared" ref="N104" si="133">N103/N$44</f>
        <v>5.7917195529543386E-2</v>
      </c>
      <c r="O104" s="23">
        <f t="shared" ref="O104" si="134">O103/O$44</f>
        <v>0.11386100568871892</v>
      </c>
      <c r="P104" s="23">
        <f t="shared" ref="P104" si="135">P103/P$44</f>
        <v>0.16205736644840765</v>
      </c>
      <c r="Q104" s="23">
        <f t="shared" ref="Q104" si="136">Q103/Q$44</f>
        <v>0.19387933825716555</v>
      </c>
      <c r="R104" s="23">
        <f t="shared" ref="R104" si="137">R103/R$44</f>
        <v>0.2103542984766458</v>
      </c>
      <c r="S104" s="23">
        <f t="shared" ref="S104" si="138">S103/S$44</f>
        <v>0.22212480522398106</v>
      </c>
      <c r="T104" s="23">
        <f t="shared" ref="T104" si="139">T103/T$44</f>
        <v>0.22899052307781162</v>
      </c>
      <c r="U104" s="23">
        <f t="shared" ref="U104" si="140">U103/U$44</f>
        <v>0.2313720580191781</v>
      </c>
      <c r="V104" s="23">
        <f t="shared" ref="V104" si="141">V103/V$44</f>
        <v>0.23158077716577855</v>
      </c>
      <c r="W104" s="23">
        <f t="shared" ref="W104" si="142">W103/W$44</f>
        <v>0.2322951122805241</v>
      </c>
    </row>
    <row r="105" spans="1:23" x14ac:dyDescent="0.35">
      <c r="A105" s="4"/>
      <c r="E105" s="9"/>
      <c r="F105" s="9"/>
      <c r="G105" s="9"/>
      <c r="H105" s="9"/>
      <c r="I105" s="9"/>
      <c r="J105" s="9"/>
      <c r="K105" s="9"/>
      <c r="L105" s="9"/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spans="1:23" s="10" customFormat="1" x14ac:dyDescent="0.35">
      <c r="A106" s="11" t="s">
        <v>15</v>
      </c>
      <c r="B106"/>
      <c r="C106"/>
      <c r="D106"/>
      <c r="E106" s="18">
        <v>24</v>
      </c>
      <c r="F106" s="18">
        <v>44</v>
      </c>
      <c r="G106" s="18">
        <v>30</v>
      </c>
      <c r="H106" s="18"/>
      <c r="I106" s="18"/>
      <c r="J106" s="18"/>
      <c r="K106" s="18"/>
      <c r="L106" s="18"/>
      <c r="M106"/>
      <c r="N106" s="9"/>
      <c r="O106" s="9"/>
      <c r="P106" s="9"/>
      <c r="Q106" s="9"/>
    </row>
    <row r="107" spans="1:23" s="10" customFormat="1" x14ac:dyDescent="0.35">
      <c r="A107" s="11" t="s">
        <v>16</v>
      </c>
      <c r="B107"/>
      <c r="C107"/>
      <c r="D107"/>
      <c r="E107" s="18">
        <v>-663</v>
      </c>
      <c r="F107" s="18">
        <v>-685</v>
      </c>
      <c r="G107" s="18">
        <v>-748</v>
      </c>
      <c r="H107" s="18"/>
      <c r="I107" s="18"/>
      <c r="J107" s="18"/>
      <c r="K107" s="18"/>
      <c r="L107" s="18"/>
      <c r="M107"/>
      <c r="N107" s="9"/>
      <c r="O107" s="9"/>
      <c r="P107" s="9"/>
      <c r="Q107" s="9"/>
    </row>
    <row r="108" spans="1:23" x14ac:dyDescent="0.35">
      <c r="A108" s="11" t="s">
        <v>17</v>
      </c>
      <c r="E108" s="18">
        <v>22</v>
      </c>
      <c r="F108" s="18">
        <v>45</v>
      </c>
      <c r="G108" s="18">
        <v>-122</v>
      </c>
      <c r="H108" s="18"/>
      <c r="I108" s="18"/>
      <c r="J108" s="18"/>
      <c r="K108" s="18"/>
      <c r="L108" s="18"/>
      <c r="N108" s="9"/>
      <c r="O108" s="9"/>
      <c r="P108" s="9"/>
      <c r="Q108" s="9"/>
    </row>
    <row r="109" spans="1:23" s="10" customFormat="1" x14ac:dyDescent="0.35">
      <c r="A109" s="11"/>
      <c r="B109"/>
      <c r="C109"/>
      <c r="D109"/>
      <c r="E109" s="6" t="s">
        <v>9</v>
      </c>
      <c r="F109" s="6" t="s">
        <v>9</v>
      </c>
      <c r="G109" s="6" t="s">
        <v>9</v>
      </c>
      <c r="H109" s="6"/>
      <c r="I109" s="6"/>
      <c r="J109" s="6"/>
      <c r="K109" s="6"/>
      <c r="L109" s="6"/>
      <c r="M109"/>
      <c r="N109" s="6" t="s">
        <v>9</v>
      </c>
      <c r="O109" s="6" t="s">
        <v>9</v>
      </c>
      <c r="P109" s="6" t="s">
        <v>9</v>
      </c>
      <c r="Q109" s="6" t="s">
        <v>9</v>
      </c>
      <c r="R109" s="6" t="s">
        <v>9</v>
      </c>
      <c r="S109" s="6" t="s">
        <v>9</v>
      </c>
      <c r="T109" s="6" t="s">
        <v>9</v>
      </c>
      <c r="U109" s="6" t="s">
        <v>9</v>
      </c>
      <c r="V109" s="6" t="s">
        <v>9</v>
      </c>
      <c r="W109" s="6" t="s">
        <v>9</v>
      </c>
    </row>
    <row r="110" spans="1:23" s="10" customFormat="1" x14ac:dyDescent="0.35">
      <c r="A110" s="4" t="s">
        <v>18</v>
      </c>
      <c r="B110"/>
      <c r="C110"/>
      <c r="D110"/>
      <c r="E110" s="19">
        <f t="shared" ref="E110:F110" si="143">SUM(E103,E106:E109)</f>
        <v>-1005</v>
      </c>
      <c r="F110" s="19">
        <f t="shared" si="143"/>
        <v>-665</v>
      </c>
      <c r="G110" s="19">
        <f>SUM(G103,G106:G109)</f>
        <v>1154</v>
      </c>
      <c r="H110" s="19"/>
      <c r="I110" s="19"/>
      <c r="J110" s="19"/>
      <c r="K110" s="19"/>
      <c r="L110" s="19"/>
      <c r="M110"/>
      <c r="N110" s="19">
        <f t="shared" ref="N110:W110" si="144">SUM(N103,N106:N109)</f>
        <v>1946.6792999999961</v>
      </c>
      <c r="O110" s="19">
        <f t="shared" si="144"/>
        <v>5468.4037719999997</v>
      </c>
      <c r="P110" s="19">
        <f t="shared" si="144"/>
        <v>11258.660907239995</v>
      </c>
      <c r="Q110" s="19">
        <f t="shared" si="144"/>
        <v>19660.858085066786</v>
      </c>
      <c r="R110" s="19">
        <f t="shared" si="144"/>
        <v>31353.72380980348</v>
      </c>
      <c r="S110" s="19">
        <f t="shared" si="144"/>
        <v>48920.016293008324</v>
      </c>
      <c r="T110" s="19">
        <f t="shared" si="144"/>
        <v>70954.54623257475</v>
      </c>
      <c r="U110" s="19">
        <f t="shared" si="144"/>
        <v>88135.853340348811</v>
      </c>
      <c r="V110" s="19">
        <f t="shared" si="144"/>
        <v>103109.03576024612</v>
      </c>
      <c r="W110" s="19">
        <f t="shared" si="144"/>
        <v>112546.40442585647</v>
      </c>
    </row>
    <row r="111" spans="1:23" s="10" customFormat="1" x14ac:dyDescent="0.35">
      <c r="E111" s="50"/>
    </row>
    <row r="112" spans="1:23" s="10" customFormat="1" x14ac:dyDescent="0.35">
      <c r="A112" s="14" t="s">
        <v>19</v>
      </c>
      <c r="E112" s="18">
        <v>58</v>
      </c>
      <c r="F112" s="18">
        <v>110</v>
      </c>
      <c r="G112" s="18">
        <v>292</v>
      </c>
      <c r="H112" s="18"/>
      <c r="I112" s="18"/>
      <c r="J112" s="18"/>
      <c r="K112" s="18"/>
      <c r="L112" s="18"/>
      <c r="N112" s="51">
        <f>N110*N113</f>
        <v>18.024808333333297</v>
      </c>
      <c r="O112" s="51">
        <f t="shared" ref="O112:W112" si="145">O110*O113</f>
        <v>164.05211315999998</v>
      </c>
      <c r="P112" s="51">
        <f t="shared" si="145"/>
        <v>562.9330453619998</v>
      </c>
      <c r="Q112" s="51">
        <f t="shared" si="145"/>
        <v>1966.0858085066786</v>
      </c>
      <c r="R112" s="51">
        <f t="shared" si="145"/>
        <v>4703.0585714705221</v>
      </c>
      <c r="S112" s="51">
        <f t="shared" si="145"/>
        <v>9784.0032586016659</v>
      </c>
      <c r="T112" s="51">
        <f t="shared" si="145"/>
        <v>14190.909246514952</v>
      </c>
      <c r="U112" s="51">
        <f t="shared" si="145"/>
        <v>17627.170668069764</v>
      </c>
      <c r="V112" s="51">
        <f t="shared" si="145"/>
        <v>20621.807152049223</v>
      </c>
      <c r="W112" s="51">
        <f t="shared" si="145"/>
        <v>22509.280885171294</v>
      </c>
    </row>
    <row r="113" spans="1:23" s="10" customFormat="1" x14ac:dyDescent="0.35">
      <c r="A113" s="36" t="s">
        <v>40</v>
      </c>
      <c r="E113" s="37">
        <f>E112/E44</f>
        <v>2.7025767671590329E-3</v>
      </c>
      <c r="F113" s="37">
        <f>F112/F44</f>
        <v>4.4755472373667511E-3</v>
      </c>
      <c r="G113" s="37">
        <f>G112/G44</f>
        <v>9.2592592592592587E-3</v>
      </c>
      <c r="H113" s="37"/>
      <c r="I113" s="37"/>
      <c r="J113" s="37"/>
      <c r="K113" s="37"/>
      <c r="L113" s="37"/>
      <c r="N113" s="49">
        <f>G113</f>
        <v>9.2592592592592587E-3</v>
      </c>
      <c r="O113" s="49">
        <v>0.03</v>
      </c>
      <c r="P113" s="49">
        <v>0.05</v>
      </c>
      <c r="Q113" s="49">
        <v>0.1</v>
      </c>
      <c r="R113" s="49">
        <v>0.15</v>
      </c>
      <c r="S113" s="49">
        <v>0.2</v>
      </c>
      <c r="T113" s="49">
        <f t="shared" ref="T113:W113" si="146">S113</f>
        <v>0.2</v>
      </c>
      <c r="U113" s="49">
        <f t="shared" si="146"/>
        <v>0.2</v>
      </c>
      <c r="V113" s="49">
        <f t="shared" si="146"/>
        <v>0.2</v>
      </c>
      <c r="W113" s="49">
        <f t="shared" si="146"/>
        <v>0.2</v>
      </c>
    </row>
    <row r="114" spans="1:23" s="10" customFormat="1" x14ac:dyDescent="0.35">
      <c r="A114" s="11"/>
      <c r="B114"/>
      <c r="C114"/>
      <c r="D114"/>
      <c r="E114" s="6" t="s">
        <v>9</v>
      </c>
      <c r="F114" s="6" t="s">
        <v>9</v>
      </c>
      <c r="G114" s="6" t="s">
        <v>9</v>
      </c>
      <c r="H114" s="6"/>
      <c r="I114" s="6"/>
      <c r="J114" s="6"/>
      <c r="K114" s="6"/>
      <c r="L114" s="6"/>
      <c r="M114"/>
      <c r="N114" s="6" t="s">
        <v>9</v>
      </c>
      <c r="O114" s="6" t="s">
        <v>9</v>
      </c>
      <c r="P114" s="6" t="s">
        <v>9</v>
      </c>
      <c r="Q114" s="6" t="s">
        <v>9</v>
      </c>
      <c r="R114" s="6" t="s">
        <v>9</v>
      </c>
      <c r="S114" s="6" t="s">
        <v>9</v>
      </c>
      <c r="T114" s="6" t="s">
        <v>9</v>
      </c>
      <c r="U114" s="6" t="s">
        <v>9</v>
      </c>
      <c r="V114" s="6" t="s">
        <v>9</v>
      </c>
      <c r="W114" s="6" t="s">
        <v>9</v>
      </c>
    </row>
    <row r="115" spans="1:23" s="10" customFormat="1" x14ac:dyDescent="0.35">
      <c r="A115" s="4" t="s">
        <v>20</v>
      </c>
      <c r="E115" s="19">
        <f t="shared" ref="E115:F115" si="147">E110-E112</f>
        <v>-1063</v>
      </c>
      <c r="F115" s="19">
        <f t="shared" si="147"/>
        <v>-775</v>
      </c>
      <c r="G115" s="19">
        <f>G110-G112</f>
        <v>862</v>
      </c>
      <c r="H115" s="19"/>
      <c r="I115" s="19"/>
      <c r="J115" s="19"/>
      <c r="K115" s="19"/>
      <c r="L115" s="19"/>
      <c r="N115" s="19">
        <f t="shared" ref="N115:W115" si="148">N110-N112</f>
        <v>1928.6544916666628</v>
      </c>
      <c r="O115" s="19">
        <f t="shared" si="148"/>
        <v>5304.3516588399998</v>
      </c>
      <c r="P115" s="19">
        <f t="shared" si="148"/>
        <v>10695.727861877995</v>
      </c>
      <c r="Q115" s="19">
        <f t="shared" si="148"/>
        <v>17694.772276560107</v>
      </c>
      <c r="R115" s="19">
        <f t="shared" si="148"/>
        <v>26650.665238332957</v>
      </c>
      <c r="S115" s="19">
        <f t="shared" si="148"/>
        <v>39136.013034406657</v>
      </c>
      <c r="T115" s="19">
        <f t="shared" si="148"/>
        <v>56763.636986059799</v>
      </c>
      <c r="U115" s="19">
        <f t="shared" si="148"/>
        <v>70508.682672279043</v>
      </c>
      <c r="V115" s="19">
        <f t="shared" si="148"/>
        <v>82487.228608196892</v>
      </c>
      <c r="W115" s="19">
        <f t="shared" si="148"/>
        <v>90037.123540685177</v>
      </c>
    </row>
    <row r="116" spans="1:23" s="10" customFormat="1" x14ac:dyDescent="0.35">
      <c r="A116" s="4"/>
      <c r="E116" s="15"/>
      <c r="F116" s="15"/>
      <c r="G116" s="15"/>
      <c r="H116" s="15"/>
      <c r="I116" s="15"/>
      <c r="J116" s="15"/>
      <c r="K116" s="15"/>
      <c r="L116" s="15"/>
    </row>
    <row r="117" spans="1:23" s="10" customFormat="1" x14ac:dyDescent="0.35"/>
    <row r="118" spans="1:23" s="10" customFormat="1" x14ac:dyDescent="0.35">
      <c r="A118" s="10" t="s">
        <v>21</v>
      </c>
      <c r="E118" s="18">
        <v>1901</v>
      </c>
      <c r="F118" s="18">
        <v>2154</v>
      </c>
      <c r="G118" s="18">
        <v>2322</v>
      </c>
      <c r="H118" s="18"/>
      <c r="I118" s="18"/>
      <c r="J118" s="18"/>
      <c r="K118" s="18"/>
      <c r="L118" s="18"/>
      <c r="M118"/>
      <c r="N118" s="46">
        <f>N$44*N119</f>
        <v>6117.2788039999996</v>
      </c>
      <c r="O118" s="46">
        <f t="shared" ref="O118" si="149">O$44*O119</f>
        <v>8740.9160009079988</v>
      </c>
      <c r="P118" s="46">
        <f t="shared" ref="P118" si="150">P$44*P119</f>
        <v>12644.141577914756</v>
      </c>
      <c r="Q118" s="46">
        <f t="shared" ref="Q118" si="151">Q$44*Q119</f>
        <v>18456.201695592008</v>
      </c>
      <c r="R118" s="46">
        <f t="shared" ref="R118" si="152">R$44*R119</f>
        <v>27127.459598919362</v>
      </c>
      <c r="S118" s="46">
        <f t="shared" ref="S118" si="153">S$44*S119</f>
        <v>40083.064817320461</v>
      </c>
      <c r="T118" s="46">
        <f t="shared" ref="T118" si="154">T$44*T119</f>
        <v>56394.156582368625</v>
      </c>
      <c r="U118" s="46">
        <f t="shared" ref="U118" si="155">U$44*U119</f>
        <v>69328.705658199615</v>
      </c>
      <c r="V118" s="46">
        <f t="shared" ref="V118" si="156">V$44*V119</f>
        <v>81033.688279451395</v>
      </c>
      <c r="W118" s="46">
        <f t="shared" ref="W118" si="157">W$44*W119</f>
        <v>88178.547557081911</v>
      </c>
    </row>
    <row r="119" spans="1:23" s="10" customFormat="1" x14ac:dyDescent="0.35">
      <c r="A119" s="22" t="s">
        <v>41</v>
      </c>
      <c r="E119" s="23"/>
      <c r="F119" s="23">
        <f>F118/F147</f>
        <v>0.20719507502885726</v>
      </c>
      <c r="G119" s="23">
        <f>G118/G147</f>
        <v>0.18216050835490705</v>
      </c>
      <c r="H119" s="23"/>
      <c r="I119" s="23"/>
      <c r="J119" s="23"/>
      <c r="K119" s="23"/>
      <c r="L119" s="23"/>
      <c r="M119"/>
      <c r="N119" s="23">
        <f t="shared" ref="N119:W119" si="158">IF(case="A",N120,IF(case="B",N121,N122))</f>
        <v>0.182</v>
      </c>
      <c r="O119" s="23">
        <f t="shared" si="158"/>
        <v>0.182</v>
      </c>
      <c r="P119" s="23">
        <f t="shared" si="158"/>
        <v>0.182</v>
      </c>
      <c r="Q119" s="23">
        <f t="shared" si="158"/>
        <v>0.182</v>
      </c>
      <c r="R119" s="23">
        <f t="shared" si="158"/>
        <v>0.182</v>
      </c>
      <c r="S119" s="23">
        <f t="shared" si="158"/>
        <v>0.182</v>
      </c>
      <c r="T119" s="23">
        <f t="shared" si="158"/>
        <v>0.182</v>
      </c>
      <c r="U119" s="23">
        <f t="shared" si="158"/>
        <v>0.182</v>
      </c>
      <c r="V119" s="23">
        <f t="shared" si="158"/>
        <v>0.182</v>
      </c>
      <c r="W119" s="23">
        <f t="shared" si="158"/>
        <v>0.182</v>
      </c>
    </row>
    <row r="120" spans="1:23" s="10" customFormat="1" x14ac:dyDescent="0.35">
      <c r="A120" s="22"/>
      <c r="E120" s="18"/>
      <c r="F120" s="23"/>
      <c r="G120" s="23"/>
      <c r="H120" s="23"/>
      <c r="I120" s="23"/>
      <c r="J120" s="23"/>
      <c r="K120" s="23"/>
      <c r="L120" s="23"/>
      <c r="M120" s="26" t="s">
        <v>31</v>
      </c>
      <c r="N120" s="48">
        <v>0.182</v>
      </c>
      <c r="O120" s="48">
        <v>0.182</v>
      </c>
      <c r="P120" s="48">
        <v>0.182</v>
      </c>
      <c r="Q120" s="48">
        <v>0.182</v>
      </c>
      <c r="R120" s="48">
        <v>0.182</v>
      </c>
      <c r="S120" s="48">
        <v>0.182</v>
      </c>
      <c r="T120" s="48">
        <v>0.182</v>
      </c>
      <c r="U120" s="48">
        <v>0.182</v>
      </c>
      <c r="V120" s="48">
        <v>0.182</v>
      </c>
      <c r="W120" s="48">
        <v>0.182</v>
      </c>
    </row>
    <row r="121" spans="1:23" s="10" customFormat="1" x14ac:dyDescent="0.35">
      <c r="A121" s="22"/>
      <c r="E121" s="18"/>
      <c r="F121" s="23"/>
      <c r="G121" s="23"/>
      <c r="H121" s="23"/>
      <c r="I121" s="23"/>
      <c r="J121" s="23"/>
      <c r="K121" s="23"/>
      <c r="L121" s="23"/>
      <c r="M121" s="26" t="s">
        <v>32</v>
      </c>
      <c r="N121" s="48">
        <v>0.20699999999999999</v>
      </c>
      <c r="O121" s="48">
        <v>0.20699999999999999</v>
      </c>
      <c r="P121" s="48">
        <v>0.20699999999999999</v>
      </c>
      <c r="Q121" s="48">
        <v>0.20699999999999999</v>
      </c>
      <c r="R121" s="48">
        <v>0.20699999999999999</v>
      </c>
      <c r="S121" s="48">
        <v>0.20699999999999999</v>
      </c>
      <c r="T121" s="48">
        <v>0.20699999999999999</v>
      </c>
      <c r="U121" s="48">
        <v>0.20699999999999999</v>
      </c>
      <c r="V121" s="48">
        <v>0.20699999999999999</v>
      </c>
      <c r="W121" s="48">
        <v>0.20699999999999999</v>
      </c>
    </row>
    <row r="122" spans="1:23" s="10" customFormat="1" x14ac:dyDescent="0.35">
      <c r="A122" s="22"/>
      <c r="E122" s="18"/>
      <c r="F122" s="23"/>
      <c r="G122" s="23"/>
      <c r="H122" s="23"/>
      <c r="I122" s="23"/>
      <c r="J122" s="23"/>
      <c r="K122" s="23"/>
      <c r="L122" s="23"/>
      <c r="M122" s="26" t="s">
        <v>33</v>
      </c>
      <c r="N122" s="48">
        <v>0.20699999999999999</v>
      </c>
      <c r="O122" s="48">
        <v>0.20699999999999999</v>
      </c>
      <c r="P122" s="48">
        <v>0.20699999999999999</v>
      </c>
      <c r="Q122" s="48">
        <v>0.20699999999999999</v>
      </c>
      <c r="R122" s="48">
        <v>0.20699999999999999</v>
      </c>
      <c r="S122" s="48">
        <v>0.20699999999999999</v>
      </c>
      <c r="T122" s="48">
        <v>0.20699999999999999</v>
      </c>
      <c r="U122" s="48">
        <v>0.20699999999999999</v>
      </c>
      <c r="V122" s="48">
        <v>0.20699999999999999</v>
      </c>
      <c r="W122" s="48">
        <v>0.20699999999999999</v>
      </c>
    </row>
    <row r="123" spans="1:23" s="10" customFormat="1" x14ac:dyDescent="0.35">
      <c r="E123" s="18"/>
      <c r="F123" s="18"/>
      <c r="G123" s="18"/>
      <c r="H123" s="18"/>
      <c r="I123" s="18"/>
      <c r="J123" s="18"/>
      <c r="K123" s="18"/>
      <c r="L123" s="18"/>
    </row>
    <row r="124" spans="1:23" s="10" customFormat="1" x14ac:dyDescent="0.35">
      <c r="A124" s="10" t="s">
        <v>23</v>
      </c>
      <c r="D124" s="10" t="s">
        <v>1</v>
      </c>
      <c r="E124" s="18">
        <v>749</v>
      </c>
      <c r="F124" s="18">
        <v>898</v>
      </c>
      <c r="G124" s="18">
        <v>1734</v>
      </c>
      <c r="H124" s="18"/>
      <c r="I124" s="18"/>
      <c r="J124" s="18"/>
      <c r="K124" s="18"/>
      <c r="L124" s="18"/>
      <c r="M124"/>
      <c r="N124" s="46">
        <f>N$44*N125</f>
        <v>840.28555000000006</v>
      </c>
      <c r="O124" s="46">
        <f t="shared" ref="O124:W124" si="159">O$44*O125</f>
        <v>1200.6752748500001</v>
      </c>
      <c r="P124" s="46">
        <f t="shared" si="159"/>
        <v>1736.83263432895</v>
      </c>
      <c r="Q124" s="46">
        <f t="shared" si="159"/>
        <v>2535.1925406032979</v>
      </c>
      <c r="R124" s="46">
        <f t="shared" si="159"/>
        <v>3726.2993954559565</v>
      </c>
      <c r="S124" s="46">
        <f t="shared" si="159"/>
        <v>5505.9154968846788</v>
      </c>
      <c r="T124" s="46">
        <f t="shared" si="159"/>
        <v>7746.4500799956913</v>
      </c>
      <c r="U124" s="46">
        <f t="shared" si="159"/>
        <v>9523.1738541482991</v>
      </c>
      <c r="V124" s="46">
        <f t="shared" si="159"/>
        <v>11131.00113728728</v>
      </c>
      <c r="W124" s="46">
        <f t="shared" si="159"/>
        <v>12112.437851247516</v>
      </c>
    </row>
    <row r="125" spans="1:23" s="10" customFormat="1" x14ac:dyDescent="0.35">
      <c r="A125" s="22" t="s">
        <v>37</v>
      </c>
      <c r="E125" s="23">
        <f>E124/E$44</f>
        <v>3.4900517217277854E-2</v>
      </c>
      <c r="F125" s="23">
        <f t="shared" ref="F125:G125" si="160">F124/F$44</f>
        <v>3.6536740174139472E-2</v>
      </c>
      <c r="G125" s="23">
        <f t="shared" si="160"/>
        <v>5.498477929984779E-2</v>
      </c>
      <c r="H125" s="23"/>
      <c r="I125" s="23"/>
      <c r="J125" s="23"/>
      <c r="K125" s="23"/>
      <c r="L125" s="23"/>
      <c r="M125"/>
      <c r="N125" s="23">
        <f t="shared" ref="N125:W125" si="161">IF(case="A",N126,IF(case="B",N127,N128))</f>
        <v>2.5000000000000001E-2</v>
      </c>
      <c r="O125" s="23">
        <f t="shared" si="161"/>
        <v>2.5000000000000001E-2</v>
      </c>
      <c r="P125" s="23">
        <f t="shared" si="161"/>
        <v>2.5000000000000001E-2</v>
      </c>
      <c r="Q125" s="23">
        <f t="shared" si="161"/>
        <v>2.5000000000000001E-2</v>
      </c>
      <c r="R125" s="23">
        <f t="shared" si="161"/>
        <v>2.5000000000000001E-2</v>
      </c>
      <c r="S125" s="23">
        <f t="shared" si="161"/>
        <v>2.5000000000000001E-2</v>
      </c>
      <c r="T125" s="23">
        <f t="shared" si="161"/>
        <v>2.5000000000000001E-2</v>
      </c>
      <c r="U125" s="23">
        <f t="shared" si="161"/>
        <v>2.5000000000000001E-2</v>
      </c>
      <c r="V125" s="23">
        <f t="shared" si="161"/>
        <v>2.5000000000000001E-2</v>
      </c>
      <c r="W125" s="23">
        <f t="shared" si="161"/>
        <v>2.5000000000000001E-2</v>
      </c>
    </row>
    <row r="126" spans="1:23" s="10" customFormat="1" x14ac:dyDescent="0.35">
      <c r="E126" s="18"/>
      <c r="F126" s="18"/>
      <c r="G126" s="18"/>
      <c r="H126" s="18"/>
      <c r="I126" s="18"/>
      <c r="J126" s="18"/>
      <c r="K126" s="18"/>
      <c r="L126" s="18"/>
      <c r="M126" s="26" t="s">
        <v>31</v>
      </c>
      <c r="N126" s="48">
        <v>2.5000000000000001E-2</v>
      </c>
      <c r="O126" s="48">
        <v>2.5000000000000001E-2</v>
      </c>
      <c r="P126" s="48">
        <v>2.5000000000000001E-2</v>
      </c>
      <c r="Q126" s="48">
        <v>2.5000000000000001E-2</v>
      </c>
      <c r="R126" s="48">
        <v>2.5000000000000001E-2</v>
      </c>
      <c r="S126" s="48">
        <v>2.5000000000000001E-2</v>
      </c>
      <c r="T126" s="48">
        <v>2.5000000000000001E-2</v>
      </c>
      <c r="U126" s="48">
        <v>2.5000000000000001E-2</v>
      </c>
      <c r="V126" s="48">
        <v>2.5000000000000001E-2</v>
      </c>
      <c r="W126" s="48">
        <v>2.5000000000000001E-2</v>
      </c>
    </row>
    <row r="127" spans="1:23" s="10" customFormat="1" x14ac:dyDescent="0.35">
      <c r="E127" s="18"/>
      <c r="F127" s="18"/>
      <c r="G127" s="18"/>
      <c r="H127" s="18"/>
      <c r="I127" s="18"/>
      <c r="J127" s="18"/>
      <c r="K127" s="18"/>
      <c r="L127" s="18"/>
      <c r="M127" s="26" t="s">
        <v>32</v>
      </c>
      <c r="N127" s="48">
        <v>3.6999999999999998E-2</v>
      </c>
      <c r="O127" s="48">
        <v>3.6999999999999998E-2</v>
      </c>
      <c r="P127" s="48">
        <v>3.6999999999999998E-2</v>
      </c>
      <c r="Q127" s="48">
        <v>3.6999999999999998E-2</v>
      </c>
      <c r="R127" s="48">
        <v>3.6999999999999998E-2</v>
      </c>
      <c r="S127" s="48">
        <v>3.6999999999999998E-2</v>
      </c>
      <c r="T127" s="48">
        <v>3.6999999999999998E-2</v>
      </c>
      <c r="U127" s="48">
        <v>3.6999999999999998E-2</v>
      </c>
      <c r="V127" s="48">
        <v>3.6999999999999998E-2</v>
      </c>
      <c r="W127" s="48">
        <v>3.6999999999999998E-2</v>
      </c>
    </row>
    <row r="128" spans="1:23" s="10" customFormat="1" x14ac:dyDescent="0.35">
      <c r="E128" s="18"/>
      <c r="F128" s="18"/>
      <c r="G128" s="18"/>
      <c r="H128" s="18"/>
      <c r="I128" s="18"/>
      <c r="J128" s="18"/>
      <c r="K128" s="18"/>
      <c r="L128" s="18"/>
      <c r="M128" s="26" t="s">
        <v>33</v>
      </c>
      <c r="N128" s="48">
        <v>5.5E-2</v>
      </c>
      <c r="O128" s="48">
        <v>5.5E-2</v>
      </c>
      <c r="P128" s="48">
        <v>5.5E-2</v>
      </c>
      <c r="Q128" s="48">
        <v>5.5E-2</v>
      </c>
      <c r="R128" s="48">
        <v>5.5E-2</v>
      </c>
      <c r="S128" s="48">
        <v>5.5E-2</v>
      </c>
      <c r="T128" s="48">
        <v>5.5E-2</v>
      </c>
      <c r="U128" s="48">
        <v>5.5E-2</v>
      </c>
      <c r="V128" s="48">
        <v>5.5E-2</v>
      </c>
      <c r="W128" s="48">
        <v>5.5E-2</v>
      </c>
    </row>
    <row r="129" spans="1:23" x14ac:dyDescent="0.35">
      <c r="A129" s="10"/>
      <c r="B129" s="10"/>
      <c r="C129" s="10"/>
      <c r="D129" s="10"/>
      <c r="E129" s="6" t="s">
        <v>9</v>
      </c>
      <c r="F129" s="6" t="s">
        <v>9</v>
      </c>
      <c r="G129" s="6" t="s">
        <v>9</v>
      </c>
      <c r="H129" s="6"/>
      <c r="I129" s="6"/>
      <c r="J129" s="6"/>
      <c r="K129" s="6"/>
      <c r="L129" s="6"/>
      <c r="N129" s="6" t="s">
        <v>9</v>
      </c>
      <c r="O129" s="6" t="s">
        <v>9</v>
      </c>
      <c r="P129" s="6" t="s">
        <v>9</v>
      </c>
      <c r="Q129" s="6" t="s">
        <v>9</v>
      </c>
      <c r="R129" s="6" t="s">
        <v>9</v>
      </c>
      <c r="S129" s="6" t="s">
        <v>9</v>
      </c>
      <c r="T129" s="6" t="s">
        <v>9</v>
      </c>
      <c r="U129" s="6" t="s">
        <v>9</v>
      </c>
      <c r="V129" s="6" t="s">
        <v>9</v>
      </c>
      <c r="W129" s="6" t="s">
        <v>9</v>
      </c>
    </row>
    <row r="130" spans="1:23" s="38" customFormat="1" x14ac:dyDescent="0.35">
      <c r="A130" s="16" t="s">
        <v>22</v>
      </c>
      <c r="B130" s="10"/>
      <c r="C130" s="10"/>
      <c r="D130" s="10"/>
      <c r="E130" s="19">
        <f>E81-E100+E118+E124</f>
        <v>2262</v>
      </c>
      <c r="F130" s="19">
        <f>F81-F100+F118+F124</f>
        <v>2983</v>
      </c>
      <c r="G130" s="19">
        <f>G81-G100+G118+G124</f>
        <v>6050</v>
      </c>
      <c r="H130" s="19"/>
      <c r="I130" s="19"/>
      <c r="J130" s="19"/>
      <c r="K130" s="19"/>
      <c r="L130" s="19"/>
      <c r="M130" s="10"/>
      <c r="N130" s="19">
        <f t="shared" ref="N130:W130" si="162">N81-N100+N118+N124</f>
        <v>8904.2436539999962</v>
      </c>
      <c r="O130" s="19">
        <f t="shared" si="162"/>
        <v>15409.995047757999</v>
      </c>
      <c r="P130" s="19">
        <f t="shared" si="162"/>
        <v>25639.635119483704</v>
      </c>
      <c r="Q130" s="19">
        <f t="shared" si="162"/>
        <v>40652.252321262087</v>
      </c>
      <c r="R130" s="19">
        <f t="shared" si="162"/>
        <v>62207.482804178799</v>
      </c>
      <c r="S130" s="19">
        <f t="shared" si="162"/>
        <v>94508.99660721347</v>
      </c>
      <c r="T130" s="19">
        <f t="shared" si="162"/>
        <v>135095.15289493906</v>
      </c>
      <c r="U130" s="19">
        <f t="shared" si="162"/>
        <v>166987.73285269673</v>
      </c>
      <c r="V130" s="19">
        <f t="shared" si="162"/>
        <v>195273.72517698476</v>
      </c>
      <c r="W130" s="19">
        <f t="shared" si="162"/>
        <v>212837.38983418592</v>
      </c>
    </row>
    <row r="131" spans="1:23" x14ac:dyDescent="0.35">
      <c r="A131" s="22" t="s">
        <v>37</v>
      </c>
      <c r="B131" s="10"/>
      <c r="C131" s="10"/>
      <c r="D131" s="10"/>
      <c r="E131" s="23">
        <f>E130/E$44</f>
        <v>0.10540049391920227</v>
      </c>
      <c r="F131" s="23">
        <f t="shared" ref="F131" si="163">F130/F$44</f>
        <v>0.12136870371877288</v>
      </c>
      <c r="G131" s="23">
        <f t="shared" ref="G131" si="164">G130/G$44</f>
        <v>0.19184424150177576</v>
      </c>
      <c r="H131" s="10"/>
      <c r="I131" s="10"/>
      <c r="J131" s="10"/>
      <c r="K131" s="10"/>
      <c r="L131" s="10"/>
      <c r="M131" s="10"/>
      <c r="N131" s="23">
        <f t="shared" ref="N131" si="165">N130/N$44</f>
        <v>0.2649171955295434</v>
      </c>
      <c r="O131" s="23">
        <f t="shared" ref="O131" si="166">O130/O$44</f>
        <v>0.32086100568871889</v>
      </c>
      <c r="P131" s="23">
        <f t="shared" ref="P131" si="167">P130/P$44</f>
        <v>0.3690573664484077</v>
      </c>
      <c r="Q131" s="23">
        <f t="shared" ref="Q131" si="168">Q130/Q$44</f>
        <v>0.40087933825716549</v>
      </c>
      <c r="R131" s="23">
        <f t="shared" ref="R131" si="169">R130/R$44</f>
        <v>0.41735429847664579</v>
      </c>
      <c r="S131" s="23">
        <f t="shared" ref="S131" si="170">S130/S$44</f>
        <v>0.42912480522398111</v>
      </c>
      <c r="T131" s="23">
        <f t="shared" ref="T131" si="171">T130/T$44</f>
        <v>0.43599052307781161</v>
      </c>
      <c r="U131" s="23">
        <f t="shared" ref="U131" si="172">U130/U$44</f>
        <v>0.43837205801917811</v>
      </c>
      <c r="V131" s="23">
        <f t="shared" ref="V131" si="173">V130/V$44</f>
        <v>0.43858077716577848</v>
      </c>
      <c r="W131" s="23">
        <f t="shared" ref="W131" si="174">W130/W$44</f>
        <v>0.43929511228052415</v>
      </c>
    </row>
    <row r="132" spans="1:23" x14ac:dyDescent="0.35">
      <c r="A132" s="30" t="s">
        <v>59</v>
      </c>
      <c r="E132" s="23"/>
      <c r="F132" s="23">
        <f t="shared" ref="F132" si="175">F130/E130-1</f>
        <v>0.31874447391688765</v>
      </c>
      <c r="G132" s="23">
        <f>G130/F130-1</f>
        <v>1.0281595709017766</v>
      </c>
      <c r="H132" s="19"/>
      <c r="I132" s="19"/>
      <c r="J132" s="19"/>
      <c r="K132" s="19"/>
      <c r="L132" s="19"/>
      <c r="N132" s="23">
        <f>N130/G130-1</f>
        <v>0.4717758105785117</v>
      </c>
      <c r="O132" s="23">
        <f t="shared" ref="O132:W132" si="176">O130/N130-1</f>
        <v>0.73063492493665816</v>
      </c>
      <c r="P132" s="23">
        <f t="shared" si="176"/>
        <v>0.66383149637767191</v>
      </c>
      <c r="Q132" s="23">
        <f t="shared" si="176"/>
        <v>0.58552382402549119</v>
      </c>
      <c r="R132" s="23">
        <f t="shared" si="176"/>
        <v>0.53023459346292645</v>
      </c>
      <c r="S132" s="23">
        <f t="shared" si="176"/>
        <v>0.51925447465404928</v>
      </c>
      <c r="T132" s="23">
        <f t="shared" si="176"/>
        <v>0.42944225147585402</v>
      </c>
      <c r="U132" s="23">
        <f t="shared" si="176"/>
        <v>0.23607493884373421</v>
      </c>
      <c r="V132" s="23">
        <f t="shared" si="176"/>
        <v>0.16938964222743036</v>
      </c>
      <c r="W132" s="23">
        <f t="shared" si="176"/>
        <v>8.994381932993023E-2</v>
      </c>
    </row>
    <row r="134" spans="1:23" s="39" customFormat="1" x14ac:dyDescent="0.35">
      <c r="A134" s="2" t="s">
        <v>42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23" x14ac:dyDescent="0.35">
      <c r="R135" s="6"/>
      <c r="S135" s="6"/>
      <c r="T135" s="6"/>
      <c r="U135" s="6"/>
      <c r="V135" s="6"/>
      <c r="W135" s="6"/>
    </row>
    <row r="136" spans="1:23" x14ac:dyDescent="0.35">
      <c r="A136" t="s">
        <v>24</v>
      </c>
      <c r="F136" s="18">
        <v>12103</v>
      </c>
      <c r="G136" s="18">
        <v>26717</v>
      </c>
      <c r="H136" s="18"/>
      <c r="I136" s="18"/>
      <c r="J136" s="18"/>
      <c r="K136" s="18"/>
      <c r="L136" s="18"/>
    </row>
    <row r="137" spans="1:23" x14ac:dyDescent="0.35">
      <c r="A137" t="s">
        <v>28</v>
      </c>
      <c r="E137" s="12"/>
      <c r="F137" s="18">
        <v>6268</v>
      </c>
      <c r="G137" s="18">
        <v>19384</v>
      </c>
      <c r="H137" s="18"/>
      <c r="I137" s="18"/>
      <c r="J137" s="18"/>
      <c r="K137" s="18"/>
      <c r="L137" s="18"/>
    </row>
    <row r="138" spans="1:23" x14ac:dyDescent="0.35">
      <c r="A138" t="s">
        <v>25</v>
      </c>
      <c r="E138" s="12"/>
      <c r="F138" s="18">
        <v>10667</v>
      </c>
      <c r="G138" s="18">
        <v>14248</v>
      </c>
      <c r="H138" s="18"/>
      <c r="I138" s="18"/>
      <c r="J138" s="18"/>
      <c r="K138" s="18"/>
      <c r="L138" s="18"/>
    </row>
    <row r="139" spans="1:23" x14ac:dyDescent="0.35">
      <c r="A139" t="s">
        <v>26</v>
      </c>
      <c r="E139" s="12"/>
      <c r="F139" s="18">
        <v>1785</v>
      </c>
      <c r="G139" s="18">
        <v>2132</v>
      </c>
      <c r="H139" s="18"/>
      <c r="I139" s="18"/>
      <c r="J139" s="18"/>
      <c r="K139" s="18"/>
      <c r="L139" s="18"/>
    </row>
    <row r="140" spans="1:23" s="38" customFormat="1" x14ac:dyDescent="0.35">
      <c r="A140"/>
      <c r="B140"/>
      <c r="C140"/>
      <c r="D140"/>
      <c r="E140" s="6" t="s">
        <v>9</v>
      </c>
      <c r="F140" s="6" t="s">
        <v>9</v>
      </c>
      <c r="G140" s="6" t="s">
        <v>9</v>
      </c>
      <c r="H140" s="6"/>
      <c r="I140" s="6"/>
      <c r="J140" s="6"/>
      <c r="K140" s="6"/>
      <c r="L140" s="6"/>
      <c r="M140"/>
      <c r="N140" s="6" t="s">
        <v>9</v>
      </c>
      <c r="O140" s="6" t="s">
        <v>9</v>
      </c>
      <c r="P140" s="6" t="s">
        <v>9</v>
      </c>
      <c r="Q140" s="6" t="s">
        <v>9</v>
      </c>
      <c r="R140" s="6" t="s">
        <v>9</v>
      </c>
      <c r="S140" s="6" t="s">
        <v>9</v>
      </c>
      <c r="T140" s="6" t="s">
        <v>9</v>
      </c>
      <c r="U140" s="6" t="s">
        <v>9</v>
      </c>
      <c r="V140" s="6" t="s">
        <v>9</v>
      </c>
      <c r="W140" s="6" t="s">
        <v>9</v>
      </c>
    </row>
    <row r="141" spans="1:23" x14ac:dyDescent="0.35">
      <c r="A141" s="16" t="s">
        <v>27</v>
      </c>
      <c r="E141" s="19">
        <f t="shared" ref="E141:F141" si="177">E136-E137-E138+E139</f>
        <v>0</v>
      </c>
      <c r="F141" s="19">
        <f t="shared" si="177"/>
        <v>-3047</v>
      </c>
      <c r="G141" s="19">
        <f>G136-G137-G138+G139</f>
        <v>-4783</v>
      </c>
      <c r="H141" s="19"/>
      <c r="I141" s="19"/>
      <c r="J141" s="19"/>
      <c r="K141" s="19"/>
      <c r="L141" s="19"/>
      <c r="N141" s="42">
        <f>N$44*N142</f>
        <v>-3764.4792640000001</v>
      </c>
      <c r="O141" s="42">
        <f t="shared" ref="O141:W141" si="178">O$44*O142</f>
        <v>-5379.0252313279998</v>
      </c>
      <c r="P141" s="42">
        <f t="shared" si="178"/>
        <v>-7781.0102017936961</v>
      </c>
      <c r="Q141" s="42">
        <f t="shared" si="178"/>
        <v>-11357.662581902774</v>
      </c>
      <c r="R141" s="42">
        <f t="shared" si="178"/>
        <v>-16693.821291642686</v>
      </c>
      <c r="S141" s="42">
        <f t="shared" si="178"/>
        <v>-24666.50142604336</v>
      </c>
      <c r="T141" s="42">
        <f t="shared" si="178"/>
        <v>-34704.096358380695</v>
      </c>
      <c r="U141" s="42">
        <f t="shared" si="178"/>
        <v>-42663.818866584385</v>
      </c>
      <c r="V141" s="42">
        <f t="shared" si="178"/>
        <v>-49866.885095047008</v>
      </c>
      <c r="W141" s="42">
        <f t="shared" si="178"/>
        <v>-54263.721573588875</v>
      </c>
    </row>
    <row r="142" spans="1:23" x14ac:dyDescent="0.35">
      <c r="A142" s="30" t="s">
        <v>37</v>
      </c>
      <c r="E142" s="23">
        <f t="shared" ref="E142:F142" si="179">E141/E$44</f>
        <v>0</v>
      </c>
      <c r="F142" s="23">
        <f t="shared" si="179"/>
        <v>-0.12397265847505899</v>
      </c>
      <c r="G142" s="23">
        <f t="shared" ref="G142" si="180">G141/G$44</f>
        <v>-0.15166793505834603</v>
      </c>
      <c r="H142" s="23"/>
      <c r="I142" s="23"/>
      <c r="J142" s="23"/>
      <c r="K142" s="23"/>
      <c r="L142" s="23"/>
      <c r="N142" s="23">
        <f t="shared" ref="N142:W142" si="181">IF(case="A",N143,IF(case="B",N144,N145))</f>
        <v>-0.112</v>
      </c>
      <c r="O142" s="23">
        <f t="shared" si="181"/>
        <v>-0.112</v>
      </c>
      <c r="P142" s="23">
        <f t="shared" si="181"/>
        <v>-0.112</v>
      </c>
      <c r="Q142" s="23">
        <f t="shared" si="181"/>
        <v>-0.112</v>
      </c>
      <c r="R142" s="23">
        <f t="shared" si="181"/>
        <v>-0.112</v>
      </c>
      <c r="S142" s="23">
        <f t="shared" si="181"/>
        <v>-0.112</v>
      </c>
      <c r="T142" s="23">
        <f t="shared" si="181"/>
        <v>-0.112</v>
      </c>
      <c r="U142" s="23">
        <f t="shared" si="181"/>
        <v>-0.112</v>
      </c>
      <c r="V142" s="23">
        <f t="shared" si="181"/>
        <v>-0.112</v>
      </c>
      <c r="W142" s="23">
        <f t="shared" si="181"/>
        <v>-0.112</v>
      </c>
    </row>
    <row r="143" spans="1:23" x14ac:dyDescent="0.35">
      <c r="A143" s="30"/>
      <c r="F143" s="23"/>
      <c r="G143" s="23"/>
      <c r="H143" s="23"/>
      <c r="I143" s="23"/>
      <c r="J143" s="23"/>
      <c r="K143" s="23"/>
      <c r="L143" s="23"/>
      <c r="M143" s="26" t="s">
        <v>31</v>
      </c>
      <c r="N143" s="29">
        <v>-0.112</v>
      </c>
      <c r="O143" s="29">
        <v>-0.112</v>
      </c>
      <c r="P143" s="29">
        <v>-0.112</v>
      </c>
      <c r="Q143" s="29">
        <v>-0.112</v>
      </c>
      <c r="R143" s="29">
        <v>-0.112</v>
      </c>
      <c r="S143" s="29">
        <v>-0.112</v>
      </c>
      <c r="T143" s="29">
        <v>-0.112</v>
      </c>
      <c r="U143" s="29">
        <v>-0.112</v>
      </c>
      <c r="V143" s="29">
        <v>-0.112</v>
      </c>
      <c r="W143" s="29">
        <v>-0.112</v>
      </c>
    </row>
    <row r="144" spans="1:23" x14ac:dyDescent="0.35">
      <c r="A144" s="30"/>
      <c r="F144" s="23"/>
      <c r="G144" s="23"/>
      <c r="H144" s="23"/>
      <c r="I144" s="23"/>
      <c r="J144" s="23"/>
      <c r="K144" s="23"/>
      <c r="L144" s="23"/>
      <c r="M144" s="26" t="s">
        <v>32</v>
      </c>
      <c r="N144" s="29">
        <v>-0.124</v>
      </c>
      <c r="O144" s="29">
        <v>-0.124</v>
      </c>
      <c r="P144" s="29">
        <v>-0.124</v>
      </c>
      <c r="Q144" s="29">
        <v>-0.124</v>
      </c>
      <c r="R144" s="29">
        <v>-0.124</v>
      </c>
      <c r="S144" s="29">
        <v>-0.124</v>
      </c>
      <c r="T144" s="29">
        <v>-0.124</v>
      </c>
      <c r="U144" s="29">
        <v>-0.124</v>
      </c>
      <c r="V144" s="29">
        <v>-0.124</v>
      </c>
      <c r="W144" s="29">
        <v>-0.124</v>
      </c>
    </row>
    <row r="145" spans="1:23" x14ac:dyDescent="0.35">
      <c r="A145" s="30"/>
      <c r="F145" s="23"/>
      <c r="G145" s="23"/>
      <c r="H145" s="23"/>
      <c r="I145" s="23"/>
      <c r="J145" s="23"/>
      <c r="K145" s="23"/>
      <c r="L145" s="23"/>
      <c r="M145" s="26" t="s">
        <v>33</v>
      </c>
      <c r="N145" s="29">
        <v>-0.124</v>
      </c>
      <c r="O145" s="29">
        <v>-0.124</v>
      </c>
      <c r="P145" s="29">
        <v>-0.124</v>
      </c>
      <c r="Q145" s="29">
        <v>-0.124</v>
      </c>
      <c r="R145" s="29">
        <v>-0.124</v>
      </c>
      <c r="S145" s="29">
        <v>-0.124</v>
      </c>
      <c r="T145" s="29">
        <v>-0.124</v>
      </c>
      <c r="U145" s="29">
        <v>-0.124</v>
      </c>
      <c r="V145" s="29">
        <v>-0.124</v>
      </c>
      <c r="W145" s="29">
        <v>-0.124</v>
      </c>
    </row>
    <row r="146" spans="1:23" x14ac:dyDescent="0.35">
      <c r="A146" s="30"/>
      <c r="F146" s="23"/>
      <c r="G146" s="23"/>
      <c r="H146" s="23"/>
      <c r="I146" s="23"/>
      <c r="J146" s="23"/>
      <c r="K146" s="23"/>
      <c r="L146" s="23"/>
    </row>
    <row r="147" spans="1:23" x14ac:dyDescent="0.35">
      <c r="A147" t="s">
        <v>43</v>
      </c>
      <c r="F147" s="18">
        <v>10396</v>
      </c>
      <c r="G147" s="18">
        <v>12747</v>
      </c>
      <c r="H147" s="18"/>
      <c r="I147" s="18"/>
      <c r="J147" s="18"/>
      <c r="K147" s="18"/>
      <c r="L147" s="18"/>
    </row>
    <row r="149" spans="1:23" s="39" customFormat="1" x14ac:dyDescent="0.35">
      <c r="A149" s="2" t="s">
        <v>45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23" s="38" customFormat="1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23" x14ac:dyDescent="0.35">
      <c r="A151" t="s">
        <v>46</v>
      </c>
      <c r="E151" s="18">
        <v>-2101</v>
      </c>
      <c r="F151" s="18">
        <v>-1327</v>
      </c>
      <c r="G151" s="18">
        <v>-3157</v>
      </c>
      <c r="H151" s="18"/>
      <c r="I151" s="18"/>
      <c r="J151" s="18"/>
      <c r="K151" s="18"/>
      <c r="L151" s="18"/>
    </row>
    <row r="152" spans="1:23" x14ac:dyDescent="0.35">
      <c r="A152" t="s">
        <v>47</v>
      </c>
      <c r="E152" s="18">
        <v>-218</v>
      </c>
      <c r="F152" s="18">
        <v>-105</v>
      </c>
      <c r="G152" s="18">
        <v>-75</v>
      </c>
      <c r="H152" s="18"/>
      <c r="I152" s="18"/>
      <c r="J152" s="18"/>
      <c r="K152" s="18"/>
      <c r="L152" s="18"/>
    </row>
    <row r="153" spans="1:23" x14ac:dyDescent="0.35">
      <c r="E153" s="6" t="s">
        <v>9</v>
      </c>
      <c r="F153" s="6" t="s">
        <v>9</v>
      </c>
      <c r="G153" s="6" t="s">
        <v>9</v>
      </c>
      <c r="H153" s="6"/>
      <c r="I153" s="6"/>
      <c r="J153" s="6"/>
      <c r="K153" s="6"/>
      <c r="L153" s="6"/>
      <c r="N153" s="6" t="s">
        <v>9</v>
      </c>
      <c r="O153" s="6" t="s">
        <v>9</v>
      </c>
      <c r="P153" s="6" t="s">
        <v>9</v>
      </c>
      <c r="Q153" s="6" t="s">
        <v>9</v>
      </c>
      <c r="R153" s="6" t="s">
        <v>9</v>
      </c>
      <c r="S153" s="6" t="s">
        <v>9</v>
      </c>
      <c r="T153" s="6" t="s">
        <v>9</v>
      </c>
      <c r="U153" s="6" t="s">
        <v>9</v>
      </c>
      <c r="V153" s="6" t="s">
        <v>9</v>
      </c>
      <c r="W153" s="6" t="s">
        <v>9</v>
      </c>
    </row>
    <row r="154" spans="1:23" x14ac:dyDescent="0.35">
      <c r="A154" s="16" t="s">
        <v>66</v>
      </c>
      <c r="E154" s="42">
        <f>SUM(E151:E153)</f>
        <v>-2319</v>
      </c>
      <c r="F154" s="42">
        <f t="shared" ref="F154:G154" si="182">SUM(F151:F153)</f>
        <v>-1432</v>
      </c>
      <c r="G154" s="42">
        <f t="shared" si="182"/>
        <v>-3232</v>
      </c>
      <c r="H154" s="42"/>
      <c r="I154" s="42"/>
      <c r="J154" s="42"/>
      <c r="K154" s="42"/>
      <c r="L154" s="42"/>
      <c r="N154" s="42">
        <f>N$44*N155</f>
        <v>-1949.4624759999999</v>
      </c>
      <c r="O154" s="42">
        <f t="shared" ref="O154" si="183">O$44*O155</f>
        <v>-2785.5666376519998</v>
      </c>
      <c r="P154" s="42">
        <f t="shared" ref="P154" si="184">P$44*P155</f>
        <v>-4029.4517116431643</v>
      </c>
      <c r="Q154" s="42">
        <f t="shared" ref="Q154" si="185">Q$44*Q155</f>
        <v>-5881.6466941996505</v>
      </c>
      <c r="R154" s="42">
        <f t="shared" ref="R154" si="186">R$44*R155</f>
        <v>-8645.014597457819</v>
      </c>
      <c r="S154" s="42">
        <f t="shared" ref="S154" si="187">S$44*S155</f>
        <v>-12773.723952772454</v>
      </c>
      <c r="T154" s="42">
        <f t="shared" ref="T154" si="188">T$44*T155</f>
        <v>-17971.764185590004</v>
      </c>
      <c r="U154" s="42">
        <f t="shared" ref="U154" si="189">U$44*U155</f>
        <v>-22093.763341624057</v>
      </c>
      <c r="V154" s="42">
        <f t="shared" ref="V154" si="190">V$44*V155</f>
        <v>-25823.922638506487</v>
      </c>
      <c r="W154" s="42">
        <f t="shared" ref="W154" si="191">W$44*W155</f>
        <v>-28100.855814894239</v>
      </c>
    </row>
    <row r="155" spans="1:23" x14ac:dyDescent="0.35">
      <c r="A155" s="30" t="s">
        <v>37</v>
      </c>
      <c r="E155" s="23">
        <f t="shared" ref="E155" si="192">E154/E$44</f>
        <v>-0.1080564745352034</v>
      </c>
      <c r="F155" s="23">
        <f t="shared" ref="F155" si="193">F154/F$44</f>
        <v>-5.8263487671901704E-2</v>
      </c>
      <c r="G155" s="23">
        <f t="shared" ref="G155" si="194">G154/G$44</f>
        <v>-0.10248604769152714</v>
      </c>
      <c r="H155" s="23"/>
      <c r="I155" s="23"/>
      <c r="J155" s="23"/>
      <c r="K155" s="23"/>
      <c r="L155" s="23"/>
      <c r="N155" s="23">
        <f t="shared" ref="N155:W155" si="195">IF(case="A",N156,IF(case="B",N157,N158))</f>
        <v>-5.8000000000000003E-2</v>
      </c>
      <c r="O155" s="23">
        <f t="shared" si="195"/>
        <v>-5.8000000000000003E-2</v>
      </c>
      <c r="P155" s="23">
        <f t="shared" si="195"/>
        <v>-5.8000000000000003E-2</v>
      </c>
      <c r="Q155" s="23">
        <f t="shared" si="195"/>
        <v>-5.8000000000000003E-2</v>
      </c>
      <c r="R155" s="23">
        <f t="shared" si="195"/>
        <v>-5.8000000000000003E-2</v>
      </c>
      <c r="S155" s="23">
        <f t="shared" si="195"/>
        <v>-5.8000000000000003E-2</v>
      </c>
      <c r="T155" s="23">
        <f t="shared" si="195"/>
        <v>-5.8000000000000003E-2</v>
      </c>
      <c r="U155" s="23">
        <f t="shared" si="195"/>
        <v>-5.8000000000000003E-2</v>
      </c>
      <c r="V155" s="23">
        <f t="shared" si="195"/>
        <v>-5.8000000000000003E-2</v>
      </c>
      <c r="W155" s="23">
        <f t="shared" si="195"/>
        <v>-5.8000000000000003E-2</v>
      </c>
    </row>
    <row r="156" spans="1:23" x14ac:dyDescent="0.35">
      <c r="A156" s="30"/>
      <c r="E156" s="23"/>
      <c r="F156" s="23"/>
      <c r="G156" s="23"/>
      <c r="H156" s="23"/>
      <c r="I156" s="23"/>
      <c r="J156" s="23"/>
      <c r="K156" s="23"/>
      <c r="L156" s="23"/>
      <c r="M156" s="26" t="s">
        <v>31</v>
      </c>
      <c r="N156" s="29">
        <v>-5.8000000000000003E-2</v>
      </c>
      <c r="O156" s="29">
        <v>-5.8000000000000003E-2</v>
      </c>
      <c r="P156" s="29">
        <v>-5.8000000000000003E-2</v>
      </c>
      <c r="Q156" s="29">
        <v>-5.8000000000000003E-2</v>
      </c>
      <c r="R156" s="29">
        <v>-5.8000000000000003E-2</v>
      </c>
      <c r="S156" s="29">
        <v>-5.8000000000000003E-2</v>
      </c>
      <c r="T156" s="29">
        <v>-5.8000000000000003E-2</v>
      </c>
      <c r="U156" s="29">
        <v>-5.8000000000000003E-2</v>
      </c>
      <c r="V156" s="29">
        <v>-5.8000000000000003E-2</v>
      </c>
      <c r="W156" s="29">
        <v>-5.8000000000000003E-2</v>
      </c>
    </row>
    <row r="157" spans="1:23" x14ac:dyDescent="0.35">
      <c r="A157" s="30"/>
      <c r="E157" s="23"/>
      <c r="F157" s="23"/>
      <c r="G157" s="23"/>
      <c r="H157" s="23"/>
      <c r="I157" s="23"/>
      <c r="J157" s="23"/>
      <c r="K157" s="23"/>
      <c r="L157" s="23"/>
      <c r="M157" s="26" t="s">
        <v>32</v>
      </c>
      <c r="N157" s="29">
        <v>-0.08</v>
      </c>
      <c r="O157" s="29">
        <v>-0.08</v>
      </c>
      <c r="P157" s="29">
        <v>-0.08</v>
      </c>
      <c r="Q157" s="29">
        <v>-0.08</v>
      </c>
      <c r="R157" s="29">
        <v>-0.08</v>
      </c>
      <c r="S157" s="29">
        <v>-0.08</v>
      </c>
      <c r="T157" s="29">
        <v>-0.08</v>
      </c>
      <c r="U157" s="29">
        <v>-0.08</v>
      </c>
      <c r="V157" s="29">
        <v>-0.08</v>
      </c>
      <c r="W157" s="29">
        <v>-0.08</v>
      </c>
    </row>
    <row r="158" spans="1:23" x14ac:dyDescent="0.35">
      <c r="A158" s="30"/>
      <c r="E158" s="23"/>
      <c r="F158" s="23"/>
      <c r="G158" s="23"/>
      <c r="H158" s="23"/>
      <c r="I158" s="23"/>
      <c r="J158" s="23"/>
      <c r="K158" s="23"/>
      <c r="L158" s="23"/>
      <c r="M158" s="26" t="s">
        <v>33</v>
      </c>
      <c r="N158" s="29">
        <v>-0.108</v>
      </c>
      <c r="O158" s="29">
        <v>-0.108</v>
      </c>
      <c r="P158" s="29">
        <v>-0.108</v>
      </c>
      <c r="Q158" s="29">
        <v>-0.108</v>
      </c>
      <c r="R158" s="29">
        <v>-0.108</v>
      </c>
      <c r="S158" s="29">
        <v>-0.108</v>
      </c>
      <c r="T158" s="29">
        <v>-0.108</v>
      </c>
      <c r="U158" s="29">
        <v>-0.108</v>
      </c>
      <c r="V158" s="29">
        <v>-0.108</v>
      </c>
      <c r="W158" s="29">
        <v>-0.108</v>
      </c>
    </row>
    <row r="159" spans="1:23" x14ac:dyDescent="0.35">
      <c r="A159" s="30"/>
      <c r="E159" s="23"/>
      <c r="F159" s="23"/>
      <c r="G159" s="23"/>
      <c r="H159" s="23"/>
      <c r="I159" s="23"/>
      <c r="J159" s="23"/>
      <c r="K159" s="23"/>
      <c r="L159" s="23"/>
    </row>
    <row r="161" spans="1:27" s="39" customFormat="1" x14ac:dyDescent="0.35">
      <c r="A161" s="2" t="s">
        <v>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3" spans="1:27" x14ac:dyDescent="0.35">
      <c r="A163" s="3" t="s">
        <v>60</v>
      </c>
      <c r="E163" s="42"/>
      <c r="F163" s="42">
        <f t="shared" ref="F163:G163" si="196">F130</f>
        <v>2983</v>
      </c>
      <c r="G163" s="42">
        <f t="shared" si="196"/>
        <v>6050</v>
      </c>
      <c r="N163" s="42">
        <f>N130</f>
        <v>8904.2436539999962</v>
      </c>
      <c r="O163" s="42">
        <f t="shared" ref="O163:W163" si="197">O130</f>
        <v>15409.995047757999</v>
      </c>
      <c r="P163" s="42">
        <f t="shared" si="197"/>
        <v>25639.635119483704</v>
      </c>
      <c r="Q163" s="42">
        <f t="shared" si="197"/>
        <v>40652.252321262087</v>
      </c>
      <c r="R163" s="42">
        <f t="shared" si="197"/>
        <v>62207.482804178799</v>
      </c>
      <c r="S163" s="42">
        <f t="shared" si="197"/>
        <v>94508.99660721347</v>
      </c>
      <c r="T163" s="42">
        <f t="shared" si="197"/>
        <v>135095.15289493906</v>
      </c>
      <c r="U163" s="42">
        <f t="shared" si="197"/>
        <v>166987.73285269673</v>
      </c>
      <c r="V163" s="42">
        <f t="shared" si="197"/>
        <v>195273.72517698476</v>
      </c>
      <c r="W163" s="42">
        <f t="shared" si="197"/>
        <v>212837.38983418592</v>
      </c>
    </row>
    <row r="164" spans="1:27" x14ac:dyDescent="0.35">
      <c r="A164" s="47" t="s">
        <v>61</v>
      </c>
      <c r="E164" s="27"/>
      <c r="F164" s="27">
        <f t="shared" ref="F164:G164" si="198">-F112</f>
        <v>-110</v>
      </c>
      <c r="G164" s="27">
        <f t="shared" si="198"/>
        <v>-292</v>
      </c>
      <c r="N164" s="27">
        <f>-N112</f>
        <v>-18.024808333333297</v>
      </c>
      <c r="O164" s="27">
        <f t="shared" ref="O164:W164" si="199">-O112</f>
        <v>-164.05211315999998</v>
      </c>
      <c r="P164" s="27">
        <f t="shared" si="199"/>
        <v>-562.9330453619998</v>
      </c>
      <c r="Q164" s="27">
        <f t="shared" si="199"/>
        <v>-1966.0858085066786</v>
      </c>
      <c r="R164" s="27">
        <f t="shared" si="199"/>
        <v>-4703.0585714705221</v>
      </c>
      <c r="S164" s="27">
        <f t="shared" si="199"/>
        <v>-9784.0032586016659</v>
      </c>
      <c r="T164" s="27">
        <f t="shared" si="199"/>
        <v>-14190.909246514952</v>
      </c>
      <c r="U164" s="27">
        <f t="shared" si="199"/>
        <v>-17627.170668069764</v>
      </c>
      <c r="V164" s="27">
        <f t="shared" si="199"/>
        <v>-20621.807152049223</v>
      </c>
      <c r="W164" s="27">
        <f t="shared" si="199"/>
        <v>-22509.280885171294</v>
      </c>
    </row>
    <row r="165" spans="1:27" ht="15" thickBot="1" x14ac:dyDescent="0.4">
      <c r="A165" s="47" t="s">
        <v>62</v>
      </c>
      <c r="E165" s="27"/>
      <c r="F165" s="27">
        <f t="shared" ref="F165:G165" si="200">F154</f>
        <v>-1432</v>
      </c>
      <c r="G165" s="27">
        <f t="shared" si="200"/>
        <v>-3232</v>
      </c>
      <c r="N165" s="27">
        <f>N154</f>
        <v>-1949.4624759999999</v>
      </c>
      <c r="O165" s="27">
        <f t="shared" ref="O165:W165" si="201">O154</f>
        <v>-2785.5666376519998</v>
      </c>
      <c r="P165" s="27">
        <f t="shared" si="201"/>
        <v>-4029.4517116431643</v>
      </c>
      <c r="Q165" s="27">
        <f t="shared" si="201"/>
        <v>-5881.6466941996505</v>
      </c>
      <c r="R165" s="27">
        <f t="shared" si="201"/>
        <v>-8645.014597457819</v>
      </c>
      <c r="S165" s="27">
        <f t="shared" si="201"/>
        <v>-12773.723952772454</v>
      </c>
      <c r="T165" s="27">
        <f t="shared" si="201"/>
        <v>-17971.764185590004</v>
      </c>
      <c r="U165" s="27">
        <f t="shared" si="201"/>
        <v>-22093.763341624057</v>
      </c>
      <c r="V165" s="27">
        <f t="shared" si="201"/>
        <v>-25823.922638506487</v>
      </c>
      <c r="W165" s="27">
        <f t="shared" si="201"/>
        <v>-28100.855814894239</v>
      </c>
    </row>
    <row r="166" spans="1:27" ht="15" thickBot="1" x14ac:dyDescent="0.4">
      <c r="A166" s="47" t="s">
        <v>63</v>
      </c>
      <c r="E166" s="27"/>
      <c r="F166" s="27">
        <f>-(F141-E141)</f>
        <v>3047</v>
      </c>
      <c r="G166" s="27">
        <f>-(G141-F141)</f>
        <v>1736</v>
      </c>
      <c r="N166" s="27">
        <f>-(N141-G141)</f>
        <v>-1018.5207359999999</v>
      </c>
      <c r="O166" s="27">
        <f>-(O141-N141)</f>
        <v>1614.5459673279997</v>
      </c>
      <c r="P166" s="27">
        <f t="shared" ref="P166:W166" si="202">-(P141-O141)</f>
        <v>2401.9849704656963</v>
      </c>
      <c r="Q166" s="27">
        <f t="shared" si="202"/>
        <v>3576.652380109078</v>
      </c>
      <c r="R166" s="27">
        <f t="shared" si="202"/>
        <v>5336.1587097399115</v>
      </c>
      <c r="S166" s="27">
        <f t="shared" si="202"/>
        <v>7972.6801344006744</v>
      </c>
      <c r="T166" s="27">
        <f t="shared" si="202"/>
        <v>10037.594932337335</v>
      </c>
      <c r="U166" s="27">
        <f t="shared" si="202"/>
        <v>7959.7225082036894</v>
      </c>
      <c r="V166" s="27">
        <f t="shared" si="202"/>
        <v>7203.0662284626233</v>
      </c>
      <c r="W166" s="27">
        <f t="shared" si="202"/>
        <v>4396.8364785418671</v>
      </c>
      <c r="Z166" s="66" t="s">
        <v>80</v>
      </c>
      <c r="AA166" s="65"/>
    </row>
    <row r="167" spans="1:27" x14ac:dyDescent="0.35">
      <c r="A167" s="47" t="s">
        <v>64</v>
      </c>
      <c r="Z167" s="54" t="s">
        <v>71</v>
      </c>
      <c r="AA167" s="55">
        <f>3.3*10^8*(1.015^11)/1000000</f>
        <v>388.72314934217349</v>
      </c>
    </row>
    <row r="168" spans="1:27" x14ac:dyDescent="0.35">
      <c r="E168" s="6"/>
      <c r="F168" s="6" t="s">
        <v>9</v>
      </c>
      <c r="G168" s="6" t="s">
        <v>9</v>
      </c>
      <c r="H168" s="6"/>
      <c r="I168" s="6"/>
      <c r="J168" s="6"/>
      <c r="K168" s="6"/>
      <c r="L168" s="6"/>
      <c r="N168" s="6" t="s">
        <v>9</v>
      </c>
      <c r="O168" s="6" t="s">
        <v>9</v>
      </c>
      <c r="P168" s="6" t="s">
        <v>9</v>
      </c>
      <c r="Q168" s="6" t="s">
        <v>9</v>
      </c>
      <c r="R168" s="6" t="s">
        <v>9</v>
      </c>
      <c r="S168" s="6" t="s">
        <v>9</v>
      </c>
      <c r="T168" s="6" t="s">
        <v>9</v>
      </c>
      <c r="U168" s="6" t="s">
        <v>9</v>
      </c>
      <c r="V168" s="6" t="s">
        <v>9</v>
      </c>
      <c r="W168" s="6" t="s">
        <v>9</v>
      </c>
      <c r="Z168" s="56" t="s">
        <v>73</v>
      </c>
      <c r="AA168" s="57">
        <v>0.3</v>
      </c>
    </row>
    <row r="169" spans="1:27" s="3" customFormat="1" x14ac:dyDescent="0.35">
      <c r="A169" s="52" t="s">
        <v>67</v>
      </c>
      <c r="F169" s="42">
        <f>SUM(F163:F168)</f>
        <v>4488</v>
      </c>
      <c r="G169" s="42">
        <f t="shared" ref="G169" si="203">SUM(G163:G168)</f>
        <v>4262</v>
      </c>
      <c r="N169" s="42">
        <f t="shared" ref="N169" si="204">SUM(N163:N168)</f>
        <v>5918.2356336666635</v>
      </c>
      <c r="O169" s="42">
        <f t="shared" ref="O169" si="205">SUM(O163:O168)</f>
        <v>14074.922264273999</v>
      </c>
      <c r="P169" s="42">
        <f t="shared" ref="P169" si="206">SUM(P163:P168)</f>
        <v>23449.235332944238</v>
      </c>
      <c r="Q169" s="42">
        <f t="shared" ref="Q169" si="207">SUM(Q163:Q168)</f>
        <v>36381.172198664841</v>
      </c>
      <c r="R169" s="42">
        <f t="shared" ref="R169" si="208">SUM(R163:R168)</f>
        <v>54195.568344990366</v>
      </c>
      <c r="S169" s="42">
        <f t="shared" ref="S169" si="209">SUM(S163:S168)</f>
        <v>79923.949530240032</v>
      </c>
      <c r="T169" s="42">
        <f t="shared" ref="T169" si="210">SUM(T163:T168)</f>
        <v>112970.07439517144</v>
      </c>
      <c r="U169" s="42">
        <f t="shared" ref="U169" si="211">SUM(U163:U168)</f>
        <v>135226.52135120658</v>
      </c>
      <c r="V169" s="42">
        <f t="shared" ref="V169" si="212">SUM(V163:V168)</f>
        <v>156031.06161489166</v>
      </c>
      <c r="W169" s="42">
        <f t="shared" ref="W169" si="213">SUM(W163:W168)</f>
        <v>166624.08961266224</v>
      </c>
      <c r="Z169" s="54" t="s">
        <v>74</v>
      </c>
      <c r="AA169" s="58">
        <f>AA167*AA168</f>
        <v>116.61694480265204</v>
      </c>
    </row>
    <row r="170" spans="1:27" x14ac:dyDescent="0.35">
      <c r="A170" s="52" t="s">
        <v>83</v>
      </c>
      <c r="W170" s="42">
        <f>W169*(1+B176)/B175</f>
        <v>1707896.9185297878</v>
      </c>
      <c r="Z170" s="56" t="s">
        <v>72</v>
      </c>
      <c r="AA170" s="55">
        <v>60</v>
      </c>
    </row>
    <row r="171" spans="1:27" x14ac:dyDescent="0.35">
      <c r="A171" s="52" t="s">
        <v>84</v>
      </c>
      <c r="W171" s="42">
        <f>AA177/(1+B175)^10</f>
        <v>3340.4751651744791</v>
      </c>
      <c r="Z171" s="56" t="s">
        <v>75</v>
      </c>
      <c r="AA171" s="59">
        <f>2*((1+0.02)^20)</f>
        <v>2.9718947919567085</v>
      </c>
    </row>
    <row r="172" spans="1:27" x14ac:dyDescent="0.35">
      <c r="E172" s="6"/>
      <c r="F172" s="6" t="s">
        <v>9</v>
      </c>
      <c r="G172" s="6" t="s">
        <v>9</v>
      </c>
      <c r="H172" s="6"/>
      <c r="I172" s="6"/>
      <c r="J172" s="6"/>
      <c r="K172" s="6"/>
      <c r="L172" s="6"/>
      <c r="N172" s="6" t="s">
        <v>9</v>
      </c>
      <c r="O172" s="6" t="s">
        <v>9</v>
      </c>
      <c r="P172" s="6" t="s">
        <v>9</v>
      </c>
      <c r="Q172" s="6" t="s">
        <v>9</v>
      </c>
      <c r="R172" s="6" t="s">
        <v>9</v>
      </c>
      <c r="S172" s="6" t="s">
        <v>9</v>
      </c>
      <c r="T172" s="6" t="s">
        <v>9</v>
      </c>
      <c r="U172" s="6" t="s">
        <v>9</v>
      </c>
      <c r="V172" s="6" t="s">
        <v>9</v>
      </c>
      <c r="W172" s="6" t="s">
        <v>9</v>
      </c>
      <c r="Z172" s="56" t="s">
        <v>76</v>
      </c>
      <c r="AA172" s="60">
        <f>AA169*AA170*AA171</f>
        <v>20794.397454774273</v>
      </c>
    </row>
    <row r="173" spans="1:27" x14ac:dyDescent="0.35">
      <c r="A173" s="52" t="s">
        <v>85</v>
      </c>
      <c r="B173" s="3"/>
      <c r="C173" s="3"/>
      <c r="D173" s="3"/>
      <c r="E173" s="3"/>
      <c r="F173" s="42">
        <f>SUM(F168:F172)</f>
        <v>4488</v>
      </c>
      <c r="G173" s="42">
        <f>SUM(G168:G172)</f>
        <v>4262</v>
      </c>
      <c r="H173" s="3"/>
      <c r="I173" s="3"/>
      <c r="J173" s="3"/>
      <c r="K173" s="3"/>
      <c r="L173" s="3"/>
      <c r="M173" s="3"/>
      <c r="N173" s="42">
        <f t="shared" ref="N173:W173" si="214">SUM(N168:N172)</f>
        <v>5918.2356336666635</v>
      </c>
      <c r="O173" s="42">
        <f t="shared" si="214"/>
        <v>14074.922264273999</v>
      </c>
      <c r="P173" s="42">
        <f t="shared" si="214"/>
        <v>23449.235332944238</v>
      </c>
      <c r="Q173" s="42">
        <f t="shared" si="214"/>
        <v>36381.172198664841</v>
      </c>
      <c r="R173" s="42">
        <f t="shared" si="214"/>
        <v>54195.568344990366</v>
      </c>
      <c r="S173" s="42">
        <f t="shared" si="214"/>
        <v>79923.949530240032</v>
      </c>
      <c r="T173" s="42">
        <f t="shared" si="214"/>
        <v>112970.07439517144</v>
      </c>
      <c r="U173" s="42">
        <f t="shared" si="214"/>
        <v>135226.52135120658</v>
      </c>
      <c r="V173" s="42">
        <f t="shared" si="214"/>
        <v>156031.06161489166</v>
      </c>
      <c r="W173" s="42">
        <f t="shared" si="214"/>
        <v>1877861.4833076247</v>
      </c>
      <c r="Z173" s="56" t="s">
        <v>77</v>
      </c>
      <c r="AA173" s="57">
        <v>0.5</v>
      </c>
    </row>
    <row r="174" spans="1:27" x14ac:dyDescent="0.35">
      <c r="Z174" s="61" t="s">
        <v>78</v>
      </c>
      <c r="AA174" s="62">
        <f>AA172*AA173</f>
        <v>10397.198727387136</v>
      </c>
    </row>
    <row r="175" spans="1:27" ht="15" thickBot="1" x14ac:dyDescent="0.4">
      <c r="A175" t="s">
        <v>70</v>
      </c>
      <c r="B175" s="29">
        <v>0.1</v>
      </c>
      <c r="Z175" s="63" t="s">
        <v>81</v>
      </c>
      <c r="AA175" s="64">
        <f>AA174/0.12</f>
        <v>86643.322728226136</v>
      </c>
    </row>
    <row r="176" spans="1:27" x14ac:dyDescent="0.35">
      <c r="A176" t="s">
        <v>69</v>
      </c>
      <c r="B176" s="29">
        <v>2.5000000000000001E-2</v>
      </c>
      <c r="Z176" s="67" t="s">
        <v>79</v>
      </c>
      <c r="AA176" s="70">
        <v>0.1</v>
      </c>
    </row>
    <row r="177" spans="1:27" ht="15" thickBot="1" x14ac:dyDescent="0.4">
      <c r="Z177" s="68" t="s">
        <v>82</v>
      </c>
      <c r="AA177" s="69">
        <f>AA175*AA176</f>
        <v>8664.332272822614</v>
      </c>
    </row>
    <row r="178" spans="1:27" x14ac:dyDescent="0.35">
      <c r="A178" s="3" t="s">
        <v>86</v>
      </c>
      <c r="B178" s="72">
        <f>NPV(B175,N173:W173)</f>
        <v>1049470.1149734394</v>
      </c>
    </row>
    <row r="179" spans="1:27" x14ac:dyDescent="0.35">
      <c r="A179" t="s">
        <v>87</v>
      </c>
      <c r="B179" s="73">
        <v>-10569</v>
      </c>
    </row>
    <row r="180" spans="1:27" x14ac:dyDescent="0.35">
      <c r="A180" t="s">
        <v>88</v>
      </c>
      <c r="B180" s="53">
        <v>19384</v>
      </c>
    </row>
    <row r="181" spans="1:27" x14ac:dyDescent="0.35">
      <c r="A181" s="3" t="s">
        <v>89</v>
      </c>
      <c r="B181" s="72">
        <f>SUM(B178:B180)</f>
        <v>1058285.1149734394</v>
      </c>
    </row>
    <row r="182" spans="1:27" x14ac:dyDescent="0.35">
      <c r="A182" t="s">
        <v>90</v>
      </c>
      <c r="B182" s="18">
        <v>1083</v>
      </c>
    </row>
    <row r="183" spans="1:27" x14ac:dyDescent="0.35">
      <c r="A183" s="74" t="s">
        <v>91</v>
      </c>
      <c r="B183" s="75">
        <f>B181/B182</f>
        <v>977.17923820262172</v>
      </c>
    </row>
  </sheetData>
  <pageMargins left="0.7" right="0.7" top="0.75" bottom="0.75" header="0.3" footer="0.3"/>
  <pageSetup scale="52" fitToHeight="0" orientation="landscape" r:id="rId1"/>
  <rowBreaks count="2" manualBreakCount="2">
    <brk id="46" max="16383" man="1"/>
    <brk id="133" max="16383" man="1"/>
  </rowBreaks>
  <colBreaks count="1" manualBreakCount="1"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2021-12-06T15:58:10Z</cp:lastPrinted>
  <dcterms:created xsi:type="dcterms:W3CDTF">2021-12-05T18:35:10Z</dcterms:created>
  <dcterms:modified xsi:type="dcterms:W3CDTF">2021-12-06T16:01:17Z</dcterms:modified>
</cp:coreProperties>
</file>