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D:\GIT_Project\Excel\Functions\"/>
    </mc:Choice>
  </mc:AlternateContent>
  <xr:revisionPtr revIDLastSave="0" documentId="13_ncr:1_{37CE191D-E3AB-4D99-83B0-8C90DB8A2924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Tax- Data" sheetId="1" r:id="rId1"/>
    <sheet name="Description" sheetId="4" r:id="rId2"/>
    <sheet name="Task 2- Questions" sheetId="2" r:id="rId3"/>
    <sheet name="Task 3- Ques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 a="1"/>
  <c r="B16" i="3" s="1"/>
  <c r="C117" i="3"/>
  <c r="C118" i="3"/>
  <c r="C119" i="3"/>
  <c r="C120" i="3"/>
  <c r="C116" i="3"/>
  <c r="B117" i="3"/>
  <c r="B118" i="3"/>
  <c r="B119" i="3"/>
  <c r="B120" i="3"/>
  <c r="B116" i="3"/>
  <c r="A116" i="3" a="1"/>
  <c r="A116" i="3" s="1"/>
  <c r="B111" i="3"/>
  <c r="B107" i="3"/>
  <c r="C100" i="3" a="1"/>
  <c r="C100" i="3" s="1"/>
  <c r="B101" i="3"/>
  <c r="B102" i="3"/>
  <c r="B103" i="3"/>
  <c r="B100" i="3"/>
  <c r="A90" i="3" a="1"/>
  <c r="A90" i="3" s="1"/>
  <c r="A83" i="3" a="1"/>
  <c r="A83" i="3" s="1"/>
  <c r="B78" i="3"/>
  <c r="A71" i="3" a="1"/>
  <c r="A71" i="3" s="1"/>
  <c r="B65" i="3" a="1"/>
  <c r="B65" i="3" s="1"/>
  <c r="B61" i="3"/>
  <c r="C53" i="3" a="1"/>
  <c r="C53" i="3" s="1"/>
  <c r="B54" i="3"/>
  <c r="B55" i="3"/>
  <c r="B56" i="3"/>
  <c r="B57" i="3"/>
  <c r="B53" i="3"/>
  <c r="B40" i="3" a="1"/>
  <c r="B40" i="3" s="1"/>
  <c r="C34" i="3" a="1"/>
  <c r="C34" i="3" s="1"/>
  <c r="B35" i="3"/>
  <c r="B36" i="3"/>
  <c r="B34" i="3"/>
  <c r="D26" i="3"/>
  <c r="D27" i="3"/>
  <c r="D25" i="3"/>
  <c r="C26" i="3"/>
  <c r="C27" i="3"/>
  <c r="C25" i="3"/>
  <c r="B26" i="3"/>
  <c r="B27" i="3"/>
  <c r="B25" i="3"/>
  <c r="B12" i="3"/>
  <c r="B3" i="3" a="1"/>
  <c r="B3" i="3" s="1"/>
  <c r="B70" i="2"/>
  <c r="B67" i="2"/>
  <c r="B64" i="2"/>
  <c r="B61" i="2"/>
  <c r="B58" i="2"/>
  <c r="B51" i="2" a="1"/>
  <c r="B51" i="2" s="1"/>
  <c r="B48" i="2"/>
  <c r="B45" i="2"/>
  <c r="B42" i="2"/>
  <c r="B36" i="2" a="1"/>
  <c r="B36" i="2" s="1"/>
  <c r="B32" i="2"/>
  <c r="B29" i="2" a="1"/>
  <c r="B29" i="2" s="1"/>
  <c r="B26" i="2"/>
  <c r="B23" i="2"/>
  <c r="B16" i="2" a="1"/>
  <c r="B16" i="2" s="1"/>
  <c r="B13" i="2"/>
  <c r="B10" i="2"/>
  <c r="B7" i="2"/>
  <c r="B2" i="2" a="1"/>
  <c r="B2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K7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<sst xmlns="http://schemas.openxmlformats.org/spreadsheetml/2006/main" count="231" uniqueCount="123">
  <si>
    <t>Name of Resident</t>
  </si>
  <si>
    <t>Income Source</t>
  </si>
  <si>
    <t>Income Amount</t>
  </si>
  <si>
    <t>Deduction %</t>
  </si>
  <si>
    <t>Taxable Amount</t>
  </si>
  <si>
    <t>Applicable for Surcharge</t>
  </si>
  <si>
    <t>Aarav</t>
  </si>
  <si>
    <t>Business</t>
  </si>
  <si>
    <t>Ananya</t>
  </si>
  <si>
    <t>Capital Gains</t>
  </si>
  <si>
    <t>Arjun</t>
  </si>
  <si>
    <t>Other Income</t>
  </si>
  <si>
    <t>Bhavya</t>
  </si>
  <si>
    <t>Salary</t>
  </si>
  <si>
    <t>Chetan</t>
  </si>
  <si>
    <t>Deepika</t>
  </si>
  <si>
    <t>Dhruv</t>
  </si>
  <si>
    <t>House Property</t>
  </si>
  <si>
    <t>Esha</t>
  </si>
  <si>
    <t>Farhan</t>
  </si>
  <si>
    <t>Gauri</t>
  </si>
  <si>
    <t>Harsh</t>
  </si>
  <si>
    <t>Ishaan</t>
  </si>
  <si>
    <t>Jaya</t>
  </si>
  <si>
    <t>Kabir</t>
  </si>
  <si>
    <t>Kavita</t>
  </si>
  <si>
    <t>Lakshya</t>
  </si>
  <si>
    <t>Meera</t>
  </si>
  <si>
    <t>Naveen</t>
  </si>
  <si>
    <t>Neha</t>
  </si>
  <si>
    <t>Omkar</t>
  </si>
  <si>
    <t>Pooja</t>
  </si>
  <si>
    <t>Rahul</t>
  </si>
  <si>
    <t>Ritu</t>
  </si>
  <si>
    <t>Sanjay</t>
  </si>
  <si>
    <t>Sneha</t>
  </si>
  <si>
    <t>Tarun</t>
  </si>
  <si>
    <t>Urvashi</t>
  </si>
  <si>
    <t>Varun</t>
  </si>
  <si>
    <t>Yash</t>
  </si>
  <si>
    <t>Zara</t>
  </si>
  <si>
    <t>Aditya</t>
  </si>
  <si>
    <t>Anika</t>
  </si>
  <si>
    <t>Akshay</t>
  </si>
  <si>
    <t>Barkha</t>
  </si>
  <si>
    <t>Chirag</t>
  </si>
  <si>
    <t>Diya</t>
  </si>
  <si>
    <t>Eklavya</t>
  </si>
  <si>
    <t>Fiza</t>
  </si>
  <si>
    <t>Ganesh</t>
  </si>
  <si>
    <t>Hina</t>
  </si>
  <si>
    <t xml:space="preserve">Answer- </t>
  </si>
  <si>
    <t>Q2- What is the total taxable amount of all residents whose source of income is business?</t>
  </si>
  <si>
    <t>Q3- What is the average taxable income of all residents whose source of income is capital gains?</t>
  </si>
  <si>
    <t>Q4- What is the minimum income of a resident with salary as their income source and not subject to surcharge?</t>
  </si>
  <si>
    <t>Q-5 Name the residents whose income is greater than or equal to Rs. 5,000,000 from House Property.</t>
  </si>
  <si>
    <t>Q6- How many individuals have a deduction percentage higher than 8% and have income from "Other income"?</t>
  </si>
  <si>
    <t xml:space="preserve">Q7- What is the sum of maximum taxable amount from business and maximum taxable amount from capital gains? </t>
  </si>
  <si>
    <t>Q8- Name the resident whose total income is greater than Rs.8,000,000 and deduction % on income is greater than 12%.</t>
  </si>
  <si>
    <t>Q9- How many residents have deductions exceeding 10% in salary?</t>
  </si>
  <si>
    <t>Q10- Calculate the total taxable amount of the listed income source.</t>
  </si>
  <si>
    <t>Total Taxable Amount</t>
  </si>
  <si>
    <t>Q11- What is the total income of residents with a business income source that is not subject to surcharge?</t>
  </si>
  <si>
    <t>Q12- What is the highest deduction percentage offered to residents with a salary as their income source?</t>
  </si>
  <si>
    <t>Q13- What is the minimum deduction percentage offered to residents with a house property as their income source?</t>
  </si>
  <si>
    <t>Q14- Name the residents whose taxable amount is below Rs. 6,000,000 and are subject to a surcharge.</t>
  </si>
  <si>
    <t>Q15- Count the number of residents for whom a surcharge is applicable and whose income source is Business.</t>
  </si>
  <si>
    <t>Q-16 What is the average deduction percentage for residents with income sources from "Salary" and whose income amount is more than Rs. 5,403,641?</t>
  </si>
  <si>
    <t>Q17- What is the maximum taxable amount of residents who are applicable to surcharge with a deduction percentage lower than 3%?</t>
  </si>
  <si>
    <t>Q18- What is the average income amount of residents whose deduction percentage is less than 12% and are applicable to surcharge?</t>
  </si>
  <si>
    <t>Q19- What is the minimum deduction percentage among residents whose deduction percentage exceeds 5%?</t>
  </si>
  <si>
    <t>Q1- Bring a list of all the people who have the maximum deduction as well as have taxable amount above 3,000,000.</t>
  </si>
  <si>
    <t>Answer-</t>
  </si>
  <si>
    <t>Q2- Name the person who has lowest taxable amount.</t>
  </si>
  <si>
    <t>Q3- Name the income source where the taxable amount is the highest among categories subject to surcharge.</t>
  </si>
  <si>
    <t>Q4- Find out the surcharge charged for the following list of people.</t>
  </si>
  <si>
    <t>If surcharge is applicable on the person then:</t>
  </si>
  <si>
    <t>Taxable Income &gt;=</t>
  </si>
  <si>
    <t>Surcharge is 10% on taxable amount</t>
  </si>
  <si>
    <t>Surcharge is 7.5% on taxable amount</t>
  </si>
  <si>
    <t>Taxable Income &lt;</t>
  </si>
  <si>
    <t>Surcharge is 5% on taxable amount</t>
  </si>
  <si>
    <t>If surcharge is not applicable on the person then "-"</t>
  </si>
  <si>
    <t>Surcharge Amount</t>
  </si>
  <si>
    <t>Q5- Categorize the residents' income as either "High Income", "Medium Income" or "Low Income".</t>
  </si>
  <si>
    <t>If the income of the residents is greater than or equal to Rs. 8,000,000 then it is "High Income".</t>
  </si>
  <si>
    <t>If the income of the residents is greater than or equal to Rs. 7,000,000 then it is "Medium Income" else "Low Income".</t>
  </si>
  <si>
    <t>Category</t>
  </si>
  <si>
    <t>Q6- Write the names of the residents whose deduction % is the highest in House Property income.</t>
  </si>
  <si>
    <t>Q7- Find the listed individuals who have taken "High", "Medium", or "Low" deductions.</t>
  </si>
  <si>
    <t>If deduction % is greater than or equal to 16% then add statement "has taken high deduction"</t>
  </si>
  <si>
    <t>If deduction % is greater than or equal to 10% then add statement "has taken medium deduction"</t>
  </si>
  <si>
    <t>If deduction % is greater than 0% then add statement "has taken low deduction" else "has not taken any deduction"</t>
  </si>
  <si>
    <t>Deduction Classification</t>
  </si>
  <si>
    <t>Q8- Calculate the average deduction percentage of the individual whose has income source of "Other Income" and who have the maximum taxable amount.</t>
  </si>
  <si>
    <t>Q9- Find out the lowest 3 taxable amounts.</t>
  </si>
  <si>
    <t>Q10- Name the individuals whose income crosses Rs. 7,000,000 from House Property and then sort them based on their income amounts in descending order.</t>
  </si>
  <si>
    <t>Q11- Calculate the average taxable amount of individuals whose income is the highest among those with a deduction percentage of 3.53%.</t>
  </si>
  <si>
    <t>Q12- Find out the name, income source, income amount, deduction% and taxable amount of the top 3 individuals whose Taxable income is greater than 8,000,000 and sort the data of taxable amount in descending order.</t>
  </si>
  <si>
    <t>Q13- Find out the name, income source, income amount, deduction% and taxable amount of the bottom 3 individuals whose Taxable income is greater than 8,000,000 and sort the data of taxable amount in ascending order.</t>
  </si>
  <si>
    <t>Q14- Categorize listed residents into "Upper Class", "Middle Class" and "Lower Class" on the basis of following conditions.</t>
  </si>
  <si>
    <t>Taxable amount&gt;=</t>
  </si>
  <si>
    <t>Upper Class</t>
  </si>
  <si>
    <t>Middle Class</t>
  </si>
  <si>
    <t>Taxable amount&lt;</t>
  </si>
  <si>
    <t>Lower Class</t>
  </si>
  <si>
    <t>Class Category</t>
  </si>
  <si>
    <t>Q15- Count the number of residents who have taken the highest deduction percentage salary in the income source.</t>
  </si>
  <si>
    <t xml:space="preserve">Q16- Count the number of residents who have taken the lowest deduction percentage in the capital gains income source. </t>
  </si>
  <si>
    <t>Q17- If the taxable amount of the listed income source equals the highest taxable amount across all income sources, it's labeled "This category generates most tax"; else, it's marked as "-".</t>
  </si>
  <si>
    <t>Description</t>
  </si>
  <si>
    <t xml:space="preserve">The dataset "Tax-Data" contains the tax details of various residents. The table contains the following columns "Name of Resident", "Income Source", "Income Amount", and "Deduction %". </t>
  </si>
  <si>
    <t xml:space="preserve">Task 1 - </t>
  </si>
  <si>
    <t>(i)</t>
  </si>
  <si>
    <t>Taxable Amount = Income Amount - Deduction (%)</t>
  </si>
  <si>
    <t>Applicable of Surcharge</t>
  </si>
  <si>
    <t>If the taxable amount is greater than 5000000, then "Yes" else "No"</t>
  </si>
  <si>
    <t xml:space="preserve">Task 2 - </t>
  </si>
  <si>
    <t>Answer the questions in the sheet named "Task 2 - Questions"</t>
  </si>
  <si>
    <t xml:space="preserve">Task 3 - </t>
  </si>
  <si>
    <t>Answer the questions in the sheet named "Task 3 - Questions" using nested functions.</t>
  </si>
  <si>
    <t xml:space="preserve">Ascertain the Taxable Amount [Column E] and Applicable for Surcharge [Column F] in Tax-Data Sheet following the conditions given below - </t>
  </si>
  <si>
    <r>
      <rPr>
        <b/>
        <sz val="10"/>
        <color theme="1"/>
        <rFont val="Arial"/>
        <family val="2"/>
        <scheme val="minor"/>
      </rPr>
      <t>Q1-</t>
    </r>
    <r>
      <rPr>
        <sz val="10"/>
        <color theme="1"/>
        <rFont val="Arial"/>
        <family val="2"/>
        <scheme val="minor"/>
      </rPr>
      <t xml:space="preserve"> Bring a list of all the names that have have taxable income more than Rs. 9,000,000.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</si>
</sst>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u/>
      <sz val="12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4" fontId="2" fillId="0" borderId="0" xfId="0" applyNumberFormat="1" applyFont="1"/>
    <xf numFmtId="0" fontId="2" fillId="0" borderId="0" xfId="0" applyFont="1"/>
    <xf numFmtId="0" fontId="2" fillId="4" borderId="0" xfId="0" applyFont="1" applyFill="1"/>
    <xf numFmtId="3" fontId="2" fillId="4" borderId="0" xfId="0" applyNumberFormat="1" applyFont="1" applyFill="1"/>
    <xf numFmtId="10" fontId="2" fillId="4" borderId="0" xfId="0" applyNumberFormat="1" applyFont="1" applyFill="1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10" fontId="2" fillId="0" borderId="1" xfId="0" applyNumberFormat="1" applyFont="1" applyBorder="1"/>
    <xf numFmtId="3" fontId="2" fillId="0" borderId="1" xfId="0" applyNumberFormat="1" applyFont="1" applyBorder="1"/>
    <xf numFmtId="0" fontId="3" fillId="0" borderId="0" xfId="0" applyFont="1"/>
    <xf numFmtId="3" fontId="2" fillId="0" borderId="0" xfId="0" applyNumberFormat="1" applyFont="1"/>
    <xf numFmtId="10" fontId="2" fillId="0" borderId="0" xfId="0" applyNumberFormat="1" applyFont="1"/>
    <xf numFmtId="4" fontId="2" fillId="0" borderId="1" xfId="0" applyNumberFormat="1" applyFont="1" applyBorder="1"/>
    <xf numFmtId="2" fontId="2" fillId="0" borderId="1" xfId="0" applyNumberFormat="1" applyFont="1" applyBorder="1"/>
    <xf numFmtId="164" fontId="2" fillId="0" borderId="0" xfId="0" applyNumberFormat="1" applyFont="1"/>
    <xf numFmtId="0" fontId="6" fillId="0" borderId="0" xfId="0" applyFont="1"/>
    <xf numFmtId="0" fontId="0" fillId="0" borderId="4" xfId="0" applyBorder="1"/>
    <xf numFmtId="0" fontId="0" fillId="0" borderId="5" xfId="0" applyBorder="1"/>
    <xf numFmtId="0" fontId="6" fillId="0" borderId="6" xfId="0" applyFont="1" applyBorder="1"/>
    <xf numFmtId="0" fontId="0" fillId="0" borderId="7" xfId="0" applyBorder="1"/>
    <xf numFmtId="0" fontId="0" fillId="0" borderId="10" xfId="0" applyBorder="1"/>
    <xf numFmtId="0" fontId="8" fillId="0" borderId="3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7" fillId="0" borderId="6" xfId="0" applyFont="1" applyBorder="1"/>
    <xf numFmtId="0" fontId="7" fillId="0" borderId="0" xfId="0" applyFont="1"/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1" fillId="2" borderId="2" xfId="0" applyFont="1" applyFill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0" fontId="2" fillId="3" borderId="2" xfId="0" applyNumberFormat="1" applyFont="1" applyFill="1" applyBorder="1"/>
    <xf numFmtId="4" fontId="2" fillId="0" borderId="2" xfId="0" applyNumberFormat="1" applyFont="1" applyBorder="1"/>
    <xf numFmtId="0" fontId="2" fillId="0" borderId="2" xfId="0" applyFont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/>
    <xf numFmtId="0" fontId="2" fillId="0" borderId="11" xfId="0" applyFont="1" applyBorder="1"/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0"/>
  <sheetViews>
    <sheetView zoomScale="90" zoomScaleNormal="90" workbookViewId="0">
      <selection activeCell="I12" sqref="I12"/>
    </sheetView>
  </sheetViews>
  <sheetFormatPr defaultColWidth="12.5703125" defaultRowHeight="15.75" customHeight="1" x14ac:dyDescent="0.2"/>
  <cols>
    <col min="1" max="1" width="18.85546875" customWidth="1"/>
    <col min="2" max="2" width="16.85546875" customWidth="1"/>
    <col min="3" max="3" width="18.140625" customWidth="1"/>
    <col min="4" max="4" width="14.7109375" customWidth="1"/>
    <col min="5" max="5" width="20.7109375" customWidth="1"/>
    <col min="6" max="6" width="25.140625" customWidth="1"/>
  </cols>
  <sheetData>
    <row r="1" spans="1:8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H1" s="17"/>
    </row>
    <row r="2" spans="1:8" x14ac:dyDescent="0.2">
      <c r="A2" s="33" t="s">
        <v>6</v>
      </c>
      <c r="B2" s="33" t="s">
        <v>7</v>
      </c>
      <c r="C2" s="34">
        <v>1995661</v>
      </c>
      <c r="D2" s="35">
        <v>8.3500000000000005E-2</v>
      </c>
      <c r="E2" s="36">
        <f>C2*(1-D2)</f>
        <v>1829023.3064999999</v>
      </c>
      <c r="F2" s="37" t="str">
        <f>IF(E2&gt;5000000,"Yes","No")</f>
        <v>No</v>
      </c>
      <c r="H2" s="17"/>
    </row>
    <row r="3" spans="1:8" x14ac:dyDescent="0.2">
      <c r="A3" s="33" t="s">
        <v>8</v>
      </c>
      <c r="B3" s="33" t="s">
        <v>9</v>
      </c>
      <c r="C3" s="34">
        <v>5620825</v>
      </c>
      <c r="D3" s="35">
        <v>0</v>
      </c>
      <c r="E3" s="36">
        <f t="shared" ref="E3:E41" si="0">C3*(1-D3)</f>
        <v>5620825</v>
      </c>
      <c r="F3" s="37" t="str">
        <f t="shared" ref="F3:F41" si="1">IF(E3&gt;5000000,"Yes","No")</f>
        <v>Yes</v>
      </c>
      <c r="H3" s="17"/>
    </row>
    <row r="4" spans="1:8" x14ac:dyDescent="0.2">
      <c r="A4" s="33" t="s">
        <v>10</v>
      </c>
      <c r="B4" s="33" t="s">
        <v>11</v>
      </c>
      <c r="C4" s="34">
        <v>6243747</v>
      </c>
      <c r="D4" s="35">
        <v>3.5299999999999998E-2</v>
      </c>
      <c r="E4" s="36">
        <f t="shared" si="0"/>
        <v>6023342.7308999998</v>
      </c>
      <c r="F4" s="37" t="str">
        <f t="shared" si="1"/>
        <v>Yes</v>
      </c>
      <c r="H4" s="17"/>
    </row>
    <row r="5" spans="1:8" x14ac:dyDescent="0.2">
      <c r="A5" s="33" t="s">
        <v>12</v>
      </c>
      <c r="B5" s="33" t="s">
        <v>13</v>
      </c>
      <c r="C5" s="34">
        <v>1099693</v>
      </c>
      <c r="D5" s="35">
        <v>0.156</v>
      </c>
      <c r="E5" s="36">
        <f t="shared" si="0"/>
        <v>928140.89199999999</v>
      </c>
      <c r="F5" s="37" t="str">
        <f t="shared" si="1"/>
        <v>No</v>
      </c>
      <c r="H5" s="17"/>
    </row>
    <row r="6" spans="1:8" x14ac:dyDescent="0.2">
      <c r="A6" s="33" t="s">
        <v>14</v>
      </c>
      <c r="B6" s="33" t="s">
        <v>13</v>
      </c>
      <c r="C6" s="34">
        <v>544698</v>
      </c>
      <c r="D6" s="35">
        <v>0.1724</v>
      </c>
      <c r="E6" s="36">
        <f t="shared" si="0"/>
        <v>450792.06479999999</v>
      </c>
      <c r="F6" s="37" t="str">
        <f t="shared" si="1"/>
        <v>No</v>
      </c>
    </row>
    <row r="7" spans="1:8" x14ac:dyDescent="0.2">
      <c r="A7" s="33" t="s">
        <v>15</v>
      </c>
      <c r="B7" s="33" t="s">
        <v>11</v>
      </c>
      <c r="C7" s="34">
        <v>657337</v>
      </c>
      <c r="D7" s="35">
        <v>0</v>
      </c>
      <c r="E7" s="36">
        <f t="shared" si="0"/>
        <v>657337</v>
      </c>
      <c r="F7" s="37" t="str">
        <f t="shared" si="1"/>
        <v>No</v>
      </c>
    </row>
    <row r="8" spans="1:8" x14ac:dyDescent="0.2">
      <c r="A8" s="33" t="s">
        <v>16</v>
      </c>
      <c r="B8" s="33" t="s">
        <v>17</v>
      </c>
      <c r="C8" s="34">
        <v>3140545</v>
      </c>
      <c r="D8" s="35">
        <v>0</v>
      </c>
      <c r="E8" s="36">
        <f t="shared" si="0"/>
        <v>3140545</v>
      </c>
      <c r="F8" s="37" t="str">
        <f t="shared" si="1"/>
        <v>No</v>
      </c>
    </row>
    <row r="9" spans="1:8" x14ac:dyDescent="0.2">
      <c r="A9" s="33" t="s">
        <v>18</v>
      </c>
      <c r="B9" s="33" t="s">
        <v>7</v>
      </c>
      <c r="C9" s="34">
        <v>4556690</v>
      </c>
      <c r="D9" s="35">
        <v>0</v>
      </c>
      <c r="E9" s="36">
        <f t="shared" si="0"/>
        <v>4556690</v>
      </c>
      <c r="F9" s="37" t="str">
        <f t="shared" si="1"/>
        <v>No</v>
      </c>
    </row>
    <row r="10" spans="1:8" x14ac:dyDescent="0.2">
      <c r="A10" s="33" t="s">
        <v>19</v>
      </c>
      <c r="B10" s="33" t="s">
        <v>11</v>
      </c>
      <c r="C10" s="34">
        <v>8857840</v>
      </c>
      <c r="D10" s="35">
        <v>3.5299999999999998E-2</v>
      </c>
      <c r="E10" s="36">
        <f t="shared" si="0"/>
        <v>8545158.2479999997</v>
      </c>
      <c r="F10" s="37" t="str">
        <f t="shared" si="1"/>
        <v>Yes</v>
      </c>
    </row>
    <row r="11" spans="1:8" x14ac:dyDescent="0.2">
      <c r="A11" s="33" t="s">
        <v>20</v>
      </c>
      <c r="B11" s="33" t="s">
        <v>17</v>
      </c>
      <c r="C11" s="34">
        <v>9408645</v>
      </c>
      <c r="D11" s="35">
        <v>3.5299999999999998E-2</v>
      </c>
      <c r="E11" s="36">
        <f t="shared" si="0"/>
        <v>9076519.8314999994</v>
      </c>
      <c r="F11" s="37" t="str">
        <f t="shared" si="1"/>
        <v>Yes</v>
      </c>
    </row>
    <row r="12" spans="1:8" x14ac:dyDescent="0.2">
      <c r="A12" s="33" t="s">
        <v>21</v>
      </c>
      <c r="B12" s="33" t="s">
        <v>7</v>
      </c>
      <c r="C12" s="34">
        <v>9359265</v>
      </c>
      <c r="D12" s="35">
        <v>0.156</v>
      </c>
      <c r="E12" s="36">
        <f t="shared" si="0"/>
        <v>7899219.6600000001</v>
      </c>
      <c r="F12" s="37" t="str">
        <f t="shared" si="1"/>
        <v>Yes</v>
      </c>
    </row>
    <row r="13" spans="1:8" x14ac:dyDescent="0.2">
      <c r="A13" s="33" t="s">
        <v>22</v>
      </c>
      <c r="B13" s="33" t="s">
        <v>13</v>
      </c>
      <c r="C13" s="34">
        <v>6024292</v>
      </c>
      <c r="D13" s="35">
        <v>3.5299999999999998E-2</v>
      </c>
      <c r="E13" s="36">
        <f t="shared" si="0"/>
        <v>5811634.4923999999</v>
      </c>
      <c r="F13" s="37" t="str">
        <f t="shared" si="1"/>
        <v>Yes</v>
      </c>
    </row>
    <row r="14" spans="1:8" x14ac:dyDescent="0.2">
      <c r="A14" s="33" t="s">
        <v>23</v>
      </c>
      <c r="B14" s="33" t="s">
        <v>7</v>
      </c>
      <c r="C14" s="34">
        <v>9023509</v>
      </c>
      <c r="D14" s="35">
        <v>3.5299999999999998E-2</v>
      </c>
      <c r="E14" s="36">
        <f t="shared" si="0"/>
        <v>8704979.1323000006</v>
      </c>
      <c r="F14" s="37" t="str">
        <f t="shared" si="1"/>
        <v>Yes</v>
      </c>
    </row>
    <row r="15" spans="1:8" x14ac:dyDescent="0.2">
      <c r="A15" s="33" t="s">
        <v>24</v>
      </c>
      <c r="B15" s="33" t="s">
        <v>17</v>
      </c>
      <c r="C15" s="34">
        <v>8331027</v>
      </c>
      <c r="D15" s="35">
        <v>3.5299999999999998E-2</v>
      </c>
      <c r="E15" s="36">
        <f t="shared" si="0"/>
        <v>8036941.7468999997</v>
      </c>
      <c r="F15" s="37" t="str">
        <f t="shared" si="1"/>
        <v>Yes</v>
      </c>
    </row>
    <row r="16" spans="1:8" x14ac:dyDescent="0.2">
      <c r="A16" s="33" t="s">
        <v>25</v>
      </c>
      <c r="B16" s="33" t="s">
        <v>13</v>
      </c>
      <c r="C16" s="34">
        <v>9735478</v>
      </c>
      <c r="D16" s="35">
        <v>0</v>
      </c>
      <c r="E16" s="36">
        <f t="shared" si="0"/>
        <v>9735478</v>
      </c>
      <c r="F16" s="37" t="str">
        <f t="shared" si="1"/>
        <v>Yes</v>
      </c>
    </row>
    <row r="17" spans="1:6" x14ac:dyDescent="0.2">
      <c r="A17" s="33" t="s">
        <v>26</v>
      </c>
      <c r="B17" s="33" t="s">
        <v>13</v>
      </c>
      <c r="C17" s="34">
        <v>6869612</v>
      </c>
      <c r="D17" s="35">
        <v>0.1724</v>
      </c>
      <c r="E17" s="36">
        <f t="shared" si="0"/>
        <v>5685290.8912000004</v>
      </c>
      <c r="F17" s="37" t="str">
        <f t="shared" si="1"/>
        <v>Yes</v>
      </c>
    </row>
    <row r="18" spans="1:6" x14ac:dyDescent="0.2">
      <c r="A18" s="33" t="s">
        <v>27</v>
      </c>
      <c r="B18" s="33" t="s">
        <v>13</v>
      </c>
      <c r="C18" s="34">
        <v>5804092</v>
      </c>
      <c r="D18" s="35">
        <v>8.3500000000000005E-2</v>
      </c>
      <c r="E18" s="36">
        <f t="shared" si="0"/>
        <v>5319450.318</v>
      </c>
      <c r="F18" s="37" t="str">
        <f t="shared" si="1"/>
        <v>Yes</v>
      </c>
    </row>
    <row r="19" spans="1:6" x14ac:dyDescent="0.2">
      <c r="A19" s="33" t="s">
        <v>28</v>
      </c>
      <c r="B19" s="33" t="s">
        <v>7</v>
      </c>
      <c r="C19" s="34">
        <v>3777284</v>
      </c>
      <c r="D19" s="35">
        <v>8.3500000000000005E-2</v>
      </c>
      <c r="E19" s="36">
        <f t="shared" si="0"/>
        <v>3461880.7859999998</v>
      </c>
      <c r="F19" s="37" t="str">
        <f t="shared" si="1"/>
        <v>No</v>
      </c>
    </row>
    <row r="20" spans="1:6" x14ac:dyDescent="0.2">
      <c r="A20" s="33" t="s">
        <v>29</v>
      </c>
      <c r="B20" s="33" t="s">
        <v>13</v>
      </c>
      <c r="C20" s="34">
        <v>9604515</v>
      </c>
      <c r="D20" s="35">
        <v>0</v>
      </c>
      <c r="E20" s="36">
        <f t="shared" si="0"/>
        <v>9604515</v>
      </c>
      <c r="F20" s="37" t="str">
        <f t="shared" si="1"/>
        <v>Yes</v>
      </c>
    </row>
    <row r="21" spans="1:6" x14ac:dyDescent="0.2">
      <c r="A21" s="33" t="s">
        <v>30</v>
      </c>
      <c r="B21" s="33" t="s">
        <v>17</v>
      </c>
      <c r="C21" s="34">
        <v>649238</v>
      </c>
      <c r="D21" s="35">
        <v>8.3500000000000005E-2</v>
      </c>
      <c r="E21" s="36">
        <f t="shared" si="0"/>
        <v>595026.62699999998</v>
      </c>
      <c r="F21" s="37" t="str">
        <f t="shared" si="1"/>
        <v>No</v>
      </c>
    </row>
    <row r="22" spans="1:6" x14ac:dyDescent="0.2">
      <c r="A22" s="33" t="s">
        <v>31</v>
      </c>
      <c r="B22" s="33" t="s">
        <v>9</v>
      </c>
      <c r="C22" s="34">
        <v>2553142</v>
      </c>
      <c r="D22" s="35">
        <v>3.5299999999999998E-2</v>
      </c>
      <c r="E22" s="36">
        <f t="shared" si="0"/>
        <v>2463016.0874000001</v>
      </c>
      <c r="F22" s="37" t="str">
        <f t="shared" si="1"/>
        <v>No</v>
      </c>
    </row>
    <row r="23" spans="1:6" x14ac:dyDescent="0.2">
      <c r="A23" s="33" t="s">
        <v>32</v>
      </c>
      <c r="B23" s="33" t="s">
        <v>17</v>
      </c>
      <c r="C23" s="34">
        <v>7684571</v>
      </c>
      <c r="D23" s="35">
        <v>0</v>
      </c>
      <c r="E23" s="36">
        <f t="shared" si="0"/>
        <v>7684571</v>
      </c>
      <c r="F23" s="37" t="str">
        <f t="shared" si="1"/>
        <v>Yes</v>
      </c>
    </row>
    <row r="24" spans="1:6" x14ac:dyDescent="0.2">
      <c r="A24" s="33" t="s">
        <v>33</v>
      </c>
      <c r="B24" s="33" t="s">
        <v>11</v>
      </c>
      <c r="C24" s="34">
        <v>8077788</v>
      </c>
      <c r="D24" s="35">
        <v>0</v>
      </c>
      <c r="E24" s="36">
        <f t="shared" si="0"/>
        <v>8077788</v>
      </c>
      <c r="F24" s="37" t="str">
        <f t="shared" si="1"/>
        <v>Yes</v>
      </c>
    </row>
    <row r="25" spans="1:6" x14ac:dyDescent="0.2">
      <c r="A25" s="33" t="s">
        <v>34</v>
      </c>
      <c r="B25" s="33" t="s">
        <v>7</v>
      </c>
      <c r="C25" s="34">
        <v>9151202</v>
      </c>
      <c r="D25" s="35">
        <v>8.3500000000000005E-2</v>
      </c>
      <c r="E25" s="36">
        <f t="shared" si="0"/>
        <v>8387076.6329999994</v>
      </c>
      <c r="F25" s="37" t="str">
        <f t="shared" si="1"/>
        <v>Yes</v>
      </c>
    </row>
    <row r="26" spans="1:6" x14ac:dyDescent="0.2">
      <c r="A26" s="33" t="s">
        <v>35</v>
      </c>
      <c r="B26" s="33" t="s">
        <v>7</v>
      </c>
      <c r="C26" s="34">
        <v>2651540</v>
      </c>
      <c r="D26" s="35">
        <v>8.3500000000000005E-2</v>
      </c>
      <c r="E26" s="36">
        <f t="shared" si="0"/>
        <v>2430136.41</v>
      </c>
      <c r="F26" s="37" t="str">
        <f t="shared" si="1"/>
        <v>No</v>
      </c>
    </row>
    <row r="27" spans="1:6" x14ac:dyDescent="0.2">
      <c r="A27" s="33" t="s">
        <v>36</v>
      </c>
      <c r="B27" s="33" t="s">
        <v>9</v>
      </c>
      <c r="C27" s="34">
        <v>8271578</v>
      </c>
      <c r="D27" s="35">
        <v>0</v>
      </c>
      <c r="E27" s="36">
        <f t="shared" si="0"/>
        <v>8271578</v>
      </c>
      <c r="F27" s="37" t="str">
        <f t="shared" si="1"/>
        <v>Yes</v>
      </c>
    </row>
    <row r="28" spans="1:6" x14ac:dyDescent="0.2">
      <c r="A28" s="33" t="s">
        <v>37</v>
      </c>
      <c r="B28" s="33" t="s">
        <v>13</v>
      </c>
      <c r="C28" s="34">
        <v>6499551</v>
      </c>
      <c r="D28" s="35">
        <v>0</v>
      </c>
      <c r="E28" s="36">
        <f t="shared" si="0"/>
        <v>6499551</v>
      </c>
      <c r="F28" s="37" t="str">
        <f t="shared" si="1"/>
        <v>Yes</v>
      </c>
    </row>
    <row r="29" spans="1:6" x14ac:dyDescent="0.2">
      <c r="A29" s="33" t="s">
        <v>38</v>
      </c>
      <c r="B29" s="33" t="s">
        <v>17</v>
      </c>
      <c r="C29" s="34">
        <v>2472052</v>
      </c>
      <c r="D29" s="35">
        <v>0.1724</v>
      </c>
      <c r="E29" s="36">
        <f t="shared" si="0"/>
        <v>2045870.2352</v>
      </c>
      <c r="F29" s="37" t="str">
        <f t="shared" si="1"/>
        <v>No</v>
      </c>
    </row>
    <row r="30" spans="1:6" x14ac:dyDescent="0.2">
      <c r="A30" s="33" t="s">
        <v>39</v>
      </c>
      <c r="B30" s="33" t="s">
        <v>9</v>
      </c>
      <c r="C30" s="34">
        <v>2894508</v>
      </c>
      <c r="D30" s="35">
        <v>0</v>
      </c>
      <c r="E30" s="36">
        <f t="shared" si="0"/>
        <v>2894508</v>
      </c>
      <c r="F30" s="37" t="str">
        <f t="shared" si="1"/>
        <v>No</v>
      </c>
    </row>
    <row r="31" spans="1:6" x14ac:dyDescent="0.2">
      <c r="A31" s="33" t="s">
        <v>40</v>
      </c>
      <c r="B31" s="33" t="s">
        <v>11</v>
      </c>
      <c r="C31" s="34">
        <v>2474871</v>
      </c>
      <c r="D31" s="35">
        <v>0.1724</v>
      </c>
      <c r="E31" s="36">
        <f t="shared" si="0"/>
        <v>2048203.2396</v>
      </c>
      <c r="F31" s="37" t="str">
        <f t="shared" si="1"/>
        <v>No</v>
      </c>
    </row>
    <row r="32" spans="1:6" x14ac:dyDescent="0.2">
      <c r="A32" s="33" t="s">
        <v>41</v>
      </c>
      <c r="B32" s="33" t="s">
        <v>17</v>
      </c>
      <c r="C32" s="34">
        <v>3883508</v>
      </c>
      <c r="D32" s="35">
        <v>0.1724</v>
      </c>
      <c r="E32" s="36">
        <f t="shared" si="0"/>
        <v>3213991.2207999998</v>
      </c>
      <c r="F32" s="37" t="str">
        <f t="shared" si="1"/>
        <v>No</v>
      </c>
    </row>
    <row r="33" spans="1:7" x14ac:dyDescent="0.2">
      <c r="A33" s="33" t="s">
        <v>42</v>
      </c>
      <c r="B33" s="33" t="s">
        <v>17</v>
      </c>
      <c r="C33" s="34">
        <v>8024447</v>
      </c>
      <c r="D33" s="35">
        <v>8.3500000000000005E-2</v>
      </c>
      <c r="E33" s="36">
        <f t="shared" si="0"/>
        <v>7354405.6754999999</v>
      </c>
      <c r="F33" s="37" t="str">
        <f t="shared" si="1"/>
        <v>Yes</v>
      </c>
    </row>
    <row r="34" spans="1:7" x14ac:dyDescent="0.2">
      <c r="A34" s="33" t="s">
        <v>43</v>
      </c>
      <c r="B34" s="33" t="s">
        <v>17</v>
      </c>
      <c r="C34" s="34">
        <v>2389431</v>
      </c>
      <c r="D34" s="35">
        <v>0.1724</v>
      </c>
      <c r="E34" s="36">
        <f t="shared" si="0"/>
        <v>1977493.0956000001</v>
      </c>
      <c r="F34" s="37" t="str">
        <f t="shared" si="1"/>
        <v>No</v>
      </c>
    </row>
    <row r="35" spans="1:7" x14ac:dyDescent="0.2">
      <c r="A35" s="33" t="s">
        <v>44</v>
      </c>
      <c r="B35" s="33" t="s">
        <v>9</v>
      </c>
      <c r="C35" s="34">
        <v>2447110</v>
      </c>
      <c r="D35" s="35">
        <v>0</v>
      </c>
      <c r="E35" s="36">
        <f t="shared" si="0"/>
        <v>2447110</v>
      </c>
      <c r="F35" s="37" t="str">
        <f t="shared" si="1"/>
        <v>No</v>
      </c>
    </row>
    <row r="36" spans="1:7" x14ac:dyDescent="0.2">
      <c r="A36" s="33" t="s">
        <v>45</v>
      </c>
      <c r="B36" s="33" t="s">
        <v>13</v>
      </c>
      <c r="C36" s="34">
        <v>8830190</v>
      </c>
      <c r="D36" s="35">
        <v>3.5299999999999998E-2</v>
      </c>
      <c r="E36" s="36">
        <f t="shared" si="0"/>
        <v>8518484.2929999996</v>
      </c>
      <c r="F36" s="37" t="str">
        <f t="shared" si="1"/>
        <v>Yes</v>
      </c>
    </row>
    <row r="37" spans="1:7" x14ac:dyDescent="0.2">
      <c r="A37" s="33" t="s">
        <v>46</v>
      </c>
      <c r="B37" s="33" t="s">
        <v>17</v>
      </c>
      <c r="C37" s="34">
        <v>6574457</v>
      </c>
      <c r="D37" s="35">
        <v>8.3500000000000005E-2</v>
      </c>
      <c r="E37" s="36">
        <f t="shared" si="0"/>
        <v>6025489.8404999999</v>
      </c>
      <c r="F37" s="37" t="str">
        <f t="shared" si="1"/>
        <v>Yes</v>
      </c>
    </row>
    <row r="38" spans="1:7" x14ac:dyDescent="0.2">
      <c r="A38" s="33" t="s">
        <v>47</v>
      </c>
      <c r="B38" s="33" t="s">
        <v>9</v>
      </c>
      <c r="C38" s="34">
        <v>2774285</v>
      </c>
      <c r="D38" s="35">
        <v>8.3500000000000005E-2</v>
      </c>
      <c r="E38" s="36">
        <f t="shared" si="0"/>
        <v>2542632.2025000001</v>
      </c>
      <c r="F38" s="37" t="str">
        <f t="shared" si="1"/>
        <v>No</v>
      </c>
    </row>
    <row r="39" spans="1:7" x14ac:dyDescent="0.2">
      <c r="A39" s="33" t="s">
        <v>48</v>
      </c>
      <c r="B39" s="33" t="s">
        <v>11</v>
      </c>
      <c r="C39" s="34">
        <v>8229570</v>
      </c>
      <c r="D39" s="35">
        <v>8.3500000000000005E-2</v>
      </c>
      <c r="E39" s="36">
        <f t="shared" si="0"/>
        <v>7542400.9050000003</v>
      </c>
      <c r="F39" s="37" t="str">
        <f t="shared" si="1"/>
        <v>Yes</v>
      </c>
    </row>
    <row r="40" spans="1:7" x14ac:dyDescent="0.2">
      <c r="A40" s="33" t="s">
        <v>49</v>
      </c>
      <c r="B40" s="33" t="s">
        <v>7</v>
      </c>
      <c r="C40" s="34">
        <v>5899332</v>
      </c>
      <c r="D40" s="35">
        <v>8.3500000000000005E-2</v>
      </c>
      <c r="E40" s="36">
        <f t="shared" si="0"/>
        <v>5406737.7779999999</v>
      </c>
      <c r="F40" s="37" t="str">
        <f t="shared" si="1"/>
        <v>Yes</v>
      </c>
    </row>
    <row r="41" spans="1:7" x14ac:dyDescent="0.2">
      <c r="A41" s="33" t="s">
        <v>50</v>
      </c>
      <c r="B41" s="33" t="s">
        <v>13</v>
      </c>
      <c r="C41" s="34">
        <v>3058511</v>
      </c>
      <c r="D41" s="35">
        <v>8.3500000000000005E-2</v>
      </c>
      <c r="E41" s="36">
        <f t="shared" si="0"/>
        <v>2803125.3314999999</v>
      </c>
      <c r="F41" s="37" t="str">
        <f t="shared" si="1"/>
        <v>No</v>
      </c>
    </row>
    <row r="42" spans="1:7" x14ac:dyDescent="0.2">
      <c r="A42" s="3"/>
      <c r="B42" s="3"/>
      <c r="C42" s="4"/>
      <c r="D42" s="5"/>
      <c r="E42" s="3"/>
      <c r="F42" s="3"/>
      <c r="G42" s="3"/>
    </row>
    <row r="43" spans="1:7" x14ac:dyDescent="0.2">
      <c r="A43" s="3"/>
      <c r="B43" s="3"/>
      <c r="C43" s="4"/>
      <c r="D43" s="5"/>
      <c r="E43" s="3"/>
      <c r="F43" s="3"/>
      <c r="G43" s="3"/>
    </row>
    <row r="44" spans="1:7" x14ac:dyDescent="0.2">
      <c r="A44" s="3"/>
      <c r="B44" s="3"/>
      <c r="C44" s="4"/>
      <c r="D44" s="5"/>
      <c r="E44" s="3"/>
      <c r="F44" s="3"/>
      <c r="G44" s="3"/>
    </row>
    <row r="45" spans="1:7" x14ac:dyDescent="0.2">
      <c r="A45" s="3"/>
      <c r="B45" s="3"/>
      <c r="C45" s="4"/>
      <c r="D45" s="5"/>
      <c r="E45" s="3"/>
      <c r="F45" s="3"/>
      <c r="G45" s="3"/>
    </row>
    <row r="46" spans="1:7" x14ac:dyDescent="0.2">
      <c r="A46" s="3"/>
      <c r="B46" s="3"/>
      <c r="C46" s="4"/>
      <c r="D46" s="5"/>
      <c r="E46" s="3"/>
      <c r="F46" s="3"/>
      <c r="G46" s="3"/>
    </row>
    <row r="47" spans="1:7" x14ac:dyDescent="0.2">
      <c r="A47" s="3"/>
      <c r="B47" s="3"/>
      <c r="C47" s="4"/>
      <c r="D47" s="5"/>
      <c r="E47" s="3"/>
      <c r="F47" s="3"/>
      <c r="G47" s="3"/>
    </row>
    <row r="48" spans="1:7" x14ac:dyDescent="0.2">
      <c r="A48" s="3"/>
      <c r="B48" s="3"/>
      <c r="C48" s="4"/>
      <c r="D48" s="5"/>
      <c r="E48" s="3"/>
      <c r="F48" s="3"/>
      <c r="G48" s="3"/>
    </row>
    <row r="49" spans="1:7" x14ac:dyDescent="0.2">
      <c r="A49" s="3"/>
      <c r="B49" s="3"/>
      <c r="C49" s="4"/>
      <c r="D49" s="5"/>
      <c r="E49" s="3"/>
      <c r="F49" s="3"/>
      <c r="G49" s="3"/>
    </row>
    <row r="50" spans="1:7" x14ac:dyDescent="0.2">
      <c r="A50" s="3"/>
      <c r="B50" s="3"/>
      <c r="C50" s="4"/>
      <c r="D50" s="5"/>
      <c r="E50" s="3"/>
      <c r="F50" s="3"/>
      <c r="G50" s="3"/>
    </row>
    <row r="51" spans="1:7" x14ac:dyDescent="0.2">
      <c r="A51" s="3"/>
      <c r="B51" s="3"/>
      <c r="C51" s="4"/>
      <c r="D51" s="5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F2E2-ECB0-4141-9D78-920554B105CB}">
  <dimension ref="B2:N28"/>
  <sheetViews>
    <sheetView showGridLines="0" workbookViewId="0">
      <selection activeCell="T12" sqref="T12"/>
    </sheetView>
  </sheetViews>
  <sheetFormatPr defaultRowHeight="12.75" x14ac:dyDescent="0.2"/>
  <sheetData>
    <row r="2" spans="2:14" ht="15.75" x14ac:dyDescent="0.25">
      <c r="B2" s="23" t="s">
        <v>110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 x14ac:dyDescent="0.2">
      <c r="B3" s="20"/>
      <c r="N3" s="21"/>
    </row>
    <row r="4" spans="2:14" ht="12.75" customHeight="1" x14ac:dyDescent="0.2">
      <c r="B4" s="42" t="s">
        <v>111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21"/>
    </row>
    <row r="5" spans="2:14" ht="12.75" customHeight="1" x14ac:dyDescent="0.2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21"/>
    </row>
    <row r="6" spans="2:14" ht="14.25" customHeight="1" x14ac:dyDescent="0.2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22"/>
    </row>
    <row r="8" spans="2:14" ht="15.75" x14ac:dyDescent="0.25">
      <c r="B8" s="23" t="s">
        <v>112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spans="2:14" x14ac:dyDescent="0.2">
      <c r="B9" s="20"/>
      <c r="N9" s="21"/>
    </row>
    <row r="10" spans="2:14" ht="14.25" customHeight="1" x14ac:dyDescent="0.2">
      <c r="B10" s="46" t="s">
        <v>121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8"/>
    </row>
    <row r="11" spans="2:14" ht="14.25" customHeight="1" x14ac:dyDescent="0.2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8"/>
    </row>
    <row r="12" spans="2:14" ht="14.25" customHeight="1" x14ac:dyDescent="0.2"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1"/>
    </row>
    <row r="13" spans="2:14" ht="14.25" x14ac:dyDescent="0.2">
      <c r="B13" s="27" t="s">
        <v>113</v>
      </c>
      <c r="C13" s="28" t="s">
        <v>114</v>
      </c>
      <c r="D13" s="28"/>
      <c r="E13" s="28"/>
      <c r="F13" s="28"/>
      <c r="G13" s="28"/>
      <c r="H13" s="28"/>
      <c r="I13" s="28"/>
      <c r="J13" s="28"/>
      <c r="K13" s="28"/>
      <c r="L13" s="28"/>
      <c r="N13" s="21"/>
    </row>
    <row r="14" spans="2:14" ht="14.25" x14ac:dyDescent="0.2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N14" s="21"/>
    </row>
    <row r="15" spans="2:14" ht="14.25" x14ac:dyDescent="0.2">
      <c r="B15" s="27" t="s">
        <v>115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N15" s="21"/>
    </row>
    <row r="16" spans="2:14" ht="14.25" x14ac:dyDescent="0.2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N16" s="21"/>
    </row>
    <row r="17" spans="2:14" ht="14.25" x14ac:dyDescent="0.2">
      <c r="B17" s="27" t="s">
        <v>113</v>
      </c>
      <c r="C17" s="28" t="s">
        <v>116</v>
      </c>
      <c r="D17" s="28"/>
      <c r="E17" s="28"/>
      <c r="F17" s="28"/>
      <c r="G17" s="28"/>
      <c r="H17" s="28"/>
      <c r="I17" s="28"/>
      <c r="J17" s="28"/>
      <c r="K17" s="28"/>
      <c r="L17" s="28"/>
      <c r="N17" s="21"/>
    </row>
    <row r="18" spans="2:14" x14ac:dyDescent="0.2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2"/>
    </row>
    <row r="20" spans="2:14" ht="15.75" x14ac:dyDescent="0.25">
      <c r="B20" s="23" t="s">
        <v>117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2:14" x14ac:dyDescent="0.2">
      <c r="B21" s="24"/>
      <c r="N21" s="21"/>
    </row>
    <row r="22" spans="2:14" ht="14.25" x14ac:dyDescent="0.2">
      <c r="B22" s="27" t="s">
        <v>118</v>
      </c>
      <c r="N22" s="21"/>
    </row>
    <row r="23" spans="2:14" x14ac:dyDescent="0.2"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2"/>
    </row>
    <row r="25" spans="2:14" ht="15.75" x14ac:dyDescent="0.25">
      <c r="B25" s="23" t="s">
        <v>119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spans="2:14" x14ac:dyDescent="0.2">
      <c r="B26" s="24"/>
      <c r="N26" s="21"/>
    </row>
    <row r="27" spans="2:14" ht="14.25" x14ac:dyDescent="0.2">
      <c r="B27" s="27" t="s">
        <v>120</v>
      </c>
      <c r="N27" s="21"/>
    </row>
    <row r="28" spans="2:14" x14ac:dyDescent="0.2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2"/>
    </row>
  </sheetData>
  <mergeCells count="2">
    <mergeCell ref="B4:M6"/>
    <mergeCell ref="B10:N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0"/>
  <sheetViews>
    <sheetView topLeftCell="A54" workbookViewId="0">
      <selection activeCell="B77" sqref="B77"/>
    </sheetView>
  </sheetViews>
  <sheetFormatPr defaultColWidth="12.5703125" defaultRowHeight="15.75" customHeight="1" x14ac:dyDescent="0.2"/>
  <cols>
    <col min="1" max="1" width="38.42578125" customWidth="1"/>
    <col min="2" max="2" width="19.85546875" customWidth="1"/>
    <col min="3" max="3" width="20.5703125" customWidth="1"/>
    <col min="4" max="4" width="15.85546875" customWidth="1"/>
    <col min="8" max="8" width="71" customWidth="1"/>
  </cols>
  <sheetData>
    <row r="1" spans="1:5" ht="21" customHeight="1" x14ac:dyDescent="0.2">
      <c r="A1" s="49" t="s">
        <v>122</v>
      </c>
      <c r="B1" s="49"/>
      <c r="C1" s="49"/>
      <c r="D1" s="49"/>
      <c r="E1" s="49"/>
    </row>
    <row r="2" spans="1:5" ht="12.75" customHeight="1" x14ac:dyDescent="0.2">
      <c r="A2" s="6" t="s">
        <v>51</v>
      </c>
      <c r="B2" s="41" t="str" cm="1">
        <f t="array" ref="B2:B4">_xlfn._xlws.FILTER('Tax- Data'!A2:A41,'Tax- Data'!E2:E41&gt;9000000,"")</f>
        <v>Gauri</v>
      </c>
    </row>
    <row r="3" spans="1:5" ht="12.75" x14ac:dyDescent="0.2">
      <c r="B3" s="7" t="str">
        <v>Kavita</v>
      </c>
    </row>
    <row r="4" spans="1:5" ht="12.75" x14ac:dyDescent="0.2">
      <c r="B4" s="7" t="str">
        <v>Neha</v>
      </c>
    </row>
    <row r="6" spans="1:5" ht="12.75" x14ac:dyDescent="0.2">
      <c r="A6" s="49" t="s">
        <v>52</v>
      </c>
      <c r="B6" s="49"/>
      <c r="C6" s="49"/>
      <c r="D6" s="49"/>
      <c r="E6" s="49"/>
    </row>
    <row r="7" spans="1:5" ht="12.75" x14ac:dyDescent="0.2">
      <c r="A7" s="6" t="s">
        <v>51</v>
      </c>
      <c r="B7" s="7">
        <f>SUMIF('Tax- Data'!B2:B41,"Business",'Tax- Data'!E2:E41)</f>
        <v>42675743.705799997</v>
      </c>
    </row>
    <row r="9" spans="1:5" ht="12.75" x14ac:dyDescent="0.2">
      <c r="A9" s="49" t="s">
        <v>53</v>
      </c>
      <c r="B9" s="49"/>
      <c r="C9" s="49"/>
      <c r="D9" s="49"/>
      <c r="E9" s="49"/>
    </row>
    <row r="10" spans="1:5" ht="12.75" x14ac:dyDescent="0.2">
      <c r="A10" s="6" t="s">
        <v>51</v>
      </c>
      <c r="B10" s="7">
        <f>AVERAGEIF('Tax- Data'!B2:B41,"Capital Gains",'Tax- Data'!E2:E41)</f>
        <v>4039944.8816500003</v>
      </c>
    </row>
    <row r="12" spans="1:5" ht="12.75" x14ac:dyDescent="0.2">
      <c r="A12" s="49" t="s">
        <v>54</v>
      </c>
      <c r="B12" s="49"/>
      <c r="C12" s="49"/>
      <c r="D12" s="49"/>
      <c r="E12" s="49"/>
    </row>
    <row r="13" spans="1:5" ht="12.75" x14ac:dyDescent="0.2">
      <c r="A13" s="6" t="s">
        <v>51</v>
      </c>
      <c r="B13" s="7">
        <f>_xlfn.MINIFS('Tax- Data'!C2:C41,'Tax- Data'!B2:B41,"Salary",'Tax- Data'!F2:F41,"No")</f>
        <v>544698</v>
      </c>
    </row>
    <row r="15" spans="1:5" ht="12.75" x14ac:dyDescent="0.2">
      <c r="A15" s="49" t="s">
        <v>55</v>
      </c>
      <c r="B15" s="49"/>
      <c r="C15" s="49"/>
      <c r="D15" s="49"/>
      <c r="E15" s="49"/>
    </row>
    <row r="16" spans="1:5" ht="12.75" x14ac:dyDescent="0.2">
      <c r="A16" s="6" t="s">
        <v>51</v>
      </c>
      <c r="B16" s="7" t="str" cm="1">
        <f t="array" ref="B16:B20">_xlfn._xlws.FILTER('Tax- Data'!A2:A41,('Tax- Data'!B2:B41="House Property")*('Tax- Data'!C2:C41&gt;=5000000))</f>
        <v>Gauri</v>
      </c>
    </row>
    <row r="17" spans="1:8" ht="12.75" x14ac:dyDescent="0.2">
      <c r="B17" s="7" t="str">
        <v>Kabir</v>
      </c>
    </row>
    <row r="18" spans="1:8" ht="12.75" x14ac:dyDescent="0.2">
      <c r="B18" s="7" t="str">
        <v>Rahul</v>
      </c>
    </row>
    <row r="19" spans="1:8" ht="12.75" x14ac:dyDescent="0.2">
      <c r="B19" s="7" t="str">
        <v>Anika</v>
      </c>
    </row>
    <row r="20" spans="1:8" ht="12.75" x14ac:dyDescent="0.2">
      <c r="B20" s="7" t="str">
        <v>Diya</v>
      </c>
    </row>
    <row r="22" spans="1:8" ht="12.75" x14ac:dyDescent="0.2">
      <c r="A22" s="49" t="s">
        <v>56</v>
      </c>
      <c r="B22" s="49"/>
      <c r="C22" s="49"/>
      <c r="D22" s="49"/>
      <c r="E22" s="49"/>
    </row>
    <row r="23" spans="1:8" ht="12.75" x14ac:dyDescent="0.2">
      <c r="A23" s="6" t="s">
        <v>51</v>
      </c>
      <c r="B23" s="7">
        <f>COUNTIFS('Tax- Data'!D2:D41,"&gt;8%",'Tax- Data'!B2:B41,"Other Income")</f>
        <v>2</v>
      </c>
      <c r="H23" s="17"/>
    </row>
    <row r="25" spans="1:8" ht="12.75" x14ac:dyDescent="0.2">
      <c r="A25" s="49" t="s">
        <v>57</v>
      </c>
      <c r="B25" s="49"/>
      <c r="C25" s="49"/>
      <c r="D25" s="49"/>
      <c r="E25" s="49"/>
    </row>
    <row r="26" spans="1:8" ht="12.75" x14ac:dyDescent="0.2">
      <c r="A26" s="6" t="s">
        <v>51</v>
      </c>
      <c r="B26" s="7">
        <f>SUM(_xlfn.MAXIFS('Tax- Data'!E2:E41,'Tax- Data'!B2:B41,"Business"),_xlfn.MAXIFS('Tax- Data'!E2:E41,'Tax- Data'!B2:B41,"Capital Gains"))</f>
        <v>16976557.132300001</v>
      </c>
    </row>
    <row r="28" spans="1:8" ht="12.75" x14ac:dyDescent="0.2">
      <c r="A28" s="49" t="s">
        <v>58</v>
      </c>
      <c r="B28" s="49"/>
      <c r="C28" s="49"/>
      <c r="D28" s="49"/>
      <c r="E28" s="49"/>
    </row>
    <row r="29" spans="1:8" ht="12.75" x14ac:dyDescent="0.2">
      <c r="A29" s="6" t="s">
        <v>51</v>
      </c>
      <c r="B29" s="7" t="str" cm="1">
        <f t="array" ref="B29">_xlfn._xlws.FILTER('Tax- Data'!A2:A41,('Tax- Data'!C2:C41&gt;8000000)*('Tax- Data'!D2:D41&gt;12%))</f>
        <v>Harsh</v>
      </c>
    </row>
    <row r="31" spans="1:8" ht="12.75" x14ac:dyDescent="0.2">
      <c r="A31" s="49" t="s">
        <v>59</v>
      </c>
      <c r="B31" s="49"/>
      <c r="C31" s="49"/>
      <c r="D31" s="49"/>
      <c r="E31" s="49"/>
    </row>
    <row r="32" spans="1:8" ht="12.75" x14ac:dyDescent="0.2">
      <c r="A32" s="6" t="s">
        <v>51</v>
      </c>
      <c r="B32" s="7">
        <f>COUNTIFS('Tax- Data'!D2:D41,"&gt;10%",'Tax- Data'!B2:B41,"Salary")</f>
        <v>3</v>
      </c>
    </row>
    <row r="34" spans="1:5" ht="12.75" x14ac:dyDescent="0.2">
      <c r="A34" s="49" t="s">
        <v>60</v>
      </c>
      <c r="B34" s="49"/>
      <c r="C34" s="49"/>
      <c r="D34" s="49"/>
      <c r="E34" s="49"/>
    </row>
    <row r="35" spans="1:5" ht="12.75" x14ac:dyDescent="0.2">
      <c r="A35" s="8" t="s">
        <v>1</v>
      </c>
      <c r="B35" s="8" t="s">
        <v>61</v>
      </c>
    </row>
    <row r="36" spans="1:5" ht="12.75" x14ac:dyDescent="0.2">
      <c r="A36" s="7" t="s">
        <v>7</v>
      </c>
      <c r="B36" s="7" cm="1">
        <f t="array" ref="B36:B39">SUMIF('Tax- Data'!B2:B41,'Task 2- Questions'!A36:A39,'Tax- Data'!E2:E41)</f>
        <v>42675743.705799997</v>
      </c>
    </row>
    <row r="37" spans="1:5" ht="12.75" x14ac:dyDescent="0.2">
      <c r="A37" s="7" t="s">
        <v>13</v>
      </c>
      <c r="B37" s="7">
        <v>55356462.282899998</v>
      </c>
    </row>
    <row r="38" spans="1:5" ht="12.75" x14ac:dyDescent="0.2">
      <c r="A38" s="7" t="s">
        <v>17</v>
      </c>
      <c r="B38" s="7">
        <v>49150854.272999994</v>
      </c>
    </row>
    <row r="39" spans="1:5" ht="12.75" x14ac:dyDescent="0.2">
      <c r="A39" s="7" t="s">
        <v>9</v>
      </c>
      <c r="B39" s="7">
        <v>24239669.289900001</v>
      </c>
    </row>
    <row r="41" spans="1:5" ht="12.75" x14ac:dyDescent="0.2">
      <c r="A41" s="49" t="s">
        <v>62</v>
      </c>
      <c r="B41" s="49"/>
      <c r="C41" s="49"/>
      <c r="D41" s="49"/>
      <c r="E41" s="49"/>
    </row>
    <row r="42" spans="1:5" ht="12.75" x14ac:dyDescent="0.2">
      <c r="A42" s="6" t="s">
        <v>51</v>
      </c>
      <c r="B42" s="7">
        <f>SUMIFS('Tax- Data'!C2:C41,'Tax- Data'!B2:B41,"Business",'Tax- Data'!F2:F41,"No")</f>
        <v>12981175</v>
      </c>
    </row>
    <row r="44" spans="1:5" ht="12.75" x14ac:dyDescent="0.2">
      <c r="A44" s="49" t="s">
        <v>63</v>
      </c>
      <c r="B44" s="49"/>
      <c r="C44" s="49"/>
      <c r="D44" s="49"/>
      <c r="E44" s="49"/>
    </row>
    <row r="45" spans="1:5" ht="12.75" x14ac:dyDescent="0.2">
      <c r="A45" s="6" t="s">
        <v>51</v>
      </c>
      <c r="B45" s="9">
        <f>_xlfn.MAXIFS('Tax- Data'!D2:D41,'Tax- Data'!B2:B41,"Salary")</f>
        <v>0.1724</v>
      </c>
    </row>
    <row r="47" spans="1:5" ht="12.75" x14ac:dyDescent="0.2">
      <c r="A47" s="2" t="s">
        <v>64</v>
      </c>
    </row>
    <row r="48" spans="1:5" ht="12.75" x14ac:dyDescent="0.2">
      <c r="A48" s="6" t="s">
        <v>51</v>
      </c>
      <c r="B48" s="9">
        <f>_xlfn.MINIFS('Tax- Data'!D2:D41,'Tax- Data'!B2:B41,"House Property")</f>
        <v>0</v>
      </c>
    </row>
    <row r="50" spans="1:5" ht="12.75" x14ac:dyDescent="0.2">
      <c r="A50" s="49" t="s">
        <v>65</v>
      </c>
      <c r="B50" s="49"/>
      <c r="C50" s="49"/>
      <c r="D50" s="49"/>
      <c r="E50" s="49"/>
    </row>
    <row r="51" spans="1:5" ht="12.75" x14ac:dyDescent="0.2">
      <c r="A51" s="6" t="s">
        <v>51</v>
      </c>
      <c r="B51" s="7" t="str" cm="1">
        <f t="array" ref="B51:B55">_xlfn._xlws.FILTER('Tax- Data'!A2:A41,('Tax- Data'!E2:E41&lt;6000000)*('Tax- Data'!F2:F41="Yes"))</f>
        <v>Ananya</v>
      </c>
    </row>
    <row r="52" spans="1:5" ht="12.75" x14ac:dyDescent="0.2">
      <c r="B52" s="7" t="str">
        <v>Ishaan</v>
      </c>
    </row>
    <row r="53" spans="1:5" ht="12.75" x14ac:dyDescent="0.2">
      <c r="B53" s="7" t="str">
        <v>Lakshya</v>
      </c>
    </row>
    <row r="54" spans="1:5" ht="12.75" x14ac:dyDescent="0.2">
      <c r="B54" s="7" t="str">
        <v>Meera</v>
      </c>
    </row>
    <row r="55" spans="1:5" ht="12.75" x14ac:dyDescent="0.2">
      <c r="B55" s="7" t="str">
        <v>Ganesh</v>
      </c>
    </row>
    <row r="57" spans="1:5" ht="12.75" x14ac:dyDescent="0.2">
      <c r="A57" s="49" t="s">
        <v>66</v>
      </c>
      <c r="B57" s="49"/>
      <c r="C57" s="49"/>
      <c r="D57" s="49"/>
      <c r="E57" s="49"/>
    </row>
    <row r="58" spans="1:5" ht="12.75" x14ac:dyDescent="0.2">
      <c r="A58" s="6" t="s">
        <v>51</v>
      </c>
      <c r="B58" s="10">
        <f>COUNTIFS('Tax- Data'!F2:F41,"Yes",'Tax- Data'!B2:B41,"Business")</f>
        <v>4</v>
      </c>
    </row>
    <row r="60" spans="1:5" ht="12.75" x14ac:dyDescent="0.2">
      <c r="A60" s="49" t="s">
        <v>67</v>
      </c>
      <c r="B60" s="49"/>
      <c r="C60" s="49"/>
      <c r="D60" s="49"/>
      <c r="E60" s="49"/>
    </row>
    <row r="61" spans="1:5" ht="12.75" x14ac:dyDescent="0.2">
      <c r="A61" s="6" t="s">
        <v>51</v>
      </c>
      <c r="B61" s="9">
        <f>AVERAGEIFS('Tax- Data'!D2:D41,'Tax- Data'!B2:B41,"Salary",'Tax- Data'!C2:C41,"&gt;5403641")</f>
        <v>4.6642857142857146E-2</v>
      </c>
    </row>
    <row r="63" spans="1:5" ht="12.75" x14ac:dyDescent="0.2">
      <c r="A63" s="49" t="s">
        <v>68</v>
      </c>
      <c r="B63" s="49"/>
      <c r="C63" s="49"/>
      <c r="D63" s="49"/>
      <c r="E63" s="49"/>
    </row>
    <row r="64" spans="1:5" ht="12.75" x14ac:dyDescent="0.2">
      <c r="A64" s="6" t="s">
        <v>51</v>
      </c>
      <c r="B64" s="7">
        <f>_xlfn.MAXIFS('Tax- Data'!E2:E41,'Tax- Data'!F2:F41,"Yes",'Tax- Data'!D2:D41,"&lt;3%")</f>
        <v>9735478</v>
      </c>
    </row>
    <row r="66" spans="1:5" ht="12.75" x14ac:dyDescent="0.2">
      <c r="A66" s="49" t="s">
        <v>69</v>
      </c>
      <c r="B66" s="49"/>
      <c r="C66" s="49"/>
      <c r="D66" s="49"/>
      <c r="E66" s="49"/>
    </row>
    <row r="67" spans="1:5" ht="12.75" x14ac:dyDescent="0.2">
      <c r="A67" s="6" t="s">
        <v>51</v>
      </c>
      <c r="B67" s="7">
        <f>AVERAGEIFS('Tax- Data'!C2:C41,'Tax- Data'!D2:D41,"&lt;12%",'Tax- Data'!F2:F41,"Yes")</f>
        <v>7794832.7999999998</v>
      </c>
    </row>
    <row r="69" spans="1:5" ht="12.75" x14ac:dyDescent="0.2">
      <c r="A69" s="49" t="s">
        <v>70</v>
      </c>
      <c r="B69" s="49"/>
      <c r="C69" s="49"/>
      <c r="D69" s="49"/>
      <c r="E69" s="49"/>
    </row>
    <row r="70" spans="1:5" ht="12.75" x14ac:dyDescent="0.2">
      <c r="A70" s="6" t="s">
        <v>51</v>
      </c>
      <c r="B70" s="9">
        <f>_xlfn.MINIFS('Tax- Data'!D2:D41,'Tax- Data'!D2:D41,"&gt;5%")</f>
        <v>8.3500000000000005E-2</v>
      </c>
    </row>
  </sheetData>
  <mergeCells count="18">
    <mergeCell ref="A34:E34"/>
    <mergeCell ref="A1:E1"/>
    <mergeCell ref="A6:E6"/>
    <mergeCell ref="A9:E9"/>
    <mergeCell ref="A12:E12"/>
    <mergeCell ref="A15:E15"/>
    <mergeCell ref="A22:E22"/>
    <mergeCell ref="A25:E25"/>
    <mergeCell ref="A28:E28"/>
    <mergeCell ref="A31:E31"/>
    <mergeCell ref="A66:E66"/>
    <mergeCell ref="A69:E69"/>
    <mergeCell ref="A41:E41"/>
    <mergeCell ref="A44:E44"/>
    <mergeCell ref="A50:E50"/>
    <mergeCell ref="A57:E57"/>
    <mergeCell ref="A60:E60"/>
    <mergeCell ref="A63:E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20"/>
  <sheetViews>
    <sheetView tabSelected="1" topLeftCell="A106" workbookViewId="0">
      <selection activeCell="A128" sqref="A128"/>
    </sheetView>
  </sheetViews>
  <sheetFormatPr defaultColWidth="12.5703125" defaultRowHeight="15.75" customHeight="1" x14ac:dyDescent="0.2"/>
  <cols>
    <col min="1" max="1" width="19.28515625" customWidth="1"/>
    <col min="2" max="2" width="19.140625" customWidth="1"/>
    <col min="3" max="3" width="31.5703125" customWidth="1"/>
    <col min="4" max="4" width="19.85546875" customWidth="1"/>
    <col min="5" max="5" width="16.85546875" customWidth="1"/>
    <col min="6" max="6" width="13.7109375" customWidth="1"/>
    <col min="9" max="9" width="21" customWidth="1"/>
    <col min="10" max="10" width="30.85546875" customWidth="1"/>
    <col min="11" max="11" width="24" customWidth="1"/>
    <col min="13" max="13" width="16.5703125" customWidth="1"/>
  </cols>
  <sheetData>
    <row r="1" spans="1:10" ht="12.75" x14ac:dyDescent="0.2">
      <c r="A1" s="51" t="s">
        <v>71</v>
      </c>
      <c r="B1" s="51"/>
      <c r="C1" s="51"/>
      <c r="D1" s="51"/>
      <c r="E1" s="51"/>
    </row>
    <row r="2" spans="1:10" ht="12.75" x14ac:dyDescent="0.2">
      <c r="A2" s="11"/>
    </row>
    <row r="3" spans="1:10" ht="15" x14ac:dyDescent="0.2">
      <c r="A3" s="6" t="s">
        <v>72</v>
      </c>
      <c r="B3" s="7" t="str" cm="1">
        <f t="array" ref="B3:B4">_xlfn._xlws.FILTER('Tax- Data'!A2:A41,('Tax- Data'!D2:D41=MAX('Tax- Data'!D2:D41))*('Tax- Data'!E2:E41&gt;3000000))</f>
        <v>Lakshya</v>
      </c>
      <c r="C3" s="38"/>
    </row>
    <row r="4" spans="1:10" ht="12.75" x14ac:dyDescent="0.2">
      <c r="B4" s="7" t="str">
        <v>Aditya</v>
      </c>
    </row>
    <row r="5" spans="1:10" ht="12.75" x14ac:dyDescent="0.2">
      <c r="B5" s="7"/>
    </row>
    <row r="6" spans="1:10" ht="12.75" x14ac:dyDescent="0.2">
      <c r="B6" s="7"/>
    </row>
    <row r="7" spans="1:10" ht="12.75" x14ac:dyDescent="0.2">
      <c r="B7" s="7"/>
    </row>
    <row r="8" spans="1:10" ht="12.75" x14ac:dyDescent="0.2">
      <c r="B8" s="7"/>
      <c r="D8" s="2"/>
      <c r="E8" s="2"/>
      <c r="F8" s="12"/>
      <c r="G8" s="13"/>
      <c r="H8" s="1"/>
      <c r="I8" s="2"/>
      <c r="J8" s="2"/>
    </row>
    <row r="10" spans="1:10" ht="12.75" x14ac:dyDescent="0.2">
      <c r="A10" s="51" t="s">
        <v>73</v>
      </c>
      <c r="B10" s="51"/>
      <c r="C10" s="51"/>
      <c r="D10" s="51"/>
      <c r="E10" s="51"/>
    </row>
    <row r="11" spans="1:10" ht="12.75" x14ac:dyDescent="0.2">
      <c r="A11" s="2"/>
    </row>
    <row r="12" spans="1:10" ht="12.75" x14ac:dyDescent="0.2">
      <c r="A12" s="6" t="s">
        <v>72</v>
      </c>
      <c r="B12" s="7" t="str">
        <f>INDEX('Tax- Data'!A2:A41,MATCH(MIN('Tax- Data'!E2:E41),'Tax- Data'!E2:E41,0))</f>
        <v>Chetan</v>
      </c>
    </row>
    <row r="14" spans="1:10" ht="12.75" x14ac:dyDescent="0.2">
      <c r="A14" s="51" t="s">
        <v>74</v>
      </c>
      <c r="B14" s="51"/>
      <c r="C14" s="51"/>
      <c r="D14" s="51"/>
      <c r="E14" s="51"/>
    </row>
    <row r="15" spans="1:10" ht="12.75" x14ac:dyDescent="0.2">
      <c r="A15" s="2"/>
    </row>
    <row r="16" spans="1:10" ht="12.75" x14ac:dyDescent="0.2">
      <c r="A16" s="6" t="s">
        <v>72</v>
      </c>
      <c r="B16" s="7" t="str" cm="1">
        <f t="array" ref="B16">_xlfn._xlws.FILTER('Tax- Data'!B2:B41,'Tax- Data'!E2:E41=_xlfn.MAXIFS('Tax- Data'!E2:E41,'Tax- Data'!F2:F41,"Yes"))</f>
        <v>Salary</v>
      </c>
    </row>
    <row r="18" spans="1:5" ht="12.75" x14ac:dyDescent="0.2">
      <c r="A18" s="51" t="s">
        <v>75</v>
      </c>
      <c r="B18" s="51"/>
      <c r="C18" s="51"/>
      <c r="D18" s="51"/>
      <c r="E18" s="51"/>
    </row>
    <row r="19" spans="1:5" ht="12.75" x14ac:dyDescent="0.2">
      <c r="A19" s="2" t="s">
        <v>76</v>
      </c>
    </row>
    <row r="20" spans="1:5" ht="12.75" x14ac:dyDescent="0.2">
      <c r="A20" s="2" t="s">
        <v>77</v>
      </c>
      <c r="B20" s="12">
        <v>9000000</v>
      </c>
      <c r="C20" s="2" t="s">
        <v>78</v>
      </c>
    </row>
    <row r="21" spans="1:5" ht="12.75" x14ac:dyDescent="0.2">
      <c r="A21" s="2" t="s">
        <v>77</v>
      </c>
      <c r="B21" s="12">
        <v>6000000</v>
      </c>
      <c r="C21" s="2" t="s">
        <v>79</v>
      </c>
    </row>
    <row r="22" spans="1:5" ht="12.75" x14ac:dyDescent="0.2">
      <c r="A22" s="2" t="s">
        <v>80</v>
      </c>
      <c r="B22" s="12">
        <v>6000000</v>
      </c>
      <c r="C22" s="2" t="s">
        <v>81</v>
      </c>
    </row>
    <row r="23" spans="1:5" ht="12.75" x14ac:dyDescent="0.2">
      <c r="A23" s="2" t="s">
        <v>82</v>
      </c>
    </row>
    <row r="24" spans="1:5" ht="12.75" x14ac:dyDescent="0.2">
      <c r="A24" s="8" t="s">
        <v>0</v>
      </c>
      <c r="B24" s="8" t="s">
        <v>4</v>
      </c>
      <c r="C24" s="8" t="s">
        <v>5</v>
      </c>
      <c r="D24" s="8" t="s">
        <v>83</v>
      </c>
    </row>
    <row r="25" spans="1:5" ht="12.75" x14ac:dyDescent="0.2">
      <c r="A25" s="7" t="s">
        <v>25</v>
      </c>
      <c r="B25" s="14">
        <f>VLOOKUP(A25,'Tax- Data'!$A$2:$F$41,5,FALSE)</f>
        <v>9735478</v>
      </c>
      <c r="C25" s="7" t="str">
        <f>VLOOKUP(A25,'Tax- Data'!$A$2:$F$41,6,FALSE)</f>
        <v>Yes</v>
      </c>
      <c r="D25" s="15">
        <f>IF(C25="Yes",IF(B25&gt;=$B$20,B25*10%,IF(B25&gt;=$B$21,B25*7.5%,IF(B25&lt;$B$22,B25*5%))),"-")</f>
        <v>973547.8</v>
      </c>
    </row>
    <row r="26" spans="1:5" ht="12.75" x14ac:dyDescent="0.2">
      <c r="A26" s="7" t="s">
        <v>16</v>
      </c>
      <c r="B26" s="14">
        <f>VLOOKUP(A26,'Tax- Data'!$A$2:$F$41,5,FALSE)</f>
        <v>3140545</v>
      </c>
      <c r="C26" s="7" t="str">
        <f>VLOOKUP(A26,'Tax- Data'!$A$2:$F$41,6,FALSE)</f>
        <v>No</v>
      </c>
      <c r="D26" s="15" t="str">
        <f t="shared" ref="D26:D27" si="0">IF(C26="Yes",IF(B26&gt;=$B$20,B26*10%,IF(B26&gt;=$B$21,B26*7.5%,IF(B26&lt;$B$22,B26*5%))),"-")</f>
        <v>-</v>
      </c>
    </row>
    <row r="27" spans="1:5" ht="12.75" x14ac:dyDescent="0.2">
      <c r="A27" s="7" t="s">
        <v>21</v>
      </c>
      <c r="B27" s="14">
        <f>VLOOKUP(A27,'Tax- Data'!$A$2:$F$41,5,FALSE)</f>
        <v>7899219.6600000001</v>
      </c>
      <c r="C27" s="7" t="str">
        <f>VLOOKUP(A27,'Tax- Data'!$A$2:$F$41,6,FALSE)</f>
        <v>Yes</v>
      </c>
      <c r="D27" s="15">
        <f t="shared" si="0"/>
        <v>592441.47450000001</v>
      </c>
    </row>
    <row r="29" spans="1:5" ht="12.75" x14ac:dyDescent="0.2">
      <c r="A29" s="51" t="s">
        <v>84</v>
      </c>
      <c r="B29" s="51"/>
      <c r="C29" s="51"/>
      <c r="D29" s="51"/>
      <c r="E29" s="51"/>
    </row>
    <row r="30" spans="1:5" ht="12.75" x14ac:dyDescent="0.2">
      <c r="A30" s="51" t="s">
        <v>85</v>
      </c>
      <c r="B30" s="51"/>
      <c r="C30" s="51"/>
      <c r="D30" s="51"/>
      <c r="E30" s="51"/>
    </row>
    <row r="31" spans="1:5" ht="12.75" x14ac:dyDescent="0.2">
      <c r="A31" s="51" t="s">
        <v>86</v>
      </c>
      <c r="B31" s="51"/>
      <c r="C31" s="51"/>
      <c r="D31" s="51"/>
      <c r="E31" s="51"/>
    </row>
    <row r="32" spans="1:5" ht="12.75" x14ac:dyDescent="0.2">
      <c r="A32" s="2"/>
    </row>
    <row r="33" spans="1:5" ht="12.75" x14ac:dyDescent="0.2">
      <c r="A33" s="8" t="s">
        <v>0</v>
      </c>
      <c r="B33" s="8" t="s">
        <v>2</v>
      </c>
      <c r="C33" s="8" t="s">
        <v>87</v>
      </c>
    </row>
    <row r="34" spans="1:5" ht="12.75" x14ac:dyDescent="0.2">
      <c r="A34" s="7" t="s">
        <v>32</v>
      </c>
      <c r="B34" s="10">
        <f>VLOOKUP(A34,'Tax- Data'!$A$2:$C$41,3,FALSE)</f>
        <v>7684571</v>
      </c>
      <c r="C34" s="7" t="str" cm="1">
        <f t="array" ref="C34:C36">_xlfn.IFS(B34:B36&gt;=8000000,"High Income",B34:B36&gt;=7000000,"Medium Income",B34:B36&lt;7000000,"Low Income")</f>
        <v>Medium Income</v>
      </c>
    </row>
    <row r="35" spans="1:5" ht="12.75" x14ac:dyDescent="0.2">
      <c r="A35" s="7" t="s">
        <v>22</v>
      </c>
      <c r="B35" s="10">
        <f>VLOOKUP(A35,'Tax- Data'!$A$2:$C$41,3,FALSE)</f>
        <v>6024292</v>
      </c>
      <c r="C35" s="7" t="str">
        <v>Low Income</v>
      </c>
    </row>
    <row r="36" spans="1:5" ht="12.75" x14ac:dyDescent="0.2">
      <c r="A36" s="7" t="s">
        <v>19</v>
      </c>
      <c r="B36" s="10">
        <f>VLOOKUP(A36,'Tax- Data'!$A$2:$C$41,3,FALSE)</f>
        <v>8857840</v>
      </c>
      <c r="C36" s="7" t="str">
        <v>High Income</v>
      </c>
    </row>
    <row r="38" spans="1:5" ht="12.75" x14ac:dyDescent="0.2">
      <c r="A38" s="51" t="s">
        <v>88</v>
      </c>
      <c r="B38" s="51"/>
      <c r="C38" s="51"/>
      <c r="D38" s="51"/>
      <c r="E38" s="51"/>
    </row>
    <row r="39" spans="1:5" ht="12.75" x14ac:dyDescent="0.2">
      <c r="A39" s="2"/>
    </row>
    <row r="40" spans="1:5" ht="14.25" x14ac:dyDescent="0.2">
      <c r="A40" s="6" t="s">
        <v>72</v>
      </c>
      <c r="B40" s="7" t="str" cm="1">
        <f t="array" ref="B40:B42">_xlfn._xlws.FILTER('Tax- Data'!A2:A41,('Tax- Data'!B2:B41="House Property")*('Tax- Data'!D2:D41=MAX('Tax- Data'!D2:D41)))</f>
        <v>Varun</v>
      </c>
      <c r="C40" s="39"/>
    </row>
    <row r="41" spans="1:5" ht="12.75" x14ac:dyDescent="0.2">
      <c r="B41" s="7" t="str">
        <v>Aditya</v>
      </c>
    </row>
    <row r="42" spans="1:5" ht="12.75" x14ac:dyDescent="0.2">
      <c r="B42" s="7" t="str">
        <v>Akshay</v>
      </c>
    </row>
    <row r="43" spans="1:5" ht="12.75" x14ac:dyDescent="0.2">
      <c r="B43" s="7"/>
    </row>
    <row r="44" spans="1:5" ht="12.75" x14ac:dyDescent="0.2">
      <c r="B44" s="7"/>
    </row>
    <row r="45" spans="1:5" ht="12.75" x14ac:dyDescent="0.2">
      <c r="B45" s="7"/>
    </row>
    <row r="47" spans="1:5" ht="12.75" x14ac:dyDescent="0.2">
      <c r="A47" s="51" t="s">
        <v>89</v>
      </c>
      <c r="B47" s="51"/>
      <c r="C47" s="51"/>
      <c r="D47" s="51"/>
      <c r="E47" s="51"/>
    </row>
    <row r="48" spans="1:5" ht="12.75" x14ac:dyDescent="0.2">
      <c r="A48" s="2" t="s">
        <v>90</v>
      </c>
    </row>
    <row r="49" spans="1:13" ht="12.75" x14ac:dyDescent="0.2">
      <c r="A49" s="2" t="s">
        <v>91</v>
      </c>
    </row>
    <row r="50" spans="1:13" ht="12.75" x14ac:dyDescent="0.2">
      <c r="A50" s="2" t="s">
        <v>92</v>
      </c>
    </row>
    <row r="51" spans="1:13" ht="12.75" x14ac:dyDescent="0.2">
      <c r="A51" s="2"/>
    </row>
    <row r="52" spans="1:13" ht="12.75" x14ac:dyDescent="0.2">
      <c r="A52" s="8" t="s">
        <v>0</v>
      </c>
      <c r="B52" s="8" t="s">
        <v>3</v>
      </c>
      <c r="C52" s="8" t="s">
        <v>93</v>
      </c>
    </row>
    <row r="53" spans="1:13" ht="12.75" x14ac:dyDescent="0.2">
      <c r="A53" s="7" t="s">
        <v>30</v>
      </c>
      <c r="B53" s="9">
        <f>VLOOKUP(A53,'Tax- Data'!$A$2:$D$41,4,FALSE)</f>
        <v>8.3500000000000005E-2</v>
      </c>
      <c r="C53" s="7" t="str" cm="1">
        <f t="array" ref="C53:C57">_xlfn.IFS(B53:B57&gt;=16%,A53:A57&amp;" has taken high deduction",B53:B57&gt;=10%,A53:A57&amp;" has taken medium deduction",B53:B57&gt;0%,A53:A57&amp;" has taken low deduction",B53:B57&lt;=0%,A53:A57&amp; "mhas not taken any deduction")</f>
        <v>Omkar has taken low deduction</v>
      </c>
      <c r="D53" s="40"/>
    </row>
    <row r="54" spans="1:13" ht="12.75" x14ac:dyDescent="0.2">
      <c r="A54" s="7" t="s">
        <v>21</v>
      </c>
      <c r="B54" s="9">
        <f>VLOOKUP(A54,'Tax- Data'!$A$2:$D$41,4,FALSE)</f>
        <v>0.156</v>
      </c>
      <c r="C54" s="7" t="str">
        <v>Harsh has taken medium deduction</v>
      </c>
      <c r="H54" s="17"/>
    </row>
    <row r="55" spans="1:13" ht="12.75" x14ac:dyDescent="0.2">
      <c r="A55" s="7" t="s">
        <v>36</v>
      </c>
      <c r="B55" s="9">
        <f>VLOOKUP(A55,'Tax- Data'!$A$2:$D$41,4,FALSE)</f>
        <v>0</v>
      </c>
      <c r="C55" s="7" t="str">
        <v>Tarunmhas not taken any deduction</v>
      </c>
    </row>
    <row r="56" spans="1:13" ht="12.75" x14ac:dyDescent="0.2">
      <c r="A56" s="7" t="s">
        <v>20</v>
      </c>
      <c r="B56" s="9">
        <f>VLOOKUP(A56,'Tax- Data'!$A$2:$D$41,4,FALSE)</f>
        <v>3.5299999999999998E-2</v>
      </c>
      <c r="C56" s="7" t="str">
        <v>Gauri has taken low deduction</v>
      </c>
    </row>
    <row r="57" spans="1:13" ht="12.75" x14ac:dyDescent="0.2">
      <c r="A57" s="7" t="s">
        <v>38</v>
      </c>
      <c r="B57" s="9">
        <f>VLOOKUP(A57,'Tax- Data'!$A$2:$D$41,4,FALSE)</f>
        <v>0.1724</v>
      </c>
      <c r="C57" s="7" t="str">
        <v>Varun has taken high deduction</v>
      </c>
    </row>
    <row r="59" spans="1:13" ht="12.75" x14ac:dyDescent="0.2">
      <c r="A59" s="51" t="s">
        <v>94</v>
      </c>
      <c r="B59" s="51"/>
      <c r="C59" s="51"/>
      <c r="D59" s="51"/>
      <c r="E59" s="51"/>
    </row>
    <row r="60" spans="1:13" ht="12.75" x14ac:dyDescent="0.2">
      <c r="A60" s="2"/>
      <c r="B60" s="13"/>
      <c r="J60" s="6"/>
      <c r="K60" s="6"/>
      <c r="L60" s="6"/>
      <c r="M60" s="6"/>
    </row>
    <row r="61" spans="1:13" ht="12.75" x14ac:dyDescent="0.2">
      <c r="A61" s="6" t="s">
        <v>72</v>
      </c>
      <c r="B61" s="9">
        <f>AVERAGEIFS('Tax- Data'!D2:D41,'Tax- Data'!E2:E41,_xlfn.MAXIFS('Tax- Data'!E2:E41,'Tax- Data'!B2:B41,"Other Income"))</f>
        <v>3.5299999999999998E-2</v>
      </c>
      <c r="D61" s="13"/>
    </row>
    <row r="63" spans="1:13" ht="12.75" x14ac:dyDescent="0.2">
      <c r="A63" s="51" t="s">
        <v>95</v>
      </c>
      <c r="B63" s="51"/>
      <c r="C63" s="51"/>
      <c r="D63" s="51"/>
      <c r="E63" s="51"/>
    </row>
    <row r="64" spans="1:13" ht="12.75" x14ac:dyDescent="0.2">
      <c r="A64" s="2"/>
    </row>
    <row r="65" spans="1:11" ht="12.75" x14ac:dyDescent="0.2">
      <c r="A65" s="6" t="s">
        <v>72</v>
      </c>
      <c r="B65" s="15" cm="1">
        <f t="array" ref="B65:B67">INDEX(_xlfn._xlws.SORT('Tax- Data'!E2:E41,1,1),_xlfn.SEQUENCE(3))</f>
        <v>450792.06479999999</v>
      </c>
      <c r="C65" s="16"/>
    </row>
    <row r="66" spans="1:11" ht="12.75" x14ac:dyDescent="0.2">
      <c r="A66" s="6"/>
      <c r="B66" s="15">
        <v>595026.62699999998</v>
      </c>
      <c r="C66" s="16"/>
    </row>
    <row r="67" spans="1:11" ht="12.75" x14ac:dyDescent="0.2">
      <c r="A67" s="6"/>
      <c r="B67" s="15">
        <v>657337</v>
      </c>
      <c r="C67" s="16"/>
    </row>
    <row r="69" spans="1:11" ht="12.75" x14ac:dyDescent="0.2">
      <c r="A69" s="51" t="s">
        <v>96</v>
      </c>
      <c r="B69" s="51"/>
      <c r="C69" s="51"/>
      <c r="D69" s="51"/>
      <c r="E69" s="51"/>
    </row>
    <row r="70" spans="1:11" ht="12.75" x14ac:dyDescent="0.2">
      <c r="A70" s="8" t="s">
        <v>0</v>
      </c>
      <c r="B70" s="8" t="s">
        <v>1</v>
      </c>
      <c r="C70" s="8" t="s">
        <v>2</v>
      </c>
    </row>
    <row r="71" spans="1:11" ht="12.75" x14ac:dyDescent="0.2">
      <c r="A71" s="7" t="str" cm="1">
        <f t="array" ref="A71:C74">INDEX(_xlfn._xlws.SORT(_xlfn._xlws.FILTER('Tax- Data'!A2:C41,('Tax- Data'!B2:B41="House Property")*('Tax- Data'!C2:C41&gt;7000000)),3,-1),_xlfn.SEQUENCE(4),{1,2,3})</f>
        <v>Gauri</v>
      </c>
      <c r="B71" s="7" t="str">
        <v>House Property</v>
      </c>
      <c r="C71" s="10">
        <v>9408645</v>
      </c>
    </row>
    <row r="72" spans="1:11" ht="12.75" x14ac:dyDescent="0.2">
      <c r="A72" s="7" t="str">
        <v>Kabir</v>
      </c>
      <c r="B72" s="7" t="str">
        <v>House Property</v>
      </c>
      <c r="C72" s="10">
        <v>8331027</v>
      </c>
    </row>
    <row r="73" spans="1:11" ht="12.75" x14ac:dyDescent="0.2">
      <c r="A73" s="7" t="str">
        <v>Anika</v>
      </c>
      <c r="B73" s="7" t="str">
        <v>House Property</v>
      </c>
      <c r="C73" s="10">
        <v>8024447</v>
      </c>
    </row>
    <row r="74" spans="1:11" ht="12.75" x14ac:dyDescent="0.2">
      <c r="A74" s="7" t="str">
        <v>Rahul</v>
      </c>
      <c r="B74" s="7" t="str">
        <v>House Property</v>
      </c>
      <c r="C74" s="10">
        <v>7684571</v>
      </c>
    </row>
    <row r="76" spans="1:11" ht="12.75" x14ac:dyDescent="0.2">
      <c r="A76" s="51" t="s">
        <v>97</v>
      </c>
      <c r="B76" s="51"/>
      <c r="C76" s="51"/>
      <c r="D76" s="51"/>
      <c r="E76" s="51"/>
    </row>
    <row r="77" spans="1:11" ht="12.75" x14ac:dyDescent="0.2">
      <c r="A77" s="2"/>
      <c r="K77" s="2" t="e">
        <f>AVERAGE(K78:K97)</f>
        <v>#DIV/0!</v>
      </c>
    </row>
    <row r="78" spans="1:11" ht="12.75" x14ac:dyDescent="0.2">
      <c r="A78" s="6" t="s">
        <v>72</v>
      </c>
      <c r="B78" s="7">
        <f>AVERAGEIFS('Tax- Data'!E2:E41,'Tax- Data'!C2:C41,_xlfn.MAXIFS('Tax- Data'!C2:C41,'Tax- Data'!D2:D41,"3.53%"))</f>
        <v>9076519.8314999994</v>
      </c>
      <c r="C78" s="2"/>
    </row>
    <row r="80" spans="1:11" ht="12.75" x14ac:dyDescent="0.2">
      <c r="A80" s="51" t="s">
        <v>98</v>
      </c>
      <c r="B80" s="51"/>
      <c r="C80" s="51"/>
      <c r="D80" s="51"/>
      <c r="E80" s="51"/>
    </row>
    <row r="81" spans="1:5" ht="12.75" x14ac:dyDescent="0.2">
      <c r="A81" s="2"/>
    </row>
    <row r="82" spans="1:5" ht="12.75" x14ac:dyDescent="0.2">
      <c r="A82" s="8" t="s">
        <v>0</v>
      </c>
      <c r="B82" s="8" t="s">
        <v>1</v>
      </c>
      <c r="C82" s="8" t="s">
        <v>2</v>
      </c>
      <c r="D82" s="8" t="s">
        <v>3</v>
      </c>
      <c r="E82" s="8" t="s">
        <v>4</v>
      </c>
    </row>
    <row r="83" spans="1:5" ht="12.75" x14ac:dyDescent="0.2">
      <c r="A83" s="7" t="str" cm="1">
        <f t="array" ref="A83:E85">INDEX(_xlfn._xlws.SORT(_xlfn._xlws.FILTER('Tax- Data'!A2:E41,'Tax- Data'!E2:E41&gt;8000000),5,-1),_xlfn.SEQUENCE(3),{1,2,3,4,5})</f>
        <v>Kavita</v>
      </c>
      <c r="B83" s="7" t="str">
        <v>Salary</v>
      </c>
      <c r="C83" s="10">
        <v>9735478</v>
      </c>
      <c r="D83" s="9">
        <v>0</v>
      </c>
      <c r="E83" s="14">
        <v>9735478</v>
      </c>
    </row>
    <row r="84" spans="1:5" ht="12.75" x14ac:dyDescent="0.2">
      <c r="A84" s="7" t="str">
        <v>Neha</v>
      </c>
      <c r="B84" s="7" t="str">
        <v>Salary</v>
      </c>
      <c r="C84" s="10">
        <v>9604515</v>
      </c>
      <c r="D84" s="9">
        <v>0</v>
      </c>
      <c r="E84" s="14">
        <v>9604515</v>
      </c>
    </row>
    <row r="85" spans="1:5" ht="12.75" x14ac:dyDescent="0.2">
      <c r="A85" s="7" t="str">
        <v>Gauri</v>
      </c>
      <c r="B85" s="7" t="str">
        <v>House Property</v>
      </c>
      <c r="C85" s="10">
        <v>9408645</v>
      </c>
      <c r="D85" s="9">
        <v>3.5299999999999998E-2</v>
      </c>
      <c r="E85" s="14">
        <v>9076519.8314999994</v>
      </c>
    </row>
    <row r="87" spans="1:5" ht="12.75" x14ac:dyDescent="0.2">
      <c r="A87" s="51" t="s">
        <v>99</v>
      </c>
      <c r="B87" s="51"/>
      <c r="C87" s="51"/>
      <c r="D87" s="51"/>
      <c r="E87" s="51"/>
    </row>
    <row r="88" spans="1:5" ht="12.75" x14ac:dyDescent="0.2">
      <c r="A88" s="2"/>
    </row>
    <row r="89" spans="1:5" ht="12.75" x14ac:dyDescent="0.2">
      <c r="A89" s="8" t="s">
        <v>0</v>
      </c>
      <c r="B89" s="8" t="s">
        <v>1</v>
      </c>
      <c r="C89" s="8" t="s">
        <v>2</v>
      </c>
      <c r="D89" s="8" t="s">
        <v>3</v>
      </c>
      <c r="E89" s="8" t="s">
        <v>4</v>
      </c>
    </row>
    <row r="90" spans="1:5" ht="12.75" x14ac:dyDescent="0.2">
      <c r="A90" s="7" t="str" cm="1">
        <f t="array" ref="A90:E92">INDEX(_xlfn._xlws.SORT(_xlfn._xlws.FILTER('Tax- Data'!A2:E41,'Tax- Data'!E2:E41&gt;8000000),5,1),_xlfn.SEQUENCE(3),{1,2,3,4,5})</f>
        <v>Kabir</v>
      </c>
      <c r="B90" s="7" t="str">
        <v>House Property</v>
      </c>
      <c r="C90" s="10">
        <v>8331027</v>
      </c>
      <c r="D90" s="9">
        <v>3.5299999999999998E-2</v>
      </c>
      <c r="E90" s="14">
        <v>8036941.7468999997</v>
      </c>
    </row>
    <row r="91" spans="1:5" ht="12.75" x14ac:dyDescent="0.2">
      <c r="A91" s="7" t="str">
        <v>Ritu</v>
      </c>
      <c r="B91" s="7" t="str">
        <v>Other Income</v>
      </c>
      <c r="C91" s="10">
        <v>8077788</v>
      </c>
      <c r="D91" s="9">
        <v>0</v>
      </c>
      <c r="E91" s="14">
        <v>8077788</v>
      </c>
    </row>
    <row r="92" spans="1:5" ht="12.75" x14ac:dyDescent="0.2">
      <c r="A92" s="7" t="str">
        <v>Tarun</v>
      </c>
      <c r="B92" s="7" t="str">
        <v>Capital Gains</v>
      </c>
      <c r="C92" s="10">
        <v>8271578</v>
      </c>
      <c r="D92" s="9">
        <v>0</v>
      </c>
      <c r="E92" s="14">
        <v>8271578</v>
      </c>
    </row>
    <row r="94" spans="1:5" ht="12.75" x14ac:dyDescent="0.2">
      <c r="A94" s="51" t="s">
        <v>100</v>
      </c>
      <c r="B94" s="51"/>
      <c r="C94" s="51"/>
      <c r="D94" s="51"/>
      <c r="E94" s="51"/>
    </row>
    <row r="95" spans="1:5" ht="12.75" x14ac:dyDescent="0.2">
      <c r="A95" s="2" t="s">
        <v>101</v>
      </c>
      <c r="B95" s="12">
        <v>9000000</v>
      </c>
      <c r="C95" s="2" t="s">
        <v>102</v>
      </c>
    </row>
    <row r="96" spans="1:5" ht="12.75" x14ac:dyDescent="0.2">
      <c r="A96" s="2" t="s">
        <v>101</v>
      </c>
      <c r="B96" s="12">
        <v>5000000</v>
      </c>
      <c r="C96" s="2" t="s">
        <v>103</v>
      </c>
    </row>
    <row r="97" spans="1:5" ht="12.75" x14ac:dyDescent="0.2">
      <c r="A97" s="2" t="s">
        <v>104</v>
      </c>
      <c r="B97" s="12">
        <v>5000000</v>
      </c>
      <c r="C97" s="2" t="s">
        <v>105</v>
      </c>
    </row>
    <row r="98" spans="1:5" ht="12.75" x14ac:dyDescent="0.2">
      <c r="A98" s="2"/>
    </row>
    <row r="99" spans="1:5" ht="12.75" x14ac:dyDescent="0.2">
      <c r="A99" s="8" t="s">
        <v>0</v>
      </c>
      <c r="B99" s="8" t="s">
        <v>4</v>
      </c>
      <c r="C99" s="8" t="s">
        <v>106</v>
      </c>
    </row>
    <row r="100" spans="1:5" ht="12.75" x14ac:dyDescent="0.2">
      <c r="A100" s="7" t="s">
        <v>37</v>
      </c>
      <c r="B100" s="14">
        <f>VLOOKUP(A100,'Tax- Data'!$A$2:$E$41,5,FALSE)</f>
        <v>6499551</v>
      </c>
      <c r="C100" s="7" t="str" cm="1">
        <f t="array" ref="C100:C103">_xlfn.IFS(B100:B103&gt;=B95,"Upper Class",B100:B103&gt;=B96,"Middle Class",B100:B103&lt;B97,"Lower Class")</f>
        <v>Middle Class</v>
      </c>
    </row>
    <row r="101" spans="1:5" ht="12.75" x14ac:dyDescent="0.2">
      <c r="A101" s="7" t="s">
        <v>25</v>
      </c>
      <c r="B101" s="14">
        <f>VLOOKUP(A101,'Tax- Data'!$A$2:$E$41,5,FALSE)</f>
        <v>9735478</v>
      </c>
      <c r="C101" s="7" t="str">
        <v>Upper Class</v>
      </c>
    </row>
    <row r="102" spans="1:5" ht="12.75" x14ac:dyDescent="0.2">
      <c r="A102" s="7" t="s">
        <v>16</v>
      </c>
      <c r="B102" s="14">
        <f>VLOOKUP(A102,'Tax- Data'!$A$2:$E$41,5,FALSE)</f>
        <v>3140545</v>
      </c>
      <c r="C102" s="7" t="str">
        <v>Lower Class</v>
      </c>
    </row>
    <row r="103" spans="1:5" ht="12.75" x14ac:dyDescent="0.2">
      <c r="A103" s="7" t="s">
        <v>6</v>
      </c>
      <c r="B103" s="14">
        <f>VLOOKUP(A103,'Tax- Data'!$A$2:$E$41,5,FALSE)</f>
        <v>1829023.3064999999</v>
      </c>
      <c r="C103" s="7" t="str">
        <v>Lower Class</v>
      </c>
    </row>
    <row r="105" spans="1:5" ht="12.75" x14ac:dyDescent="0.2">
      <c r="A105" s="51" t="s">
        <v>107</v>
      </c>
      <c r="B105" s="51"/>
      <c r="C105" s="51"/>
      <c r="D105" s="51"/>
      <c r="E105" s="51"/>
    </row>
    <row r="106" spans="1:5" ht="12.75" x14ac:dyDescent="0.2">
      <c r="A106" s="2"/>
      <c r="D106" s="13"/>
    </row>
    <row r="107" spans="1:5" ht="12.75" x14ac:dyDescent="0.2">
      <c r="A107" s="6" t="s">
        <v>72</v>
      </c>
      <c r="B107" s="7">
        <f>COUNTIF('Tax- Data'!D2:D41,_xlfn.MAXIFS('Tax- Data'!D2:D41,'Tax- Data'!B2:B41,"Salary"))</f>
        <v>6</v>
      </c>
      <c r="D107" s="13"/>
    </row>
    <row r="109" spans="1:5" ht="12.75" x14ac:dyDescent="0.2">
      <c r="A109" s="51" t="s">
        <v>108</v>
      </c>
      <c r="B109" s="51"/>
      <c r="C109" s="51"/>
      <c r="D109" s="51"/>
      <c r="E109" s="51"/>
    </row>
    <row r="110" spans="1:5" ht="12.75" x14ac:dyDescent="0.2">
      <c r="A110" s="11"/>
    </row>
    <row r="111" spans="1:5" ht="12.75" x14ac:dyDescent="0.2">
      <c r="A111" s="6" t="s">
        <v>72</v>
      </c>
      <c r="B111" s="7">
        <f>COUNTIF('Tax- Data'!D2:D41,_xlfn.MINIFS('Tax- Data'!D2:D41,'Tax- Data'!B2:B41,"Capital Gains"))</f>
        <v>12</v>
      </c>
    </row>
    <row r="113" spans="1:5" ht="30" customHeight="1" x14ac:dyDescent="0.2">
      <c r="A113" s="50" t="s">
        <v>109</v>
      </c>
      <c r="B113" s="50"/>
      <c r="C113" s="50"/>
      <c r="D113" s="50"/>
      <c r="E113" s="50"/>
    </row>
    <row r="114" spans="1:5" ht="12.75" x14ac:dyDescent="0.2">
      <c r="A114" s="2"/>
    </row>
    <row r="115" spans="1:5" ht="12.75" x14ac:dyDescent="0.2">
      <c r="A115" s="8" t="s">
        <v>1</v>
      </c>
      <c r="B115" s="8" t="s">
        <v>4</v>
      </c>
      <c r="C115" s="8" t="s">
        <v>87</v>
      </c>
    </row>
    <row r="116" spans="1:5" ht="12.75" x14ac:dyDescent="0.2">
      <c r="A116" s="7" t="str" cm="1">
        <f t="array" ref="A116:A120">_xlfn.UNIQUE('Tax- Data'!B2:B41)</f>
        <v>Business</v>
      </c>
      <c r="B116" s="7">
        <f>SUMIF('Tax- Data'!$B$2:$B$41,'Task 3- Questions'!A116,'Tax- Data'!$E$2:$E$41)</f>
        <v>42675743.705799997</v>
      </c>
      <c r="C116" s="7" t="str">
        <f>IF(B116=MAX($B$116:$B$120),"This Category Generates Most Tax","-")</f>
        <v>-</v>
      </c>
    </row>
    <row r="117" spans="1:5" ht="12.75" x14ac:dyDescent="0.2">
      <c r="A117" s="7" t="str">
        <v>Capital Gains</v>
      </c>
      <c r="B117" s="7">
        <f>SUMIF('Tax- Data'!$B$2:$B$41,'Task 3- Questions'!A117,'Tax- Data'!$E$2:$E$41)</f>
        <v>24239669.289900001</v>
      </c>
      <c r="C117" s="7" t="str">
        <f t="shared" ref="C117:C120" si="1">IF(B117=MAX($B$116:$B$120),"This Category Generates Most Tax","-")</f>
        <v>-</v>
      </c>
    </row>
    <row r="118" spans="1:5" ht="12.75" x14ac:dyDescent="0.2">
      <c r="A118" s="7" t="str">
        <v>Other Income</v>
      </c>
      <c r="B118" s="7">
        <f>SUMIF('Tax- Data'!$B$2:$B$41,'Task 3- Questions'!A118,'Tax- Data'!$E$2:$E$41)</f>
        <v>32894230.123500001</v>
      </c>
      <c r="C118" s="7" t="str">
        <f t="shared" si="1"/>
        <v>-</v>
      </c>
    </row>
    <row r="119" spans="1:5" ht="12.75" x14ac:dyDescent="0.2">
      <c r="A119" s="7" t="str">
        <v>Salary</v>
      </c>
      <c r="B119" s="7">
        <f>SUMIF('Tax- Data'!$B$2:$B$41,'Task 3- Questions'!A119,'Tax- Data'!$E$2:$E$41)</f>
        <v>55356462.282899998</v>
      </c>
      <c r="C119" s="7" t="str">
        <f t="shared" si="1"/>
        <v>This Category Generates Most Tax</v>
      </c>
    </row>
    <row r="120" spans="1:5" ht="12.75" x14ac:dyDescent="0.2">
      <c r="A120" s="7" t="str">
        <v>House Property</v>
      </c>
      <c r="B120" s="7">
        <f>SUMIF('Tax- Data'!$B$2:$B$41,'Task 3- Questions'!A120,'Tax- Data'!$E$2:$E$41)</f>
        <v>49150854.272999994</v>
      </c>
      <c r="C120" s="7" t="str">
        <f t="shared" si="1"/>
        <v>-</v>
      </c>
    </row>
  </sheetData>
  <mergeCells count="19">
    <mergeCell ref="A69:E69"/>
    <mergeCell ref="A1:E1"/>
    <mergeCell ref="A10:E10"/>
    <mergeCell ref="A14:E14"/>
    <mergeCell ref="A18:E18"/>
    <mergeCell ref="A29:E29"/>
    <mergeCell ref="A30:E30"/>
    <mergeCell ref="A31:E31"/>
    <mergeCell ref="A38:E38"/>
    <mergeCell ref="A47:E47"/>
    <mergeCell ref="A59:E59"/>
    <mergeCell ref="A63:E63"/>
    <mergeCell ref="A113:E113"/>
    <mergeCell ref="A76:E76"/>
    <mergeCell ref="A80:E80"/>
    <mergeCell ref="A87:E87"/>
    <mergeCell ref="A94:E94"/>
    <mergeCell ref="A105:E105"/>
    <mergeCell ref="A109:E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Tax- Data</vt:lpstr>
      <vt:lpstr>Description</vt:lpstr>
      <vt:lpstr>Task 2- Questions</vt:lpstr>
      <vt:lpstr>Task 3-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iamGYAN</dc:creator>
  <cp:lastModifiedBy>Gyan Ranjan</cp:lastModifiedBy>
  <dcterms:created xsi:type="dcterms:W3CDTF">2024-04-04T12:21:37Z</dcterms:created>
  <dcterms:modified xsi:type="dcterms:W3CDTF">2024-04-12T12:11:12Z</dcterms:modified>
</cp:coreProperties>
</file>