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GIT_Project\Financial Analysis\4_11-5-24_NOPAT_FCF\"/>
    </mc:Choice>
  </mc:AlternateContent>
  <xr:revisionPtr revIDLastSave="0" documentId="13_ncr:1_{ECE65F01-0575-405B-97C6-2E6B07CD4C40}" xr6:coauthVersionLast="47" xr6:coauthVersionMax="47" xr10:uidLastSave="{00000000-0000-0000-0000-000000000000}"/>
  <bookViews>
    <workbookView xWindow="-120" yWindow="-120" windowWidth="20730" windowHeight="11310" tabRatio="946" firstSheet="1" activeTab="8" xr2:uid="{00000000-000D-0000-FFFF-FFFF00000000}"/>
  </bookViews>
  <sheets>
    <sheet name="Index" sheetId="9" r:id="rId1"/>
    <sheet name="Description" sheetId="1" r:id="rId2"/>
    <sheet name="Assumption" sheetId="2" r:id="rId3"/>
    <sheet name="Calculations" sheetId="4" r:id="rId4"/>
    <sheet name="Profit &amp; Loss Statement" sheetId="3" r:id="rId5"/>
    <sheet name="NOPAT" sheetId="6" r:id="rId6"/>
    <sheet name="Working Capital Change" sheetId="10" r:id="rId7"/>
    <sheet name="Free Cash Flow" sheetId="7" r:id="rId8"/>
    <sheet name="Project Value &amp; Profitability" sheetId="12" r:id="rId9"/>
    <sheet name="Glossary"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12" l="1"/>
  <c r="C26" i="12" s="1"/>
  <c r="C25" i="12"/>
  <c r="D22" i="12"/>
  <c r="E22" i="12"/>
  <c r="F22" i="12"/>
  <c r="G22" i="12"/>
  <c r="H22" i="12"/>
  <c r="I22" i="12"/>
  <c r="J22" i="12"/>
  <c r="K22" i="12"/>
  <c r="L22" i="12"/>
  <c r="M22" i="12"/>
  <c r="C22" i="12"/>
  <c r="D15" i="12"/>
  <c r="E15" i="12"/>
  <c r="F15" i="12"/>
  <c r="G15" i="12"/>
  <c r="H15" i="12"/>
  <c r="I15" i="12"/>
  <c r="J15" i="12"/>
  <c r="K15" i="12"/>
  <c r="L15" i="12"/>
  <c r="M15" i="12"/>
  <c r="C15" i="12"/>
  <c r="D7" i="12"/>
  <c r="C7" i="12"/>
  <c r="D6" i="12"/>
  <c r="E6" i="12"/>
  <c r="E7" i="12" s="1"/>
  <c r="F6" i="12"/>
  <c r="F7" i="12" s="1"/>
  <c r="G6" i="12"/>
  <c r="G7" i="12" s="1"/>
  <c r="H6" i="12"/>
  <c r="H7" i="12" s="1"/>
  <c r="I6" i="12"/>
  <c r="I7" i="12" s="1"/>
  <c r="J6" i="12"/>
  <c r="J7" i="12" s="1"/>
  <c r="K6" i="12"/>
  <c r="K7" i="12" s="1"/>
  <c r="L6" i="12"/>
  <c r="L7" i="12" s="1"/>
  <c r="M6" i="12"/>
  <c r="M7" i="12" s="1"/>
  <c r="C6" i="12"/>
  <c r="D11" i="7"/>
  <c r="E11" i="7"/>
  <c r="F11" i="7"/>
  <c r="G11" i="7"/>
  <c r="H11" i="7"/>
  <c r="I11" i="7"/>
  <c r="J11" i="7"/>
  <c r="K11" i="7"/>
  <c r="L11" i="7"/>
  <c r="M11" i="7"/>
  <c r="C11" i="7"/>
  <c r="C10" i="7"/>
  <c r="E9" i="7"/>
  <c r="F9" i="7"/>
  <c r="G9" i="7"/>
  <c r="H9" i="7"/>
  <c r="I9" i="7"/>
  <c r="J9" i="7"/>
  <c r="K9" i="7"/>
  <c r="L9" i="7"/>
  <c r="M9" i="7"/>
  <c r="D9" i="7"/>
  <c r="E8" i="7"/>
  <c r="F8" i="7"/>
  <c r="G8" i="7"/>
  <c r="H8" i="7"/>
  <c r="I8" i="7"/>
  <c r="J8" i="7"/>
  <c r="K8" i="7"/>
  <c r="L8" i="7"/>
  <c r="M8" i="7"/>
  <c r="D8" i="7"/>
  <c r="E7" i="7"/>
  <c r="F7" i="7"/>
  <c r="G7" i="7"/>
  <c r="H7" i="7"/>
  <c r="I7" i="7"/>
  <c r="J7" i="7"/>
  <c r="K7" i="7"/>
  <c r="L7" i="7"/>
  <c r="M7" i="7"/>
  <c r="D7" i="7"/>
  <c r="E15" i="10"/>
  <c r="F15" i="10"/>
  <c r="G15" i="10"/>
  <c r="H15" i="10"/>
  <c r="I15" i="10"/>
  <c r="J15" i="10"/>
  <c r="K15" i="10"/>
  <c r="L15" i="10"/>
  <c r="M15" i="10"/>
  <c r="D15" i="10"/>
  <c r="E6" i="10"/>
  <c r="F6" i="10"/>
  <c r="G6" i="10"/>
  <c r="H6" i="10"/>
  <c r="H7" i="10" s="1"/>
  <c r="I6" i="10"/>
  <c r="I7" i="10" s="1"/>
  <c r="J6" i="10"/>
  <c r="J7" i="10" s="1"/>
  <c r="J13" i="10" s="1"/>
  <c r="K6" i="10"/>
  <c r="K7" i="10" s="1"/>
  <c r="L6" i="10"/>
  <c r="L7" i="10" s="1"/>
  <c r="E7" i="10"/>
  <c r="F7" i="10"/>
  <c r="F13" i="10" s="1"/>
  <c r="G7" i="10"/>
  <c r="G13" i="10" s="1"/>
  <c r="M7" i="10"/>
  <c r="E10" i="10"/>
  <c r="F10" i="10"/>
  <c r="F11" i="10" s="1"/>
  <c r="G10" i="10"/>
  <c r="G11" i="10" s="1"/>
  <c r="H10" i="10"/>
  <c r="H11" i="10" s="1"/>
  <c r="H13" i="10" s="1"/>
  <c r="I10" i="10"/>
  <c r="I11" i="10" s="1"/>
  <c r="J10" i="10"/>
  <c r="J11" i="10" s="1"/>
  <c r="K10" i="10"/>
  <c r="K11" i="10" s="1"/>
  <c r="L10" i="10"/>
  <c r="L11" i="10" s="1"/>
  <c r="L13" i="10" s="1"/>
  <c r="E11" i="10"/>
  <c r="M11" i="10"/>
  <c r="D10" i="10"/>
  <c r="D11" i="10" s="1"/>
  <c r="D7" i="10"/>
  <c r="D6" i="10"/>
  <c r="C43" i="4"/>
  <c r="D43" i="4"/>
  <c r="E43" i="4"/>
  <c r="F43" i="4"/>
  <c r="F45" i="4" s="1"/>
  <c r="G43" i="4"/>
  <c r="H43" i="4"/>
  <c r="I43" i="4"/>
  <c r="J43" i="4"/>
  <c r="J45" i="4" s="1"/>
  <c r="K43" i="4"/>
  <c r="C44" i="4"/>
  <c r="D44" i="4"/>
  <c r="E44" i="4"/>
  <c r="E45" i="4" s="1"/>
  <c r="F44" i="4"/>
  <c r="G44" i="4"/>
  <c r="H44" i="4"/>
  <c r="I44" i="4"/>
  <c r="I45" i="4" s="1"/>
  <c r="J44" i="4"/>
  <c r="K44" i="4"/>
  <c r="C45" i="4"/>
  <c r="D45" i="4"/>
  <c r="G45" i="4"/>
  <c r="H45" i="4"/>
  <c r="K45" i="4"/>
  <c r="B45" i="4"/>
  <c r="B44" i="4"/>
  <c r="B43" i="4"/>
  <c r="C40" i="4"/>
  <c r="D40" i="4"/>
  <c r="E40" i="4"/>
  <c r="F40" i="4"/>
  <c r="G40" i="4"/>
  <c r="H40" i="4"/>
  <c r="I40" i="4"/>
  <c r="J40" i="4"/>
  <c r="K40" i="4"/>
  <c r="B40" i="4"/>
  <c r="K33" i="4"/>
  <c r="K32" i="4"/>
  <c r="C34" i="4"/>
  <c r="D34" i="4"/>
  <c r="E34" i="4"/>
  <c r="F34" i="4"/>
  <c r="G34" i="4"/>
  <c r="H34" i="4"/>
  <c r="I34" i="4"/>
  <c r="J34" i="4"/>
  <c r="B34" i="4"/>
  <c r="C27" i="4"/>
  <c r="D27" i="4"/>
  <c r="E27" i="4"/>
  <c r="F27" i="4"/>
  <c r="G27" i="4"/>
  <c r="H27" i="4"/>
  <c r="I27" i="4"/>
  <c r="J27" i="4"/>
  <c r="K27" i="4"/>
  <c r="C28" i="4"/>
  <c r="D28" i="4"/>
  <c r="E28" i="4"/>
  <c r="F28" i="4"/>
  <c r="G28" i="4"/>
  <c r="H28" i="4"/>
  <c r="I28" i="4"/>
  <c r="J28" i="4"/>
  <c r="K28" i="4"/>
  <c r="B28" i="4"/>
  <c r="B27" i="4"/>
  <c r="C24" i="4"/>
  <c r="D8" i="3" s="1"/>
  <c r="D24" i="4"/>
  <c r="E8" i="3" s="1"/>
  <c r="E24" i="4"/>
  <c r="F8" i="3" s="1"/>
  <c r="F24" i="4"/>
  <c r="G8" i="3" s="1"/>
  <c r="G24" i="4"/>
  <c r="H8" i="3" s="1"/>
  <c r="H24" i="4"/>
  <c r="I8" i="3" s="1"/>
  <c r="I24" i="4"/>
  <c r="J8" i="3" s="1"/>
  <c r="J24" i="4"/>
  <c r="K8" i="3" s="1"/>
  <c r="K24" i="4"/>
  <c r="L8" i="3" s="1"/>
  <c r="B24" i="4"/>
  <c r="C8" i="3" s="1"/>
  <c r="B21" i="4"/>
  <c r="C21" i="4" s="1"/>
  <c r="D21" i="4" s="1"/>
  <c r="E21" i="4" s="1"/>
  <c r="F21" i="4" s="1"/>
  <c r="G21" i="4" s="1"/>
  <c r="H21" i="4" s="1"/>
  <c r="I21" i="4" s="1"/>
  <c r="J21" i="4" s="1"/>
  <c r="K21" i="4" s="1"/>
  <c r="B20" i="4"/>
  <c r="B10" i="4"/>
  <c r="C10" i="4" s="1"/>
  <c r="D10" i="4" s="1"/>
  <c r="E10" i="4" s="1"/>
  <c r="F10" i="4" s="1"/>
  <c r="G10" i="4" s="1"/>
  <c r="H10" i="4" s="1"/>
  <c r="I10" i="4" s="1"/>
  <c r="J10" i="4" s="1"/>
  <c r="K10" i="4" s="1"/>
  <c r="B11" i="4"/>
  <c r="C11" i="4" s="1"/>
  <c r="D11" i="4" s="1"/>
  <c r="E11" i="4" s="1"/>
  <c r="F11" i="4" s="1"/>
  <c r="G11" i="4" s="1"/>
  <c r="H11" i="4" s="1"/>
  <c r="I11" i="4" s="1"/>
  <c r="J11" i="4" s="1"/>
  <c r="K11" i="4" s="1"/>
  <c r="B9" i="4"/>
  <c r="C9" i="4" s="1"/>
  <c r="D9" i="4" s="1"/>
  <c r="E9" i="4" s="1"/>
  <c r="F9" i="4" s="1"/>
  <c r="G9" i="4" s="1"/>
  <c r="H9" i="4" s="1"/>
  <c r="I9" i="4" s="1"/>
  <c r="J9" i="4" s="1"/>
  <c r="K9" i="4" s="1"/>
  <c r="B5" i="4"/>
  <c r="C5" i="4" s="1"/>
  <c r="D5" i="4" s="1"/>
  <c r="B6" i="4"/>
  <c r="C6" i="4" s="1"/>
  <c r="D6" i="4" s="1"/>
  <c r="B4" i="4"/>
  <c r="C4" i="4" s="1"/>
  <c r="C16" i="12" l="1"/>
  <c r="C17" i="12" s="1"/>
  <c r="C11" i="12"/>
  <c r="C8" i="12"/>
  <c r="I13" i="10"/>
  <c r="E13" i="10"/>
  <c r="M13" i="10"/>
  <c r="D13" i="10"/>
  <c r="K13" i="10"/>
  <c r="B29" i="4"/>
  <c r="C10" i="3" s="1"/>
  <c r="I29" i="4"/>
  <c r="J10" i="3" s="1"/>
  <c r="E29" i="4"/>
  <c r="F10" i="3" s="1"/>
  <c r="J29" i="4"/>
  <c r="K10" i="3" s="1"/>
  <c r="F29" i="4"/>
  <c r="G10" i="3" s="1"/>
  <c r="B16" i="4"/>
  <c r="H29" i="4"/>
  <c r="I10" i="3" s="1"/>
  <c r="D29" i="4"/>
  <c r="E10" i="3" s="1"/>
  <c r="B14" i="4"/>
  <c r="B39" i="4" s="1"/>
  <c r="K29" i="4"/>
  <c r="L10" i="3" s="1"/>
  <c r="G29" i="4"/>
  <c r="H10" i="3" s="1"/>
  <c r="C29" i="4"/>
  <c r="D10" i="3" s="1"/>
  <c r="C14" i="4"/>
  <c r="C39" i="4" s="1"/>
  <c r="D4" i="4"/>
  <c r="E6" i="4"/>
  <c r="D16" i="4"/>
  <c r="C15" i="4"/>
  <c r="C16" i="4"/>
  <c r="B22" i="4"/>
  <c r="C6" i="3" s="1"/>
  <c r="C20" i="4"/>
  <c r="E5" i="4"/>
  <c r="D15" i="4"/>
  <c r="B15" i="4"/>
  <c r="K34" i="4"/>
  <c r="B17" i="4" l="1"/>
  <c r="C5" i="3" s="1"/>
  <c r="C7" i="3" s="1"/>
  <c r="C9" i="3" s="1"/>
  <c r="C5" i="6" s="1"/>
  <c r="C6" i="6" s="1"/>
  <c r="C11" i="6" s="1"/>
  <c r="C22" i="4"/>
  <c r="D6" i="3" s="1"/>
  <c r="D20" i="4"/>
  <c r="F6" i="4"/>
  <c r="E16" i="4"/>
  <c r="E4" i="4"/>
  <c r="D14" i="4"/>
  <c r="F5" i="4"/>
  <c r="E15" i="4"/>
  <c r="C17" i="4"/>
  <c r="D5" i="3" s="1"/>
  <c r="C11" i="3" l="1"/>
  <c r="C12" i="3" s="1"/>
  <c r="C13" i="3" s="1"/>
  <c r="D17" i="4"/>
  <c r="E5" i="3" s="1"/>
  <c r="D39" i="4"/>
  <c r="D7" i="3"/>
  <c r="D9" i="3" s="1"/>
  <c r="D11" i="3" s="1"/>
  <c r="D5" i="7"/>
  <c r="D6" i="7" s="1"/>
  <c r="G5" i="4"/>
  <c r="F15" i="4"/>
  <c r="G6" i="4"/>
  <c r="F16" i="4"/>
  <c r="F4" i="4"/>
  <c r="E14" i="4"/>
  <c r="E20" i="4"/>
  <c r="D22" i="4"/>
  <c r="E6" i="3" s="1"/>
  <c r="E7" i="3" s="1"/>
  <c r="E9" i="3" s="1"/>
  <c r="E17" i="4" l="1"/>
  <c r="F5" i="3" s="1"/>
  <c r="E39" i="4"/>
  <c r="D5" i="6"/>
  <c r="D6" i="6" s="1"/>
  <c r="D11" i="6" s="1"/>
  <c r="E5" i="7"/>
  <c r="E6" i="7" s="1"/>
  <c r="F5" i="7"/>
  <c r="F6" i="7" s="1"/>
  <c r="E5" i="6"/>
  <c r="E6" i="6" s="1"/>
  <c r="E11" i="3"/>
  <c r="E12" i="3" s="1"/>
  <c r="E13" i="3" s="1"/>
  <c r="F20" i="4"/>
  <c r="E22" i="4"/>
  <c r="F6" i="3" s="1"/>
  <c r="F7" i="3" s="1"/>
  <c r="F9" i="3" s="1"/>
  <c r="D8" i="6"/>
  <c r="H6" i="4"/>
  <c r="G16" i="4"/>
  <c r="G4" i="4"/>
  <c r="F14" i="4"/>
  <c r="D12" i="3"/>
  <c r="D13" i="3" s="1"/>
  <c r="H5" i="4"/>
  <c r="G15" i="4"/>
  <c r="F17" i="4" l="1"/>
  <c r="G5" i="3" s="1"/>
  <c r="F39" i="4"/>
  <c r="F11" i="3"/>
  <c r="G5" i="7"/>
  <c r="G6" i="7" s="1"/>
  <c r="F5" i="6"/>
  <c r="F6" i="6" s="1"/>
  <c r="I6" i="4"/>
  <c r="H16" i="4"/>
  <c r="G20" i="4"/>
  <c r="F22" i="4"/>
  <c r="G6" i="3" s="1"/>
  <c r="G7" i="3" s="1"/>
  <c r="G9" i="3" s="1"/>
  <c r="I5" i="4"/>
  <c r="H15" i="4"/>
  <c r="H4" i="4"/>
  <c r="G14" i="4"/>
  <c r="E11" i="6"/>
  <c r="E8" i="6"/>
  <c r="G17" i="4" l="1"/>
  <c r="H5" i="3" s="1"/>
  <c r="G39" i="4"/>
  <c r="G11" i="3"/>
  <c r="H5" i="7"/>
  <c r="H6" i="7" s="1"/>
  <c r="G5" i="6"/>
  <c r="G6" i="6" s="1"/>
  <c r="J6" i="4"/>
  <c r="I16" i="4"/>
  <c r="I4" i="4"/>
  <c r="H14" i="4"/>
  <c r="H20" i="4"/>
  <c r="G22" i="4"/>
  <c r="H6" i="3" s="1"/>
  <c r="F8" i="6"/>
  <c r="F11" i="6"/>
  <c r="J5" i="4"/>
  <c r="I15" i="4"/>
  <c r="F12" i="3"/>
  <c r="F13" i="3" s="1"/>
  <c r="H17" i="4" l="1"/>
  <c r="I5" i="3" s="1"/>
  <c r="H39" i="4"/>
  <c r="H7" i="3"/>
  <c r="H9" i="3" s="1"/>
  <c r="H5" i="6" s="1"/>
  <c r="H6" i="6" s="1"/>
  <c r="K5" i="4"/>
  <c r="K15" i="4" s="1"/>
  <c r="J15" i="4"/>
  <c r="I20" i="4"/>
  <c r="H22" i="4"/>
  <c r="I6" i="3" s="1"/>
  <c r="I7" i="3" s="1"/>
  <c r="I9" i="3" s="1"/>
  <c r="K6" i="4"/>
  <c r="K16" i="4" s="1"/>
  <c r="J16" i="4"/>
  <c r="G11" i="6"/>
  <c r="G8" i="6"/>
  <c r="J4" i="4"/>
  <c r="I14" i="4"/>
  <c r="G12" i="3"/>
  <c r="G13" i="3" s="1"/>
  <c r="I5" i="7" l="1"/>
  <c r="I6" i="7" s="1"/>
  <c r="H11" i="3"/>
  <c r="I17" i="4"/>
  <c r="J5" i="3" s="1"/>
  <c r="I39" i="4"/>
  <c r="J5" i="7"/>
  <c r="J6" i="7" s="1"/>
  <c r="I5" i="6"/>
  <c r="I6" i="6" s="1"/>
  <c r="I11" i="3"/>
  <c r="H12" i="3"/>
  <c r="H13" i="3" s="1"/>
  <c r="J20" i="4"/>
  <c r="I22" i="4"/>
  <c r="J6" i="3" s="1"/>
  <c r="H11" i="6"/>
  <c r="H8" i="6"/>
  <c r="K4" i="4"/>
  <c r="K14" i="4" s="1"/>
  <c r="J14" i="4"/>
  <c r="K17" i="4" l="1"/>
  <c r="L5" i="3" s="1"/>
  <c r="K39" i="4"/>
  <c r="J17" i="4"/>
  <c r="K5" i="3" s="1"/>
  <c r="J39" i="4"/>
  <c r="J7" i="3"/>
  <c r="J9" i="3" s="1"/>
  <c r="K5" i="7" s="1"/>
  <c r="K6" i="7" s="1"/>
  <c r="J11" i="3"/>
  <c r="K20" i="4"/>
  <c r="K22" i="4" s="1"/>
  <c r="L6" i="3" s="1"/>
  <c r="J22" i="4"/>
  <c r="K6" i="3" s="1"/>
  <c r="I12" i="3"/>
  <c r="I13" i="3" s="1"/>
  <c r="I11" i="6"/>
  <c r="I8" i="6"/>
  <c r="L7" i="3" l="1"/>
  <c r="L9" i="3" s="1"/>
  <c r="J5" i="6"/>
  <c r="J6" i="6" s="1"/>
  <c r="J8" i="6" s="1"/>
  <c r="K7" i="3"/>
  <c r="K9" i="3" s="1"/>
  <c r="L5" i="7" s="1"/>
  <c r="L6" i="7" s="1"/>
  <c r="J11" i="6"/>
  <c r="L11" i="3"/>
  <c r="L5" i="6"/>
  <c r="L6" i="6" s="1"/>
  <c r="M5" i="7"/>
  <c r="M6" i="7" s="1"/>
  <c r="J12" i="3"/>
  <c r="J13" i="3" s="1"/>
  <c r="K11" i="3" l="1"/>
  <c r="K5" i="6"/>
  <c r="K6" i="6" s="1"/>
  <c r="K8" i="6" s="1"/>
  <c r="K12" i="3"/>
  <c r="K13" i="3" s="1"/>
  <c r="L12" i="3"/>
  <c r="L13" i="3"/>
  <c r="K11" i="6"/>
  <c r="L11" i="6"/>
  <c r="L8" i="6"/>
</calcChain>
</file>

<file path=xl/sharedStrings.xml><?xml version="1.0" encoding="utf-8"?>
<sst xmlns="http://schemas.openxmlformats.org/spreadsheetml/2006/main" count="273" uniqueCount="190">
  <si>
    <t>Description</t>
  </si>
  <si>
    <t>ABP Buildcon is an Infrastructure company that makes Roads, Bridges, and Real Estate projects.</t>
  </si>
  <si>
    <t>A 200 km highway construction project is undertaken by ABP Buildcon. Construction is expected to be completed in 1 year, starting at the beginning of year 0. This project is retained by ABP Buildcon. for 10 years and then transfered to the government for 0 cost. This project earns revenues by collecting tolls from vehicles.</t>
  </si>
  <si>
    <t>Q1 - Make a Profit &amp; Loss Statement for the project for 10 Years and calculate NOPAT for the same period</t>
  </si>
  <si>
    <t>For this project, initial investment includes costs incurred for purchase and installation of fixed assets and cost incurred for construction (labour wages, electricity, petrol, raw material, etc.).This initial investment sums up to Rs. 2,724,137,931. The company took 2 loans to finance this project. First loan was taken from SBI of Rs. 908,045,977 for a period of 10 years at interest rate of 9.5%. The second loan was taken from BOI of Rs. 1,816,091,954 for a period of 10 years at interest rate of 10.4%</t>
  </si>
  <si>
    <t xml:space="preserve">Other information about the project is as below - </t>
  </si>
  <si>
    <t xml:space="preserve">Capex &amp; Financing Details - </t>
  </si>
  <si>
    <t xml:space="preserve">Revenue Details - </t>
  </si>
  <si>
    <t>Revenue is generated by collecting toll from Buses, Private vehicles and Commercial vehicles that cross the highway once the construction is completed.</t>
  </si>
  <si>
    <t xml:space="preserve">Bus - </t>
  </si>
  <si>
    <t>It is estimated that 1,000,000 buses will cross the highways in Y1 and this number increases by 15% per annum. Toll charges will be Rs.234 per bus and it is expected that the toll amount will increase by 4.5% per annum.</t>
  </si>
  <si>
    <t>It is estimated that 1,500,000 private vehicles will cross the highway in Y1 and this number increases by 12% per annum. Toll charges will be Rs. 68 per private vehicle and it is expected that the toll amount will increase by 6.2% per annum.</t>
  </si>
  <si>
    <t>It is estimated that 1,700,000 commercial vehicles will cross the highway in Y1 and this number increases by 11.5% per annum. Toll charges will be Rs. 113 per commercial vehicle and it is expected that the toll amount will increase by 4.9% per annum.</t>
  </si>
  <si>
    <t>Private Vehicle -</t>
  </si>
  <si>
    <t>Commercial Vehicle -</t>
  </si>
  <si>
    <t xml:space="preserve">Operational Expenses - </t>
  </si>
  <si>
    <t>The costs incurred per annum once the highway starts functioning is-</t>
  </si>
  <si>
    <t>Salary to staff of Rs. 45,480,000. The salary to staff increases by 5% every year.</t>
  </si>
  <si>
    <t>Maintenance cost of Rs. 70,000,000 is incurred per annum. This amount increases by 4.25% every year.</t>
  </si>
  <si>
    <t xml:space="preserve">Tax - </t>
  </si>
  <si>
    <t>Tax is expected to be levied at 26.5%.</t>
  </si>
  <si>
    <t>Initial Investemnt</t>
  </si>
  <si>
    <t>Depriciation</t>
  </si>
  <si>
    <t>Years</t>
  </si>
  <si>
    <t>Rs</t>
  </si>
  <si>
    <t>Life of Project</t>
  </si>
  <si>
    <t>List</t>
  </si>
  <si>
    <t>Bus</t>
  </si>
  <si>
    <t>Private Vehicle</t>
  </si>
  <si>
    <t>Commercial Vehicle</t>
  </si>
  <si>
    <t>Number of Vehicles (Y1)</t>
  </si>
  <si>
    <t>Y1 Toll Charge (in Rs)</t>
  </si>
  <si>
    <t>Operational Expenses</t>
  </si>
  <si>
    <t>Salary</t>
  </si>
  <si>
    <t>Maintenance Cost</t>
  </si>
  <si>
    <t>Amount (in Rs)</t>
  </si>
  <si>
    <t>Yearly Growth (in %)</t>
  </si>
  <si>
    <t>Revenue from Sales</t>
  </si>
  <si>
    <t>Loan</t>
  </si>
  <si>
    <t>Loan_SBI</t>
  </si>
  <si>
    <t>Loan_BOI</t>
  </si>
  <si>
    <t>Loan Repayment Year</t>
  </si>
  <si>
    <t>Loan Taken Year</t>
  </si>
  <si>
    <t>Tax</t>
  </si>
  <si>
    <t>Number of Vehicles</t>
  </si>
  <si>
    <t>Y1</t>
  </si>
  <si>
    <t>Y2</t>
  </si>
  <si>
    <t>Y3</t>
  </si>
  <si>
    <t>Y4</t>
  </si>
  <si>
    <t>Y5</t>
  </si>
  <si>
    <t>Y6</t>
  </si>
  <si>
    <t>Y7</t>
  </si>
  <si>
    <t>Y8</t>
  </si>
  <si>
    <t>Y9</t>
  </si>
  <si>
    <t>Y10</t>
  </si>
  <si>
    <t>Toll Per Vehicle (in Rs)</t>
  </si>
  <si>
    <t>Total Sales From Toll (in Rs)</t>
  </si>
  <si>
    <t>Total Sales Collection</t>
  </si>
  <si>
    <t>Sales Calculation (In Rs)</t>
  </si>
  <si>
    <t>Operating Expenses (in Rs)</t>
  </si>
  <si>
    <t>Total Opex</t>
  </si>
  <si>
    <t>Depriciation (in Rs)</t>
  </si>
  <si>
    <t>Interest Rate (Annual)</t>
  </si>
  <si>
    <t>Interest on Loan (in Rs)</t>
  </si>
  <si>
    <t>Total Interest</t>
  </si>
  <si>
    <t>Loan Repayment (in Rs)</t>
  </si>
  <si>
    <t>Total Loan Repayment</t>
  </si>
  <si>
    <t>Profit &amp; Loss Statement</t>
  </si>
  <si>
    <t>Revenue/Sales</t>
  </si>
  <si>
    <t>Less: - Operational Expenses</t>
  </si>
  <si>
    <t>EBITDA</t>
  </si>
  <si>
    <t>Less: - Depriciation</t>
  </si>
  <si>
    <t>EBIT</t>
  </si>
  <si>
    <t>Less: - Interest</t>
  </si>
  <si>
    <t>PBT</t>
  </si>
  <si>
    <t>PAT/Net Profit</t>
  </si>
  <si>
    <t>Project NOPAT</t>
  </si>
  <si>
    <t>NOPAT</t>
  </si>
  <si>
    <t>Less: - Tax on PBT</t>
  </si>
  <si>
    <t>Capital Efficiency</t>
  </si>
  <si>
    <t>Return on Invested Capital (ROIC)</t>
  </si>
  <si>
    <t>NOPAT Growth/Decline</t>
  </si>
  <si>
    <t>Y0</t>
  </si>
  <si>
    <t>Add: - Depriciation</t>
  </si>
  <si>
    <t>20% of tolls collected from buses is from government buses, for which the government makes the payment after 1 month.</t>
  </si>
  <si>
    <t>Payment for Salary to staff is made after 1 month</t>
  </si>
  <si>
    <t xml:space="preserve">Account Receivables - </t>
  </si>
  <si>
    <t xml:space="preserve">Account Payables - </t>
  </si>
  <si>
    <t>Payment for Maintenace Cost is made after 2 months</t>
  </si>
  <si>
    <t>At the end of the 10 year period all the receivables will be collected and all the outstanding salary and maintenance cost will be repaid.</t>
  </si>
  <si>
    <t>Q2 - Calculate Working Capital Change and Free Cash Flows for the given period</t>
  </si>
  <si>
    <t>Working Capital Change</t>
  </si>
  <si>
    <t>Current Asset</t>
  </si>
  <si>
    <t>Account Receivables</t>
  </si>
  <si>
    <t>Govt. Vehicle Share %</t>
  </si>
  <si>
    <t>After 1 Month</t>
  </si>
  <si>
    <t>Receivables</t>
  </si>
  <si>
    <t>Tolls from Govt Busses</t>
  </si>
  <si>
    <t>Adjusted Calculation for Question 2</t>
  </si>
  <si>
    <t>Receivable at the end of Years</t>
  </si>
  <si>
    <t>Total Current Assets</t>
  </si>
  <si>
    <t>Current Liabilities</t>
  </si>
  <si>
    <t>Payables</t>
  </si>
  <si>
    <t>Salary to Staff</t>
  </si>
  <si>
    <t>Collection Schedule (Govt. Vehicle)</t>
  </si>
  <si>
    <t>Payment Schedule</t>
  </si>
  <si>
    <t>After 2 Month</t>
  </si>
  <si>
    <t>Assumption for Question 1</t>
  </si>
  <si>
    <t>Payable at the end of Years</t>
  </si>
  <si>
    <t>Account Payables</t>
  </si>
  <si>
    <t>Total Current Liabilities</t>
  </si>
  <si>
    <t>Net Working Capital</t>
  </si>
  <si>
    <t>Increase/Decrease in Working Capital</t>
  </si>
  <si>
    <t>Working Capital Chnages</t>
  </si>
  <si>
    <t>Free Cash Flow</t>
  </si>
  <si>
    <t>Less: - Change in Working Capital</t>
  </si>
  <si>
    <t>Operating Cash Flow</t>
  </si>
  <si>
    <t>Capital Expenditure</t>
  </si>
  <si>
    <t>Free Cash Flow (FCF)</t>
  </si>
  <si>
    <t>Assumptions</t>
  </si>
  <si>
    <t>Calculations</t>
  </si>
  <si>
    <t>Index</t>
  </si>
  <si>
    <t>NOPAT (EBIT*(1 - Tax Rate))</t>
  </si>
  <si>
    <t>(NOPAT/Invested Capital)%</t>
  </si>
  <si>
    <t>(Operating Cash Flow - Capital Expenditure)</t>
  </si>
  <si>
    <t>NOPAT stands for Net Operating Profit After Tax. It is a measure used in financial analysis to assess a company's profitability from its core operations after accounting for taxes. NOPAT is often considered a more accurate measure of operating performance than net income because it excludes the effects of financial leverage and taxes.</t>
  </si>
  <si>
    <t xml:space="preserve">Uses - </t>
  </si>
  <si>
    <t>Formula - NOPAT = EBIT * (1 - Tax Rate)</t>
  </si>
  <si>
    <r>
      <t xml:space="preserve">2. Assessing Operating Performance - </t>
    </r>
    <r>
      <rPr>
        <sz val="12"/>
        <color rgb="FF0D0D0D"/>
        <rFont val="Segoe UI"/>
        <family val="2"/>
      </rPr>
      <t xml:space="preserve"> NOPAT focuses solely on a company's operating performance, excluding the effects of financing decisions and taxes. This makes it a useful metric for evaluating how well a company generates profits from its core operations.</t>
    </r>
  </si>
  <si>
    <r>
      <t>1. Comparing Companies:</t>
    </r>
    <r>
      <rPr>
        <sz val="12"/>
        <color rgb="FF0D0D0D"/>
        <rFont val="Segoe UI"/>
        <family val="2"/>
      </rPr>
      <t xml:space="preserve"> NOPAT allows for comparisons of companies in the same industry or sector, regardless of differences in capital structure or tax strategies. It provides a standardized measure of operating profitability.</t>
    </r>
  </si>
  <si>
    <r>
      <t>3. Valuation:</t>
    </r>
    <r>
      <rPr>
        <sz val="12"/>
        <color rgb="FF0D0D0D"/>
        <rFont val="Segoe UI"/>
        <family val="2"/>
      </rPr>
      <t xml:space="preserve"> NOPAT is used in various valuation models, such as Economic Value Added (EVA) and Residual Income Valuation, to determine a company's economic profit or intrinsic value. It represents the profit generated by a company that is available to both debt and equity investors after accounting for taxes.</t>
    </r>
  </si>
  <si>
    <r>
      <t>4. Capital Efficiency:</t>
    </r>
    <r>
      <rPr>
        <sz val="12"/>
        <color rgb="FF0D0D0D"/>
        <rFont val="Segoe UI"/>
        <family val="2"/>
      </rPr>
      <t xml:space="preserve"> By dividing NOPAT by invested capital, analysts can calculate return metrics such as Return on Invested Capital (ROIC) or Return on Assets (ROA). These metrics help assess how efficiently a company is using its capital to generate profits.</t>
    </r>
  </si>
  <si>
    <r>
      <t>5. Forecasting Future Performance:</t>
    </r>
    <r>
      <rPr>
        <sz val="12"/>
        <color rgb="FF0D0D0D"/>
        <rFont val="Segoe UI"/>
        <family val="2"/>
      </rPr>
      <t xml:space="preserve"> Analysts use historical NOPAT trends to forecast future operating performance and evaluate the sustainability of a company's profitability over time.</t>
    </r>
  </si>
  <si>
    <t>Working Capital Change refers to the difference in a company's net working capital between two periods. It represents the net change in the company's current assets and current liabilities over a specific period, such as a quarter or a fiscal year. Working capital is a measure of a company's short-term liquidity and its ability to meet its short-term obligations.</t>
  </si>
  <si>
    <t>Working Capital Change=Ending Working Capital−Beginning Working Capital</t>
  </si>
  <si>
    <t>Free Cash Flow (FCF) is a financial metric that represents the cash generated or available to a company after accounting for all operating expenses and capital expenditures necessary to maintain or expand its asset base. FCF measures the cash flow that is available to the company's investors, including shareholders and debt holders, after funding its operations and investments in long-term assets.</t>
  </si>
  <si>
    <t>Free Cash Flow is often considered a key indicator of a company's financial health and its ability to generate cash for various purposes, such as paying dividends, repurchasing shares, reducing debt, or investing in growth opportunities.</t>
  </si>
  <si>
    <t>FCF=OperatingCashFlow−CapitalExpenditures</t>
  </si>
  <si>
    <t>Changes in Working Capital reflect the net change in current assets (such as accounts receivable, inventory, and prepaid expenses) and current liabilities (such as accounts payable and accrued expenses) from one period to another. Positive changes indicate a decrease in cash flow, while negative changes indicate an increase in cash flow.</t>
  </si>
  <si>
    <t>Changes in working capital reflect changes in the company's investment in short-term assets and liabilities that are necessary to support its ongoing operations. These changes typically involve fluctuations in accounts receivable, inventory levels, accounts payable, and other operating liabilities.</t>
  </si>
  <si>
    <t>Since cash is considered the most liquid current asset, changes in cash are usually not included in discussions of changes in working capital. Instead, changes in cash are typically addressed separately as part of cash flow analysis, which focuses on the sources and uses of cash within a company, including operating, investing, and financing activities.</t>
  </si>
  <si>
    <t>Working Capital Change (Cash not Included)</t>
  </si>
  <si>
    <t>Extended Description</t>
  </si>
  <si>
    <t>Q3 - Evaluate the project through NPV, IRR, and Probitability Index Method</t>
  </si>
  <si>
    <t>As calculated in quesiton 2</t>
  </si>
  <si>
    <t>Cost of Capital</t>
  </si>
  <si>
    <t>Net Present Value (NPV)</t>
  </si>
  <si>
    <t>Extended Assumption for Question 2</t>
  </si>
  <si>
    <t>Discounting Rate</t>
  </si>
  <si>
    <t>Extended Assumption for Question 3</t>
  </si>
  <si>
    <t>Step by Step Calculations</t>
  </si>
  <si>
    <t>NPV (Cash In PV - Cash Out PV)</t>
  </si>
  <si>
    <t>Present Value of FCF</t>
  </si>
  <si>
    <t>Direct Method</t>
  </si>
  <si>
    <t>NPV</t>
  </si>
  <si>
    <t>DCF</t>
  </si>
  <si>
    <t>DCF stands for Discounted Cash Flow. It is a valuation method used to estimate the intrinsic value of an investment, such as a stock, bond, project, or company, based on its expected future cash flows.</t>
  </si>
  <si>
    <t>The underlying principle of DCF analysis is that the value of an investment is determined by the present value of its expected future cash flows. In other words, the value of money today is worth more than the same amount of money in the future due to the opportunity cost of capital and the risk associated with receiving future cash flows.</t>
  </si>
  <si>
    <t>The DCF analysis involves the following steps:</t>
  </si>
  <si>
    <t>DCF analysis is widely used by investors, analysts, and financial professionals as a fundamental tool for investment analysis and decision-making. It provides a systematic framework for estimating the value of investments based on their expected future cash flows and helps investors make informed decisions about buying, selling, or holding investments.</t>
  </si>
  <si>
    <r>
      <rPr>
        <b/>
        <sz val="11"/>
        <color theme="1"/>
        <rFont val="Calibri"/>
        <family val="2"/>
        <scheme val="minor"/>
      </rPr>
      <t>1.</t>
    </r>
    <r>
      <rPr>
        <sz val="11"/>
        <color theme="1"/>
        <rFont val="Calibri"/>
        <family val="2"/>
        <scheme val="minor"/>
      </rPr>
      <t xml:space="preserve"> </t>
    </r>
    <r>
      <rPr>
        <b/>
        <sz val="11"/>
        <color theme="1"/>
        <rFont val="Calibri"/>
        <family val="2"/>
        <scheme val="minor"/>
      </rPr>
      <t>Forecasting Cash Flows:</t>
    </r>
    <r>
      <rPr>
        <sz val="12"/>
        <color rgb="FF0D0D0D"/>
        <rFont val="Segoe UI"/>
        <family val="2"/>
      </rPr>
      <t xml:space="preserve"> The first step in DCF analysis is to forecast the future cash flows expected to be generated by the investment over a specific period, typically several years into the future. These cash flows may include revenues, expenses, taxes, capital expenditures, and working capital changes.</t>
    </r>
  </si>
  <si>
    <r>
      <rPr>
        <b/>
        <sz val="11"/>
        <color theme="1"/>
        <rFont val="Calibri"/>
        <family val="2"/>
        <scheme val="minor"/>
      </rPr>
      <t>2. Determining the Discount Rate:</t>
    </r>
    <r>
      <rPr>
        <sz val="12"/>
        <color rgb="FF0D0D0D"/>
        <rFont val="Segoe UI"/>
        <family val="2"/>
      </rPr>
      <t xml:space="preserve"> The next step is to determine the appropriate discount rate to use in discounting the future cash flows to their present value. The discount rate, also known as the required rate of return or cost of capital, reflects the riskiness of the investment and the time value of money. It is often based on the company's weighted average cost of capital (WACC) or another suitable rate of return.</t>
    </r>
  </si>
  <si>
    <r>
      <rPr>
        <b/>
        <sz val="11"/>
        <color theme="1"/>
        <rFont val="Calibri"/>
        <family val="2"/>
        <scheme val="minor"/>
      </rPr>
      <t>3 Discounting Cash Flows:</t>
    </r>
    <r>
      <rPr>
        <sz val="12"/>
        <color rgb="FF0D0D0D"/>
        <rFont val="Segoe UI"/>
        <family val="2"/>
      </rPr>
      <t xml:space="preserve"> Once the future cash flows and discount rate are determined, the next step is to discount each cash flow back to its present value using the discount rate. This involves dividing each future cash flow by a factor that represents the time value of money and summing the present values of all the discounted cash flows.</t>
    </r>
  </si>
  <si>
    <r>
      <rPr>
        <b/>
        <sz val="11"/>
        <color theme="1"/>
        <rFont val="Calibri"/>
        <family val="2"/>
        <scheme val="minor"/>
      </rPr>
      <t>4. Calculating the Present Value:</t>
    </r>
    <r>
      <rPr>
        <sz val="12"/>
        <color rgb="FF0D0D0D"/>
        <rFont val="Segoe UI"/>
        <family val="2"/>
      </rPr>
      <t xml:space="preserve"> After discounting all the future cash flows, the present value of the investment is calculated by summing the present values of the discounted cash flows. This represents the estimated intrinsic value of the investment.</t>
    </r>
  </si>
  <si>
    <r>
      <rPr>
        <b/>
        <sz val="11"/>
        <color theme="1"/>
        <rFont val="Calibri"/>
        <family val="2"/>
        <scheme val="minor"/>
      </rPr>
      <t>5. Interpreting the Results:</t>
    </r>
    <r>
      <rPr>
        <sz val="11"/>
        <color theme="1"/>
        <rFont val="Calibri"/>
        <family val="2"/>
        <scheme val="minor"/>
      </rPr>
      <t xml:space="preserve"> Finally, the estimated intrinsic value obtained from the DCF analysis is compared with the current market price of the investment. If the intrinsic value is higher than the market price, the investment may be undervalued and considered a buy opportunity. If the intrinsic value is lower than the market price, the investment may be overvalued and considered a sell opportunity.</t>
    </r>
  </si>
  <si>
    <t>Internal Rate of Return</t>
  </si>
  <si>
    <t>The Internal Rate of Return (IRR) is a financial metric used to evaluate the profitability of an investment or project. It represents the discount rate at which the net present value (NPV) of the investment becomes zero. In other words, it is the rate of return that makes the present value of the investment's cash inflows equal to the present value of its cash outflows.</t>
  </si>
  <si>
    <t>The IRR is often used as a decision-making tool to assess the attractiveness of an investment opportunity. The higher the IRR, the more attractive the investment is considered to be, as it indicates a higher rate of return relative to the investment's cost of capital.</t>
  </si>
  <si>
    <t>Internal Rate of Return (IRR)</t>
  </si>
  <si>
    <t>IRR</t>
  </si>
  <si>
    <t>IRR Check</t>
  </si>
  <si>
    <t>Rate at which NPV of FCF is Zero</t>
  </si>
  <si>
    <t>Profitability Index (PI)</t>
  </si>
  <si>
    <r>
      <t>1. Decision Rule:</t>
    </r>
    <r>
      <rPr>
        <sz val="12"/>
        <color rgb="FF0D0D0D"/>
        <rFont val="Segoe UI"/>
        <family val="2"/>
      </rPr>
      <t xml:space="preserve"> In capital budgeting decisions, if the IRR of an investment exceeds the company's cost of capital or hurdle rate, the investment is typically considered acceptable or attractive. If the IRR is less than the cost of capital, the investment may be rejected.</t>
    </r>
  </si>
  <si>
    <r>
      <t>1. Comparison:</t>
    </r>
    <r>
      <rPr>
        <sz val="12"/>
        <color rgb="FF0D0D0D"/>
        <rFont val="Segoe UI"/>
        <family val="2"/>
      </rPr>
      <t xml:space="preserve"> IRR allows for the comparison of different investment opportunities by evaluating their potential rates of return. However, it is important to consider other factors such as risk, timing, and cash flow consistency when comparing investments.</t>
    </r>
  </si>
  <si>
    <r>
      <t>1. Ambiguity:</t>
    </r>
    <r>
      <rPr>
        <sz val="12"/>
        <color rgb="FF0D0D0D"/>
        <rFont val="Segoe UI"/>
        <family val="2"/>
      </rPr>
      <t xml:space="preserve"> In some cases, the IRR calculation may result in multiple rates or no real solution, making interpretation challenging. This can occur with unconventional cash flow patterns, such as non-conventional investments or projects with multiple changes in cash flow direction.</t>
    </r>
  </si>
  <si>
    <t>Overall, the Internal Rate of Return is a valuable tool in financial analysis and decision-making, providing insights into the potential profitability and attractiveness of investment opportunities.</t>
  </si>
  <si>
    <t>Probitability Index (PI)</t>
  </si>
  <si>
    <t>The Profitability Index (PI), also known as the Profit Investment Ratio (PIR) or the Value Investment Ratio (VIR), is a financial metric used to evaluate the profitability of an investment or project. It measures the ratio of the present value of future cash inflows generated by the investment to the initial investment cost. In other words, it represents the amount of value created per unit of investment.</t>
  </si>
  <si>
    <t>PI = Present Value of FCF/Initial Investment Cost</t>
  </si>
  <si>
    <t>The Profitability Index provides a measure of the value created by the investment relative to its cost. A profitability index greater than 1 indicates that the present value of future cash inflows exceeds the initial investment cost, indicating a potentially profitable investment. Conversely, a profitability index less than 1 suggests that the present value of future cash inflows is less than the initial investment cost, indicating a potentially unprofitable investment.</t>
  </si>
  <si>
    <r>
      <t>1. Decision Rule:</t>
    </r>
    <r>
      <rPr>
        <sz val="12"/>
        <color rgb="FF0D0D0D"/>
        <rFont val="Segoe UI"/>
        <family val="2"/>
      </rPr>
      <t xml:space="preserve"> In capital budgeting decisions, investments with a profitability index greater than 1 are generally considered acceptable or attractive, as they generate more value than the investment cost. Investments with a profitability index less than 1 may be considered unattractive and may be rejected.</t>
    </r>
  </si>
  <si>
    <t>Key points about Profitability Index (PI):</t>
  </si>
  <si>
    <r>
      <t>1. Comparison:</t>
    </r>
    <r>
      <rPr>
        <sz val="12"/>
        <color rgb="FF0D0D0D"/>
        <rFont val="Segoe UI"/>
        <family val="2"/>
      </rPr>
      <t xml:space="preserve"> The profitability index allows for the comparison of different investment opportunities by evaluating their potential profitability relative to their initial costs. It helps decision-makers prioritize investments and allocate resources to projects that offer the highest potential return on investment.</t>
    </r>
  </si>
  <si>
    <r>
      <t>1. Limitations:</t>
    </r>
    <r>
      <rPr>
        <sz val="12"/>
        <color rgb="FF0D0D0D"/>
        <rFont val="Segoe UI"/>
        <family val="2"/>
      </rPr>
      <t xml:space="preserve"> Like other financial metrics, the profitability index has limitations and should be used in conjunction with other criteria such as net present value (NPV), internal rate of return (IRR), and payback period to make well-informed investment decisions.</t>
    </r>
  </si>
  <si>
    <t>Overall, the Profitability Index is a useful tool in financial analysis and decision-making, providing insights into the relative profitability of investment opportunities and helping organizations allocate capital effectively to maximize returns.</t>
  </si>
  <si>
    <t>Present Value of Future Cash In</t>
  </si>
  <si>
    <t>Present Value of Present Cash Out</t>
  </si>
  <si>
    <t>(Present Value of FC inflow/PC outflow)</t>
  </si>
  <si>
    <t>NPV | DCF | IRR | Profitability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</si>
</sst>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0"/>
  </numFmts>
  <fonts count="12"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6"/>
      <color theme="1"/>
      <name val="Calibri"/>
      <family val="2"/>
      <scheme val="minor"/>
    </font>
    <font>
      <sz val="8"/>
      <name val="Calibri"/>
      <family val="2"/>
      <scheme val="minor"/>
    </font>
    <font>
      <i/>
      <sz val="11"/>
      <color theme="1"/>
      <name val="Calibri"/>
      <family val="2"/>
      <scheme val="minor"/>
    </font>
    <font>
      <sz val="12"/>
      <color rgb="FF0D0D0D"/>
      <name val="Segoe UI"/>
      <family val="2"/>
    </font>
    <font>
      <sz val="12"/>
      <color rgb="FF0D0D0D"/>
      <name val="Calibri"/>
      <family val="2"/>
      <scheme val="minor"/>
    </font>
    <font>
      <i/>
      <sz val="9"/>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mediumGray">
        <fgColor theme="8" tint="0.59996337778862885"/>
        <bgColor indexed="65"/>
      </patternFill>
    </fill>
    <fill>
      <patternFill patternType="solid">
        <fgColor theme="0" tint="-0.34998626667073579"/>
        <bgColor indexed="64"/>
      </patternFill>
    </fill>
    <fill>
      <patternFill patternType="solid">
        <fgColor theme="3" tint="0.59999389629810485"/>
        <bgColor indexed="64"/>
      </patternFill>
    </fill>
    <fill>
      <patternFill patternType="lightGray">
        <fgColor theme="2" tint="-0.499984740745262"/>
        <bgColor indexed="65"/>
      </patternFill>
    </fill>
    <fill>
      <patternFill patternType="solid">
        <fgColor theme="3" tint="0.39997558519241921"/>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60">
    <xf numFmtId="0" fontId="0" fillId="0" borderId="0" xfId="0"/>
    <xf numFmtId="0" fontId="0" fillId="0" borderId="2" xfId="0" applyBorder="1"/>
    <xf numFmtId="0" fontId="0" fillId="0" borderId="2" xfId="0" applyBorder="1" applyAlignment="1">
      <alignment wrapText="1"/>
    </xf>
    <xf numFmtId="0" fontId="3" fillId="0" borderId="0" xfId="0" applyFont="1"/>
    <xf numFmtId="0" fontId="5" fillId="0" borderId="0" xfId="0" applyFont="1"/>
    <xf numFmtId="0" fontId="6" fillId="0" borderId="0" xfId="0" applyFont="1"/>
    <xf numFmtId="0" fontId="3" fillId="0" borderId="2" xfId="0" applyFont="1" applyBorder="1"/>
    <xf numFmtId="0" fontId="0" fillId="0" borderId="3" xfId="0" applyBorder="1"/>
    <xf numFmtId="0" fontId="3" fillId="0" borderId="3" xfId="0" applyFont="1" applyBorder="1"/>
    <xf numFmtId="9" fontId="0" fillId="0" borderId="0" xfId="0" applyNumberFormat="1"/>
    <xf numFmtId="2" fontId="0" fillId="0" borderId="0" xfId="0" applyNumberFormat="1"/>
    <xf numFmtId="2" fontId="3" fillId="0" borderId="0" xfId="0" applyNumberFormat="1" applyFont="1"/>
    <xf numFmtId="0" fontId="2" fillId="0" borderId="1" xfId="2"/>
    <xf numFmtId="0" fontId="0" fillId="0" borderId="4" xfId="0" applyBorder="1"/>
    <xf numFmtId="2" fontId="0" fillId="0" borderId="4" xfId="0" applyNumberFormat="1" applyBorder="1"/>
    <xf numFmtId="0" fontId="3" fillId="0" borderId="4" xfId="0" applyFont="1" applyBorder="1"/>
    <xf numFmtId="0" fontId="3" fillId="0" borderId="5" xfId="0" applyFont="1" applyBorder="1"/>
    <xf numFmtId="2" fontId="0" fillId="0" borderId="5" xfId="0" applyNumberFormat="1" applyBorder="1"/>
    <xf numFmtId="9" fontId="0" fillId="0" borderId="0" xfId="1" applyFont="1"/>
    <xf numFmtId="0" fontId="0" fillId="3" borderId="0" xfId="0" applyFill="1"/>
    <xf numFmtId="0" fontId="0" fillId="4" borderId="0" xfId="0" applyFill="1"/>
    <xf numFmtId="9" fontId="1" fillId="0" borderId="0" xfId="1" applyFont="1"/>
    <xf numFmtId="0" fontId="0" fillId="6" borderId="0" xfId="0" applyFill="1"/>
    <xf numFmtId="0" fontId="0" fillId="0" borderId="6" xfId="0" applyBorder="1"/>
    <xf numFmtId="0" fontId="3" fillId="0" borderId="6" xfId="0" applyFont="1" applyBorder="1"/>
    <xf numFmtId="10" fontId="0" fillId="0" borderId="6" xfId="0" applyNumberFormat="1" applyBorder="1"/>
    <xf numFmtId="10" fontId="0" fillId="0" borderId="0" xfId="0" applyNumberFormat="1"/>
    <xf numFmtId="0" fontId="0" fillId="6" borderId="6" xfId="0" applyFill="1" applyBorder="1"/>
    <xf numFmtId="0" fontId="5" fillId="0" borderId="7" xfId="0" applyFont="1" applyBorder="1"/>
    <xf numFmtId="0" fontId="0" fillId="0" borderId="8" xfId="0" applyBorder="1"/>
    <xf numFmtId="0" fontId="3" fillId="0" borderId="2" xfId="0" applyFont="1" applyBorder="1" applyAlignment="1">
      <alignment horizontal="right"/>
    </xf>
    <xf numFmtId="0" fontId="4" fillId="0" borderId="0" xfId="3" applyAlignment="1">
      <alignment horizontal="left" indent="1"/>
    </xf>
    <xf numFmtId="0" fontId="8" fillId="0" borderId="0" xfId="0" applyFont="1"/>
    <xf numFmtId="0" fontId="0" fillId="0" borderId="0" xfId="0" applyAlignment="1">
      <alignment wrapText="1"/>
    </xf>
    <xf numFmtId="0" fontId="10" fillId="0" borderId="0" xfId="0" applyFont="1"/>
    <xf numFmtId="0" fontId="0" fillId="0" borderId="4" xfId="0" applyBorder="1" applyAlignment="1">
      <alignment horizontal="left" wrapText="1"/>
    </xf>
    <xf numFmtId="0" fontId="0" fillId="0" borderId="0" xfId="0" applyAlignment="1">
      <alignment horizontal="left" wrapText="1"/>
    </xf>
    <xf numFmtId="0" fontId="0" fillId="0" borderId="2" xfId="0" applyBorder="1" applyAlignment="1">
      <alignment horizontal="left" wrapText="1"/>
    </xf>
    <xf numFmtId="0" fontId="0" fillId="0" borderId="0" xfId="0" applyAlignment="1">
      <alignment horizontal="center" vertical="center"/>
    </xf>
    <xf numFmtId="0" fontId="0" fillId="0" borderId="2" xfId="0" applyBorder="1" applyAlignment="1">
      <alignment horizontal="center" vertical="center"/>
    </xf>
    <xf numFmtId="0" fontId="3" fillId="2" borderId="0" xfId="0" applyFont="1" applyFill="1" applyAlignment="1">
      <alignment horizontal="center"/>
    </xf>
    <xf numFmtId="0" fontId="3" fillId="2" borderId="6" xfId="0" applyFont="1" applyFill="1" applyBorder="1" applyAlignment="1">
      <alignment horizontal="center"/>
    </xf>
    <xf numFmtId="0" fontId="3" fillId="5" borderId="0" xfId="0" applyFont="1" applyFill="1" applyAlignment="1">
      <alignment horizontal="left"/>
    </xf>
    <xf numFmtId="0" fontId="3" fillId="8" borderId="0" xfId="0" applyFont="1" applyFill="1" applyAlignment="1">
      <alignment horizontal="center"/>
    </xf>
    <xf numFmtId="0" fontId="3" fillId="7" borderId="9" xfId="0" applyFont="1" applyFill="1" applyBorder="1" applyAlignment="1">
      <alignment horizontal="center"/>
    </xf>
    <xf numFmtId="0" fontId="3" fillId="7" borderId="6" xfId="0" applyFont="1" applyFill="1" applyBorder="1" applyAlignment="1">
      <alignment horizontal="center"/>
    </xf>
    <xf numFmtId="0" fontId="0" fillId="0" borderId="9" xfId="0" applyBorder="1"/>
    <xf numFmtId="0" fontId="3" fillId="0" borderId="9" xfId="0" applyFont="1" applyBorder="1"/>
    <xf numFmtId="0" fontId="3" fillId="0" borderId="6" xfId="0" applyFont="1" applyBorder="1" applyAlignment="1">
      <alignment wrapText="1"/>
    </xf>
    <xf numFmtId="9" fontId="0" fillId="0" borderId="9" xfId="0" applyNumberFormat="1" applyBorder="1"/>
    <xf numFmtId="0" fontId="0" fillId="6" borderId="9" xfId="0" applyFill="1" applyBorder="1"/>
    <xf numFmtId="0" fontId="3" fillId="4" borderId="9" xfId="0" applyFont="1" applyFill="1" applyBorder="1" applyAlignment="1">
      <alignment horizontal="center"/>
    </xf>
    <xf numFmtId="0" fontId="3" fillId="4" borderId="0" xfId="0" applyFont="1" applyFill="1" applyAlignment="1">
      <alignment horizontal="center"/>
    </xf>
    <xf numFmtId="0" fontId="9" fillId="0" borderId="0" xfId="0" applyFont="1"/>
    <xf numFmtId="2" fontId="3" fillId="0" borderId="4" xfId="0" applyNumberFormat="1" applyFont="1" applyBorder="1"/>
    <xf numFmtId="0" fontId="3" fillId="0" borderId="0" xfId="0" applyFont="1" applyBorder="1"/>
    <xf numFmtId="0" fontId="2" fillId="0" borderId="1" xfId="2" applyFill="1"/>
    <xf numFmtId="10" fontId="3" fillId="0" borderId="4" xfId="0" applyNumberFormat="1" applyFont="1" applyBorder="1"/>
    <xf numFmtId="0" fontId="11" fillId="0" borderId="0" xfId="0" applyFont="1"/>
    <xf numFmtId="178" fontId="3" fillId="0" borderId="4" xfId="0" applyNumberFormat="1" applyFont="1" applyBorder="1"/>
  </cellXfs>
  <cellStyles count="4">
    <cellStyle name="Heading 1" xfId="2" builtinId="16"/>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DC317-A1D5-4C8A-9D94-E2950D867447}">
  <dimension ref="B1:C10"/>
  <sheetViews>
    <sheetView showGridLines="0" workbookViewId="0">
      <selection activeCell="C10" sqref="C10"/>
    </sheetView>
  </sheetViews>
  <sheetFormatPr defaultRowHeight="15" x14ac:dyDescent="0.25"/>
  <cols>
    <col min="2" max="2" width="3.7109375" customWidth="1"/>
    <col min="3" max="3" width="24.140625" customWidth="1"/>
    <col min="5" max="5" width="30.140625" customWidth="1"/>
  </cols>
  <sheetData>
    <row r="1" spans="2:3" ht="20.25" thickBot="1" x14ac:dyDescent="0.35">
      <c r="B1" s="12" t="s">
        <v>121</v>
      </c>
      <c r="C1" s="12"/>
    </row>
    <row r="2" spans="2:3" ht="15.75" thickTop="1" x14ac:dyDescent="0.25"/>
    <row r="3" spans="2:3" ht="22.5" customHeight="1" x14ac:dyDescent="0.25">
      <c r="B3">
        <v>1</v>
      </c>
      <c r="C3" s="31" t="s">
        <v>0</v>
      </c>
    </row>
    <row r="4" spans="2:3" ht="22.5" customHeight="1" x14ac:dyDescent="0.25">
      <c r="B4">
        <v>2</v>
      </c>
      <c r="C4" s="31" t="s">
        <v>119</v>
      </c>
    </row>
    <row r="5" spans="2:3" ht="22.5" customHeight="1" x14ac:dyDescent="0.25">
      <c r="B5">
        <v>3</v>
      </c>
      <c r="C5" s="31" t="s">
        <v>120</v>
      </c>
    </row>
    <row r="6" spans="2:3" ht="22.5" customHeight="1" x14ac:dyDescent="0.25">
      <c r="B6">
        <v>4</v>
      </c>
      <c r="C6" s="31" t="s">
        <v>67</v>
      </c>
    </row>
    <row r="7" spans="2:3" ht="22.5" customHeight="1" x14ac:dyDescent="0.25">
      <c r="B7">
        <v>5</v>
      </c>
      <c r="C7" s="31" t="s">
        <v>77</v>
      </c>
    </row>
    <row r="8" spans="2:3" ht="22.5" customHeight="1" x14ac:dyDescent="0.25">
      <c r="B8">
        <v>6</v>
      </c>
      <c r="C8" s="31" t="s">
        <v>91</v>
      </c>
    </row>
    <row r="9" spans="2:3" ht="22.5" customHeight="1" x14ac:dyDescent="0.25">
      <c r="B9">
        <v>7</v>
      </c>
      <c r="C9" s="31" t="s">
        <v>114</v>
      </c>
    </row>
    <row r="10" spans="2:3" ht="19.5" customHeight="1" x14ac:dyDescent="0.25">
      <c r="B10">
        <v>8</v>
      </c>
      <c r="C10" s="31" t="s">
        <v>189</v>
      </c>
    </row>
  </sheetData>
  <hyperlinks>
    <hyperlink ref="C3" location="Description!A1" display="Description" xr:uid="{16145D39-4C7D-4908-8BCE-D352A18CF5FE}"/>
    <hyperlink ref="C4" location="Assumption!A1" display="Assumptions" xr:uid="{0A8AB8F2-E064-4946-A72F-8C5DB623F17B}"/>
    <hyperlink ref="C5" location="Calculations!A1" display="Calculations" xr:uid="{1C425F93-FB1B-44A3-8723-7E77AEB56B81}"/>
    <hyperlink ref="C6" location="'Profit &amp; Loss Statement'!A1" display="Profit &amp; Loss Statement" xr:uid="{85E73763-4ECB-4FEF-AED9-0083B4297390}"/>
    <hyperlink ref="C7" location="NOPAT!A1" display="NOPAT" xr:uid="{D797722F-4633-4F69-9C90-F30AB487686C}"/>
    <hyperlink ref="C8" location="'Working Capital Change'!A1" display="Working Capital Change" xr:uid="{0738D511-776E-43B7-BE28-142F9DECF0F6}"/>
    <hyperlink ref="C9" location="'Free Cash Flow'!A1" display="Free Cash Flow" xr:uid="{9D58D4A7-78BA-4BBF-B604-9FCC1247B014}"/>
    <hyperlink ref="C10" location="'Project Value &amp; Profitability'!A1" display="NPV | DCF | IRR | Profitability Index" xr:uid="{E7D5BFAF-B1C1-4F9C-9F12-B79CEC8042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0FA3E-D587-499F-8AF6-4AD5BEDE383C}">
  <dimension ref="A2:C47"/>
  <sheetViews>
    <sheetView topLeftCell="A36" workbookViewId="0">
      <selection activeCell="C53" sqref="C53"/>
    </sheetView>
  </sheetViews>
  <sheetFormatPr defaultRowHeight="15" x14ac:dyDescent="0.25"/>
  <cols>
    <col min="2" max="2" width="24.140625" customWidth="1"/>
    <col min="3" max="3" width="118.85546875" style="33" customWidth="1"/>
  </cols>
  <sheetData>
    <row r="2" spans="1:3" ht="45" x14ac:dyDescent="0.25">
      <c r="A2">
        <v>1</v>
      </c>
      <c r="B2" t="s">
        <v>77</v>
      </c>
      <c r="C2" s="33" t="s">
        <v>125</v>
      </c>
    </row>
    <row r="3" spans="1:3" x14ac:dyDescent="0.25">
      <c r="C3" s="33" t="s">
        <v>127</v>
      </c>
    </row>
    <row r="4" spans="1:3" x14ac:dyDescent="0.25">
      <c r="C4" s="33" t="s">
        <v>126</v>
      </c>
    </row>
    <row r="5" spans="1:3" ht="34.5" x14ac:dyDescent="0.3">
      <c r="C5" s="33" t="s">
        <v>129</v>
      </c>
    </row>
    <row r="6" spans="1:3" ht="51.75" x14ac:dyDescent="0.3">
      <c r="C6" s="33" t="s">
        <v>128</v>
      </c>
    </row>
    <row r="7" spans="1:3" ht="51.75" x14ac:dyDescent="0.3">
      <c r="C7" s="33" t="s">
        <v>130</v>
      </c>
    </row>
    <row r="8" spans="1:3" ht="51.75" x14ac:dyDescent="0.3">
      <c r="C8" s="33" t="s">
        <v>131</v>
      </c>
    </row>
    <row r="9" spans="1:3" ht="34.5" x14ac:dyDescent="0.3">
      <c r="C9" s="33" t="s">
        <v>132</v>
      </c>
    </row>
    <row r="11" spans="1:3" ht="45" x14ac:dyDescent="0.25">
      <c r="A11">
        <v>2</v>
      </c>
      <c r="B11" s="33" t="s">
        <v>141</v>
      </c>
      <c r="C11" s="33" t="s">
        <v>133</v>
      </c>
    </row>
    <row r="12" spans="1:3" ht="45" x14ac:dyDescent="0.25">
      <c r="C12" s="33" t="s">
        <v>138</v>
      </c>
    </row>
    <row r="13" spans="1:3" ht="45" x14ac:dyDescent="0.25">
      <c r="C13" s="33" t="s">
        <v>139</v>
      </c>
    </row>
    <row r="14" spans="1:3" ht="45" x14ac:dyDescent="0.25">
      <c r="C14" s="33" t="s">
        <v>140</v>
      </c>
    </row>
    <row r="16" spans="1:3" x14ac:dyDescent="0.25">
      <c r="C16" s="33" t="s">
        <v>134</v>
      </c>
    </row>
    <row r="17" spans="1:3" ht="60" x14ac:dyDescent="0.25">
      <c r="A17">
        <v>3</v>
      </c>
      <c r="B17" t="s">
        <v>114</v>
      </c>
      <c r="C17" s="33" t="s">
        <v>135</v>
      </c>
    </row>
    <row r="18" spans="1:3" ht="30" x14ac:dyDescent="0.25">
      <c r="C18" s="33" t="s">
        <v>136</v>
      </c>
    </row>
    <row r="19" spans="1:3" ht="15.75" x14ac:dyDescent="0.25">
      <c r="C19" s="34" t="s">
        <v>137</v>
      </c>
    </row>
    <row r="21" spans="1:3" ht="30" x14ac:dyDescent="0.25">
      <c r="A21">
        <v>4</v>
      </c>
      <c r="B21" t="s">
        <v>155</v>
      </c>
      <c r="C21" s="33" t="s">
        <v>156</v>
      </c>
    </row>
    <row r="22" spans="1:3" ht="45" x14ac:dyDescent="0.25">
      <c r="C22" s="33" t="s">
        <v>157</v>
      </c>
    </row>
    <row r="23" spans="1:3" ht="45" x14ac:dyDescent="0.25">
      <c r="C23" s="33" t="s">
        <v>159</v>
      </c>
    </row>
    <row r="24" spans="1:3" ht="15.75" x14ac:dyDescent="0.25">
      <c r="C24" s="34" t="s">
        <v>158</v>
      </c>
    </row>
    <row r="25" spans="1:3" ht="51.75" x14ac:dyDescent="0.3">
      <c r="C25" s="33" t="s">
        <v>160</v>
      </c>
    </row>
    <row r="26" spans="1:3" ht="69" x14ac:dyDescent="0.3">
      <c r="C26" s="33" t="s">
        <v>161</v>
      </c>
    </row>
    <row r="27" spans="1:3" ht="51.75" x14ac:dyDescent="0.3">
      <c r="C27" s="33" t="s">
        <v>162</v>
      </c>
    </row>
    <row r="28" spans="1:3" ht="51.75" x14ac:dyDescent="0.3">
      <c r="C28" s="33" t="s">
        <v>163</v>
      </c>
    </row>
    <row r="29" spans="1:3" ht="60" x14ac:dyDescent="0.25">
      <c r="C29" s="33" t="s">
        <v>164</v>
      </c>
    </row>
    <row r="31" spans="1:3" ht="45" x14ac:dyDescent="0.25">
      <c r="B31" t="s">
        <v>165</v>
      </c>
      <c r="C31" s="33" t="s">
        <v>166</v>
      </c>
    </row>
    <row r="32" spans="1:3" ht="45" x14ac:dyDescent="0.25">
      <c r="C32" s="33" t="s">
        <v>167</v>
      </c>
    </row>
    <row r="33" spans="2:3" ht="30" x14ac:dyDescent="0.25">
      <c r="C33" s="33" t="s">
        <v>176</v>
      </c>
    </row>
    <row r="34" spans="2:3" ht="51.75" x14ac:dyDescent="0.3">
      <c r="C34" s="33" t="s">
        <v>173</v>
      </c>
    </row>
    <row r="35" spans="2:3" ht="51.75" x14ac:dyDescent="0.3">
      <c r="C35" s="33" t="s">
        <v>174</v>
      </c>
    </row>
    <row r="36" spans="2:3" ht="51.75" x14ac:dyDescent="0.3">
      <c r="C36" s="33" t="s">
        <v>175</v>
      </c>
    </row>
    <row r="38" spans="2:3" ht="60" x14ac:dyDescent="0.25">
      <c r="B38" t="s">
        <v>177</v>
      </c>
      <c r="C38" s="33" t="s">
        <v>178</v>
      </c>
    </row>
    <row r="39" spans="2:3" ht="60" x14ac:dyDescent="0.25">
      <c r="C39" s="33" t="s">
        <v>180</v>
      </c>
    </row>
    <row r="40" spans="2:3" x14ac:dyDescent="0.25">
      <c r="C40" s="33" t="s">
        <v>179</v>
      </c>
    </row>
    <row r="42" spans="2:3" ht="17.25" x14ac:dyDescent="0.3">
      <c r="C42" s="53" t="s">
        <v>182</v>
      </c>
    </row>
    <row r="43" spans="2:3" ht="51.75" x14ac:dyDescent="0.3">
      <c r="C43" s="33" t="s">
        <v>181</v>
      </c>
    </row>
    <row r="44" spans="2:3" ht="51.75" x14ac:dyDescent="0.3">
      <c r="C44" s="33" t="s">
        <v>183</v>
      </c>
    </row>
    <row r="45" spans="2:3" ht="51.75" x14ac:dyDescent="0.3">
      <c r="C45" s="33" t="s">
        <v>184</v>
      </c>
    </row>
    <row r="47" spans="2:3" ht="30" x14ac:dyDescent="0.25">
      <c r="C47" s="33" t="s">
        <v>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61"/>
  <sheetViews>
    <sheetView showGridLines="0" topLeftCell="A49" workbookViewId="0">
      <selection activeCell="B63" sqref="B63"/>
    </sheetView>
  </sheetViews>
  <sheetFormatPr defaultRowHeight="15" x14ac:dyDescent="0.25"/>
  <cols>
    <col min="1" max="1" width="2.7109375" customWidth="1"/>
    <col min="2" max="2" width="4.5703125" customWidth="1"/>
    <col min="3" max="3" width="5.140625" customWidth="1"/>
  </cols>
  <sheetData>
    <row r="1" spans="2:14" ht="21" x14ac:dyDescent="0.35">
      <c r="B1" s="5" t="s">
        <v>0</v>
      </c>
    </row>
    <row r="3" spans="2:14" x14ac:dyDescent="0.25">
      <c r="B3" s="1" t="s">
        <v>1</v>
      </c>
      <c r="C3" s="1"/>
      <c r="D3" s="1"/>
      <c r="E3" s="1"/>
      <c r="F3" s="1"/>
      <c r="G3" s="1"/>
      <c r="H3" s="1"/>
      <c r="I3" s="1"/>
      <c r="J3" s="1"/>
      <c r="K3" s="1"/>
      <c r="L3" s="1"/>
      <c r="M3" s="1"/>
    </row>
    <row r="4" spans="2:14" ht="15" customHeight="1" x14ac:dyDescent="0.25">
      <c r="B4" s="35" t="s">
        <v>2</v>
      </c>
      <c r="C4" s="35"/>
      <c r="D4" s="35"/>
      <c r="E4" s="35"/>
      <c r="F4" s="35"/>
      <c r="G4" s="35"/>
      <c r="H4" s="35"/>
      <c r="I4" s="35"/>
      <c r="J4" s="35"/>
      <c r="K4" s="35"/>
      <c r="L4" s="35"/>
      <c r="M4" s="35"/>
    </row>
    <row r="5" spans="2:14" x14ac:dyDescent="0.25">
      <c r="B5" s="36"/>
      <c r="C5" s="36"/>
      <c r="D5" s="36"/>
      <c r="E5" s="36"/>
      <c r="F5" s="36"/>
      <c r="G5" s="36"/>
      <c r="H5" s="36"/>
      <c r="I5" s="36"/>
      <c r="J5" s="36"/>
      <c r="K5" s="36"/>
      <c r="L5" s="36"/>
      <c r="M5" s="36"/>
    </row>
    <row r="6" spans="2:14" x14ac:dyDescent="0.25">
      <c r="B6" s="37"/>
      <c r="C6" s="37"/>
      <c r="D6" s="37"/>
      <c r="E6" s="37"/>
      <c r="F6" s="37"/>
      <c r="G6" s="37"/>
      <c r="H6" s="37"/>
      <c r="I6" s="37"/>
      <c r="J6" s="37"/>
      <c r="K6" s="37"/>
      <c r="L6" s="37"/>
      <c r="M6" s="37"/>
    </row>
    <row r="8" spans="2:14" ht="15.75" x14ac:dyDescent="0.25">
      <c r="B8" s="28" t="s">
        <v>3</v>
      </c>
      <c r="C8" s="7"/>
      <c r="D8" s="7"/>
      <c r="E8" s="7"/>
      <c r="F8" s="7"/>
      <c r="G8" s="7"/>
      <c r="H8" s="7"/>
      <c r="I8" s="7"/>
      <c r="J8" s="7"/>
      <c r="K8" s="7"/>
      <c r="L8" s="7"/>
      <c r="M8" s="7"/>
      <c r="N8" s="29"/>
    </row>
    <row r="9" spans="2:14" ht="15.75" x14ac:dyDescent="0.25">
      <c r="B9" s="4"/>
    </row>
    <row r="10" spans="2:14" x14ac:dyDescent="0.25">
      <c r="B10" t="s">
        <v>5</v>
      </c>
    </row>
    <row r="11" spans="2:14" x14ac:dyDescent="0.25">
      <c r="B11" s="6" t="s">
        <v>6</v>
      </c>
      <c r="C11" s="1"/>
      <c r="D11" s="1"/>
      <c r="E11" s="1"/>
    </row>
    <row r="12" spans="2:14" x14ac:dyDescent="0.25">
      <c r="B12" s="38"/>
      <c r="C12" s="36" t="s">
        <v>4</v>
      </c>
      <c r="D12" s="36"/>
      <c r="E12" s="36"/>
      <c r="F12" s="36"/>
      <c r="G12" s="36"/>
      <c r="H12" s="36"/>
      <c r="I12" s="36"/>
      <c r="J12" s="36"/>
      <c r="K12" s="36"/>
      <c r="L12" s="36"/>
      <c r="M12" s="36"/>
    </row>
    <row r="13" spans="2:14" x14ac:dyDescent="0.25">
      <c r="B13" s="38"/>
      <c r="C13" s="36"/>
      <c r="D13" s="36"/>
      <c r="E13" s="36"/>
      <c r="F13" s="36"/>
      <c r="G13" s="36"/>
      <c r="H13" s="36"/>
      <c r="I13" s="36"/>
      <c r="J13" s="36"/>
      <c r="K13" s="36"/>
      <c r="L13" s="36"/>
      <c r="M13" s="36"/>
    </row>
    <row r="14" spans="2:14" x14ac:dyDescent="0.25">
      <c r="B14" s="38"/>
      <c r="C14" s="36"/>
      <c r="D14" s="36"/>
      <c r="E14" s="36"/>
      <c r="F14" s="36"/>
      <c r="G14" s="36"/>
      <c r="H14" s="36"/>
      <c r="I14" s="36"/>
      <c r="J14" s="36"/>
      <c r="K14" s="36"/>
      <c r="L14" s="36"/>
      <c r="M14" s="36"/>
    </row>
    <row r="15" spans="2:14" x14ac:dyDescent="0.25">
      <c r="B15" s="38"/>
      <c r="C15" s="36"/>
      <c r="D15" s="36"/>
      <c r="E15" s="36"/>
      <c r="F15" s="36"/>
      <c r="G15" s="36"/>
      <c r="H15" s="36"/>
      <c r="I15" s="36"/>
      <c r="J15" s="36"/>
      <c r="K15" s="36"/>
      <c r="L15" s="36"/>
      <c r="M15" s="36"/>
    </row>
    <row r="16" spans="2:14" x14ac:dyDescent="0.25">
      <c r="B16" s="39"/>
      <c r="C16" s="37"/>
      <c r="D16" s="37"/>
      <c r="E16" s="37"/>
      <c r="F16" s="37"/>
      <c r="G16" s="37"/>
      <c r="H16" s="37"/>
      <c r="I16" s="37"/>
      <c r="J16" s="37"/>
      <c r="K16" s="37"/>
      <c r="L16" s="37"/>
      <c r="M16" s="37"/>
    </row>
    <row r="17" spans="2:13" x14ac:dyDescent="0.25">
      <c r="B17" s="8" t="s">
        <v>7</v>
      </c>
      <c r="C17" s="7"/>
      <c r="D17" s="7"/>
      <c r="E17" s="7"/>
    </row>
    <row r="18" spans="2:13" x14ac:dyDescent="0.25">
      <c r="C18" s="36" t="s">
        <v>8</v>
      </c>
      <c r="D18" s="36"/>
      <c r="E18" s="36"/>
      <c r="F18" s="36"/>
      <c r="G18" s="36"/>
      <c r="H18" s="36"/>
      <c r="I18" s="36"/>
      <c r="J18" s="36"/>
      <c r="K18" s="36"/>
      <c r="L18" s="36"/>
      <c r="M18" s="36"/>
    </row>
    <row r="19" spans="2:13" x14ac:dyDescent="0.25">
      <c r="C19" s="36"/>
      <c r="D19" s="36"/>
      <c r="E19" s="36"/>
      <c r="F19" s="36"/>
      <c r="G19" s="36"/>
      <c r="H19" s="36"/>
      <c r="I19" s="36"/>
      <c r="J19" s="36"/>
      <c r="K19" s="36"/>
      <c r="L19" s="36"/>
      <c r="M19" s="36"/>
    </row>
    <row r="20" spans="2:13" x14ac:dyDescent="0.25">
      <c r="C20" s="3" t="s">
        <v>9</v>
      </c>
    </row>
    <row r="21" spans="2:13" ht="15" customHeight="1" x14ac:dyDescent="0.25">
      <c r="C21" s="36" t="s">
        <v>10</v>
      </c>
      <c r="D21" s="36"/>
      <c r="E21" s="36"/>
      <c r="F21" s="36"/>
      <c r="G21" s="36"/>
      <c r="H21" s="36"/>
      <c r="I21" s="36"/>
      <c r="J21" s="36"/>
      <c r="K21" s="36"/>
      <c r="L21" s="36"/>
      <c r="M21" s="36"/>
    </row>
    <row r="22" spans="2:13" x14ac:dyDescent="0.25">
      <c r="C22" s="36"/>
      <c r="D22" s="36"/>
      <c r="E22" s="36"/>
      <c r="F22" s="36"/>
      <c r="G22" s="36"/>
      <c r="H22" s="36"/>
      <c r="I22" s="36"/>
      <c r="J22" s="36"/>
      <c r="K22" s="36"/>
      <c r="L22" s="36"/>
      <c r="M22" s="36"/>
    </row>
    <row r="23" spans="2:13" x14ac:dyDescent="0.25">
      <c r="C23" s="36"/>
      <c r="D23" s="36"/>
      <c r="E23" s="36"/>
      <c r="F23" s="36"/>
      <c r="G23" s="36"/>
      <c r="H23" s="36"/>
      <c r="I23" s="36"/>
      <c r="J23" s="36"/>
      <c r="K23" s="36"/>
      <c r="L23" s="36"/>
      <c r="M23" s="36"/>
    </row>
    <row r="24" spans="2:13" x14ac:dyDescent="0.25">
      <c r="C24" s="3" t="s">
        <v>13</v>
      </c>
    </row>
    <row r="25" spans="2:13" x14ac:dyDescent="0.25">
      <c r="C25" s="36" t="s">
        <v>11</v>
      </c>
      <c r="D25" s="36"/>
      <c r="E25" s="36"/>
      <c r="F25" s="36"/>
      <c r="G25" s="36"/>
      <c r="H25" s="36"/>
      <c r="I25" s="36"/>
      <c r="J25" s="36"/>
      <c r="K25" s="36"/>
      <c r="L25" s="36"/>
      <c r="M25" s="36"/>
    </row>
    <row r="26" spans="2:13" x14ac:dyDescent="0.25">
      <c r="C26" s="36"/>
      <c r="D26" s="36"/>
      <c r="E26" s="36"/>
      <c r="F26" s="36"/>
      <c r="G26" s="36"/>
      <c r="H26" s="36"/>
      <c r="I26" s="36"/>
      <c r="J26" s="36"/>
      <c r="K26" s="36"/>
      <c r="L26" s="36"/>
      <c r="M26" s="36"/>
    </row>
    <row r="27" spans="2:13" x14ac:dyDescent="0.25">
      <c r="C27" s="36"/>
      <c r="D27" s="36"/>
      <c r="E27" s="36"/>
      <c r="F27" s="36"/>
      <c r="G27" s="36"/>
      <c r="H27" s="36"/>
      <c r="I27" s="36"/>
      <c r="J27" s="36"/>
      <c r="K27" s="36"/>
      <c r="L27" s="36"/>
      <c r="M27" s="36"/>
    </row>
    <row r="28" spans="2:13" x14ac:dyDescent="0.25">
      <c r="C28" s="3" t="s">
        <v>14</v>
      </c>
    </row>
    <row r="29" spans="2:13" x14ac:dyDescent="0.25">
      <c r="C29" s="36" t="s">
        <v>12</v>
      </c>
      <c r="D29" s="36"/>
      <c r="E29" s="36"/>
      <c r="F29" s="36"/>
      <c r="G29" s="36"/>
      <c r="H29" s="36"/>
      <c r="I29" s="36"/>
      <c r="J29" s="36"/>
      <c r="K29" s="36"/>
      <c r="L29" s="36"/>
      <c r="M29" s="36"/>
    </row>
    <row r="30" spans="2:13" x14ac:dyDescent="0.25">
      <c r="C30" s="36"/>
      <c r="D30" s="36"/>
      <c r="E30" s="36"/>
      <c r="F30" s="36"/>
      <c r="G30" s="36"/>
      <c r="H30" s="36"/>
      <c r="I30" s="36"/>
      <c r="J30" s="36"/>
      <c r="K30" s="36"/>
      <c r="L30" s="36"/>
      <c r="M30" s="36"/>
    </row>
    <row r="31" spans="2:13" x14ac:dyDescent="0.25">
      <c r="B31" s="1"/>
      <c r="C31" s="37"/>
      <c r="D31" s="37"/>
      <c r="E31" s="37"/>
      <c r="F31" s="37"/>
      <c r="G31" s="37"/>
      <c r="H31" s="37"/>
      <c r="I31" s="37"/>
      <c r="J31" s="37"/>
      <c r="K31" s="37"/>
      <c r="L31" s="37"/>
      <c r="M31" s="37"/>
    </row>
    <row r="32" spans="2:13" x14ac:dyDescent="0.25">
      <c r="B32" s="8" t="s">
        <v>15</v>
      </c>
      <c r="C32" s="7"/>
      <c r="D32" s="7"/>
      <c r="E32" s="7"/>
    </row>
    <row r="33" spans="2:14" x14ac:dyDescent="0.25">
      <c r="C33" t="s">
        <v>16</v>
      </c>
    </row>
    <row r="34" spans="2:14" x14ac:dyDescent="0.25">
      <c r="C34" t="s">
        <v>17</v>
      </c>
    </row>
    <row r="35" spans="2:14" x14ac:dyDescent="0.25">
      <c r="B35" s="1"/>
      <c r="C35" s="1" t="s">
        <v>18</v>
      </c>
      <c r="D35" s="1"/>
      <c r="E35" s="1"/>
      <c r="F35" s="1"/>
      <c r="G35" s="1"/>
      <c r="H35" s="1"/>
      <c r="I35" s="1"/>
      <c r="J35" s="1"/>
      <c r="K35" s="1"/>
      <c r="L35" s="1"/>
      <c r="M35" s="1"/>
    </row>
    <row r="36" spans="2:14" x14ac:dyDescent="0.25">
      <c r="B36" s="6" t="s">
        <v>19</v>
      </c>
      <c r="C36" s="1"/>
      <c r="D36" s="1"/>
      <c r="E36" s="1"/>
    </row>
    <row r="37" spans="2:14" x14ac:dyDescent="0.25">
      <c r="B37" s="1"/>
      <c r="C37" s="1" t="s">
        <v>20</v>
      </c>
      <c r="D37" s="1"/>
      <c r="E37" s="1"/>
      <c r="F37" s="1"/>
      <c r="G37" s="1"/>
      <c r="H37" s="1"/>
      <c r="I37" s="1"/>
      <c r="J37" s="1"/>
      <c r="K37" s="1"/>
      <c r="L37" s="1"/>
      <c r="M37" s="1"/>
    </row>
    <row r="40" spans="2:14" ht="21" x14ac:dyDescent="0.35">
      <c r="B40" s="5" t="s">
        <v>142</v>
      </c>
    </row>
    <row r="42" spans="2:14" ht="15.75" x14ac:dyDescent="0.25">
      <c r="B42" s="28" t="s">
        <v>90</v>
      </c>
      <c r="C42" s="7"/>
      <c r="D42" s="7"/>
      <c r="E42" s="7"/>
      <c r="F42" s="7"/>
      <c r="G42" s="7"/>
      <c r="H42" s="7"/>
      <c r="I42" s="7"/>
      <c r="J42" s="7"/>
      <c r="K42" s="7"/>
      <c r="L42" s="7"/>
      <c r="M42" s="7"/>
      <c r="N42" s="29"/>
    </row>
    <row r="43" spans="2:14" ht="15.75" x14ac:dyDescent="0.25">
      <c r="B43" s="4"/>
    </row>
    <row r="44" spans="2:14" x14ac:dyDescent="0.25">
      <c r="B44" s="6" t="s">
        <v>86</v>
      </c>
      <c r="C44" s="1"/>
      <c r="D44" s="1"/>
      <c r="E44" s="1"/>
    </row>
    <row r="45" spans="2:14" ht="15" customHeight="1" x14ac:dyDescent="0.25">
      <c r="C45" s="36" t="s">
        <v>84</v>
      </c>
      <c r="D45" s="36"/>
      <c r="E45" s="36"/>
      <c r="F45" s="36"/>
      <c r="G45" s="36"/>
      <c r="H45" s="36"/>
      <c r="I45" s="36"/>
      <c r="J45" s="36"/>
      <c r="K45" s="36"/>
      <c r="L45" s="36"/>
      <c r="M45" s="36"/>
    </row>
    <row r="46" spans="2:14" x14ac:dyDescent="0.25">
      <c r="B46" s="2"/>
      <c r="C46" s="37"/>
      <c r="D46" s="37"/>
      <c r="E46" s="37"/>
      <c r="F46" s="37"/>
      <c r="G46" s="37"/>
      <c r="H46" s="37"/>
      <c r="I46" s="37"/>
      <c r="J46" s="37"/>
      <c r="K46" s="37"/>
      <c r="L46" s="37"/>
      <c r="M46" s="37"/>
    </row>
    <row r="47" spans="2:14" x14ac:dyDescent="0.25">
      <c r="B47" s="8" t="s">
        <v>87</v>
      </c>
      <c r="C47" s="8"/>
      <c r="D47" s="8"/>
      <c r="E47" s="8"/>
    </row>
    <row r="48" spans="2:14" x14ac:dyDescent="0.25">
      <c r="C48" t="s">
        <v>85</v>
      </c>
    </row>
    <row r="49" spans="2:14" x14ac:dyDescent="0.25">
      <c r="B49" s="1"/>
      <c r="C49" s="1" t="s">
        <v>88</v>
      </c>
      <c r="D49" s="1"/>
      <c r="E49" s="1"/>
      <c r="F49" s="1"/>
      <c r="G49" s="1"/>
      <c r="H49" s="1"/>
      <c r="I49" s="1"/>
      <c r="J49" s="1"/>
      <c r="K49" s="1"/>
      <c r="L49" s="1"/>
      <c r="M49" s="1"/>
    </row>
    <row r="50" spans="2:14" x14ac:dyDescent="0.25">
      <c r="C50" s="35" t="s">
        <v>89</v>
      </c>
      <c r="D50" s="35"/>
      <c r="E50" s="35"/>
      <c r="F50" s="35"/>
      <c r="G50" s="35"/>
      <c r="H50" s="35"/>
      <c r="I50" s="35"/>
      <c r="J50" s="35"/>
      <c r="K50" s="35"/>
      <c r="L50" s="35"/>
      <c r="M50" s="35"/>
    </row>
    <row r="51" spans="2:14" x14ac:dyDescent="0.25">
      <c r="C51" s="36"/>
      <c r="D51" s="36"/>
      <c r="E51" s="36"/>
      <c r="F51" s="36"/>
      <c r="G51" s="36"/>
      <c r="H51" s="36"/>
      <c r="I51" s="36"/>
      <c r="J51" s="36"/>
      <c r="K51" s="36"/>
      <c r="L51" s="36"/>
      <c r="M51" s="36"/>
    </row>
    <row r="53" spans="2:14" ht="21" x14ac:dyDescent="0.35">
      <c r="B53" s="5" t="s">
        <v>142</v>
      </c>
    </row>
    <row r="55" spans="2:14" ht="15.75" x14ac:dyDescent="0.25">
      <c r="B55" s="28" t="s">
        <v>143</v>
      </c>
      <c r="C55" s="7"/>
      <c r="D55" s="7"/>
      <c r="E55" s="7"/>
      <c r="F55" s="7"/>
      <c r="G55" s="7"/>
      <c r="H55" s="7"/>
      <c r="I55" s="7"/>
      <c r="J55" s="7"/>
      <c r="K55" s="7"/>
      <c r="L55" s="7"/>
      <c r="M55" s="7"/>
      <c r="N55" s="29"/>
    </row>
    <row r="56" spans="2:14" ht="15.75" x14ac:dyDescent="0.25">
      <c r="B56" s="4"/>
    </row>
    <row r="57" spans="2:14" x14ac:dyDescent="0.25">
      <c r="B57" s="6" t="s">
        <v>114</v>
      </c>
      <c r="C57" s="1"/>
      <c r="D57" s="1"/>
      <c r="E57" s="1"/>
    </row>
    <row r="58" spans="2:14" ht="15" customHeight="1" x14ac:dyDescent="0.25">
      <c r="C58" s="36" t="s">
        <v>144</v>
      </c>
      <c r="D58" s="36"/>
      <c r="E58" s="36"/>
      <c r="F58" s="36"/>
      <c r="G58" s="36"/>
      <c r="H58" s="36"/>
      <c r="I58" s="36"/>
      <c r="J58" s="36"/>
      <c r="K58" s="36"/>
      <c r="L58" s="36"/>
      <c r="M58" s="36"/>
    </row>
    <row r="59" spans="2:14" x14ac:dyDescent="0.25">
      <c r="B59" s="2"/>
      <c r="C59" s="2"/>
      <c r="D59" s="2"/>
      <c r="E59" s="2"/>
      <c r="F59" s="2"/>
      <c r="G59" s="2"/>
      <c r="H59" s="2"/>
      <c r="I59" s="2"/>
      <c r="J59" s="2"/>
      <c r="K59" s="2"/>
      <c r="L59" s="2"/>
      <c r="M59" s="2"/>
    </row>
    <row r="60" spans="2:14" x14ac:dyDescent="0.25">
      <c r="B60" s="8" t="s">
        <v>145</v>
      </c>
      <c r="C60" s="8"/>
      <c r="D60" s="8"/>
      <c r="E60" s="8"/>
    </row>
    <row r="61" spans="2:14" x14ac:dyDescent="0.25">
      <c r="C61" s="9">
        <v>0.15</v>
      </c>
    </row>
  </sheetData>
  <mergeCells count="10">
    <mergeCell ref="C58:M58"/>
    <mergeCell ref="B4:M6"/>
    <mergeCell ref="C12:M16"/>
    <mergeCell ref="B12:B16"/>
    <mergeCell ref="C45:M46"/>
    <mergeCell ref="C50:M51"/>
    <mergeCell ref="C18:M19"/>
    <mergeCell ref="C21:M23"/>
    <mergeCell ref="C25:M27"/>
    <mergeCell ref="C29:M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F779D-1698-47D6-8AFC-42206E06B51E}">
  <dimension ref="A1:J31"/>
  <sheetViews>
    <sheetView workbookViewId="0">
      <selection activeCell="J10" sqref="J10"/>
    </sheetView>
  </sheetViews>
  <sheetFormatPr defaultRowHeight="15" x14ac:dyDescent="0.25"/>
  <cols>
    <col min="1" max="1" width="20.28515625" customWidth="1"/>
    <col min="2" max="2" width="22.28515625" customWidth="1"/>
    <col min="3" max="4" width="19.42578125" customWidth="1"/>
    <col min="5" max="5" width="20.28515625" customWidth="1"/>
    <col min="6" max="6" width="20.7109375" customWidth="1"/>
    <col min="7" max="7" width="22.5703125" customWidth="1"/>
    <col min="8" max="8" width="13.5703125" customWidth="1"/>
    <col min="10" max="10" width="16.42578125" customWidth="1"/>
  </cols>
  <sheetData>
    <row r="1" spans="1:10" x14ac:dyDescent="0.25">
      <c r="A1" s="40" t="s">
        <v>107</v>
      </c>
      <c r="B1" s="40"/>
      <c r="C1" s="40"/>
      <c r="D1" s="40"/>
      <c r="E1" s="41"/>
      <c r="F1" s="44" t="s">
        <v>147</v>
      </c>
      <c r="G1" s="45"/>
      <c r="H1" s="51" t="s">
        <v>149</v>
      </c>
      <c r="I1" s="52"/>
      <c r="J1" s="52"/>
    </row>
    <row r="2" spans="1:10" x14ac:dyDescent="0.25">
      <c r="A2" s="3" t="s">
        <v>21</v>
      </c>
      <c r="B2">
        <v>2724137931</v>
      </c>
      <c r="C2" t="s">
        <v>24</v>
      </c>
      <c r="E2" s="23"/>
      <c r="F2" s="46"/>
      <c r="G2" s="23"/>
      <c r="H2" s="3" t="s">
        <v>145</v>
      </c>
      <c r="I2" s="9">
        <v>0.15</v>
      </c>
      <c r="J2" t="s">
        <v>148</v>
      </c>
    </row>
    <row r="3" spans="1:10" x14ac:dyDescent="0.25">
      <c r="E3" s="23"/>
      <c r="F3" s="46"/>
      <c r="G3" s="23"/>
    </row>
    <row r="4" spans="1:10" x14ac:dyDescent="0.25">
      <c r="A4" s="3" t="s">
        <v>22</v>
      </c>
      <c r="E4" s="23"/>
      <c r="F4" s="46"/>
      <c r="G4" s="23"/>
    </row>
    <row r="5" spans="1:10" x14ac:dyDescent="0.25">
      <c r="A5" t="s">
        <v>25</v>
      </c>
      <c r="B5">
        <v>10</v>
      </c>
      <c r="C5" t="s">
        <v>23</v>
      </c>
      <c r="E5" s="23"/>
      <c r="F5" s="46"/>
      <c r="G5" s="23"/>
    </row>
    <row r="6" spans="1:10" x14ac:dyDescent="0.25">
      <c r="E6" s="23"/>
      <c r="F6" s="46"/>
      <c r="G6" s="23"/>
    </row>
    <row r="7" spans="1:10" x14ac:dyDescent="0.25">
      <c r="E7" s="23"/>
      <c r="F7" s="46"/>
      <c r="G7" s="23"/>
    </row>
    <row r="8" spans="1:10" x14ac:dyDescent="0.25">
      <c r="A8" s="3" t="s">
        <v>37</v>
      </c>
      <c r="E8" s="23"/>
      <c r="F8" s="46"/>
      <c r="G8" s="23"/>
    </row>
    <row r="9" spans="1:10" ht="30" x14ac:dyDescent="0.25">
      <c r="A9" s="3" t="s">
        <v>26</v>
      </c>
      <c r="B9" s="3" t="s">
        <v>30</v>
      </c>
      <c r="C9" s="3" t="s">
        <v>36</v>
      </c>
      <c r="D9" s="3" t="s">
        <v>31</v>
      </c>
      <c r="E9" s="24" t="s">
        <v>36</v>
      </c>
      <c r="F9" s="47" t="s">
        <v>94</v>
      </c>
      <c r="G9" s="48" t="s">
        <v>104</v>
      </c>
    </row>
    <row r="10" spans="1:10" x14ac:dyDescent="0.25">
      <c r="A10" t="s">
        <v>27</v>
      </c>
      <c r="B10">
        <v>1000000</v>
      </c>
      <c r="C10" s="9">
        <v>0.15</v>
      </c>
      <c r="D10">
        <v>234</v>
      </c>
      <c r="E10" s="25">
        <v>4.4999999999999998E-2</v>
      </c>
      <c r="F10" s="49">
        <v>0.2</v>
      </c>
      <c r="G10" s="23" t="s">
        <v>95</v>
      </c>
    </row>
    <row r="11" spans="1:10" x14ac:dyDescent="0.25">
      <c r="A11" t="s">
        <v>28</v>
      </c>
      <c r="B11">
        <v>1500000</v>
      </c>
      <c r="C11" s="9">
        <v>0.12</v>
      </c>
      <c r="D11">
        <v>68</v>
      </c>
      <c r="E11" s="25">
        <v>6.2E-2</v>
      </c>
      <c r="F11" s="49">
        <v>0</v>
      </c>
      <c r="G11" s="23"/>
    </row>
    <row r="12" spans="1:10" x14ac:dyDescent="0.25">
      <c r="A12" t="s">
        <v>29</v>
      </c>
      <c r="B12">
        <v>1700000</v>
      </c>
      <c r="C12" s="26">
        <v>0.115</v>
      </c>
      <c r="D12">
        <v>113</v>
      </c>
      <c r="E12" s="25">
        <v>4.9000000000000002E-2</v>
      </c>
      <c r="F12" s="49">
        <v>0</v>
      </c>
      <c r="G12" s="23"/>
    </row>
    <row r="13" spans="1:10" x14ac:dyDescent="0.25">
      <c r="E13" s="23"/>
      <c r="F13" s="46"/>
      <c r="G13" s="23"/>
    </row>
    <row r="14" spans="1:10" x14ac:dyDescent="0.25">
      <c r="A14" s="3" t="s">
        <v>32</v>
      </c>
      <c r="E14" s="23"/>
      <c r="F14" s="46"/>
      <c r="G14" s="23"/>
    </row>
    <row r="15" spans="1:10" x14ac:dyDescent="0.25">
      <c r="A15" s="3" t="s">
        <v>26</v>
      </c>
      <c r="B15" s="3" t="s">
        <v>35</v>
      </c>
      <c r="C15" s="3" t="s">
        <v>36</v>
      </c>
      <c r="D15" s="22"/>
      <c r="E15" s="27"/>
      <c r="F15" s="50"/>
      <c r="G15" s="24" t="s">
        <v>105</v>
      </c>
    </row>
    <row r="16" spans="1:10" x14ac:dyDescent="0.25">
      <c r="A16" t="s">
        <v>33</v>
      </c>
      <c r="B16">
        <v>45480000</v>
      </c>
      <c r="C16" s="9">
        <v>0.05</v>
      </c>
      <c r="D16" s="22"/>
      <c r="E16" s="27"/>
      <c r="F16" s="50"/>
      <c r="G16" s="23" t="s">
        <v>95</v>
      </c>
    </row>
    <row r="17" spans="1:7" x14ac:dyDescent="0.25">
      <c r="A17" t="s">
        <v>34</v>
      </c>
      <c r="B17">
        <v>70000000</v>
      </c>
      <c r="C17" s="26">
        <v>4.2500000000000003E-2</v>
      </c>
      <c r="D17" s="22"/>
      <c r="E17" s="27"/>
      <c r="F17" s="50"/>
      <c r="G17" s="23" t="s">
        <v>106</v>
      </c>
    </row>
    <row r="18" spans="1:7" x14ac:dyDescent="0.25">
      <c r="E18" s="23"/>
      <c r="F18" s="46"/>
      <c r="G18" s="23"/>
    </row>
    <row r="19" spans="1:7" x14ac:dyDescent="0.25">
      <c r="A19" s="3" t="s">
        <v>38</v>
      </c>
      <c r="E19" s="23"/>
      <c r="F19" s="46"/>
      <c r="G19" s="23"/>
    </row>
    <row r="20" spans="1:7" x14ac:dyDescent="0.25">
      <c r="A20" s="3" t="s">
        <v>26</v>
      </c>
      <c r="B20" s="3" t="s">
        <v>35</v>
      </c>
      <c r="C20" s="3" t="s">
        <v>42</v>
      </c>
      <c r="D20" s="3" t="s">
        <v>62</v>
      </c>
      <c r="E20" s="24" t="s">
        <v>41</v>
      </c>
      <c r="F20" s="46"/>
      <c r="G20" s="23"/>
    </row>
    <row r="21" spans="1:7" x14ac:dyDescent="0.25">
      <c r="A21" t="s">
        <v>39</v>
      </c>
      <c r="B21">
        <v>908045977</v>
      </c>
      <c r="C21">
        <v>0</v>
      </c>
      <c r="D21" s="26">
        <v>9.5000000000000001E-2</v>
      </c>
      <c r="E21" s="23">
        <v>10</v>
      </c>
      <c r="F21" s="46"/>
      <c r="G21" s="23"/>
    </row>
    <row r="22" spans="1:7" x14ac:dyDescent="0.25">
      <c r="A22" t="s">
        <v>40</v>
      </c>
      <c r="B22">
        <v>1816091954</v>
      </c>
      <c r="C22">
        <v>0</v>
      </c>
      <c r="D22" s="26">
        <v>0.104</v>
      </c>
      <c r="E22" s="23">
        <v>10</v>
      </c>
      <c r="F22" s="46"/>
      <c r="G22" s="23"/>
    </row>
    <row r="23" spans="1:7" x14ac:dyDescent="0.25">
      <c r="E23" s="23"/>
      <c r="F23" s="46"/>
      <c r="G23" s="23"/>
    </row>
    <row r="24" spans="1:7" x14ac:dyDescent="0.25">
      <c r="A24" s="3" t="s">
        <v>43</v>
      </c>
      <c r="B24" s="26">
        <v>0.26500000000000001</v>
      </c>
      <c r="E24" s="23"/>
      <c r="F24" s="46"/>
      <c r="G24" s="23"/>
    </row>
    <row r="25" spans="1:7" x14ac:dyDescent="0.25">
      <c r="E25" s="23"/>
      <c r="F25" s="46"/>
      <c r="G25" s="23"/>
    </row>
    <row r="26" spans="1:7" x14ac:dyDescent="0.25">
      <c r="E26" s="23"/>
      <c r="F26" s="46"/>
      <c r="G26" s="23"/>
    </row>
    <row r="27" spans="1:7" x14ac:dyDescent="0.25">
      <c r="E27" s="23"/>
      <c r="F27" s="46"/>
      <c r="G27" s="23"/>
    </row>
    <row r="28" spans="1:7" x14ac:dyDescent="0.25">
      <c r="E28" s="23"/>
      <c r="F28" s="46"/>
      <c r="G28" s="23"/>
    </row>
    <row r="29" spans="1:7" x14ac:dyDescent="0.25">
      <c r="E29" s="23"/>
      <c r="F29" s="46"/>
      <c r="G29" s="23"/>
    </row>
    <row r="30" spans="1:7" x14ac:dyDescent="0.25">
      <c r="E30" s="23"/>
      <c r="F30" s="46"/>
      <c r="G30" s="23"/>
    </row>
    <row r="31" spans="1:7" x14ac:dyDescent="0.25">
      <c r="E31" s="23"/>
      <c r="F31" s="46"/>
      <c r="G31" s="23"/>
    </row>
  </sheetData>
  <mergeCells count="3">
    <mergeCell ref="A1:E1"/>
    <mergeCell ref="F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C588-E77B-423A-BC08-5BD4532FCB15}">
  <dimension ref="A1:K45"/>
  <sheetViews>
    <sheetView workbookViewId="0">
      <selection activeCell="K14" sqref="K14"/>
    </sheetView>
  </sheetViews>
  <sheetFormatPr defaultRowHeight="15" x14ac:dyDescent="0.25"/>
  <cols>
    <col min="1" max="1" width="27.42578125" customWidth="1"/>
    <col min="2" max="11" width="14.5703125" customWidth="1"/>
  </cols>
  <sheetData>
    <row r="1" spans="1:11" x14ac:dyDescent="0.25">
      <c r="B1" s="3" t="s">
        <v>45</v>
      </c>
      <c r="C1" s="3" t="s">
        <v>46</v>
      </c>
      <c r="D1" s="3" t="s">
        <v>47</v>
      </c>
      <c r="E1" s="3" t="s">
        <v>48</v>
      </c>
      <c r="F1" s="3" t="s">
        <v>49</v>
      </c>
      <c r="G1" s="3" t="s">
        <v>50</v>
      </c>
      <c r="H1" s="3" t="s">
        <v>51</v>
      </c>
      <c r="I1" s="3" t="s">
        <v>52</v>
      </c>
      <c r="J1" s="3" t="s">
        <v>53</v>
      </c>
      <c r="K1" s="3" t="s">
        <v>54</v>
      </c>
    </row>
    <row r="2" spans="1:11" x14ac:dyDescent="0.25">
      <c r="A2" s="3" t="s">
        <v>58</v>
      </c>
    </row>
    <row r="3" spans="1:11" x14ac:dyDescent="0.25">
      <c r="A3" s="3" t="s">
        <v>44</v>
      </c>
    </row>
    <row r="4" spans="1:11" x14ac:dyDescent="0.25">
      <c r="A4" t="s">
        <v>27</v>
      </c>
      <c r="B4">
        <f>Assumption!$B10</f>
        <v>1000000</v>
      </c>
      <c r="C4">
        <f>B4*(1+Assumption!$C10)</f>
        <v>1150000</v>
      </c>
      <c r="D4">
        <f>C4*(1+Assumption!$C10)</f>
        <v>1322500</v>
      </c>
      <c r="E4">
        <f>D4*(1+Assumption!$C10)</f>
        <v>1520874.9999999998</v>
      </c>
      <c r="F4">
        <f>E4*(1+Assumption!$C10)</f>
        <v>1749006.2499999995</v>
      </c>
      <c r="G4">
        <f>F4*(1+Assumption!$C10)</f>
        <v>2011357.1874999993</v>
      </c>
      <c r="H4">
        <f>G4*(1+Assumption!$C10)</f>
        <v>2313060.7656249991</v>
      </c>
      <c r="I4">
        <f>H4*(1+Assumption!$C10)</f>
        <v>2660019.8804687485</v>
      </c>
      <c r="J4">
        <f>I4*(1+Assumption!$C10)</f>
        <v>3059022.8625390604</v>
      </c>
      <c r="K4">
        <f>J4*(1+Assumption!$C10)</f>
        <v>3517876.2919199192</v>
      </c>
    </row>
    <row r="5" spans="1:11" x14ac:dyDescent="0.25">
      <c r="A5" t="s">
        <v>28</v>
      </c>
      <c r="B5">
        <f>Assumption!$B11</f>
        <v>1500000</v>
      </c>
      <c r="C5">
        <f>B5*(1+Assumption!$C11)</f>
        <v>1680000.0000000002</v>
      </c>
      <c r="D5">
        <f>C5*(1+Assumption!$C11)</f>
        <v>1881600.0000000005</v>
      </c>
      <c r="E5">
        <f>D5*(1+Assumption!$C11)</f>
        <v>2107392.0000000009</v>
      </c>
      <c r="F5">
        <f>E5*(1+Assumption!$C11)</f>
        <v>2360279.0400000014</v>
      </c>
      <c r="G5">
        <f>F5*(1+Assumption!$C11)</f>
        <v>2643512.5248000016</v>
      </c>
      <c r="H5">
        <f>G5*(1+Assumption!$C11)</f>
        <v>2960734.027776002</v>
      </c>
      <c r="I5">
        <f>H5*(1+Assumption!$C11)</f>
        <v>3316022.1111091226</v>
      </c>
      <c r="J5">
        <f>I5*(1+Assumption!$C11)</f>
        <v>3713944.7644422175</v>
      </c>
      <c r="K5">
        <f>J5*(1+Assumption!$C11)</f>
        <v>4159618.1361752842</v>
      </c>
    </row>
    <row r="6" spans="1:11" x14ac:dyDescent="0.25">
      <c r="A6" t="s">
        <v>29</v>
      </c>
      <c r="B6">
        <f>Assumption!$B12</f>
        <v>1700000</v>
      </c>
      <c r="C6">
        <f>B6*(1+Assumption!$C12)</f>
        <v>1895500</v>
      </c>
      <c r="D6">
        <f>C6*(1+Assumption!$C12)</f>
        <v>2113482.5</v>
      </c>
      <c r="E6">
        <f>D6*(1+Assumption!$C12)</f>
        <v>2356532.9874999998</v>
      </c>
      <c r="F6">
        <f>E6*(1+Assumption!$C12)</f>
        <v>2627534.2810624996</v>
      </c>
      <c r="G6">
        <f>F6*(1+Assumption!$C12)</f>
        <v>2929700.7233846872</v>
      </c>
      <c r="H6">
        <f>G6*(1+Assumption!$C12)</f>
        <v>3266616.306573926</v>
      </c>
      <c r="I6">
        <f>H6*(1+Assumption!$C12)</f>
        <v>3642277.1818299275</v>
      </c>
      <c r="J6">
        <f>I6*(1+Assumption!$C12)</f>
        <v>4061139.0577403693</v>
      </c>
      <c r="K6">
        <f>J6*(1+Assumption!$C12)</f>
        <v>4528170.049380512</v>
      </c>
    </row>
    <row r="8" spans="1:11" x14ac:dyDescent="0.25">
      <c r="A8" s="3" t="s">
        <v>55</v>
      </c>
    </row>
    <row r="9" spans="1:11" x14ac:dyDescent="0.25">
      <c r="A9" t="s">
        <v>27</v>
      </c>
      <c r="B9" s="10">
        <f>Assumption!$D10</f>
        <v>234</v>
      </c>
      <c r="C9" s="10">
        <f>B9*(1+Assumption!$E10)</f>
        <v>244.52999999999997</v>
      </c>
      <c r="D9" s="10">
        <f>C9*(1+Assumption!$E10)</f>
        <v>255.53384999999994</v>
      </c>
      <c r="E9" s="10">
        <f>D9*(1+Assumption!$E10)</f>
        <v>267.03287324999991</v>
      </c>
      <c r="F9" s="10">
        <f>E9*(1+Assumption!$E10)</f>
        <v>279.04935254624991</v>
      </c>
      <c r="G9" s="10">
        <f>F9*(1+Assumption!$E10)</f>
        <v>291.60657341083112</v>
      </c>
      <c r="H9" s="10">
        <f>G9*(1+Assumption!$E10)</f>
        <v>304.72886921431848</v>
      </c>
      <c r="I9" s="10">
        <f>H9*(1+Assumption!$E10)</f>
        <v>318.44166832896281</v>
      </c>
      <c r="J9" s="10">
        <f>I9*(1+Assumption!$E10)</f>
        <v>332.77154340376609</v>
      </c>
      <c r="K9" s="10">
        <f>J9*(1+Assumption!$E10)</f>
        <v>347.74626285693552</v>
      </c>
    </row>
    <row r="10" spans="1:11" x14ac:dyDescent="0.25">
      <c r="A10" t="s">
        <v>28</v>
      </c>
      <c r="B10" s="10">
        <f>Assumption!$D11</f>
        <v>68</v>
      </c>
      <c r="C10" s="10">
        <f>B10*(1+Assumption!$E11)</f>
        <v>72.216000000000008</v>
      </c>
      <c r="D10" s="10">
        <f>C10*(1+Assumption!$E11)</f>
        <v>76.693392000000017</v>
      </c>
      <c r="E10" s="10">
        <f>D10*(1+Assumption!$E11)</f>
        <v>81.44838230400002</v>
      </c>
      <c r="F10" s="10">
        <f>E10*(1+Assumption!$E11)</f>
        <v>86.498182006848026</v>
      </c>
      <c r="G10" s="10">
        <f>F10*(1+Assumption!$E11)</f>
        <v>91.861069291272614</v>
      </c>
      <c r="H10" s="10">
        <f>G10*(1+Assumption!$E11)</f>
        <v>97.556455587331527</v>
      </c>
      <c r="I10" s="10">
        <f>H10*(1+Assumption!$E11)</f>
        <v>103.60495583374609</v>
      </c>
      <c r="J10" s="10">
        <f>I10*(1+Assumption!$E11)</f>
        <v>110.02846309543835</v>
      </c>
      <c r="K10" s="10">
        <f>J10*(1+Assumption!$E11)</f>
        <v>116.85022780735554</v>
      </c>
    </row>
    <row r="11" spans="1:11" x14ac:dyDescent="0.25">
      <c r="A11" t="s">
        <v>29</v>
      </c>
      <c r="B11" s="10">
        <f>Assumption!$D12</f>
        <v>113</v>
      </c>
      <c r="C11" s="10">
        <f>B11*(1+Assumption!$E12)</f>
        <v>118.53699999999999</v>
      </c>
      <c r="D11" s="10">
        <f>C11*(1+Assumption!$E12)</f>
        <v>124.34531299999999</v>
      </c>
      <c r="E11" s="10">
        <f>D11*(1+Assumption!$E12)</f>
        <v>130.43823333699999</v>
      </c>
      <c r="F11" s="10">
        <f>E11*(1+Assumption!$E12)</f>
        <v>136.82970677051298</v>
      </c>
      <c r="G11" s="10">
        <f>F11*(1+Assumption!$E12)</f>
        <v>143.5343624022681</v>
      </c>
      <c r="H11" s="10">
        <f>G11*(1+Assumption!$E12)</f>
        <v>150.56754615997923</v>
      </c>
      <c r="I11" s="10">
        <f>H11*(1+Assumption!$E12)</f>
        <v>157.94535592181819</v>
      </c>
      <c r="J11" s="10">
        <f>I11*(1+Assumption!$E12)</f>
        <v>165.68467836198727</v>
      </c>
      <c r="K11" s="10">
        <f>J11*(1+Assumption!$E12)</f>
        <v>173.80322760172464</v>
      </c>
    </row>
    <row r="13" spans="1:11" x14ac:dyDescent="0.25">
      <c r="A13" s="3" t="s">
        <v>56</v>
      </c>
    </row>
    <row r="14" spans="1:11" x14ac:dyDescent="0.25">
      <c r="A14" t="s">
        <v>27</v>
      </c>
      <c r="B14" s="10">
        <f>B4*B9</f>
        <v>234000000</v>
      </c>
      <c r="C14" s="10">
        <f t="shared" ref="C14:K14" si="0">C4*C9</f>
        <v>281209499.99999994</v>
      </c>
      <c r="D14" s="10">
        <f t="shared" si="0"/>
        <v>337943516.62499994</v>
      </c>
      <c r="E14" s="10">
        <f t="shared" si="0"/>
        <v>406123621.10409355</v>
      </c>
      <c r="F14" s="10">
        <f t="shared" si="0"/>
        <v>488059061.66184437</v>
      </c>
      <c r="G14" s="10">
        <f t="shared" si="0"/>
        <v>586524977.35212135</v>
      </c>
      <c r="H14" s="10">
        <f t="shared" si="0"/>
        <v>704856391.53291166</v>
      </c>
      <c r="I14" s="10">
        <f t="shared" si="0"/>
        <v>847061168.52467644</v>
      </c>
      <c r="J14" s="10">
        <f t="shared" si="0"/>
        <v>1017955759.2745297</v>
      </c>
      <c r="K14" s="10">
        <f t="shared" si="0"/>
        <v>1223328333.7081659</v>
      </c>
    </row>
    <row r="15" spans="1:11" x14ac:dyDescent="0.25">
      <c r="A15" t="s">
        <v>28</v>
      </c>
      <c r="B15" s="10">
        <f t="shared" ref="B15:K16" si="1">B5*B10</f>
        <v>102000000</v>
      </c>
      <c r="C15" s="10">
        <f t="shared" si="1"/>
        <v>121322880.00000003</v>
      </c>
      <c r="D15" s="10">
        <f t="shared" si="1"/>
        <v>144306286.38720006</v>
      </c>
      <c r="E15" s="10">
        <f t="shared" si="1"/>
        <v>171643669.28039128</v>
      </c>
      <c r="F15" s="10">
        <f t="shared" si="1"/>
        <v>204159845.98886865</v>
      </c>
      <c r="G15" s="10">
        <f t="shared" si="1"/>
        <v>242835887.21299997</v>
      </c>
      <c r="H15" s="10">
        <f t="shared" si="1"/>
        <v>288838717.68663073</v>
      </c>
      <c r="I15" s="10">
        <f t="shared" si="1"/>
        <v>343556324.3651861</v>
      </c>
      <c r="J15" s="10">
        <f t="shared" si="1"/>
        <v>408639634.45292705</v>
      </c>
      <c r="K15" s="10">
        <f t="shared" si="1"/>
        <v>486052326.8036896</v>
      </c>
    </row>
    <row r="16" spans="1:11" x14ac:dyDescent="0.25">
      <c r="A16" t="s">
        <v>29</v>
      </c>
      <c r="B16" s="10">
        <f t="shared" si="1"/>
        <v>192100000</v>
      </c>
      <c r="C16" s="10">
        <f t="shared" si="1"/>
        <v>224686883.49999997</v>
      </c>
      <c r="D16" s="10">
        <f t="shared" si="1"/>
        <v>262801642.98252249</v>
      </c>
      <c r="E16" s="10">
        <f t="shared" si="1"/>
        <v>307381999.68986267</v>
      </c>
      <c r="F16" s="10">
        <f t="shared" si="1"/>
        <v>359524745.20725244</v>
      </c>
      <c r="G16" s="10">
        <f t="shared" si="1"/>
        <v>420512725.36048472</v>
      </c>
      <c r="H16" s="10">
        <f t="shared" si="1"/>
        <v>491846401.52701044</v>
      </c>
      <c r="I16" s="10">
        <f t="shared" si="1"/>
        <v>575280765.85004485</v>
      </c>
      <c r="J16" s="10">
        <f t="shared" si="1"/>
        <v>672868518.5650171</v>
      </c>
      <c r="K16" s="10">
        <f t="shared" si="1"/>
        <v>787010569.71179378</v>
      </c>
    </row>
    <row r="17" spans="1:11" x14ac:dyDescent="0.25">
      <c r="A17" s="3" t="s">
        <v>57</v>
      </c>
      <c r="B17" s="11">
        <f>SUM(B14:B16)</f>
        <v>528100000</v>
      </c>
      <c r="C17" s="11">
        <f t="shared" ref="C17:K17" si="2">SUM(C14:C16)</f>
        <v>627219263.5</v>
      </c>
      <c r="D17" s="11">
        <f t="shared" si="2"/>
        <v>745051445.99472249</v>
      </c>
      <c r="E17" s="11">
        <f t="shared" si="2"/>
        <v>885149290.0743475</v>
      </c>
      <c r="F17" s="11">
        <f t="shared" si="2"/>
        <v>1051743652.8579655</v>
      </c>
      <c r="G17" s="11">
        <f t="shared" si="2"/>
        <v>1249873589.925606</v>
      </c>
      <c r="H17" s="11">
        <f t="shared" si="2"/>
        <v>1485541510.7465529</v>
      </c>
      <c r="I17" s="11">
        <f t="shared" si="2"/>
        <v>1765898258.7399073</v>
      </c>
      <c r="J17" s="11">
        <f t="shared" si="2"/>
        <v>2099463912.2924738</v>
      </c>
      <c r="K17" s="11">
        <f t="shared" si="2"/>
        <v>2496391230.2236495</v>
      </c>
    </row>
    <row r="19" spans="1:11" x14ac:dyDescent="0.25">
      <c r="A19" s="3" t="s">
        <v>59</v>
      </c>
    </row>
    <row r="20" spans="1:11" x14ac:dyDescent="0.25">
      <c r="A20" t="s">
        <v>33</v>
      </c>
      <c r="B20" s="10">
        <f>Assumption!B16</f>
        <v>45480000</v>
      </c>
      <c r="C20" s="10">
        <f>B20*(1+Assumption!$C16)</f>
        <v>47754000</v>
      </c>
      <c r="D20" s="10">
        <f>C20*(1+Assumption!$C16)</f>
        <v>50141700</v>
      </c>
      <c r="E20" s="10">
        <f>D20*(1+Assumption!$C16)</f>
        <v>52648785</v>
      </c>
      <c r="F20" s="10">
        <f>E20*(1+Assumption!$C16)</f>
        <v>55281224.25</v>
      </c>
      <c r="G20" s="10">
        <f>F20*(1+Assumption!$C16)</f>
        <v>58045285.462500006</v>
      </c>
      <c r="H20" s="10">
        <f>G20*(1+Assumption!$C16)</f>
        <v>60947549.735625006</v>
      </c>
      <c r="I20" s="10">
        <f>H20*(1+Assumption!$C16)</f>
        <v>63994927.222406261</v>
      </c>
      <c r="J20" s="10">
        <f>I20*(1+Assumption!$C16)</f>
        <v>67194673.583526582</v>
      </c>
      <c r="K20" s="10">
        <f>J20*(1+Assumption!$C16)</f>
        <v>70554407.262702912</v>
      </c>
    </row>
    <row r="21" spans="1:11" x14ac:dyDescent="0.25">
      <c r="A21" t="s">
        <v>34</v>
      </c>
      <c r="B21" s="10">
        <f>Assumption!B17</f>
        <v>70000000</v>
      </c>
      <c r="C21" s="10">
        <f>B21*(1+Assumption!$C17)</f>
        <v>72975000</v>
      </c>
      <c r="D21" s="10">
        <f>C21*(1+Assumption!$C17)</f>
        <v>76076437.5</v>
      </c>
      <c r="E21" s="10">
        <f>D21*(1+Assumption!$C17)</f>
        <v>79309686.09375</v>
      </c>
      <c r="F21" s="10">
        <f>E21*(1+Assumption!$C17)</f>
        <v>82680347.752734378</v>
      </c>
      <c r="G21" s="10">
        <f>F21*(1+Assumption!$C17)</f>
        <v>86194262.532225594</v>
      </c>
      <c r="H21" s="10">
        <f>G21*(1+Assumption!$C17)</f>
        <v>89857518.689845175</v>
      </c>
      <c r="I21" s="10">
        <f>H21*(1+Assumption!$C17)</f>
        <v>93676463.234163597</v>
      </c>
      <c r="J21" s="10">
        <f>I21*(1+Assumption!$C17)</f>
        <v>97657712.921615556</v>
      </c>
      <c r="K21" s="10">
        <f>J21*(1+Assumption!$C17)</f>
        <v>101808165.72078422</v>
      </c>
    </row>
    <row r="22" spans="1:11" x14ac:dyDescent="0.25">
      <c r="A22" s="3" t="s">
        <v>60</v>
      </c>
      <c r="B22" s="10">
        <f>SUM(B20:B21)</f>
        <v>115480000</v>
      </c>
      <c r="C22" s="10">
        <f t="shared" ref="C22:K22" si="3">SUM(C20:C21)</f>
        <v>120729000</v>
      </c>
      <c r="D22" s="10">
        <f t="shared" si="3"/>
        <v>126218137.5</v>
      </c>
      <c r="E22" s="10">
        <f t="shared" si="3"/>
        <v>131958471.09375</v>
      </c>
      <c r="F22" s="10">
        <f t="shared" si="3"/>
        <v>137961572.00273436</v>
      </c>
      <c r="G22" s="10">
        <f t="shared" si="3"/>
        <v>144239547.99472558</v>
      </c>
      <c r="H22" s="10">
        <f t="shared" si="3"/>
        <v>150805068.42547017</v>
      </c>
      <c r="I22" s="10">
        <f t="shared" si="3"/>
        <v>157671390.45656985</v>
      </c>
      <c r="J22" s="10">
        <f t="shared" si="3"/>
        <v>164852386.50514215</v>
      </c>
      <c r="K22" s="10">
        <f t="shared" si="3"/>
        <v>172362572.98348713</v>
      </c>
    </row>
    <row r="24" spans="1:11" x14ac:dyDescent="0.25">
      <c r="A24" s="3" t="s">
        <v>61</v>
      </c>
      <c r="B24" s="11">
        <f>Assumption!$B$2/Assumption!$B$5</f>
        <v>272413793.10000002</v>
      </c>
      <c r="C24" s="11">
        <f>Assumption!$B$2/Assumption!$B$5</f>
        <v>272413793.10000002</v>
      </c>
      <c r="D24" s="11">
        <f>Assumption!$B$2/Assumption!$B$5</f>
        <v>272413793.10000002</v>
      </c>
      <c r="E24" s="11">
        <f>Assumption!$B$2/Assumption!$B$5</f>
        <v>272413793.10000002</v>
      </c>
      <c r="F24" s="11">
        <f>Assumption!$B$2/Assumption!$B$5</f>
        <v>272413793.10000002</v>
      </c>
      <c r="G24" s="11">
        <f>Assumption!$B$2/Assumption!$B$5</f>
        <v>272413793.10000002</v>
      </c>
      <c r="H24" s="11">
        <f>Assumption!$B$2/Assumption!$B$5</f>
        <v>272413793.10000002</v>
      </c>
      <c r="I24" s="11">
        <f>Assumption!$B$2/Assumption!$B$5</f>
        <v>272413793.10000002</v>
      </c>
      <c r="J24" s="11">
        <f>Assumption!$B$2/Assumption!$B$5</f>
        <v>272413793.10000002</v>
      </c>
      <c r="K24" s="11">
        <f>Assumption!$B$2/Assumption!$B$5</f>
        <v>272413793.10000002</v>
      </c>
    </row>
    <row r="26" spans="1:11" x14ac:dyDescent="0.25">
      <c r="A26" s="3" t="s">
        <v>63</v>
      </c>
    </row>
    <row r="27" spans="1:11" x14ac:dyDescent="0.25">
      <c r="A27" t="s">
        <v>39</v>
      </c>
      <c r="B27" s="10">
        <f>Assumption!$B21*Assumption!$D21</f>
        <v>86264367.814999998</v>
      </c>
      <c r="C27" s="10">
        <f>Assumption!$B21*Assumption!$D21</f>
        <v>86264367.814999998</v>
      </c>
      <c r="D27" s="10">
        <f>Assumption!$B21*Assumption!$D21</f>
        <v>86264367.814999998</v>
      </c>
      <c r="E27" s="10">
        <f>Assumption!$B21*Assumption!$D21</f>
        <v>86264367.814999998</v>
      </c>
      <c r="F27" s="10">
        <f>Assumption!$B21*Assumption!$D21</f>
        <v>86264367.814999998</v>
      </c>
      <c r="G27" s="10">
        <f>Assumption!$B21*Assumption!$D21</f>
        <v>86264367.814999998</v>
      </c>
      <c r="H27" s="10">
        <f>Assumption!$B21*Assumption!$D21</f>
        <v>86264367.814999998</v>
      </c>
      <c r="I27" s="10">
        <f>Assumption!$B21*Assumption!$D21</f>
        <v>86264367.814999998</v>
      </c>
      <c r="J27" s="10">
        <f>Assumption!$B21*Assumption!$D21</f>
        <v>86264367.814999998</v>
      </c>
      <c r="K27" s="10">
        <f>Assumption!$B21*Assumption!$D21</f>
        <v>86264367.814999998</v>
      </c>
    </row>
    <row r="28" spans="1:11" x14ac:dyDescent="0.25">
      <c r="A28" t="s">
        <v>40</v>
      </c>
      <c r="B28" s="10">
        <f>Assumption!$B22*Assumption!$D22</f>
        <v>188873563.21599999</v>
      </c>
      <c r="C28" s="10">
        <f>Assumption!$B22*Assumption!$D22</f>
        <v>188873563.21599999</v>
      </c>
      <c r="D28" s="10">
        <f>Assumption!$B22*Assumption!$D22</f>
        <v>188873563.21599999</v>
      </c>
      <c r="E28" s="10">
        <f>Assumption!$B22*Assumption!$D22</f>
        <v>188873563.21599999</v>
      </c>
      <c r="F28" s="10">
        <f>Assumption!$B22*Assumption!$D22</f>
        <v>188873563.21599999</v>
      </c>
      <c r="G28" s="10">
        <f>Assumption!$B22*Assumption!$D22</f>
        <v>188873563.21599999</v>
      </c>
      <c r="H28" s="10">
        <f>Assumption!$B22*Assumption!$D22</f>
        <v>188873563.21599999</v>
      </c>
      <c r="I28" s="10">
        <f>Assumption!$B22*Assumption!$D22</f>
        <v>188873563.21599999</v>
      </c>
      <c r="J28" s="10">
        <f>Assumption!$B22*Assumption!$D22</f>
        <v>188873563.21599999</v>
      </c>
      <c r="K28" s="10">
        <f>Assumption!$B22*Assumption!$D22</f>
        <v>188873563.21599999</v>
      </c>
    </row>
    <row r="29" spans="1:11" x14ac:dyDescent="0.25">
      <c r="A29" s="3" t="s">
        <v>64</v>
      </c>
      <c r="B29" s="11">
        <f>SUM(B27:B28)</f>
        <v>275137931.03100002</v>
      </c>
      <c r="C29" s="11">
        <f t="shared" ref="C29:K29" si="4">SUM(C27:C28)</f>
        <v>275137931.03100002</v>
      </c>
      <c r="D29" s="11">
        <f t="shared" si="4"/>
        <v>275137931.03100002</v>
      </c>
      <c r="E29" s="11">
        <f t="shared" si="4"/>
        <v>275137931.03100002</v>
      </c>
      <c r="F29" s="11">
        <f t="shared" si="4"/>
        <v>275137931.03100002</v>
      </c>
      <c r="G29" s="11">
        <f t="shared" si="4"/>
        <v>275137931.03100002</v>
      </c>
      <c r="H29" s="11">
        <f t="shared" si="4"/>
        <v>275137931.03100002</v>
      </c>
      <c r="I29" s="11">
        <f t="shared" si="4"/>
        <v>275137931.03100002</v>
      </c>
      <c r="J29" s="11">
        <f t="shared" si="4"/>
        <v>275137931.03100002</v>
      </c>
      <c r="K29" s="11">
        <f t="shared" si="4"/>
        <v>275137931.03100002</v>
      </c>
    </row>
    <row r="31" spans="1:11" x14ac:dyDescent="0.25">
      <c r="A31" s="3" t="s">
        <v>65</v>
      </c>
    </row>
    <row r="32" spans="1:11" x14ac:dyDescent="0.25">
      <c r="A32" t="s">
        <v>39</v>
      </c>
      <c r="B32" s="10">
        <v>0</v>
      </c>
      <c r="C32" s="10">
        <v>0</v>
      </c>
      <c r="D32" s="10">
        <v>0</v>
      </c>
      <c r="E32" s="10">
        <v>0</v>
      </c>
      <c r="F32" s="10">
        <v>0</v>
      </c>
      <c r="G32" s="10">
        <v>0</v>
      </c>
      <c r="H32" s="10">
        <v>0</v>
      </c>
      <c r="I32" s="10">
        <v>0</v>
      </c>
      <c r="J32" s="10">
        <v>0</v>
      </c>
      <c r="K32" s="10">
        <f>Assumption!B21</f>
        <v>908045977</v>
      </c>
    </row>
    <row r="33" spans="1:11" x14ac:dyDescent="0.25">
      <c r="A33" t="s">
        <v>40</v>
      </c>
      <c r="B33" s="10">
        <v>0</v>
      </c>
      <c r="C33" s="10">
        <v>0</v>
      </c>
      <c r="D33" s="10">
        <v>0</v>
      </c>
      <c r="E33" s="10">
        <v>0</v>
      </c>
      <c r="F33" s="10">
        <v>0</v>
      </c>
      <c r="G33" s="10">
        <v>0</v>
      </c>
      <c r="H33" s="10">
        <v>0</v>
      </c>
      <c r="I33" s="10">
        <v>0</v>
      </c>
      <c r="J33" s="10">
        <v>0</v>
      </c>
      <c r="K33" s="10">
        <f>Assumption!B22</f>
        <v>1816091954</v>
      </c>
    </row>
    <row r="34" spans="1:11" x14ac:dyDescent="0.25">
      <c r="A34" s="3" t="s">
        <v>66</v>
      </c>
      <c r="B34" s="10">
        <f>SUM(B32:B33)</f>
        <v>0</v>
      </c>
      <c r="C34" s="10">
        <f t="shared" ref="C34:K34" si="5">SUM(C32:C33)</f>
        <v>0</v>
      </c>
      <c r="D34" s="10">
        <f t="shared" si="5"/>
        <v>0</v>
      </c>
      <c r="E34" s="10">
        <f t="shared" si="5"/>
        <v>0</v>
      </c>
      <c r="F34" s="10">
        <f t="shared" si="5"/>
        <v>0</v>
      </c>
      <c r="G34" s="10">
        <f t="shared" si="5"/>
        <v>0</v>
      </c>
      <c r="H34" s="10">
        <f t="shared" si="5"/>
        <v>0</v>
      </c>
      <c r="I34" s="10">
        <f t="shared" si="5"/>
        <v>0</v>
      </c>
      <c r="J34" s="10">
        <f t="shared" si="5"/>
        <v>0</v>
      </c>
      <c r="K34" s="10">
        <f t="shared" si="5"/>
        <v>2724137931</v>
      </c>
    </row>
    <row r="36" spans="1:11" x14ac:dyDescent="0.25">
      <c r="A36" s="42" t="s">
        <v>98</v>
      </c>
      <c r="B36" s="42"/>
    </row>
    <row r="38" spans="1:11" x14ac:dyDescent="0.25">
      <c r="A38" s="3" t="s">
        <v>96</v>
      </c>
    </row>
    <row r="39" spans="1:11" x14ac:dyDescent="0.25">
      <c r="A39" t="s">
        <v>97</v>
      </c>
      <c r="B39" s="10">
        <f>B14*Assumption!$F$10</f>
        <v>46800000</v>
      </c>
      <c r="C39" s="10">
        <f>C14*Assumption!$F$10</f>
        <v>56241899.999999993</v>
      </c>
      <c r="D39" s="10">
        <f>D14*Assumption!$F$10</f>
        <v>67588703.324999988</v>
      </c>
      <c r="E39" s="10">
        <f>E14*Assumption!$F$10</f>
        <v>81224724.220818713</v>
      </c>
      <c r="F39" s="10">
        <f>F14*Assumption!$F$10</f>
        <v>97611812.332368881</v>
      </c>
      <c r="G39" s="10">
        <f>G14*Assumption!$F$10</f>
        <v>117304995.47042428</v>
      </c>
      <c r="H39" s="10">
        <f>H14*Assumption!$F$10</f>
        <v>140971278.30658233</v>
      </c>
      <c r="I39" s="10">
        <f>I14*Assumption!$F$10</f>
        <v>169412233.70493531</v>
      </c>
      <c r="J39" s="10">
        <f>J14*Assumption!$F$10</f>
        <v>203591151.85490596</v>
      </c>
      <c r="K39" s="10">
        <f>K14*Assumption!$F$10</f>
        <v>244665666.74163318</v>
      </c>
    </row>
    <row r="40" spans="1:11" x14ac:dyDescent="0.25">
      <c r="A40" s="3" t="s">
        <v>99</v>
      </c>
      <c r="B40" s="10">
        <f>B39/12</f>
        <v>3900000</v>
      </c>
      <c r="C40" s="10">
        <f t="shared" ref="C40:K40" si="6">C39/12</f>
        <v>4686824.9999999991</v>
      </c>
      <c r="D40" s="10">
        <f t="shared" si="6"/>
        <v>5632391.9437499987</v>
      </c>
      <c r="E40" s="10">
        <f t="shared" si="6"/>
        <v>6768727.0184015594</v>
      </c>
      <c r="F40" s="10">
        <f t="shared" si="6"/>
        <v>8134317.6943640737</v>
      </c>
      <c r="G40" s="10">
        <f t="shared" si="6"/>
        <v>9775416.2892020233</v>
      </c>
      <c r="H40" s="10">
        <f t="shared" si="6"/>
        <v>11747606.525548527</v>
      </c>
      <c r="I40" s="10">
        <f t="shared" si="6"/>
        <v>14117686.142077943</v>
      </c>
      <c r="J40" s="10">
        <f t="shared" si="6"/>
        <v>16965929.321242165</v>
      </c>
      <c r="K40" s="10">
        <f t="shared" si="6"/>
        <v>20388805.561802763</v>
      </c>
    </row>
    <row r="42" spans="1:11" x14ac:dyDescent="0.25">
      <c r="A42" s="3" t="s">
        <v>102</v>
      </c>
    </row>
    <row r="43" spans="1:11" x14ac:dyDescent="0.25">
      <c r="A43" t="s">
        <v>103</v>
      </c>
      <c r="B43" s="10">
        <f>B20/12</f>
        <v>3790000</v>
      </c>
      <c r="C43" s="10">
        <f t="shared" ref="C43:K43" si="7">C20/12</f>
        <v>3979500</v>
      </c>
      <c r="D43" s="10">
        <f t="shared" si="7"/>
        <v>4178475</v>
      </c>
      <c r="E43" s="10">
        <f t="shared" si="7"/>
        <v>4387398.75</v>
      </c>
      <c r="F43" s="10">
        <f t="shared" si="7"/>
        <v>4606768.6875</v>
      </c>
      <c r="G43" s="10">
        <f t="shared" si="7"/>
        <v>4837107.1218750002</v>
      </c>
      <c r="H43" s="10">
        <f t="shared" si="7"/>
        <v>5078962.4779687505</v>
      </c>
      <c r="I43" s="10">
        <f t="shared" si="7"/>
        <v>5332910.6018671887</v>
      </c>
      <c r="J43" s="10">
        <f t="shared" si="7"/>
        <v>5599556.1319605485</v>
      </c>
      <c r="K43" s="10">
        <f t="shared" si="7"/>
        <v>5879533.9385585757</v>
      </c>
    </row>
    <row r="44" spans="1:11" x14ac:dyDescent="0.25">
      <c r="A44" t="s">
        <v>34</v>
      </c>
      <c r="B44" s="10">
        <f>B21/6</f>
        <v>11666666.666666666</v>
      </c>
      <c r="C44" s="10">
        <f t="shared" ref="C44:K44" si="8">C21/6</f>
        <v>12162500</v>
      </c>
      <c r="D44" s="10">
        <f t="shared" si="8"/>
        <v>12679406.25</v>
      </c>
      <c r="E44" s="10">
        <f t="shared" si="8"/>
        <v>13218281.015625</v>
      </c>
      <c r="F44" s="10">
        <f t="shared" si="8"/>
        <v>13780057.958789064</v>
      </c>
      <c r="G44" s="10">
        <f t="shared" si="8"/>
        <v>14365710.4220376</v>
      </c>
      <c r="H44" s="10">
        <f t="shared" si="8"/>
        <v>14976253.114974195</v>
      </c>
      <c r="I44" s="10">
        <f t="shared" si="8"/>
        <v>15612743.8723606</v>
      </c>
      <c r="J44" s="10">
        <f t="shared" si="8"/>
        <v>16276285.486935927</v>
      </c>
      <c r="K44" s="10">
        <f t="shared" si="8"/>
        <v>16968027.620130703</v>
      </c>
    </row>
    <row r="45" spans="1:11" x14ac:dyDescent="0.25">
      <c r="A45" s="3" t="s">
        <v>108</v>
      </c>
      <c r="B45" s="10">
        <f>SUM(B43:B44)</f>
        <v>15456666.666666666</v>
      </c>
      <c r="C45" s="10">
        <f t="shared" ref="C45:K45" si="9">SUM(C43:C44)</f>
        <v>16142000</v>
      </c>
      <c r="D45" s="10">
        <f t="shared" si="9"/>
        <v>16857881.25</v>
      </c>
      <c r="E45" s="10">
        <f t="shared" si="9"/>
        <v>17605679.765625</v>
      </c>
      <c r="F45" s="10">
        <f t="shared" si="9"/>
        <v>18386826.646289065</v>
      </c>
      <c r="G45" s="10">
        <f t="shared" si="9"/>
        <v>19202817.543912601</v>
      </c>
      <c r="H45" s="10">
        <f t="shared" si="9"/>
        <v>20055215.592942946</v>
      </c>
      <c r="I45" s="10">
        <f t="shared" si="9"/>
        <v>20945654.47422779</v>
      </c>
      <c r="J45" s="10">
        <f t="shared" si="9"/>
        <v>21875841.618896477</v>
      </c>
      <c r="K45" s="10">
        <f t="shared" si="9"/>
        <v>22847561.558689278</v>
      </c>
    </row>
  </sheetData>
  <mergeCells count="1">
    <mergeCell ref="A36:B36"/>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F165C-0DDF-4D14-9957-E3FBE8FDCEE6}">
  <sheetPr>
    <tabColor rgb="FF002060"/>
  </sheetPr>
  <dimension ref="B1:L14"/>
  <sheetViews>
    <sheetView showGridLines="0" workbookViewId="0">
      <selection activeCell="E17" sqref="E17"/>
    </sheetView>
  </sheetViews>
  <sheetFormatPr defaultRowHeight="15" x14ac:dyDescent="0.25"/>
  <cols>
    <col min="1" max="1" width="2.28515625" customWidth="1"/>
    <col min="2" max="2" width="31.5703125" customWidth="1"/>
    <col min="3" max="12" width="14.28515625" customWidth="1"/>
  </cols>
  <sheetData>
    <row r="1" spans="2:12" ht="20.25" thickBot="1" x14ac:dyDescent="0.35">
      <c r="B1" s="12" t="s">
        <v>67</v>
      </c>
    </row>
    <row r="2" spans="2:12" ht="15.75" thickTop="1" x14ac:dyDescent="0.25"/>
    <row r="3" spans="2:12" x14ac:dyDescent="0.25">
      <c r="C3" s="40" t="s">
        <v>23</v>
      </c>
      <c r="D3" s="40"/>
      <c r="E3" s="40"/>
      <c r="F3" s="40"/>
      <c r="G3" s="40"/>
      <c r="H3" s="40"/>
      <c r="I3" s="40"/>
      <c r="J3" s="40"/>
      <c r="K3" s="40"/>
      <c r="L3" s="40"/>
    </row>
    <row r="4" spans="2:12" x14ac:dyDescent="0.25">
      <c r="B4" s="1"/>
      <c r="C4" s="6" t="s">
        <v>45</v>
      </c>
      <c r="D4" s="6" t="s">
        <v>46</v>
      </c>
      <c r="E4" s="6" t="s">
        <v>47</v>
      </c>
      <c r="F4" s="6" t="s">
        <v>48</v>
      </c>
      <c r="G4" s="6" t="s">
        <v>49</v>
      </c>
      <c r="H4" s="6" t="s">
        <v>50</v>
      </c>
      <c r="I4" s="6" t="s">
        <v>51</v>
      </c>
      <c r="J4" s="6" t="s">
        <v>52</v>
      </c>
      <c r="K4" s="6" t="s">
        <v>53</v>
      </c>
      <c r="L4" s="6" t="s">
        <v>54</v>
      </c>
    </row>
    <row r="5" spans="2:12" x14ac:dyDescent="0.25">
      <c r="B5" t="s">
        <v>68</v>
      </c>
      <c r="C5" s="10">
        <f>Calculations!B17</f>
        <v>528100000</v>
      </c>
      <c r="D5" s="10">
        <f>Calculations!C17</f>
        <v>627219263.5</v>
      </c>
      <c r="E5" s="10">
        <f>Calculations!D17</f>
        <v>745051445.99472249</v>
      </c>
      <c r="F5" s="10">
        <f>Calculations!E17</f>
        <v>885149290.0743475</v>
      </c>
      <c r="G5" s="10">
        <f>Calculations!F17</f>
        <v>1051743652.8579655</v>
      </c>
      <c r="H5" s="10">
        <f>Calculations!G17</f>
        <v>1249873589.925606</v>
      </c>
      <c r="I5" s="10">
        <f>Calculations!H17</f>
        <v>1485541510.7465529</v>
      </c>
      <c r="J5" s="10">
        <f>Calculations!I17</f>
        <v>1765898258.7399073</v>
      </c>
      <c r="K5" s="10">
        <f>Calculations!J17</f>
        <v>2099463912.2924738</v>
      </c>
      <c r="L5" s="10">
        <f>Calculations!K17</f>
        <v>2496391230.2236495</v>
      </c>
    </row>
    <row r="6" spans="2:12" x14ac:dyDescent="0.25">
      <c r="B6" t="s">
        <v>69</v>
      </c>
      <c r="C6" s="10">
        <f>Calculations!B22</f>
        <v>115480000</v>
      </c>
      <c r="D6" s="10">
        <f>Calculations!C22</f>
        <v>120729000</v>
      </c>
      <c r="E6" s="10">
        <f>Calculations!D22</f>
        <v>126218137.5</v>
      </c>
      <c r="F6" s="10">
        <f>Calculations!E22</f>
        <v>131958471.09375</v>
      </c>
      <c r="G6" s="10">
        <f>Calculations!F22</f>
        <v>137961572.00273436</v>
      </c>
      <c r="H6" s="10">
        <f>Calculations!G22</f>
        <v>144239547.99472558</v>
      </c>
      <c r="I6" s="10">
        <f>Calculations!H22</f>
        <v>150805068.42547017</v>
      </c>
      <c r="J6" s="10">
        <f>Calculations!I22</f>
        <v>157671390.45656985</v>
      </c>
      <c r="K6" s="10">
        <f>Calculations!J22</f>
        <v>164852386.50514215</v>
      </c>
      <c r="L6" s="10">
        <f>Calculations!K22</f>
        <v>172362572.98348713</v>
      </c>
    </row>
    <row r="7" spans="2:12" x14ac:dyDescent="0.25">
      <c r="B7" s="15" t="s">
        <v>70</v>
      </c>
      <c r="C7" s="14">
        <f>C5-C6</f>
        <v>412620000</v>
      </c>
      <c r="D7" s="14">
        <f t="shared" ref="D7:L7" si="0">D5-D6</f>
        <v>506490263.5</v>
      </c>
      <c r="E7" s="14">
        <f t="shared" si="0"/>
        <v>618833308.49472249</v>
      </c>
      <c r="F7" s="14">
        <f t="shared" si="0"/>
        <v>753190818.9805975</v>
      </c>
      <c r="G7" s="14">
        <f t="shared" si="0"/>
        <v>913782080.85523105</v>
      </c>
      <c r="H7" s="14">
        <f t="shared" si="0"/>
        <v>1105634041.9308805</v>
      </c>
      <c r="I7" s="14">
        <f t="shared" si="0"/>
        <v>1334736442.3210828</v>
      </c>
      <c r="J7" s="14">
        <f t="shared" si="0"/>
        <v>1608226868.2833374</v>
      </c>
      <c r="K7" s="14">
        <f t="shared" si="0"/>
        <v>1934611525.7873316</v>
      </c>
      <c r="L7" s="14">
        <f t="shared" si="0"/>
        <v>2324028657.2401624</v>
      </c>
    </row>
    <row r="8" spans="2:12" x14ac:dyDescent="0.25">
      <c r="B8" t="s">
        <v>71</v>
      </c>
      <c r="C8" s="10">
        <f>Calculations!B24</f>
        <v>272413793.10000002</v>
      </c>
      <c r="D8" s="10">
        <f>Calculations!C24</f>
        <v>272413793.10000002</v>
      </c>
      <c r="E8" s="10">
        <f>Calculations!D24</f>
        <v>272413793.10000002</v>
      </c>
      <c r="F8" s="10">
        <f>Calculations!E24</f>
        <v>272413793.10000002</v>
      </c>
      <c r="G8" s="10">
        <f>Calculations!F24</f>
        <v>272413793.10000002</v>
      </c>
      <c r="H8" s="10">
        <f>Calculations!G24</f>
        <v>272413793.10000002</v>
      </c>
      <c r="I8" s="10">
        <f>Calculations!H24</f>
        <v>272413793.10000002</v>
      </c>
      <c r="J8" s="10">
        <f>Calculations!I24</f>
        <v>272413793.10000002</v>
      </c>
      <c r="K8" s="10">
        <f>Calculations!J24</f>
        <v>272413793.10000002</v>
      </c>
      <c r="L8" s="10">
        <f>Calculations!K24</f>
        <v>272413793.10000002</v>
      </c>
    </row>
    <row r="9" spans="2:12" x14ac:dyDescent="0.25">
      <c r="B9" s="15" t="s">
        <v>72</v>
      </c>
      <c r="C9" s="14">
        <f>C7-C8</f>
        <v>140206206.89999998</v>
      </c>
      <c r="D9" s="14">
        <f t="shared" ref="D9:L9" si="1">D7-D8</f>
        <v>234076470.39999998</v>
      </c>
      <c r="E9" s="14">
        <f t="shared" si="1"/>
        <v>346419515.39472246</v>
      </c>
      <c r="F9" s="14">
        <f t="shared" si="1"/>
        <v>480777025.88059747</v>
      </c>
      <c r="G9" s="14">
        <f t="shared" si="1"/>
        <v>641368287.75523102</v>
      </c>
      <c r="H9" s="14">
        <f t="shared" si="1"/>
        <v>833220248.83088052</v>
      </c>
      <c r="I9" s="14">
        <f t="shared" si="1"/>
        <v>1062322649.2210828</v>
      </c>
      <c r="J9" s="14">
        <f t="shared" si="1"/>
        <v>1335813075.1833372</v>
      </c>
      <c r="K9" s="14">
        <f t="shared" si="1"/>
        <v>1662197732.6873317</v>
      </c>
      <c r="L9" s="14">
        <f t="shared" si="1"/>
        <v>2051614864.1401625</v>
      </c>
    </row>
    <row r="10" spans="2:12" x14ac:dyDescent="0.25">
      <c r="B10" t="s">
        <v>73</v>
      </c>
      <c r="C10" s="10">
        <f>Calculations!B29</f>
        <v>275137931.03100002</v>
      </c>
      <c r="D10" s="10">
        <f>Calculations!C29</f>
        <v>275137931.03100002</v>
      </c>
      <c r="E10" s="10">
        <f>Calculations!D29</f>
        <v>275137931.03100002</v>
      </c>
      <c r="F10" s="10">
        <f>Calculations!E29</f>
        <v>275137931.03100002</v>
      </c>
      <c r="G10" s="10">
        <f>Calculations!F29</f>
        <v>275137931.03100002</v>
      </c>
      <c r="H10" s="10">
        <f>Calculations!G29</f>
        <v>275137931.03100002</v>
      </c>
      <c r="I10" s="10">
        <f>Calculations!H29</f>
        <v>275137931.03100002</v>
      </c>
      <c r="J10" s="10">
        <f>Calculations!I29</f>
        <v>275137931.03100002</v>
      </c>
      <c r="K10" s="10">
        <f>Calculations!J29</f>
        <v>275137931.03100002</v>
      </c>
      <c r="L10" s="10">
        <f>Calculations!K29</f>
        <v>275137931.03100002</v>
      </c>
    </row>
    <row r="11" spans="2:12" x14ac:dyDescent="0.25">
      <c r="B11" s="15" t="s">
        <v>74</v>
      </c>
      <c r="C11" s="14">
        <f>C9-C10</f>
        <v>-134931724.13100004</v>
      </c>
      <c r="D11" s="14">
        <f t="shared" ref="D11:L11" si="2">D9-D10</f>
        <v>-41061460.631000042</v>
      </c>
      <c r="E11" s="14">
        <f t="shared" si="2"/>
        <v>71281584.363722444</v>
      </c>
      <c r="F11" s="14">
        <f t="shared" si="2"/>
        <v>205639094.84959745</v>
      </c>
      <c r="G11" s="14">
        <f t="shared" si="2"/>
        <v>366230356.724231</v>
      </c>
      <c r="H11" s="14">
        <f t="shared" si="2"/>
        <v>558082317.7998805</v>
      </c>
      <c r="I11" s="14">
        <f t="shared" si="2"/>
        <v>787184718.19008279</v>
      </c>
      <c r="J11" s="14">
        <f t="shared" si="2"/>
        <v>1060675144.1523372</v>
      </c>
      <c r="K11" s="14">
        <f t="shared" si="2"/>
        <v>1387059801.6563315</v>
      </c>
      <c r="L11" s="14">
        <f t="shared" si="2"/>
        <v>1776476933.1091623</v>
      </c>
    </row>
    <row r="12" spans="2:12" x14ac:dyDescent="0.25">
      <c r="B12" t="s">
        <v>78</v>
      </c>
      <c r="C12" s="10">
        <f>IF(C11&gt;0,C11*Assumption!$B$24,0)</f>
        <v>0</v>
      </c>
      <c r="D12" s="10">
        <f>IF(D11&gt;0,D11*Assumption!$B$24,0)</f>
        <v>0</v>
      </c>
      <c r="E12" s="10">
        <f>IF(E11&gt;0,E11*Assumption!$B$24,0)</f>
        <v>18889619.856386449</v>
      </c>
      <c r="F12" s="10">
        <f>IF(F11&gt;0,F11*Assumption!$B$24,0)</f>
        <v>54494360.135143325</v>
      </c>
      <c r="G12" s="10">
        <f>IF(G11&gt;0,G11*Assumption!$B$24,0)</f>
        <v>97051044.531921223</v>
      </c>
      <c r="H12" s="10">
        <f>IF(H11&gt;0,H11*Assumption!$B$24,0)</f>
        <v>147891814.21696833</v>
      </c>
      <c r="I12" s="10">
        <f>IF(I11&gt;0,I11*Assumption!$B$24,0)</f>
        <v>208603950.32037196</v>
      </c>
      <c r="J12" s="10">
        <f>IF(J11&gt;0,J11*Assumption!$B$24,0)</f>
        <v>281078913.20036936</v>
      </c>
      <c r="K12" s="10">
        <f>IF(K11&gt;0,K11*Assumption!$B$24,0)</f>
        <v>367570847.43892789</v>
      </c>
      <c r="L12" s="10">
        <f>IF(L11&gt;0,L11*Assumption!$B$24,0)</f>
        <v>470766387.27392805</v>
      </c>
    </row>
    <row r="13" spans="2:12" ht="15.75" thickBot="1" x14ac:dyDescent="0.3">
      <c r="B13" s="16" t="s">
        <v>75</v>
      </c>
      <c r="C13" s="17">
        <f>C11-C12</f>
        <v>-134931724.13100004</v>
      </c>
      <c r="D13" s="17">
        <f t="shared" ref="D13:L13" si="3">D11-D12</f>
        <v>-41061460.631000042</v>
      </c>
      <c r="E13" s="17">
        <f t="shared" si="3"/>
        <v>52391964.507335991</v>
      </c>
      <c r="F13" s="17">
        <f t="shared" si="3"/>
        <v>151144734.71445411</v>
      </c>
      <c r="G13" s="17">
        <f t="shared" si="3"/>
        <v>269179312.1923098</v>
      </c>
      <c r="H13" s="17">
        <f t="shared" si="3"/>
        <v>410190503.58291221</v>
      </c>
      <c r="I13" s="17">
        <f t="shared" si="3"/>
        <v>578580767.8697108</v>
      </c>
      <c r="J13" s="17">
        <f t="shared" si="3"/>
        <v>779596230.95196784</v>
      </c>
      <c r="K13" s="17">
        <f t="shared" si="3"/>
        <v>1019488954.2174037</v>
      </c>
      <c r="L13" s="17">
        <f t="shared" si="3"/>
        <v>1305710545.8352342</v>
      </c>
    </row>
    <row r="14" spans="2:12" ht="15.75" thickTop="1" x14ac:dyDescent="0.25"/>
  </sheetData>
  <mergeCells count="1">
    <mergeCell ref="C3:L3"/>
  </mergeCells>
  <phoneticPr fontId="7" type="noConversion"/>
  <pageMargins left="0.7" right="0.7" top="0.75" bottom="0.75" header="0.3" footer="0.3"/>
  <ignoredErrors>
    <ignoredError sqref="C8:L1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A8129-3C44-43D5-97D5-769C7D82D1A8}">
  <sheetPr>
    <tabColor rgb="FF002060"/>
  </sheetPr>
  <dimension ref="B1:L12"/>
  <sheetViews>
    <sheetView showGridLines="0" workbookViewId="0">
      <selection activeCell="B18" sqref="B18"/>
    </sheetView>
  </sheetViews>
  <sheetFormatPr defaultRowHeight="15" x14ac:dyDescent="0.25"/>
  <cols>
    <col min="1" max="1" width="2.28515625" customWidth="1"/>
    <col min="2" max="2" width="32.42578125" customWidth="1"/>
    <col min="3" max="12" width="14.28515625" customWidth="1"/>
  </cols>
  <sheetData>
    <row r="1" spans="2:12" ht="20.25" thickBot="1" x14ac:dyDescent="0.35">
      <c r="B1" s="12" t="s">
        <v>76</v>
      </c>
    </row>
    <row r="2" spans="2:12" ht="15.75" thickTop="1" x14ac:dyDescent="0.25"/>
    <row r="3" spans="2:12" x14ac:dyDescent="0.25">
      <c r="C3" s="40" t="s">
        <v>23</v>
      </c>
      <c r="D3" s="40"/>
      <c r="E3" s="40"/>
      <c r="F3" s="40"/>
      <c r="G3" s="40"/>
      <c r="H3" s="40"/>
      <c r="I3" s="40"/>
      <c r="J3" s="40"/>
      <c r="K3" s="40"/>
      <c r="L3" s="40"/>
    </row>
    <row r="4" spans="2:12" x14ac:dyDescent="0.25">
      <c r="B4" s="1"/>
      <c r="C4" s="6" t="s">
        <v>45</v>
      </c>
      <c r="D4" s="6" t="s">
        <v>46</v>
      </c>
      <c r="E4" s="6" t="s">
        <v>47</v>
      </c>
      <c r="F4" s="6" t="s">
        <v>48</v>
      </c>
      <c r="G4" s="6" t="s">
        <v>49</v>
      </c>
      <c r="H4" s="6" t="s">
        <v>50</v>
      </c>
      <c r="I4" s="6" t="s">
        <v>51</v>
      </c>
      <c r="J4" s="6" t="s">
        <v>52</v>
      </c>
      <c r="K4" s="6" t="s">
        <v>53</v>
      </c>
      <c r="L4" s="6" t="s">
        <v>54</v>
      </c>
    </row>
    <row r="5" spans="2:12" x14ac:dyDescent="0.25">
      <c r="B5" s="15" t="s">
        <v>72</v>
      </c>
      <c r="C5" s="14">
        <f>'Profit &amp; Loss Statement'!C9</f>
        <v>140206206.89999998</v>
      </c>
      <c r="D5" s="14">
        <f>'Profit &amp; Loss Statement'!D9</f>
        <v>234076470.39999998</v>
      </c>
      <c r="E5" s="14">
        <f>'Profit &amp; Loss Statement'!E9</f>
        <v>346419515.39472246</v>
      </c>
      <c r="F5" s="14">
        <f>'Profit &amp; Loss Statement'!F9</f>
        <v>480777025.88059747</v>
      </c>
      <c r="G5" s="14">
        <f>'Profit &amp; Loss Statement'!G9</f>
        <v>641368287.75523102</v>
      </c>
      <c r="H5" s="14">
        <f>'Profit &amp; Loss Statement'!H9</f>
        <v>833220248.83088052</v>
      </c>
      <c r="I5" s="14">
        <f>'Profit &amp; Loss Statement'!I9</f>
        <v>1062322649.2210828</v>
      </c>
      <c r="J5" s="14">
        <f>'Profit &amp; Loss Statement'!J9</f>
        <v>1335813075.1833372</v>
      </c>
      <c r="K5" s="14">
        <f>'Profit &amp; Loss Statement'!K9</f>
        <v>1662197732.6873317</v>
      </c>
      <c r="L5" s="14">
        <f>'Profit &amp; Loss Statement'!L9</f>
        <v>2051614864.1401625</v>
      </c>
    </row>
    <row r="6" spans="2:12" ht="15.75" thickBot="1" x14ac:dyDescent="0.3">
      <c r="B6" s="16" t="s">
        <v>122</v>
      </c>
      <c r="C6" s="17">
        <f>C5*(1-Assumption!$B$24)</f>
        <v>103051562.07149997</v>
      </c>
      <c r="D6" s="17">
        <f>D5*(1-Assumption!$B$24)</f>
        <v>172046205.74399999</v>
      </c>
      <c r="E6" s="17">
        <f>E5*(1-Assumption!$B$24)</f>
        <v>254618343.815121</v>
      </c>
      <c r="F6" s="17">
        <f>F5*(1-Assumption!$B$24)</f>
        <v>353371114.02223915</v>
      </c>
      <c r="G6" s="17">
        <f>G5*(1-Assumption!$B$24)</f>
        <v>471405691.50009477</v>
      </c>
      <c r="H6" s="17">
        <f>H5*(1-Assumption!$B$24)</f>
        <v>612416882.89069712</v>
      </c>
      <c r="I6" s="17">
        <f>I5*(1-Assumption!$B$24)</f>
        <v>780807147.17749584</v>
      </c>
      <c r="J6" s="17">
        <f>J5*(1-Assumption!$B$24)</f>
        <v>981822610.25975287</v>
      </c>
      <c r="K6" s="17">
        <f>K5*(1-Assumption!$B$24)</f>
        <v>1221715333.5251887</v>
      </c>
      <c r="L6" s="17">
        <f>L5*(1-Assumption!$B$24)</f>
        <v>1507936925.1430194</v>
      </c>
    </row>
    <row r="7" spans="2:12" ht="15.75" thickTop="1" x14ac:dyDescent="0.25"/>
    <row r="8" spans="2:12" x14ac:dyDescent="0.25">
      <c r="B8" s="3" t="s">
        <v>81</v>
      </c>
      <c r="C8" s="19"/>
      <c r="D8" s="21">
        <f>(D6-C6)/C6</f>
        <v>0.66951574809346082</v>
      </c>
      <c r="E8" s="21">
        <f t="shared" ref="E8:L8" si="0">(E6-D6)/D6</f>
        <v>0.47994163959643532</v>
      </c>
      <c r="F8" s="21">
        <f t="shared" si="0"/>
        <v>0.38784625148148316</v>
      </c>
      <c r="G8" s="21">
        <f t="shared" si="0"/>
        <v>0.33402440888370749</v>
      </c>
      <c r="H8" s="21">
        <f t="shared" si="0"/>
        <v>0.29912916609445306</v>
      </c>
      <c r="I8" s="21">
        <f t="shared" si="0"/>
        <v>0.27496019295217999</v>
      </c>
      <c r="J8" s="21">
        <f t="shared" si="0"/>
        <v>0.25744572627043522</v>
      </c>
      <c r="K8" s="21">
        <f t="shared" si="0"/>
        <v>0.24433407904709928</v>
      </c>
      <c r="L8" s="21">
        <f t="shared" si="0"/>
        <v>0.23427846386437254</v>
      </c>
    </row>
    <row r="10" spans="2:12" x14ac:dyDescent="0.25">
      <c r="B10" s="3" t="s">
        <v>79</v>
      </c>
    </row>
    <row r="11" spans="2:12" x14ac:dyDescent="0.25">
      <c r="B11" t="s">
        <v>80</v>
      </c>
      <c r="C11" s="18">
        <f>C6/Assumption!$B$2</f>
        <v>3.7829054431788967E-2</v>
      </c>
      <c r="D11" s="18">
        <f>D6/Assumption!$B$2</f>
        <v>6.3156202109356407E-2</v>
      </c>
      <c r="E11" s="18">
        <f>E6/Assumption!$B$2</f>
        <v>9.3467493300404769E-2</v>
      </c>
      <c r="F11" s="18">
        <f>F6/Assumption!$B$2</f>
        <v>0.12971851021233738</v>
      </c>
      <c r="G11" s="18">
        <f>G6/Assumption!$B$2</f>
        <v>0.17304765890728857</v>
      </c>
      <c r="H11" s="18">
        <f>H6/Assumption!$B$2</f>
        <v>0.22481126081082314</v>
      </c>
      <c r="I11" s="18">
        <f>I6/Assumption!$B$2</f>
        <v>0.28662540846118995</v>
      </c>
      <c r="J11" s="18">
        <f>J6/Assumption!$B$2</f>
        <v>0.36041589491004111</v>
      </c>
      <c r="K11" s="18">
        <f>K6/Assumption!$B$2</f>
        <v>0.44847778066682215</v>
      </c>
      <c r="L11" s="18">
        <f>L6/Assumption!$B$2</f>
        <v>0.55354646619874825</v>
      </c>
    </row>
    <row r="12" spans="2:12" x14ac:dyDescent="0.25">
      <c r="B12" s="32" t="s">
        <v>123</v>
      </c>
      <c r="C12" s="9"/>
    </row>
  </sheetData>
  <mergeCells count="1">
    <mergeCell ref="C3:L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4FBEB-8CF1-4E0D-84EF-AFC044EBCC1D}">
  <sheetPr>
    <tabColor rgb="FF002060"/>
  </sheetPr>
  <dimension ref="B1:M15"/>
  <sheetViews>
    <sheetView showGridLines="0" workbookViewId="0">
      <selection activeCell="J20" sqref="J20"/>
    </sheetView>
  </sheetViews>
  <sheetFormatPr defaultRowHeight="15" x14ac:dyDescent="0.25"/>
  <cols>
    <col min="1" max="1" width="2" customWidth="1"/>
    <col min="2" max="2" width="34.5703125" customWidth="1"/>
    <col min="3" max="3" width="14.7109375" customWidth="1"/>
    <col min="4" max="13" width="12.85546875" customWidth="1"/>
  </cols>
  <sheetData>
    <row r="1" spans="2:13" ht="20.25" thickBot="1" x14ac:dyDescent="0.35">
      <c r="B1" s="12" t="s">
        <v>113</v>
      </c>
    </row>
    <row r="2" spans="2:13" ht="15.75" thickTop="1" x14ac:dyDescent="0.25"/>
    <row r="3" spans="2:13" x14ac:dyDescent="0.25">
      <c r="C3" s="43" t="s">
        <v>23</v>
      </c>
      <c r="D3" s="43"/>
      <c r="E3" s="43"/>
      <c r="F3" s="43"/>
      <c r="G3" s="43"/>
      <c r="H3" s="43"/>
      <c r="I3" s="43"/>
      <c r="J3" s="43"/>
      <c r="K3" s="43"/>
      <c r="L3" s="43"/>
      <c r="M3" s="43"/>
    </row>
    <row r="4" spans="2:13" x14ac:dyDescent="0.25">
      <c r="B4" s="1"/>
      <c r="C4" s="30" t="s">
        <v>82</v>
      </c>
      <c r="D4" s="30" t="s">
        <v>45</v>
      </c>
      <c r="E4" s="30" t="s">
        <v>46</v>
      </c>
      <c r="F4" s="30" t="s">
        <v>47</v>
      </c>
      <c r="G4" s="30" t="s">
        <v>48</v>
      </c>
      <c r="H4" s="30" t="s">
        <v>49</v>
      </c>
      <c r="I4" s="30" t="s">
        <v>50</v>
      </c>
      <c r="J4" s="30" t="s">
        <v>51</v>
      </c>
      <c r="K4" s="30" t="s">
        <v>52</v>
      </c>
      <c r="L4" s="30" t="s">
        <v>53</v>
      </c>
      <c r="M4" s="30" t="s">
        <v>54</v>
      </c>
    </row>
    <row r="5" spans="2:13" x14ac:dyDescent="0.25">
      <c r="B5" s="3" t="s">
        <v>92</v>
      </c>
    </row>
    <row r="6" spans="2:13" x14ac:dyDescent="0.25">
      <c r="B6" t="s">
        <v>93</v>
      </c>
      <c r="C6" s="10">
        <v>0</v>
      </c>
      <c r="D6" s="10">
        <f>Calculations!B40</f>
        <v>3900000</v>
      </c>
      <c r="E6" s="10">
        <f>Calculations!C40</f>
        <v>4686824.9999999991</v>
      </c>
      <c r="F6" s="10">
        <f>Calculations!D40</f>
        <v>5632391.9437499987</v>
      </c>
      <c r="G6" s="10">
        <f>Calculations!E40</f>
        <v>6768727.0184015594</v>
      </c>
      <c r="H6" s="10">
        <f>Calculations!F40</f>
        <v>8134317.6943640737</v>
      </c>
      <c r="I6" s="10">
        <f>Calculations!G40</f>
        <v>9775416.2892020233</v>
      </c>
      <c r="J6" s="10">
        <f>Calculations!H40</f>
        <v>11747606.525548527</v>
      </c>
      <c r="K6" s="10">
        <f>Calculations!I40</f>
        <v>14117686.142077943</v>
      </c>
      <c r="L6" s="10">
        <f>Calculations!J40</f>
        <v>16965929.321242165</v>
      </c>
      <c r="M6" s="10">
        <v>0</v>
      </c>
    </row>
    <row r="7" spans="2:13" x14ac:dyDescent="0.25">
      <c r="B7" s="15" t="s">
        <v>100</v>
      </c>
      <c r="C7" s="14">
        <v>0</v>
      </c>
      <c r="D7" s="14">
        <f>SUM(D6)</f>
        <v>3900000</v>
      </c>
      <c r="E7" s="14">
        <f t="shared" ref="E7:M7" si="0">SUM(E6)</f>
        <v>4686824.9999999991</v>
      </c>
      <c r="F7" s="14">
        <f t="shared" si="0"/>
        <v>5632391.9437499987</v>
      </c>
      <c r="G7" s="14">
        <f t="shared" si="0"/>
        <v>6768727.0184015594</v>
      </c>
      <c r="H7" s="14">
        <f t="shared" si="0"/>
        <v>8134317.6943640737</v>
      </c>
      <c r="I7" s="14">
        <f t="shared" si="0"/>
        <v>9775416.2892020233</v>
      </c>
      <c r="J7" s="14">
        <f t="shared" si="0"/>
        <v>11747606.525548527</v>
      </c>
      <c r="K7" s="14">
        <f t="shared" si="0"/>
        <v>14117686.142077943</v>
      </c>
      <c r="L7" s="14">
        <f t="shared" si="0"/>
        <v>16965929.321242165</v>
      </c>
      <c r="M7" s="14">
        <f t="shared" si="0"/>
        <v>0</v>
      </c>
    </row>
    <row r="8" spans="2:13" x14ac:dyDescent="0.25">
      <c r="C8" s="10"/>
    </row>
    <row r="9" spans="2:13" x14ac:dyDescent="0.25">
      <c r="B9" s="3" t="s">
        <v>101</v>
      </c>
      <c r="C9" s="10"/>
    </row>
    <row r="10" spans="2:13" x14ac:dyDescent="0.25">
      <c r="B10" t="s">
        <v>109</v>
      </c>
      <c r="C10" s="10">
        <v>0</v>
      </c>
      <c r="D10" s="10">
        <f>Calculations!B45</f>
        <v>15456666.666666666</v>
      </c>
      <c r="E10" s="10">
        <f>Calculations!C45</f>
        <v>16142000</v>
      </c>
      <c r="F10" s="10">
        <f>Calculations!D45</f>
        <v>16857881.25</v>
      </c>
      <c r="G10" s="10">
        <f>Calculations!E45</f>
        <v>17605679.765625</v>
      </c>
      <c r="H10" s="10">
        <f>Calculations!F45</f>
        <v>18386826.646289065</v>
      </c>
      <c r="I10" s="10">
        <f>Calculations!G45</f>
        <v>19202817.543912601</v>
      </c>
      <c r="J10" s="10">
        <f>Calculations!H45</f>
        <v>20055215.592942946</v>
      </c>
      <c r="K10" s="10">
        <f>Calculations!I45</f>
        <v>20945654.47422779</v>
      </c>
      <c r="L10" s="10">
        <f>Calculations!J45</f>
        <v>21875841.618896477</v>
      </c>
      <c r="M10" s="10">
        <v>0</v>
      </c>
    </row>
    <row r="11" spans="2:13" x14ac:dyDescent="0.25">
      <c r="B11" s="15" t="s">
        <v>110</v>
      </c>
      <c r="C11" s="14">
        <v>0</v>
      </c>
      <c r="D11" s="14">
        <f>SUM(D10)</f>
        <v>15456666.666666666</v>
      </c>
      <c r="E11" s="14">
        <f t="shared" ref="E11:M11" si="1">SUM(E10)</f>
        <v>16142000</v>
      </c>
      <c r="F11" s="14">
        <f t="shared" si="1"/>
        <v>16857881.25</v>
      </c>
      <c r="G11" s="14">
        <f t="shared" si="1"/>
        <v>17605679.765625</v>
      </c>
      <c r="H11" s="14">
        <f t="shared" si="1"/>
        <v>18386826.646289065</v>
      </c>
      <c r="I11" s="14">
        <f t="shared" si="1"/>
        <v>19202817.543912601</v>
      </c>
      <c r="J11" s="14">
        <f t="shared" si="1"/>
        <v>20055215.592942946</v>
      </c>
      <c r="K11" s="14">
        <f t="shared" si="1"/>
        <v>20945654.47422779</v>
      </c>
      <c r="L11" s="14">
        <f t="shared" si="1"/>
        <v>21875841.618896477</v>
      </c>
      <c r="M11" s="14">
        <f t="shared" si="1"/>
        <v>0</v>
      </c>
    </row>
    <row r="12" spans="2:13" x14ac:dyDescent="0.25">
      <c r="C12" s="10"/>
    </row>
    <row r="13" spans="2:13" ht="15.75" thickBot="1" x14ac:dyDescent="0.3">
      <c r="B13" s="16" t="s">
        <v>111</v>
      </c>
      <c r="C13" s="17">
        <v>0</v>
      </c>
      <c r="D13" s="17">
        <f>D7-D11</f>
        <v>-11556666.666666666</v>
      </c>
      <c r="E13" s="17">
        <f t="shared" ref="E13:M13" si="2">E7-E11</f>
        <v>-11455175</v>
      </c>
      <c r="F13" s="17">
        <f t="shared" si="2"/>
        <v>-11225489.306250002</v>
      </c>
      <c r="G13" s="17">
        <f t="shared" si="2"/>
        <v>-10836952.747223441</v>
      </c>
      <c r="H13" s="17">
        <f t="shared" si="2"/>
        <v>-10252508.951924991</v>
      </c>
      <c r="I13" s="17">
        <f t="shared" si="2"/>
        <v>-9427401.2547105774</v>
      </c>
      <c r="J13" s="17">
        <f t="shared" si="2"/>
        <v>-8307609.0673944186</v>
      </c>
      <c r="K13" s="17">
        <f t="shared" si="2"/>
        <v>-6827968.3321498465</v>
      </c>
      <c r="L13" s="17">
        <f t="shared" si="2"/>
        <v>-4909912.2976543121</v>
      </c>
      <c r="M13" s="17">
        <f t="shared" si="2"/>
        <v>0</v>
      </c>
    </row>
    <row r="14" spans="2:13" ht="15.75" thickTop="1" x14ac:dyDescent="0.25">
      <c r="C14" s="10"/>
    </row>
    <row r="15" spans="2:13" x14ac:dyDescent="0.25">
      <c r="B15" s="3" t="s">
        <v>112</v>
      </c>
      <c r="C15" s="10">
        <v>0</v>
      </c>
      <c r="D15" s="10">
        <f>D13-C13</f>
        <v>-11556666.666666666</v>
      </c>
      <c r="E15" s="10">
        <f t="shared" ref="E15:M15" si="3">E13-D13</f>
        <v>101491.66666666605</v>
      </c>
      <c r="F15" s="10">
        <f t="shared" si="3"/>
        <v>229685.69374999776</v>
      </c>
      <c r="G15" s="10">
        <f t="shared" si="3"/>
        <v>388536.55902656168</v>
      </c>
      <c r="H15" s="10">
        <f t="shared" si="3"/>
        <v>584443.7952984497</v>
      </c>
      <c r="I15" s="10">
        <f t="shared" si="3"/>
        <v>825107.69721441343</v>
      </c>
      <c r="J15" s="10">
        <f t="shared" si="3"/>
        <v>1119792.1873161588</v>
      </c>
      <c r="K15" s="10">
        <f t="shared" si="3"/>
        <v>1479640.7352445722</v>
      </c>
      <c r="L15" s="10">
        <f t="shared" si="3"/>
        <v>1918056.0344955344</v>
      </c>
      <c r="M15" s="10">
        <f t="shared" si="3"/>
        <v>4909912.2976543121</v>
      </c>
    </row>
  </sheetData>
  <mergeCells count="1">
    <mergeCell ref="C3:M3"/>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1636A-A93A-4338-BB53-6E309F012AF6}">
  <sheetPr>
    <tabColor rgb="FF002060"/>
  </sheetPr>
  <dimension ref="B1:M12"/>
  <sheetViews>
    <sheetView showGridLines="0" workbookViewId="0">
      <selection activeCell="D11" sqref="D11"/>
    </sheetView>
  </sheetViews>
  <sheetFormatPr defaultRowHeight="15" x14ac:dyDescent="0.25"/>
  <cols>
    <col min="1" max="1" width="1.5703125" customWidth="1"/>
    <col min="2" max="2" width="30.140625" customWidth="1"/>
    <col min="3" max="13" width="14" customWidth="1"/>
  </cols>
  <sheetData>
    <row r="1" spans="2:13" ht="20.25" thickBot="1" x14ac:dyDescent="0.35">
      <c r="B1" s="12" t="s">
        <v>118</v>
      </c>
    </row>
    <row r="2" spans="2:13" ht="15.75" thickTop="1" x14ac:dyDescent="0.25"/>
    <row r="3" spans="2:13" x14ac:dyDescent="0.25">
      <c r="C3" s="20"/>
      <c r="D3" s="40" t="s">
        <v>23</v>
      </c>
      <c r="E3" s="40"/>
      <c r="F3" s="40"/>
      <c r="G3" s="40"/>
      <c r="H3" s="40"/>
      <c r="I3" s="40"/>
      <c r="J3" s="40"/>
      <c r="K3" s="40"/>
      <c r="L3" s="40"/>
      <c r="M3" s="40"/>
    </row>
    <row r="4" spans="2:13" x14ac:dyDescent="0.25">
      <c r="B4" s="1"/>
      <c r="C4" s="1" t="s">
        <v>82</v>
      </c>
      <c r="D4" s="6" t="s">
        <v>45</v>
      </c>
      <c r="E4" s="6" t="s">
        <v>46</v>
      </c>
      <c r="F4" s="6" t="s">
        <v>47</v>
      </c>
      <c r="G4" s="6" t="s">
        <v>48</v>
      </c>
      <c r="H4" s="6" t="s">
        <v>49</v>
      </c>
      <c r="I4" s="6" t="s">
        <v>50</v>
      </c>
      <c r="J4" s="6" t="s">
        <v>51</v>
      </c>
      <c r="K4" s="6" t="s">
        <v>52</v>
      </c>
      <c r="L4" s="6" t="s">
        <v>53</v>
      </c>
      <c r="M4" s="6" t="s">
        <v>54</v>
      </c>
    </row>
    <row r="5" spans="2:13" x14ac:dyDescent="0.25">
      <c r="B5" s="15" t="s">
        <v>72</v>
      </c>
      <c r="C5" s="15"/>
      <c r="D5" s="14">
        <f>'Profit &amp; Loss Statement'!C9</f>
        <v>140206206.89999998</v>
      </c>
      <c r="E5" s="14">
        <f>'Profit &amp; Loss Statement'!D9</f>
        <v>234076470.39999998</v>
      </c>
      <c r="F5" s="14">
        <f>'Profit &amp; Loss Statement'!E9</f>
        <v>346419515.39472246</v>
      </c>
      <c r="G5" s="14">
        <f>'Profit &amp; Loss Statement'!F9</f>
        <v>480777025.88059747</v>
      </c>
      <c r="H5" s="14">
        <f>'Profit &amp; Loss Statement'!G9</f>
        <v>641368287.75523102</v>
      </c>
      <c r="I5" s="14">
        <f>'Profit &amp; Loss Statement'!H9</f>
        <v>833220248.83088052</v>
      </c>
      <c r="J5" s="14">
        <f>'Profit &amp; Loss Statement'!I9</f>
        <v>1062322649.2210828</v>
      </c>
      <c r="K5" s="14">
        <f>'Profit &amp; Loss Statement'!J9</f>
        <v>1335813075.1833372</v>
      </c>
      <c r="L5" s="14">
        <f>'Profit &amp; Loss Statement'!K9</f>
        <v>1662197732.6873317</v>
      </c>
      <c r="M5" s="14">
        <f>'Profit &amp; Loss Statement'!L9</f>
        <v>2051614864.1401625</v>
      </c>
    </row>
    <row r="6" spans="2:13" x14ac:dyDescent="0.25">
      <c r="B6" s="15" t="s">
        <v>77</v>
      </c>
      <c r="C6" s="15"/>
      <c r="D6" s="14">
        <f>D5*(1-Assumption!$B$24)</f>
        <v>103051562.07149997</v>
      </c>
      <c r="E6" s="14">
        <f>E5*(1-Assumption!$B$24)</f>
        <v>172046205.74399999</v>
      </c>
      <c r="F6" s="14">
        <f>F5*(1-Assumption!$B$24)</f>
        <v>254618343.815121</v>
      </c>
      <c r="G6" s="14">
        <f>G5*(1-Assumption!$B$24)</f>
        <v>353371114.02223915</v>
      </c>
      <c r="H6" s="14">
        <f>H5*(1-Assumption!$B$24)</f>
        <v>471405691.50009477</v>
      </c>
      <c r="I6" s="14">
        <f>I5*(1-Assumption!$B$24)</f>
        <v>612416882.89069712</v>
      </c>
      <c r="J6" s="14">
        <f>J5*(1-Assumption!$B$24)</f>
        <v>780807147.17749584</v>
      </c>
      <c r="K6" s="14">
        <f>K5*(1-Assumption!$B$24)</f>
        <v>981822610.25975287</v>
      </c>
      <c r="L6" s="14">
        <f>L5*(1-Assumption!$B$24)</f>
        <v>1221715333.5251887</v>
      </c>
      <c r="M6" s="14">
        <f>M5*(1-Assumption!$B$24)</f>
        <v>1507936925.1430194</v>
      </c>
    </row>
    <row r="7" spans="2:13" x14ac:dyDescent="0.25">
      <c r="B7" t="s">
        <v>83</v>
      </c>
      <c r="D7" s="10">
        <f>'Profit &amp; Loss Statement'!C8</f>
        <v>272413793.10000002</v>
      </c>
      <c r="E7" s="10">
        <f>'Profit &amp; Loss Statement'!D8</f>
        <v>272413793.10000002</v>
      </c>
      <c r="F7" s="10">
        <f>'Profit &amp; Loss Statement'!E8</f>
        <v>272413793.10000002</v>
      </c>
      <c r="G7" s="10">
        <f>'Profit &amp; Loss Statement'!F8</f>
        <v>272413793.10000002</v>
      </c>
      <c r="H7" s="10">
        <f>'Profit &amp; Loss Statement'!G8</f>
        <v>272413793.10000002</v>
      </c>
      <c r="I7" s="10">
        <f>'Profit &amp; Loss Statement'!H8</f>
        <v>272413793.10000002</v>
      </c>
      <c r="J7" s="10">
        <f>'Profit &amp; Loss Statement'!I8</f>
        <v>272413793.10000002</v>
      </c>
      <c r="K7" s="10">
        <f>'Profit &amp; Loss Statement'!J8</f>
        <v>272413793.10000002</v>
      </c>
      <c r="L7" s="10">
        <f>'Profit &amp; Loss Statement'!K8</f>
        <v>272413793.10000002</v>
      </c>
      <c r="M7" s="10">
        <f>'Profit &amp; Loss Statement'!L8</f>
        <v>272413793.10000002</v>
      </c>
    </row>
    <row r="8" spans="2:13" x14ac:dyDescent="0.25">
      <c r="B8" t="s">
        <v>115</v>
      </c>
      <c r="D8" s="10">
        <f>'Working Capital Change'!D15</f>
        <v>-11556666.666666666</v>
      </c>
      <c r="E8" s="10">
        <f>'Working Capital Change'!E15</f>
        <v>101491.66666666605</v>
      </c>
      <c r="F8" s="10">
        <f>'Working Capital Change'!F15</f>
        <v>229685.69374999776</v>
      </c>
      <c r="G8" s="10">
        <f>'Working Capital Change'!G15</f>
        <v>388536.55902656168</v>
      </c>
      <c r="H8" s="10">
        <f>'Working Capital Change'!H15</f>
        <v>584443.7952984497</v>
      </c>
      <c r="I8" s="10">
        <f>'Working Capital Change'!I15</f>
        <v>825107.69721441343</v>
      </c>
      <c r="J8" s="10">
        <f>'Working Capital Change'!J15</f>
        <v>1119792.1873161588</v>
      </c>
      <c r="K8" s="10">
        <f>'Working Capital Change'!K15</f>
        <v>1479640.7352445722</v>
      </c>
      <c r="L8" s="10">
        <f>'Working Capital Change'!L15</f>
        <v>1918056.0344955344</v>
      </c>
      <c r="M8" s="10">
        <f>'Working Capital Change'!M15</f>
        <v>4909912.2976543121</v>
      </c>
    </row>
    <row r="9" spans="2:13" x14ac:dyDescent="0.25">
      <c r="B9" s="15" t="s">
        <v>116</v>
      </c>
      <c r="C9" s="13"/>
      <c r="D9" s="14">
        <f>D6+D7-D8</f>
        <v>387022021.83816665</v>
      </c>
      <c r="E9" s="14">
        <f t="shared" ref="E9:M9" si="0">E6+E7-E8</f>
        <v>444358507.1773333</v>
      </c>
      <c r="F9" s="14">
        <f t="shared" si="0"/>
        <v>526802451.221371</v>
      </c>
      <c r="G9" s="14">
        <f t="shared" si="0"/>
        <v>625396370.56321251</v>
      </c>
      <c r="H9" s="14">
        <f t="shared" si="0"/>
        <v>743235040.80479634</v>
      </c>
      <c r="I9" s="14">
        <f t="shared" si="0"/>
        <v>884005568.29348278</v>
      </c>
      <c r="J9" s="14">
        <f t="shared" si="0"/>
        <v>1052101148.0901797</v>
      </c>
      <c r="K9" s="14">
        <f t="shared" si="0"/>
        <v>1252756762.6245084</v>
      </c>
      <c r="L9" s="14">
        <f t="shared" si="0"/>
        <v>1492211070.5906932</v>
      </c>
      <c r="M9" s="14">
        <f t="shared" si="0"/>
        <v>1775440805.9453652</v>
      </c>
    </row>
    <row r="10" spans="2:13" x14ac:dyDescent="0.25">
      <c r="B10" t="s">
        <v>117</v>
      </c>
      <c r="C10" s="10">
        <f>Assumption!B2</f>
        <v>2724137931</v>
      </c>
      <c r="D10" s="10">
        <v>0</v>
      </c>
      <c r="E10" s="10">
        <v>0</v>
      </c>
      <c r="F10" s="10">
        <v>0</v>
      </c>
      <c r="G10" s="10">
        <v>0</v>
      </c>
      <c r="H10" s="10">
        <v>0</v>
      </c>
      <c r="I10" s="10">
        <v>0</v>
      </c>
      <c r="J10" s="10">
        <v>0</v>
      </c>
      <c r="K10" s="10">
        <v>0</v>
      </c>
      <c r="L10" s="10">
        <v>0</v>
      </c>
      <c r="M10" s="10">
        <v>0</v>
      </c>
    </row>
    <row r="11" spans="2:13" ht="15.75" thickBot="1" x14ac:dyDescent="0.3">
      <c r="B11" s="16" t="s">
        <v>114</v>
      </c>
      <c r="C11" s="17">
        <f>C9-C10</f>
        <v>-2724137931</v>
      </c>
      <c r="D11" s="17">
        <f t="shared" ref="D11:M11" si="1">D9-D10</f>
        <v>387022021.83816665</v>
      </c>
      <c r="E11" s="17">
        <f t="shared" si="1"/>
        <v>444358507.1773333</v>
      </c>
      <c r="F11" s="17">
        <f t="shared" si="1"/>
        <v>526802451.221371</v>
      </c>
      <c r="G11" s="17">
        <f t="shared" si="1"/>
        <v>625396370.56321251</v>
      </c>
      <c r="H11" s="17">
        <f t="shared" si="1"/>
        <v>743235040.80479634</v>
      </c>
      <c r="I11" s="17">
        <f t="shared" si="1"/>
        <v>884005568.29348278</v>
      </c>
      <c r="J11" s="17">
        <f t="shared" si="1"/>
        <v>1052101148.0901797</v>
      </c>
      <c r="K11" s="17">
        <f t="shared" si="1"/>
        <v>1252756762.6245084</v>
      </c>
      <c r="L11" s="17">
        <f t="shared" si="1"/>
        <v>1492211070.5906932</v>
      </c>
      <c r="M11" s="17">
        <f t="shared" si="1"/>
        <v>1775440805.9453652</v>
      </c>
    </row>
    <row r="12" spans="2:13" ht="15.75" thickTop="1" x14ac:dyDescent="0.25">
      <c r="B12" s="32" t="s">
        <v>124</v>
      </c>
    </row>
  </sheetData>
  <mergeCells count="1">
    <mergeCell ref="D3:M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8BA2-9400-464F-8563-F1ADD7A90398}">
  <sheetPr>
    <tabColor rgb="FF002060"/>
  </sheetPr>
  <dimension ref="B1:M26"/>
  <sheetViews>
    <sheetView showGridLines="0" tabSelected="1" workbookViewId="0">
      <selection activeCell="M10" sqref="M10"/>
    </sheetView>
  </sheetViews>
  <sheetFormatPr defaultRowHeight="15" x14ac:dyDescent="0.25"/>
  <cols>
    <col min="1" max="1" width="1.5703125" customWidth="1"/>
    <col min="2" max="2" width="35.42578125" customWidth="1"/>
    <col min="3" max="3" width="15.28515625" customWidth="1"/>
    <col min="4" max="9" width="12.7109375" customWidth="1"/>
    <col min="10" max="10" width="13.28515625" customWidth="1"/>
    <col min="11" max="13" width="13.5703125" customWidth="1"/>
  </cols>
  <sheetData>
    <row r="1" spans="2:13" ht="20.25" thickBot="1" x14ac:dyDescent="0.35">
      <c r="B1" s="12" t="s">
        <v>146</v>
      </c>
    </row>
    <row r="2" spans="2:13" ht="15.75" thickTop="1" x14ac:dyDescent="0.25"/>
    <row r="3" spans="2:13" x14ac:dyDescent="0.25">
      <c r="C3" s="20"/>
      <c r="D3" s="40" t="s">
        <v>23</v>
      </c>
      <c r="E3" s="40"/>
      <c r="F3" s="40"/>
      <c r="G3" s="40"/>
      <c r="H3" s="40"/>
      <c r="I3" s="40"/>
      <c r="J3" s="40"/>
      <c r="K3" s="40"/>
      <c r="L3" s="40"/>
      <c r="M3" s="40"/>
    </row>
    <row r="4" spans="2:13" x14ac:dyDescent="0.25">
      <c r="B4" s="1"/>
      <c r="C4" s="1">
        <v>0</v>
      </c>
      <c r="D4" s="6">
        <v>1</v>
      </c>
      <c r="E4" s="6">
        <v>2</v>
      </c>
      <c r="F4" s="6">
        <v>3</v>
      </c>
      <c r="G4" s="6">
        <v>4</v>
      </c>
      <c r="H4" s="6">
        <v>5</v>
      </c>
      <c r="I4" s="6">
        <v>6</v>
      </c>
      <c r="J4" s="6">
        <v>7</v>
      </c>
      <c r="K4" s="6">
        <v>8</v>
      </c>
      <c r="L4" s="6">
        <v>9</v>
      </c>
      <c r="M4" s="6">
        <v>10</v>
      </c>
    </row>
    <row r="5" spans="2:13" x14ac:dyDescent="0.25">
      <c r="B5" s="8" t="s">
        <v>150</v>
      </c>
      <c r="C5" s="10"/>
      <c r="D5" s="10"/>
      <c r="E5" s="10"/>
      <c r="F5" s="10"/>
      <c r="G5" s="10"/>
      <c r="H5" s="10"/>
      <c r="I5" s="10"/>
      <c r="J5" s="10"/>
      <c r="K5" s="10"/>
      <c r="L5" s="10"/>
      <c r="M5" s="10"/>
    </row>
    <row r="6" spans="2:13" x14ac:dyDescent="0.25">
      <c r="B6" t="s">
        <v>114</v>
      </c>
      <c r="C6" s="10">
        <f>'Free Cash Flow'!C11</f>
        <v>-2724137931</v>
      </c>
      <c r="D6" s="10">
        <f>'Free Cash Flow'!D11</f>
        <v>387022021.83816665</v>
      </c>
      <c r="E6" s="10">
        <f>'Free Cash Flow'!E11</f>
        <v>444358507.1773333</v>
      </c>
      <c r="F6" s="10">
        <f>'Free Cash Flow'!F11</f>
        <v>526802451.221371</v>
      </c>
      <c r="G6" s="10">
        <f>'Free Cash Flow'!G11</f>
        <v>625396370.56321251</v>
      </c>
      <c r="H6" s="10">
        <f>'Free Cash Flow'!H11</f>
        <v>743235040.80479634</v>
      </c>
      <c r="I6" s="10">
        <f>'Free Cash Flow'!I11</f>
        <v>884005568.29348278</v>
      </c>
      <c r="J6" s="10">
        <f>'Free Cash Flow'!J11</f>
        <v>1052101148.0901797</v>
      </c>
      <c r="K6" s="10">
        <f>'Free Cash Flow'!K11</f>
        <v>1252756762.6245084</v>
      </c>
      <c r="L6" s="10">
        <f>'Free Cash Flow'!L11</f>
        <v>1492211070.5906932</v>
      </c>
      <c r="M6" s="10">
        <f>'Free Cash Flow'!M11</f>
        <v>1775440805.9453652</v>
      </c>
    </row>
    <row r="7" spans="2:13" x14ac:dyDescent="0.25">
      <c r="B7" t="s">
        <v>152</v>
      </c>
      <c r="C7" s="10">
        <f>C6/(1+Assumption!$I$2)^'Project Value &amp; Profitability'!C4</f>
        <v>-2724137931</v>
      </c>
      <c r="D7" s="10">
        <f>D6/(1+Assumption!$I$2)^'Project Value &amp; Profitability'!D4</f>
        <v>336540888.55492753</v>
      </c>
      <c r="E7" s="10">
        <f>E6/(1+Assumption!$I$2)^'Project Value &amp; Profitability'!E4</f>
        <v>335998871.21159422</v>
      </c>
      <c r="F7" s="10">
        <f>F6/(1+Assumption!$I$2)^'Project Value &amp; Profitability'!F4</f>
        <v>346381162.96301216</v>
      </c>
      <c r="G7" s="10">
        <f>G6/(1+Assumption!$I$2)^'Project Value &amp; Profitability'!G4</f>
        <v>357572404.65162015</v>
      </c>
      <c r="H7" s="10">
        <f>H6/(1+Assumption!$I$2)^'Project Value &amp; Profitability'!H4</f>
        <v>369519171.14661992</v>
      </c>
      <c r="I7" s="10">
        <f>I6/(1+Assumption!$I$2)^'Project Value &amp; Profitability'!I4</f>
        <v>382180002.11275065</v>
      </c>
      <c r="J7" s="10">
        <f>J6/(1+Assumption!$I$2)^'Project Value &amp; Profitability'!J4</f>
        <v>395523791.31270951</v>
      </c>
      <c r="K7" s="10">
        <f>K6/(1+Assumption!$I$2)^'Project Value &amp; Profitability'!K4</f>
        <v>409528407.89973408</v>
      </c>
      <c r="L7" s="10">
        <f>L6/(1+Assumption!$I$2)^'Project Value &amp; Profitability'!L4</f>
        <v>424179518.19911861</v>
      </c>
      <c r="M7" s="10">
        <f>M6/(1+Assumption!$I$2)^'Project Value &amp; Profitability'!M4</f>
        <v>438861813.85437375</v>
      </c>
    </row>
    <row r="8" spans="2:13" x14ac:dyDescent="0.25">
      <c r="B8" s="15" t="s">
        <v>151</v>
      </c>
      <c r="C8" s="54">
        <f>SUM(C7:M7)</f>
        <v>1072148100.9064603</v>
      </c>
    </row>
    <row r="10" spans="2:13" x14ac:dyDescent="0.25">
      <c r="B10" s="55" t="s">
        <v>153</v>
      </c>
    </row>
    <row r="11" spans="2:13" x14ac:dyDescent="0.25">
      <c r="B11" s="15" t="s">
        <v>154</v>
      </c>
      <c r="C11" s="54">
        <f>SUM(C6,NPV(Assumption!I2,'Project Value &amp; Profitability'!D6:M6))</f>
        <v>1072148100.9064598</v>
      </c>
    </row>
    <row r="13" spans="2:13" ht="20.25" thickBot="1" x14ac:dyDescent="0.35">
      <c r="B13" s="56" t="s">
        <v>168</v>
      </c>
    </row>
    <row r="14" spans="2:13" ht="15.75" thickTop="1" x14ac:dyDescent="0.25"/>
    <row r="15" spans="2:13" x14ac:dyDescent="0.25">
      <c r="B15" t="s">
        <v>114</v>
      </c>
      <c r="C15" s="10">
        <f>'Free Cash Flow'!C11</f>
        <v>-2724137931</v>
      </c>
      <c r="D15" s="10">
        <f>'Free Cash Flow'!D11</f>
        <v>387022021.83816665</v>
      </c>
      <c r="E15" s="10">
        <f>'Free Cash Flow'!E11</f>
        <v>444358507.1773333</v>
      </c>
      <c r="F15" s="10">
        <f>'Free Cash Flow'!F11</f>
        <v>526802451.221371</v>
      </c>
      <c r="G15" s="10">
        <f>'Free Cash Flow'!G11</f>
        <v>625396370.56321251</v>
      </c>
      <c r="H15" s="10">
        <f>'Free Cash Flow'!H11</f>
        <v>743235040.80479634</v>
      </c>
      <c r="I15" s="10">
        <f>'Free Cash Flow'!I11</f>
        <v>884005568.29348278</v>
      </c>
      <c r="J15" s="10">
        <f>'Free Cash Flow'!J11</f>
        <v>1052101148.0901797</v>
      </c>
      <c r="K15" s="10">
        <f>'Free Cash Flow'!K11</f>
        <v>1252756762.6245084</v>
      </c>
      <c r="L15" s="10">
        <f>'Free Cash Flow'!L11</f>
        <v>1492211070.5906932</v>
      </c>
      <c r="M15" s="10">
        <f>'Free Cash Flow'!M11</f>
        <v>1775440805.9453652</v>
      </c>
    </row>
    <row r="16" spans="2:13" x14ac:dyDescent="0.25">
      <c r="B16" s="15" t="s">
        <v>169</v>
      </c>
      <c r="C16" s="57">
        <f>IRR(C15:M15)</f>
        <v>0.22137773519321846</v>
      </c>
    </row>
    <row r="17" spans="2:13" x14ac:dyDescent="0.25">
      <c r="B17" s="3" t="s">
        <v>170</v>
      </c>
      <c r="C17" s="3">
        <f>SUM(C15,NPV(C16,D15:M15))</f>
        <v>0</v>
      </c>
    </row>
    <row r="18" spans="2:13" x14ac:dyDescent="0.25">
      <c r="B18" s="32" t="s">
        <v>171</v>
      </c>
    </row>
    <row r="20" spans="2:13" ht="20.25" thickBot="1" x14ac:dyDescent="0.35">
      <c r="B20" s="12" t="s">
        <v>172</v>
      </c>
    </row>
    <row r="21" spans="2:13" ht="15.75" thickTop="1" x14ac:dyDescent="0.25"/>
    <row r="22" spans="2:13" x14ac:dyDescent="0.25">
      <c r="B22" t="s">
        <v>114</v>
      </c>
      <c r="C22" s="10">
        <f>'Free Cash Flow'!C11</f>
        <v>-2724137931</v>
      </c>
      <c r="D22" s="10">
        <f>'Free Cash Flow'!D11</f>
        <v>387022021.83816665</v>
      </c>
      <c r="E22" s="10">
        <f>'Free Cash Flow'!E11</f>
        <v>444358507.1773333</v>
      </c>
      <c r="F22" s="10">
        <f>'Free Cash Flow'!F11</f>
        <v>526802451.221371</v>
      </c>
      <c r="G22" s="10">
        <f>'Free Cash Flow'!G11</f>
        <v>625396370.56321251</v>
      </c>
      <c r="H22" s="10">
        <f>'Free Cash Flow'!H11</f>
        <v>743235040.80479634</v>
      </c>
      <c r="I22" s="10">
        <f>'Free Cash Flow'!I11</f>
        <v>884005568.29348278</v>
      </c>
      <c r="J22" s="10">
        <f>'Free Cash Flow'!J11</f>
        <v>1052101148.0901797</v>
      </c>
      <c r="K22" s="10">
        <f>'Free Cash Flow'!K11</f>
        <v>1252756762.6245084</v>
      </c>
      <c r="L22" s="10">
        <f>'Free Cash Flow'!L11</f>
        <v>1492211070.5906932</v>
      </c>
      <c r="M22" s="10">
        <f>'Free Cash Flow'!M11</f>
        <v>1775440805.9453652</v>
      </c>
    </row>
    <row r="23" spans="2:13" x14ac:dyDescent="0.25">
      <c r="B23" s="58" t="s">
        <v>188</v>
      </c>
    </row>
    <row r="24" spans="2:13" x14ac:dyDescent="0.25">
      <c r="B24" t="s">
        <v>186</v>
      </c>
      <c r="C24" s="10">
        <f>NPV(Assumption!I2,'Project Value &amp; Profitability'!D22:M22)</f>
        <v>3796286031.9064598</v>
      </c>
    </row>
    <row r="25" spans="2:13" x14ac:dyDescent="0.25">
      <c r="B25" t="s">
        <v>187</v>
      </c>
      <c r="C25" s="10">
        <f>-C22</f>
        <v>2724137931</v>
      </c>
    </row>
    <row r="26" spans="2:13" x14ac:dyDescent="0.25">
      <c r="B26" s="15" t="s">
        <v>172</v>
      </c>
      <c r="C26" s="59">
        <f>C24/C25</f>
        <v>1.3935733535022901</v>
      </c>
    </row>
  </sheetData>
  <mergeCells count="1">
    <mergeCell ref="D3: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vt:lpstr>
      <vt:lpstr>Description</vt:lpstr>
      <vt:lpstr>Assumption</vt:lpstr>
      <vt:lpstr>Calculations</vt:lpstr>
      <vt:lpstr>Profit &amp; Loss Statement</vt:lpstr>
      <vt:lpstr>NOPAT</vt:lpstr>
      <vt:lpstr>Working Capital Change</vt:lpstr>
      <vt:lpstr>Free Cash Flow</vt:lpstr>
      <vt:lpstr>Project Value &amp; Profitability</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iamGYAN</dc:creator>
  <cp:lastModifiedBy>Gyan Ranjan</cp:lastModifiedBy>
  <dcterms:created xsi:type="dcterms:W3CDTF">2015-06-05T18:17:20Z</dcterms:created>
  <dcterms:modified xsi:type="dcterms:W3CDTF">2024-05-13T10:45:55Z</dcterms:modified>
</cp:coreProperties>
</file>