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_Project\Financial Analysis\6_Company Valuation FCFF\"/>
    </mc:Choice>
  </mc:AlternateContent>
  <xr:revisionPtr revIDLastSave="0" documentId="13_ncr:1_{5AAA0354-1676-4F3F-8205-974E7696FBB9}" xr6:coauthVersionLast="47" xr6:coauthVersionMax="47" xr10:uidLastSave="{00000000-0000-0000-0000-000000000000}"/>
  <bookViews>
    <workbookView xWindow="-120" yWindow="-120" windowWidth="20730" windowHeight="11310" tabRatio="915" activeTab="8" xr2:uid="{00000000-000D-0000-FFFF-FFFF00000000}"/>
  </bookViews>
  <sheets>
    <sheet name="Index" sheetId="1" r:id="rId1"/>
    <sheet name="Description" sheetId="3" r:id="rId2"/>
    <sheet name="Forecasted P&amp;L" sheetId="4" r:id="rId3"/>
    <sheet name="Forecasted Balance Sheet" sheetId="5" r:id="rId4"/>
    <sheet name="Calculation" sheetId="7" r:id="rId5"/>
    <sheet name="FCFF" sheetId="8" r:id="rId6"/>
    <sheet name="FCFE" sheetId="9" r:id="rId7"/>
    <sheet name="Assumptions" sheetId="10" r:id="rId8"/>
    <sheet name="Enterprise Valu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1" l="1"/>
  <c r="C17" i="11"/>
  <c r="C9" i="11"/>
  <c r="C10" i="11" s="1"/>
  <c r="C11" i="11" s="1"/>
  <c r="D6" i="11"/>
  <c r="E6" i="11"/>
  <c r="F6" i="11"/>
  <c r="C6" i="11"/>
  <c r="C12" i="11" l="1"/>
  <c r="C16" i="11" s="1"/>
  <c r="C19" i="11" s="1"/>
  <c r="C20" i="11" s="1"/>
  <c r="D5" i="11"/>
  <c r="E5" i="11"/>
  <c r="F5" i="11"/>
  <c r="C5" i="11"/>
  <c r="D10" i="9"/>
  <c r="E10" i="9"/>
  <c r="F10" i="9"/>
  <c r="C10" i="9"/>
  <c r="D9" i="9"/>
  <c r="E9" i="9"/>
  <c r="F9" i="9"/>
  <c r="C9" i="9"/>
  <c r="D8" i="9"/>
  <c r="E8" i="9"/>
  <c r="F8" i="9"/>
  <c r="C8" i="9"/>
  <c r="D5" i="9"/>
  <c r="E5" i="9"/>
  <c r="F5" i="9"/>
  <c r="C5" i="9"/>
  <c r="E27" i="7"/>
  <c r="F27" i="7"/>
  <c r="G27" i="7"/>
  <c r="D27" i="7"/>
  <c r="D26" i="7"/>
  <c r="E26" i="7"/>
  <c r="F26" i="7"/>
  <c r="G26" i="7"/>
  <c r="C26" i="7"/>
  <c r="F7" i="9"/>
  <c r="E7" i="9"/>
  <c r="D7" i="9"/>
  <c r="C7" i="9"/>
  <c r="F6" i="9"/>
  <c r="E6" i="9"/>
  <c r="D6" i="9"/>
  <c r="C6" i="9"/>
  <c r="E19" i="7"/>
  <c r="F19" i="7"/>
  <c r="G19" i="7"/>
  <c r="D19" i="7"/>
  <c r="D6" i="8"/>
  <c r="E6" i="8"/>
  <c r="F6" i="8"/>
  <c r="C6" i="8"/>
  <c r="E22" i="7"/>
  <c r="D5" i="8" s="1"/>
  <c r="F22" i="7"/>
  <c r="E5" i="8" s="1"/>
  <c r="G22" i="7"/>
  <c r="F5" i="8" s="1"/>
  <c r="D22" i="7"/>
  <c r="C5" i="8" s="1"/>
  <c r="E17" i="7"/>
  <c r="F17" i="7"/>
  <c r="G17" i="7"/>
  <c r="E18" i="7"/>
  <c r="E20" i="7" s="1"/>
  <c r="F18" i="7"/>
  <c r="F20" i="7" s="1"/>
  <c r="G18" i="7"/>
  <c r="G20" i="7" s="1"/>
  <c r="D18" i="7"/>
  <c r="D17" i="7"/>
  <c r="D7" i="7"/>
  <c r="E7" i="7"/>
  <c r="F7" i="7"/>
  <c r="G7" i="7"/>
  <c r="D6" i="7"/>
  <c r="D8" i="7" s="1"/>
  <c r="E6" i="7"/>
  <c r="F6" i="7"/>
  <c r="F8" i="7" s="1"/>
  <c r="G6" i="7"/>
  <c r="C6" i="7"/>
  <c r="C7" i="7"/>
  <c r="D10" i="7"/>
  <c r="E10" i="7"/>
  <c r="F10" i="7"/>
  <c r="G10" i="7"/>
  <c r="C10" i="7"/>
  <c r="E8" i="7"/>
  <c r="E12" i="7" s="1"/>
  <c r="D20" i="7" l="1"/>
  <c r="C8" i="8" s="1"/>
  <c r="D8" i="8"/>
  <c r="F8" i="8"/>
  <c r="C8" i="7"/>
  <c r="C12" i="7" s="1"/>
  <c r="E8" i="8"/>
  <c r="D12" i="7"/>
  <c r="E13" i="7" s="1"/>
  <c r="D7" i="8" s="1"/>
  <c r="D9" i="8" s="1"/>
  <c r="F12" i="7"/>
  <c r="F13" i="7" s="1"/>
  <c r="E7" i="8" s="1"/>
  <c r="G8" i="7"/>
  <c r="G12" i="7" s="1"/>
  <c r="E9" i="8" l="1"/>
  <c r="G13" i="7"/>
  <c r="F7" i="8" s="1"/>
  <c r="F9" i="8" s="1"/>
  <c r="D13" i="7"/>
  <c r="C7" i="8" s="1"/>
  <c r="C9" i="8" s="1"/>
</calcChain>
</file>

<file path=xl/sharedStrings.xml><?xml version="1.0" encoding="utf-8"?>
<sst xmlns="http://schemas.openxmlformats.org/spreadsheetml/2006/main" count="133" uniqueCount="100">
  <si>
    <t>Description</t>
  </si>
  <si>
    <t>SNC Limited</t>
  </si>
  <si>
    <t>Q1 - Calculate Free Cash Fow to the Firm (FCFF), and Free Cash Flow to Equity (FCFE) for each of the forecasted year from the given data</t>
  </si>
  <si>
    <t>Information abot the SNC Limited is as below</t>
  </si>
  <si>
    <t>Forecasted Profit &amp; Loss, and Balance Sheet for 4 years</t>
  </si>
  <si>
    <t>Amount (in Rs.)</t>
  </si>
  <si>
    <t>CY</t>
  </si>
  <si>
    <t>FY1</t>
  </si>
  <si>
    <t>FY2</t>
  </si>
  <si>
    <t>FY3</t>
  </si>
  <si>
    <t>FY4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</si>
  <si>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</si>
  <si>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</si>
  <si>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</si>
  <si>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</si>
  <si>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</si>
  <si>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</si>
  <si>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</si>
  <si>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</si>
  <si>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</si>
  <si>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</si>
  <si>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</si>
  <si>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Amount in Rs.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</si>
  <si>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</si>
  <si>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</si>
  <si>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</si>
  <si>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</si>
  <si>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</si>
  <si>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</si>
  <si>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</si>
  <si>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</si>
  <si>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</si>
  <si>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</si>
  <si>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</si>
  <si>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</si>
  <si>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</si>
  <si>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</si>
  <si>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</si>
  <si>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</si>
  <si>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</si>
  <si>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</si>
  <si>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</si>
  <si>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</si>
  <si>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</si>
  <si>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</si>
  <si>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</si>
  <si>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</si>
  <si>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</si>
  <si>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Changes in Net Working Capital</t>
  </si>
  <si>
    <t>Less: - Cash in Hand</t>
  </si>
  <si>
    <t>Current Assets (Excluding Cash)</t>
  </si>
  <si>
    <t>Networking Capital</t>
  </si>
  <si>
    <t>Change in Woking Capital</t>
  </si>
  <si>
    <t>Change Capital Expenditure</t>
  </si>
  <si>
    <t>Opening Balance Non Current Assets</t>
  </si>
  <si>
    <t>Closing Balance Non Current Assets</t>
  </si>
  <si>
    <t>Change in Capital Expenditure</t>
  </si>
  <si>
    <t>Years</t>
  </si>
  <si>
    <t>Free Cash Flow to Firm</t>
  </si>
  <si>
    <t>NOPAT</t>
  </si>
  <si>
    <t>Tax Rate</t>
  </si>
  <si>
    <t>Add: - Depriciation</t>
  </si>
  <si>
    <t>Less: - Changes in Working Capital</t>
  </si>
  <si>
    <t>Less: - Changes in Capital Expenditure</t>
  </si>
  <si>
    <t>FCFF</t>
  </si>
  <si>
    <t>Free Cash Flow to Equity</t>
  </si>
  <si>
    <t>Net Debt Borrowing</t>
  </si>
  <si>
    <t>Net Debt</t>
  </si>
  <si>
    <t>Net Income</t>
  </si>
  <si>
    <t>Add: - Non Cash Expenses (D&amp;A)</t>
  </si>
  <si>
    <t>FCFE</t>
  </si>
  <si>
    <t>Less: - Change in Capital Expenditure</t>
  </si>
  <si>
    <t>Add: - Net Borrowing (Debt)</t>
  </si>
  <si>
    <t>Forecasted P&amp;L</t>
  </si>
  <si>
    <t>Forecasted Balance Sheet</t>
  </si>
  <si>
    <t>Calculation</t>
  </si>
  <si>
    <t>Q2 - Calculate Enterprise Value and Equity Value Per Share for the Company in Year 0</t>
  </si>
  <si>
    <t xml:space="preserve">Required Information is as below - </t>
  </si>
  <si>
    <t>Wighted Average Cost of Capital is 12.5% for each year</t>
  </si>
  <si>
    <t>Long term growth rate of the company is assumed to be 3% per annum</t>
  </si>
  <si>
    <t>The outstanding number of shares at the end of year 0 is 55575327</t>
  </si>
  <si>
    <t>Market value of long term debt of the company at the end of year 0 is Rs 12944751 and cash balance at the end of year 0 is Rs 49737051</t>
  </si>
  <si>
    <t>Weighted Average Cost of Capital (Discount Rate)</t>
  </si>
  <si>
    <t>Long Term Growth Rate</t>
  </si>
  <si>
    <t>Number of Outstanding Shares</t>
  </si>
  <si>
    <t>Market Value of Long Term Debt (Year 0)</t>
  </si>
  <si>
    <t>Cash in Hand (Year 0)</t>
  </si>
  <si>
    <t>Present Value of FCFF (Year 1 - 4)</t>
  </si>
  <si>
    <t>Enterprise Value</t>
  </si>
  <si>
    <t>Enterprise Value (Perpetuity Method)</t>
  </si>
  <si>
    <t>Terminal Value (End of Year 4)</t>
  </si>
  <si>
    <t>Present Value of Terminal Value</t>
  </si>
  <si>
    <t>Equity Value Per Share</t>
  </si>
  <si>
    <t>Less: Market Value of Debt</t>
  </si>
  <si>
    <t>Add: Cash in Hand</t>
  </si>
  <si>
    <t>Equity Value</t>
  </si>
  <si>
    <t>Equity Per Share</t>
  </si>
  <si>
    <t>Assumptions for Enterprise Value</t>
  </si>
  <si>
    <t>Assumption for Company Valuation</t>
  </si>
  <si>
    <t>Enterprise Value and Equity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</si>
</sst>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4" xfId="0" applyBorder="1"/>
    <xf numFmtId="0" fontId="3" fillId="0" borderId="2" xfId="0" applyFont="1" applyBorder="1"/>
    <xf numFmtId="0" fontId="3" fillId="0" borderId="0" xfId="0" applyFont="1"/>
    <xf numFmtId="0" fontId="5" fillId="0" borderId="0" xfId="0" applyFont="1" applyAlignment="1">
      <alignment horizontal="left" wrapText="1"/>
    </xf>
    <xf numFmtId="0" fontId="2" fillId="0" borderId="1" xfId="2"/>
    <xf numFmtId="0" fontId="3" fillId="0" borderId="2" xfId="0" applyFont="1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3" fillId="0" borderId="9" xfId="0" applyFont="1" applyBorder="1"/>
    <xf numFmtId="10" fontId="0" fillId="0" borderId="0" xfId="1" applyNumberFormat="1" applyFont="1"/>
    <xf numFmtId="2" fontId="0" fillId="0" borderId="0" xfId="0" applyNumberFormat="1"/>
    <xf numFmtId="2" fontId="0" fillId="0" borderId="9" xfId="0" applyNumberFormat="1" applyBorder="1"/>
    <xf numFmtId="0" fontId="6" fillId="0" borderId="0" xfId="3"/>
    <xf numFmtId="0" fontId="3" fillId="0" borderId="0" xfId="0" applyFont="1" applyAlignment="1">
      <alignment horizontal="right"/>
    </xf>
    <xf numFmtId="0" fontId="5" fillId="0" borderId="7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8" xfId="0" applyFont="1" applyBorder="1" applyAlignment="1">
      <alignment wrapText="1"/>
    </xf>
    <xf numFmtId="10" fontId="0" fillId="0" borderId="0" xfId="0" applyNumberFormat="1"/>
    <xf numFmtId="8" fontId="0" fillId="0" borderId="0" xfId="0" applyNumberFormat="1"/>
    <xf numFmtId="0" fontId="3" fillId="0" borderId="3" xfId="0" applyFont="1" applyBorder="1"/>
    <xf numFmtId="2" fontId="3" fillId="0" borderId="3" xfId="0" applyNumberFormat="1" applyFont="1" applyBorder="1"/>
    <xf numFmtId="0" fontId="5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2" borderId="0" xfId="0" applyFont="1" applyFill="1" applyAlignment="1">
      <alignment horizontal="center"/>
    </xf>
  </cellXfs>
  <cellStyles count="4">
    <cellStyle name="Heading 1" xfId="2" builtinId="1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C18" sqref="C18"/>
    </sheetView>
  </sheetViews>
  <sheetFormatPr defaultRowHeight="15" x14ac:dyDescent="0.25"/>
  <cols>
    <col min="3" max="3" width="36.42578125" customWidth="1"/>
  </cols>
  <sheetData>
    <row r="2" spans="2:3" ht="18" customHeight="1" x14ac:dyDescent="0.25">
      <c r="B2">
        <v>1</v>
      </c>
      <c r="C2" s="15" t="s">
        <v>0</v>
      </c>
    </row>
    <row r="3" spans="2:3" ht="18" customHeight="1" x14ac:dyDescent="0.25">
      <c r="B3">
        <v>2</v>
      </c>
      <c r="C3" s="15" t="s">
        <v>73</v>
      </c>
    </row>
    <row r="4" spans="2:3" ht="18" customHeight="1" x14ac:dyDescent="0.25">
      <c r="B4">
        <v>3</v>
      </c>
      <c r="C4" s="15" t="s">
        <v>74</v>
      </c>
    </row>
    <row r="5" spans="2:3" ht="18" customHeight="1" x14ac:dyDescent="0.25">
      <c r="B5">
        <v>4</v>
      </c>
      <c r="C5" s="15" t="s">
        <v>75</v>
      </c>
    </row>
    <row r="6" spans="2:3" ht="18" customHeight="1" x14ac:dyDescent="0.25">
      <c r="B6">
        <v>5</v>
      </c>
      <c r="C6" s="15" t="s">
        <v>64</v>
      </c>
    </row>
    <row r="7" spans="2:3" ht="18" customHeight="1" x14ac:dyDescent="0.25">
      <c r="B7">
        <v>6</v>
      </c>
      <c r="C7" s="15" t="s">
        <v>70</v>
      </c>
    </row>
    <row r="8" spans="2:3" ht="18" customHeight="1" x14ac:dyDescent="0.25">
      <c r="B8">
        <v>7</v>
      </c>
      <c r="C8" s="15" t="s">
        <v>98</v>
      </c>
    </row>
    <row r="9" spans="2:3" x14ac:dyDescent="0.25">
      <c r="B9">
        <v>8</v>
      </c>
      <c r="C9" s="15" t="s">
        <v>99</v>
      </c>
    </row>
  </sheetData>
  <hyperlinks>
    <hyperlink ref="C2" location="Description!A1" display="Description" xr:uid="{19D65B64-1DD5-4469-A5CE-34D2D6B0A16D}"/>
    <hyperlink ref="C3" location="'Forecasted P&amp;L'!A1" display="Forecasted P&amp;L" xr:uid="{38D75227-CD87-409A-B005-B85EFCF56AB6}"/>
    <hyperlink ref="C4" location="'Forecasted Balance Sheet'!A1" display="Forecasted Balance Sheet" xr:uid="{6D612F9E-7E75-4C52-9D26-E7EA58214F8B}"/>
    <hyperlink ref="C5" location="Calculation!A1" display="Calculation" xr:uid="{D2039455-8349-4D8E-BBCF-0935FF0F4559}"/>
    <hyperlink ref="C6" location="FCFF!A1" display="FCFF" xr:uid="{6BD03E2C-0F3F-478D-99F8-9BF37F936622}"/>
    <hyperlink ref="C7" location="FCFE!A1" display="FCFE" xr:uid="{7CB47C78-A070-4ED8-98AE-8E1F72F49FAB}"/>
    <hyperlink ref="C8" location="Assumptions!A1" display="Assumption for Company Valuation" xr:uid="{28772A66-C350-404A-B2FC-2C04CF0C17A2}"/>
    <hyperlink ref="C9" location="'Enterprise Value'!A1" display="Enterprise Value and Equity Per Share" xr:uid="{ED1A9008-E975-4D78-BADE-7450A9A484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C7A1-98F0-4A7C-B5C3-217C18D66699}">
  <dimension ref="B1:M20"/>
  <sheetViews>
    <sheetView showGridLines="0" workbookViewId="0">
      <selection activeCell="R11" sqref="R11"/>
    </sheetView>
  </sheetViews>
  <sheetFormatPr defaultRowHeight="15" x14ac:dyDescent="0.25"/>
  <cols>
    <col min="1" max="1" width="2.7109375" customWidth="1"/>
    <col min="2" max="2" width="4.5703125" customWidth="1"/>
    <col min="3" max="3" width="5.140625" customWidth="1"/>
  </cols>
  <sheetData>
    <row r="1" spans="2:13" ht="21" x14ac:dyDescent="0.35">
      <c r="B1" s="1" t="s">
        <v>0</v>
      </c>
    </row>
    <row r="3" spans="2:13" x14ac:dyDescent="0.2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2:13" ht="15.75" customHeight="1" x14ac:dyDescent="0.25">
      <c r="B5" s="24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2:13" ht="15.75" customHeight="1" x14ac:dyDescent="0.25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2:13" ht="15.7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2:13" x14ac:dyDescent="0.25">
      <c r="B8" t="s">
        <v>3</v>
      </c>
    </row>
    <row r="9" spans="2:13" x14ac:dyDescent="0.25">
      <c r="B9" s="4" t="s">
        <v>4</v>
      </c>
      <c r="C9" s="2"/>
      <c r="D9" s="2"/>
      <c r="E9" s="2"/>
      <c r="F9" s="2"/>
      <c r="G9" s="2"/>
      <c r="H9" s="2"/>
    </row>
    <row r="11" spans="2:13" ht="15" customHeight="1" x14ac:dyDescent="0.25">
      <c r="B11" s="24" t="s">
        <v>76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</row>
    <row r="12" spans="2:13" ht="15" customHeight="1" x14ac:dyDescent="0.25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</row>
    <row r="14" spans="2:13" x14ac:dyDescent="0.25">
      <c r="B14" s="5" t="s">
        <v>77</v>
      </c>
      <c r="C14" s="5"/>
      <c r="D14" s="5"/>
      <c r="E14" s="5"/>
      <c r="F14" s="5"/>
    </row>
    <row r="15" spans="2:13" x14ac:dyDescent="0.25">
      <c r="B15" s="2" t="s">
        <v>58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x14ac:dyDescent="0.25">
      <c r="B16" s="3" t="s">
        <v>78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x14ac:dyDescent="0.25">
      <c r="B17" s="3" t="s">
        <v>79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x14ac:dyDescent="0.25">
      <c r="B18" s="3" t="s">
        <v>80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x14ac:dyDescent="0.25">
      <c r="B19" s="30" t="s">
        <v>81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2:13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</sheetData>
  <mergeCells count="3">
    <mergeCell ref="B5:M6"/>
    <mergeCell ref="B11:M11"/>
    <mergeCell ref="B19:M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6E2D-9262-4D03-A758-2720CE70D398}">
  <dimension ref="A1:F12"/>
  <sheetViews>
    <sheetView workbookViewId="0">
      <selection activeCell="B17" sqref="B17"/>
    </sheetView>
  </sheetViews>
  <sheetFormatPr defaultRowHeight="15" x14ac:dyDescent="0.25"/>
  <cols>
    <col min="1" max="1" width="49.5703125" customWidth="1"/>
    <col min="2" max="6" width="12.5703125" customWidth="1"/>
  </cols>
  <sheetData>
    <row r="1" spans="1:6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5" t="s">
        <v>11</v>
      </c>
      <c r="B2">
        <v>50392111.759999998</v>
      </c>
      <c r="C2">
        <v>53309203.829999998</v>
      </c>
      <c r="D2">
        <v>56395160.149999999</v>
      </c>
      <c r="E2">
        <v>59659755.920000002</v>
      </c>
      <c r="F2">
        <v>63113332.18</v>
      </c>
    </row>
    <row r="3" spans="1:6" x14ac:dyDescent="0.25">
      <c r="A3" t="s">
        <v>12</v>
      </c>
      <c r="B3">
        <v>27294376.239999998</v>
      </c>
      <c r="C3">
        <v>29126045.18</v>
      </c>
      <c r="D3">
        <v>30812089.93</v>
      </c>
      <c r="E3">
        <v>32595736.219999999</v>
      </c>
      <c r="F3">
        <v>34482634</v>
      </c>
    </row>
    <row r="4" spans="1:6" x14ac:dyDescent="0.25">
      <c r="A4" s="5" t="s">
        <v>13</v>
      </c>
      <c r="B4">
        <v>23097735.52</v>
      </c>
      <c r="C4">
        <v>24183158.649999999</v>
      </c>
      <c r="D4">
        <v>25583070.219999999</v>
      </c>
      <c r="E4">
        <v>27064019.690000001</v>
      </c>
      <c r="F4">
        <v>28630698.18</v>
      </c>
    </row>
    <row r="5" spans="1:6" x14ac:dyDescent="0.25">
      <c r="A5" t="s">
        <v>14</v>
      </c>
      <c r="B5">
        <v>2521046.12</v>
      </c>
      <c r="C5">
        <v>2717785.86</v>
      </c>
      <c r="D5">
        <v>2875112.7</v>
      </c>
      <c r="E5">
        <v>3041546.85</v>
      </c>
      <c r="F5">
        <v>3217615.52</v>
      </c>
    </row>
    <row r="6" spans="1:6" x14ac:dyDescent="0.25">
      <c r="A6" s="5" t="s">
        <v>15</v>
      </c>
      <c r="B6">
        <v>20576689.399999999</v>
      </c>
      <c r="C6">
        <v>21465372.789999999</v>
      </c>
      <c r="D6">
        <v>22707957.52</v>
      </c>
      <c r="E6">
        <v>24022472.84</v>
      </c>
      <c r="F6">
        <v>25413082.649999999</v>
      </c>
    </row>
    <row r="7" spans="1:6" x14ac:dyDescent="0.25">
      <c r="A7" t="s">
        <v>16</v>
      </c>
      <c r="B7">
        <v>221720.08</v>
      </c>
      <c r="C7">
        <v>252664.63</v>
      </c>
      <c r="D7">
        <v>252664.63</v>
      </c>
      <c r="E7">
        <v>252664.63</v>
      </c>
      <c r="F7">
        <v>419331.29</v>
      </c>
    </row>
    <row r="8" spans="1:6" x14ac:dyDescent="0.25">
      <c r="A8" s="5" t="s">
        <v>17</v>
      </c>
      <c r="B8">
        <v>20354969.32</v>
      </c>
      <c r="C8">
        <v>21212708.16</v>
      </c>
      <c r="D8">
        <v>22455292.899999999</v>
      </c>
      <c r="E8">
        <v>23769808.219999999</v>
      </c>
      <c r="F8">
        <v>24993751.359999999</v>
      </c>
    </row>
    <row r="9" spans="1:6" x14ac:dyDescent="0.25">
      <c r="A9" t="s">
        <v>18</v>
      </c>
      <c r="B9">
        <v>396109.38</v>
      </c>
      <c r="C9">
        <v>797059.38</v>
      </c>
      <c r="D9">
        <v>797059.38</v>
      </c>
      <c r="E9">
        <v>400950</v>
      </c>
      <c r="F9">
        <v>400950</v>
      </c>
    </row>
    <row r="10" spans="1:6" x14ac:dyDescent="0.25">
      <c r="A10" s="5" t="s">
        <v>19</v>
      </c>
      <c r="B10">
        <v>19958859.940000001</v>
      </c>
      <c r="C10">
        <v>20415648.780000001</v>
      </c>
      <c r="D10">
        <v>21658233.52</v>
      </c>
      <c r="E10">
        <v>23368858.219999999</v>
      </c>
      <c r="F10">
        <v>24592801.359999999</v>
      </c>
    </row>
    <row r="11" spans="1:6" x14ac:dyDescent="0.25">
      <c r="A11" t="s">
        <v>20</v>
      </c>
      <c r="B11">
        <v>5508645.3399999999</v>
      </c>
      <c r="C11">
        <v>5336650.59</v>
      </c>
      <c r="D11">
        <v>5661462.2400000002</v>
      </c>
      <c r="E11">
        <v>6108619.54</v>
      </c>
      <c r="F11">
        <v>6428558.2800000003</v>
      </c>
    </row>
    <row r="12" spans="1:6" x14ac:dyDescent="0.25">
      <c r="A12" s="5" t="s">
        <v>21</v>
      </c>
      <c r="B12">
        <v>14450214.59</v>
      </c>
      <c r="C12">
        <v>15078998.189999999</v>
      </c>
      <c r="D12">
        <v>15996771.279999999</v>
      </c>
      <c r="E12">
        <v>17260238.68</v>
      </c>
      <c r="F12">
        <v>18164243.079999998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E51E-C2A1-442B-8C27-ABD9E5731E4D}">
  <dimension ref="A1:F32"/>
  <sheetViews>
    <sheetView workbookViewId="0">
      <selection activeCell="K11" sqref="K11"/>
    </sheetView>
  </sheetViews>
  <sheetFormatPr defaultRowHeight="15" x14ac:dyDescent="0.25"/>
  <cols>
    <col min="1" max="1" width="30.85546875" customWidth="1"/>
    <col min="2" max="6" width="14.7109375" customWidth="1"/>
  </cols>
  <sheetData>
    <row r="1" spans="1:6" x14ac:dyDescent="0.25">
      <c r="A1" s="5" t="s">
        <v>22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</row>
    <row r="2" spans="1:6" x14ac:dyDescent="0.25">
      <c r="A2" s="5" t="s">
        <v>23</v>
      </c>
    </row>
    <row r="3" spans="1:6" x14ac:dyDescent="0.25">
      <c r="A3" t="s">
        <v>24</v>
      </c>
    </row>
    <row r="4" spans="1:6" x14ac:dyDescent="0.25">
      <c r="A4" t="s">
        <v>25</v>
      </c>
      <c r="B4">
        <v>324159.86</v>
      </c>
      <c r="C4">
        <v>1936495.24</v>
      </c>
      <c r="D4">
        <v>1683830.61</v>
      </c>
      <c r="E4">
        <v>1431165.99</v>
      </c>
      <c r="F4">
        <v>3011834.69</v>
      </c>
    </row>
    <row r="5" spans="1:6" x14ac:dyDescent="0.25">
      <c r="A5" t="s">
        <v>26</v>
      </c>
      <c r="B5">
        <v>324159.86</v>
      </c>
      <c r="C5">
        <v>1936495.24</v>
      </c>
      <c r="D5">
        <v>1683830.61</v>
      </c>
      <c r="E5">
        <v>1431165.99</v>
      </c>
      <c r="F5">
        <v>3011834.69</v>
      </c>
    </row>
    <row r="7" spans="1:6" x14ac:dyDescent="0.25">
      <c r="A7" t="s">
        <v>27</v>
      </c>
    </row>
    <row r="8" spans="1:6" x14ac:dyDescent="0.25">
      <c r="A8" t="s">
        <v>28</v>
      </c>
      <c r="B8">
        <v>61552495.600000001</v>
      </c>
      <c r="C8">
        <v>65683155.82</v>
      </c>
      <c r="D8">
        <v>69485413.879999995</v>
      </c>
      <c r="E8">
        <v>73507776.560000002</v>
      </c>
      <c r="F8">
        <v>77762985.260000005</v>
      </c>
    </row>
    <row r="9" spans="1:6" x14ac:dyDescent="0.25">
      <c r="A9" t="s">
        <v>29</v>
      </c>
      <c r="B9">
        <v>13695137.92</v>
      </c>
      <c r="C9">
        <v>14487920.300000001</v>
      </c>
      <c r="D9">
        <v>15326595.16</v>
      </c>
      <c r="E9">
        <v>16213819.119999999</v>
      </c>
      <c r="F9">
        <v>17152402.600000001</v>
      </c>
    </row>
    <row r="10" spans="1:6" x14ac:dyDescent="0.25">
      <c r="A10" t="s">
        <v>30</v>
      </c>
      <c r="B10">
        <v>49737051.140000001</v>
      </c>
      <c r="C10">
        <v>60493860.579999998</v>
      </c>
      <c r="D10">
        <v>73169251.019999996</v>
      </c>
      <c r="E10">
        <v>73956463.969999999</v>
      </c>
      <c r="F10">
        <v>86540228.459999993</v>
      </c>
    </row>
    <row r="11" spans="1:6" x14ac:dyDescent="0.25">
      <c r="A11" t="s">
        <v>31</v>
      </c>
      <c r="B11">
        <v>124984684.65000001</v>
      </c>
      <c r="C11">
        <v>140664936.69999999</v>
      </c>
      <c r="D11">
        <v>157981260.06</v>
      </c>
      <c r="E11">
        <v>163678059.65000001</v>
      </c>
      <c r="F11">
        <v>181455616.31999999</v>
      </c>
    </row>
    <row r="12" spans="1:6" x14ac:dyDescent="0.25">
      <c r="A12" s="5" t="s">
        <v>32</v>
      </c>
      <c r="B12">
        <v>125308844.51000001</v>
      </c>
      <c r="C12">
        <v>142601431.94</v>
      </c>
      <c r="D12">
        <v>159665090.66999999</v>
      </c>
      <c r="E12">
        <v>165109225.63999999</v>
      </c>
      <c r="F12">
        <v>184467451.00999999</v>
      </c>
    </row>
    <row r="14" spans="1:6" x14ac:dyDescent="0.25">
      <c r="A14" s="5" t="s">
        <v>33</v>
      </c>
    </row>
    <row r="15" spans="1:6" x14ac:dyDescent="0.25">
      <c r="A15" t="s">
        <v>34</v>
      </c>
      <c r="B15">
        <v>11203606</v>
      </c>
      <c r="C15">
        <v>14843827.5</v>
      </c>
      <c r="D15">
        <v>14843827.5</v>
      </c>
      <c r="E15">
        <v>14843827.5</v>
      </c>
      <c r="F15">
        <v>14843827.5</v>
      </c>
    </row>
    <row r="16" spans="1:6" x14ac:dyDescent="0.25">
      <c r="A16" t="s">
        <v>35</v>
      </c>
      <c r="B16">
        <v>83893674.109999999</v>
      </c>
      <c r="C16">
        <v>91882611.799999997</v>
      </c>
      <c r="D16">
        <v>107879383.06999999</v>
      </c>
      <c r="E16">
        <v>125139621.75</v>
      </c>
      <c r="F16">
        <v>143303864.84</v>
      </c>
    </row>
    <row r="17" spans="1:6" x14ac:dyDescent="0.25">
      <c r="A17" s="5" t="s">
        <v>36</v>
      </c>
      <c r="B17">
        <v>95097280.109999999</v>
      </c>
      <c r="C17">
        <v>106726439.3</v>
      </c>
      <c r="D17">
        <v>122723210.56999999</v>
      </c>
      <c r="E17">
        <v>139983449.25</v>
      </c>
      <c r="F17">
        <v>158147692.34</v>
      </c>
    </row>
    <row r="19" spans="1:6" x14ac:dyDescent="0.25">
      <c r="A19" s="5" t="s">
        <v>37</v>
      </c>
    </row>
    <row r="20" spans="1:6" x14ac:dyDescent="0.25">
      <c r="A20" t="s">
        <v>38</v>
      </c>
    </row>
    <row r="21" spans="1:6" x14ac:dyDescent="0.25">
      <c r="A21" t="s">
        <v>39</v>
      </c>
      <c r="B21">
        <v>12944751</v>
      </c>
      <c r="C21">
        <v>17444751</v>
      </c>
      <c r="D21">
        <v>17444751</v>
      </c>
      <c r="E21">
        <v>4500000</v>
      </c>
      <c r="F21">
        <v>4500000</v>
      </c>
    </row>
    <row r="22" spans="1:6" x14ac:dyDescent="0.25">
      <c r="A22" t="s">
        <v>40</v>
      </c>
      <c r="B22">
        <v>12944751</v>
      </c>
      <c r="C22">
        <v>17444751</v>
      </c>
      <c r="D22">
        <v>17444751</v>
      </c>
      <c r="E22">
        <v>4500000</v>
      </c>
      <c r="F22">
        <v>4500000</v>
      </c>
    </row>
    <row r="24" spans="1:6" x14ac:dyDescent="0.25">
      <c r="A24" t="s">
        <v>41</v>
      </c>
    </row>
    <row r="25" spans="1:6" x14ac:dyDescent="0.25">
      <c r="A25" t="s">
        <v>42</v>
      </c>
      <c r="B25">
        <v>16837921.140000001</v>
      </c>
      <c r="C25">
        <v>17967879.079999998</v>
      </c>
      <c r="D25">
        <v>19008001.34</v>
      </c>
      <c r="E25">
        <v>20108334.079999998</v>
      </c>
      <c r="F25">
        <v>21272362.73</v>
      </c>
    </row>
    <row r="26" spans="1:6" x14ac:dyDescent="0.25">
      <c r="A26" t="s">
        <v>43</v>
      </c>
      <c r="B26">
        <v>428892.27</v>
      </c>
      <c r="C26">
        <v>462362.56</v>
      </c>
      <c r="D26">
        <v>489127.75</v>
      </c>
      <c r="E26">
        <v>517442.31</v>
      </c>
      <c r="F26">
        <v>547395.94999999995</v>
      </c>
    </row>
    <row r="27" spans="1:6" x14ac:dyDescent="0.25">
      <c r="A27" t="s">
        <v>44</v>
      </c>
      <c r="B27">
        <v>17266813.41</v>
      </c>
      <c r="C27">
        <v>18430241.640000001</v>
      </c>
      <c r="D27">
        <v>19497129.09</v>
      </c>
      <c r="E27">
        <v>20625776.390000001</v>
      </c>
      <c r="F27">
        <v>21819758.670000002</v>
      </c>
    </row>
    <row r="28" spans="1:6" x14ac:dyDescent="0.25">
      <c r="A28" s="5" t="s">
        <v>45</v>
      </c>
      <c r="B28">
        <v>30211564.41</v>
      </c>
      <c r="C28">
        <v>35874992.640000001</v>
      </c>
      <c r="D28">
        <v>36941880.090000004</v>
      </c>
      <c r="E28">
        <v>25125776.390000001</v>
      </c>
      <c r="F28">
        <v>26319758.670000002</v>
      </c>
    </row>
    <row r="30" spans="1:6" x14ac:dyDescent="0.25">
      <c r="A30" s="5" t="s">
        <v>46</v>
      </c>
      <c r="B30">
        <v>125308844.51000001</v>
      </c>
      <c r="C30">
        <v>142601431.94</v>
      </c>
      <c r="D30">
        <v>159665090.66999999</v>
      </c>
      <c r="E30">
        <v>165109225.63999999</v>
      </c>
      <c r="F30">
        <v>184467451.00999999</v>
      </c>
    </row>
    <row r="32" spans="1:6" x14ac:dyDescent="0.25">
      <c r="A32" s="5" t="s">
        <v>47</v>
      </c>
      <c r="B32">
        <v>0</v>
      </c>
      <c r="C32">
        <v>0</v>
      </c>
      <c r="D32">
        <v>0</v>
      </c>
      <c r="E32">
        <v>0</v>
      </c>
      <c r="F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6C54-F037-442E-9976-156EBACFF665}">
  <sheetPr>
    <tabColor rgb="FF002060"/>
  </sheetPr>
  <dimension ref="B1:G28"/>
  <sheetViews>
    <sheetView showGridLines="0" workbookViewId="0">
      <selection activeCell="J10" sqref="J10"/>
    </sheetView>
  </sheetViews>
  <sheetFormatPr defaultRowHeight="15" x14ac:dyDescent="0.25"/>
  <cols>
    <col min="1" max="1" width="2.5703125" customWidth="1"/>
    <col min="2" max="2" width="49.85546875" customWidth="1"/>
    <col min="3" max="3" width="12" bestFit="1" customWidth="1"/>
    <col min="4" max="7" width="13.42578125" customWidth="1"/>
  </cols>
  <sheetData>
    <row r="1" spans="2:7" ht="20.25" thickBot="1" x14ac:dyDescent="0.35">
      <c r="B1" s="7" t="s">
        <v>48</v>
      </c>
    </row>
    <row r="2" spans="2:7" ht="15.75" thickTop="1" x14ac:dyDescent="0.25"/>
    <row r="3" spans="2:7" x14ac:dyDescent="0.25">
      <c r="C3" s="32" t="s">
        <v>57</v>
      </c>
      <c r="D3" s="32"/>
      <c r="E3" s="32"/>
      <c r="F3" s="32"/>
      <c r="G3" s="32"/>
    </row>
    <row r="4" spans="2:7" x14ac:dyDescent="0.25">
      <c r="B4" s="2"/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x14ac:dyDescent="0.25">
      <c r="B5" t="s">
        <v>27</v>
      </c>
    </row>
    <row r="6" spans="2:7" x14ac:dyDescent="0.25">
      <c r="B6" t="s">
        <v>31</v>
      </c>
      <c r="C6">
        <f>'Forecasted Balance Sheet'!B11</f>
        <v>124984684.65000001</v>
      </c>
      <c r="D6">
        <f>'Forecasted Balance Sheet'!C11</f>
        <v>140664936.69999999</v>
      </c>
      <c r="E6">
        <f>'Forecasted Balance Sheet'!D11</f>
        <v>157981260.06</v>
      </c>
      <c r="F6">
        <f>'Forecasted Balance Sheet'!E11</f>
        <v>163678059.65000001</v>
      </c>
      <c r="G6">
        <f>'Forecasted Balance Sheet'!F11</f>
        <v>181455616.31999999</v>
      </c>
    </row>
    <row r="7" spans="2:7" x14ac:dyDescent="0.25">
      <c r="B7" t="s">
        <v>49</v>
      </c>
      <c r="C7">
        <f>'Forecasted Balance Sheet'!B10</f>
        <v>49737051.140000001</v>
      </c>
      <c r="D7">
        <f>'Forecasted Balance Sheet'!C10</f>
        <v>60493860.579999998</v>
      </c>
      <c r="E7">
        <f>'Forecasted Balance Sheet'!D10</f>
        <v>73169251.019999996</v>
      </c>
      <c r="F7">
        <f>'Forecasted Balance Sheet'!E10</f>
        <v>73956463.969999999</v>
      </c>
      <c r="G7">
        <f>'Forecasted Balance Sheet'!F10</f>
        <v>86540228.459999993</v>
      </c>
    </row>
    <row r="8" spans="2:7" x14ac:dyDescent="0.25">
      <c r="B8" s="9" t="s">
        <v>50</v>
      </c>
      <c r="C8" s="9">
        <f>C6-C7</f>
        <v>75247633.510000005</v>
      </c>
      <c r="D8" s="9">
        <f>D6-D7</f>
        <v>80171076.11999999</v>
      </c>
      <c r="E8" s="9">
        <f t="shared" ref="E8:G8" si="0">E6-E7</f>
        <v>84812009.040000007</v>
      </c>
      <c r="F8" s="9">
        <f t="shared" si="0"/>
        <v>89721595.680000007</v>
      </c>
      <c r="G8" s="9">
        <f t="shared" si="0"/>
        <v>94915387.859999999</v>
      </c>
    </row>
    <row r="10" spans="2:7" x14ac:dyDescent="0.25">
      <c r="B10" s="9" t="s">
        <v>41</v>
      </c>
      <c r="C10" s="9">
        <f>'Forecasted Balance Sheet'!B27</f>
        <v>17266813.41</v>
      </c>
      <c r="D10" s="9">
        <f>'Forecasted Balance Sheet'!C27</f>
        <v>18430241.640000001</v>
      </c>
      <c r="E10" s="9">
        <f>'Forecasted Balance Sheet'!D27</f>
        <v>19497129.09</v>
      </c>
      <c r="F10" s="9">
        <f>'Forecasted Balance Sheet'!E27</f>
        <v>20625776.390000001</v>
      </c>
      <c r="G10" s="9">
        <f>'Forecasted Balance Sheet'!F27</f>
        <v>21819758.670000002</v>
      </c>
    </row>
    <row r="12" spans="2:7" x14ac:dyDescent="0.25">
      <c r="B12" s="3" t="s">
        <v>51</v>
      </c>
      <c r="C12" s="3">
        <f>C8-C10</f>
        <v>57980820.100000009</v>
      </c>
      <c r="D12" s="3">
        <f t="shared" ref="D12:G12" si="1">D8-D10</f>
        <v>61740834.479999989</v>
      </c>
      <c r="E12" s="3">
        <f t="shared" si="1"/>
        <v>65314879.950000003</v>
      </c>
      <c r="F12" s="3">
        <f t="shared" si="1"/>
        <v>69095819.290000007</v>
      </c>
      <c r="G12" s="3">
        <f t="shared" si="1"/>
        <v>73095629.189999998</v>
      </c>
    </row>
    <row r="13" spans="2:7" ht="15.75" thickBot="1" x14ac:dyDescent="0.3">
      <c r="B13" s="11" t="s">
        <v>52</v>
      </c>
      <c r="C13" s="10"/>
      <c r="D13" s="10">
        <f>D12-C12</f>
        <v>3760014.3799999803</v>
      </c>
      <c r="E13" s="10">
        <f t="shared" ref="E13:G13" si="2">E12-D12</f>
        <v>3574045.4700000137</v>
      </c>
      <c r="F13" s="10">
        <f t="shared" si="2"/>
        <v>3780939.3400000036</v>
      </c>
      <c r="G13" s="10">
        <f t="shared" si="2"/>
        <v>3999809.8999999911</v>
      </c>
    </row>
    <row r="14" spans="2:7" ht="15.75" thickTop="1" x14ac:dyDescent="0.25"/>
    <row r="15" spans="2:7" ht="20.25" thickBot="1" x14ac:dyDescent="0.35">
      <c r="B15" s="7" t="s">
        <v>53</v>
      </c>
    </row>
    <row r="16" spans="2:7" ht="15.75" thickTop="1" x14ac:dyDescent="0.25"/>
    <row r="17" spans="2:7" x14ac:dyDescent="0.25">
      <c r="B17" t="s">
        <v>54</v>
      </c>
      <c r="D17">
        <f>'Forecasted Balance Sheet'!B4</f>
        <v>324159.86</v>
      </c>
      <c r="E17">
        <f>'Forecasted Balance Sheet'!C4</f>
        <v>1936495.24</v>
      </c>
      <c r="F17">
        <f>'Forecasted Balance Sheet'!D4</f>
        <v>1683830.61</v>
      </c>
      <c r="G17">
        <f>'Forecasted Balance Sheet'!E4</f>
        <v>1431165.99</v>
      </c>
    </row>
    <row r="18" spans="2:7" x14ac:dyDescent="0.25">
      <c r="B18" t="s">
        <v>55</v>
      </c>
      <c r="D18">
        <f>'Forecasted Balance Sheet'!C4</f>
        <v>1936495.24</v>
      </c>
      <c r="E18">
        <f>'Forecasted Balance Sheet'!D4</f>
        <v>1683830.61</v>
      </c>
      <c r="F18">
        <f>'Forecasted Balance Sheet'!E4</f>
        <v>1431165.99</v>
      </c>
      <c r="G18">
        <f>'Forecasted Balance Sheet'!F4</f>
        <v>3011834.69</v>
      </c>
    </row>
    <row r="19" spans="2:7" x14ac:dyDescent="0.25">
      <c r="B19" t="s">
        <v>61</v>
      </c>
      <c r="D19">
        <f>'Forecasted P&amp;L'!C7</f>
        <v>252664.63</v>
      </c>
      <c r="E19">
        <f>'Forecasted P&amp;L'!D7</f>
        <v>252664.63</v>
      </c>
      <c r="F19">
        <f>'Forecasted P&amp;L'!E7</f>
        <v>252664.63</v>
      </c>
      <c r="G19">
        <f>'Forecasted P&amp;L'!F7</f>
        <v>419331.29</v>
      </c>
    </row>
    <row r="20" spans="2:7" ht="15.75" thickBot="1" x14ac:dyDescent="0.3">
      <c r="B20" s="11" t="s">
        <v>56</v>
      </c>
      <c r="C20" s="10"/>
      <c r="D20" s="10">
        <f>D18-D17+D19</f>
        <v>1865000.0099999998</v>
      </c>
      <c r="E20" s="10">
        <f t="shared" ref="E20:G20" si="3">E18-E17+E19</f>
        <v>0</v>
      </c>
      <c r="F20" s="10">
        <f t="shared" si="3"/>
        <v>9.9999998928979039E-3</v>
      </c>
      <c r="G20" s="10">
        <f t="shared" si="3"/>
        <v>1999999.99</v>
      </c>
    </row>
    <row r="21" spans="2:7" ht="15.75" thickTop="1" x14ac:dyDescent="0.25">
      <c r="B21" s="5"/>
    </row>
    <row r="22" spans="2:7" x14ac:dyDescent="0.25">
      <c r="B22" s="5" t="s">
        <v>60</v>
      </c>
      <c r="D22" s="12">
        <f>'Forecasted P&amp;L'!C11/'Forecasted P&amp;L'!C10</f>
        <v>0.26139999994651159</v>
      </c>
      <c r="E22" s="12">
        <f>'Forecasted P&amp;L'!D11/'Forecasted P&amp;L'!D10</f>
        <v>0.26139999990174639</v>
      </c>
      <c r="F22" s="12">
        <f>'Forecasted P&amp;L'!E11/'Forecasted P&amp;L'!E10</f>
        <v>0.2614000000552873</v>
      </c>
      <c r="G22" s="12">
        <f>'Forecasted P&amp;L'!F11/'Forecasted P&amp;L'!F10</f>
        <v>0.26140000018281773</v>
      </c>
    </row>
    <row r="24" spans="2:7" ht="20.25" thickBot="1" x14ac:dyDescent="0.35">
      <c r="B24" s="7" t="s">
        <v>66</v>
      </c>
    </row>
    <row r="25" spans="2:7" ht="15.75" thickTop="1" x14ac:dyDescent="0.25"/>
    <row r="26" spans="2:7" x14ac:dyDescent="0.25">
      <c r="B26" t="s">
        <v>39</v>
      </c>
      <c r="C26" s="13">
        <f>'Forecasted Balance Sheet'!B21</f>
        <v>12944751</v>
      </c>
      <c r="D26" s="13">
        <f>'Forecasted Balance Sheet'!C21</f>
        <v>17444751</v>
      </c>
      <c r="E26" s="13">
        <f>'Forecasted Balance Sheet'!D21</f>
        <v>17444751</v>
      </c>
      <c r="F26" s="13">
        <f>'Forecasted Balance Sheet'!E21</f>
        <v>4500000</v>
      </c>
      <c r="G26" s="13">
        <f>'Forecasted Balance Sheet'!F21</f>
        <v>4500000</v>
      </c>
    </row>
    <row r="27" spans="2:7" ht="15.75" thickBot="1" x14ac:dyDescent="0.3">
      <c r="B27" s="10" t="s">
        <v>67</v>
      </c>
      <c r="C27" s="14"/>
      <c r="D27" s="14">
        <f>D26-C26</f>
        <v>4500000</v>
      </c>
      <c r="E27" s="14">
        <f t="shared" ref="E27:G27" si="4">E26-D26</f>
        <v>0</v>
      </c>
      <c r="F27" s="14">
        <f t="shared" si="4"/>
        <v>-12944751</v>
      </c>
      <c r="G27" s="14">
        <f t="shared" si="4"/>
        <v>0</v>
      </c>
    </row>
    <row r="28" spans="2:7" ht="15.75" thickTop="1" x14ac:dyDescent="0.25"/>
  </sheetData>
  <mergeCells count="1">
    <mergeCell ref="C3:G3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6D7E-EF4E-47B2-8C73-B52A63B12EBC}">
  <sheetPr>
    <tabColor rgb="FF002060"/>
  </sheetPr>
  <dimension ref="B1:F10"/>
  <sheetViews>
    <sheetView showGridLines="0" workbookViewId="0">
      <selection activeCell="H10" sqref="H10"/>
    </sheetView>
  </sheetViews>
  <sheetFormatPr defaultRowHeight="15" x14ac:dyDescent="0.25"/>
  <cols>
    <col min="1" max="1" width="2.5703125" customWidth="1"/>
    <col min="2" max="2" width="49.85546875" customWidth="1"/>
    <col min="3" max="6" width="13.42578125" customWidth="1"/>
  </cols>
  <sheetData>
    <row r="1" spans="2:6" ht="20.25" thickBot="1" x14ac:dyDescent="0.35">
      <c r="B1" s="7" t="s">
        <v>58</v>
      </c>
    </row>
    <row r="2" spans="2:6" ht="15.75" thickTop="1" x14ac:dyDescent="0.25"/>
    <row r="3" spans="2:6" x14ac:dyDescent="0.25">
      <c r="C3" s="32"/>
      <c r="D3" s="32"/>
      <c r="E3" s="32"/>
      <c r="F3" s="32"/>
    </row>
    <row r="4" spans="2:6" x14ac:dyDescent="0.25">
      <c r="B4" s="2"/>
      <c r="C4" s="8" t="s">
        <v>7</v>
      </c>
      <c r="D4" s="8" t="s">
        <v>8</v>
      </c>
      <c r="E4" s="8" t="s">
        <v>9</v>
      </c>
      <c r="F4" s="8" t="s">
        <v>10</v>
      </c>
    </row>
    <row r="5" spans="2:6" x14ac:dyDescent="0.25">
      <c r="B5" t="s">
        <v>59</v>
      </c>
      <c r="C5">
        <f>'Forecasted P&amp;L'!C8*(1-Calculation!D22)</f>
        <v>15667706.248110635</v>
      </c>
      <c r="D5">
        <f>'Forecasted P&amp;L'!D8*(1-Calculation!E22)</f>
        <v>16585479.33814631</v>
      </c>
      <c r="E5">
        <f>'Forecasted P&amp;L'!E8*(1-Calculation!F22)</f>
        <v>17556380.349977832</v>
      </c>
      <c r="F5">
        <f>'Forecasted P&amp;L'!F8*(1-Calculation!G22)</f>
        <v>18460384.749926697</v>
      </c>
    </row>
    <row r="6" spans="2:6" x14ac:dyDescent="0.25">
      <c r="B6" t="s">
        <v>61</v>
      </c>
      <c r="C6">
        <f>'Forecasted P&amp;L'!C7</f>
        <v>252664.63</v>
      </c>
      <c r="D6">
        <f>'Forecasted P&amp;L'!D7</f>
        <v>252664.63</v>
      </c>
      <c r="E6">
        <f>'Forecasted P&amp;L'!E7</f>
        <v>252664.63</v>
      </c>
      <c r="F6">
        <f>'Forecasted P&amp;L'!F7</f>
        <v>419331.29</v>
      </c>
    </row>
    <row r="7" spans="2:6" x14ac:dyDescent="0.25">
      <c r="B7" t="s">
        <v>62</v>
      </c>
      <c r="C7">
        <f>Calculation!D13</f>
        <v>3760014.3799999803</v>
      </c>
      <c r="D7">
        <f>Calculation!E13</f>
        <v>3574045.4700000137</v>
      </c>
      <c r="E7">
        <f>Calculation!F13</f>
        <v>3780939.3400000036</v>
      </c>
      <c r="F7">
        <f>Calculation!G13</f>
        <v>3999809.8999999911</v>
      </c>
    </row>
    <row r="8" spans="2:6" x14ac:dyDescent="0.25">
      <c r="B8" t="s">
        <v>63</v>
      </c>
      <c r="C8">
        <f>Calculation!D20</f>
        <v>1865000.0099999998</v>
      </c>
      <c r="D8">
        <f>Calculation!E20</f>
        <v>0</v>
      </c>
      <c r="E8">
        <f>Calculation!F20</f>
        <v>9.9999998928979039E-3</v>
      </c>
      <c r="F8">
        <f>Calculation!G20</f>
        <v>1999999.99</v>
      </c>
    </row>
    <row r="9" spans="2:6" ht="15.75" thickBot="1" x14ac:dyDescent="0.3">
      <c r="B9" s="11" t="s">
        <v>64</v>
      </c>
      <c r="C9" s="10">
        <f>C5+C6-C7-C8</f>
        <v>10295356.488110656</v>
      </c>
      <c r="D9" s="10">
        <f t="shared" ref="D9:F9" si="0">D5+D6-D7-D8</f>
        <v>13264098.498146296</v>
      </c>
      <c r="E9" s="10">
        <f t="shared" si="0"/>
        <v>14028105.629977828</v>
      </c>
      <c r="F9" s="10">
        <f t="shared" si="0"/>
        <v>12879906.149926705</v>
      </c>
    </row>
    <row r="10" spans="2:6" ht="15.75" thickTop="1" x14ac:dyDescent="0.25"/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19DD-25AF-49E6-9417-D7955E360F1D}">
  <sheetPr>
    <tabColor rgb="FF002060"/>
  </sheetPr>
  <dimension ref="B1:F11"/>
  <sheetViews>
    <sheetView showGridLines="0" workbookViewId="0">
      <selection activeCell="J15" sqref="J15"/>
    </sheetView>
  </sheetViews>
  <sheetFormatPr defaultRowHeight="15" x14ac:dyDescent="0.25"/>
  <cols>
    <col min="1" max="1" width="2.5703125" customWidth="1"/>
    <col min="2" max="2" width="49.85546875" customWidth="1"/>
    <col min="3" max="6" width="13.42578125" customWidth="1"/>
  </cols>
  <sheetData>
    <row r="1" spans="2:6" ht="20.25" thickBot="1" x14ac:dyDescent="0.35">
      <c r="B1" s="7" t="s">
        <v>65</v>
      </c>
    </row>
    <row r="2" spans="2:6" ht="15.75" thickTop="1" x14ac:dyDescent="0.25"/>
    <row r="3" spans="2:6" x14ac:dyDescent="0.25">
      <c r="C3" s="32"/>
      <c r="D3" s="32"/>
      <c r="E3" s="32"/>
      <c r="F3" s="32"/>
    </row>
    <row r="4" spans="2:6" x14ac:dyDescent="0.25">
      <c r="B4" s="2"/>
      <c r="C4" s="8" t="s">
        <v>7</v>
      </c>
      <c r="D4" s="8" t="s">
        <v>8</v>
      </c>
      <c r="E4" s="8" t="s">
        <v>9</v>
      </c>
      <c r="F4" s="8" t="s">
        <v>10</v>
      </c>
    </row>
    <row r="5" spans="2:6" x14ac:dyDescent="0.25">
      <c r="B5" t="s">
        <v>68</v>
      </c>
      <c r="C5">
        <f>'Forecasted P&amp;L'!C12</f>
        <v>15078998.189999999</v>
      </c>
      <c r="D5">
        <f>'Forecasted P&amp;L'!D12</f>
        <v>15996771.279999999</v>
      </c>
      <c r="E5">
        <f>'Forecasted P&amp;L'!E12</f>
        <v>17260238.68</v>
      </c>
      <c r="F5">
        <f>'Forecasted P&amp;L'!F12</f>
        <v>18164243.079999998</v>
      </c>
    </row>
    <row r="6" spans="2:6" x14ac:dyDescent="0.25">
      <c r="B6" t="s">
        <v>69</v>
      </c>
      <c r="C6">
        <f>'Forecasted P&amp;L'!C7</f>
        <v>252664.63</v>
      </c>
      <c r="D6">
        <f>'Forecasted P&amp;L'!D7</f>
        <v>252664.63</v>
      </c>
      <c r="E6">
        <f>'Forecasted P&amp;L'!E7</f>
        <v>252664.63</v>
      </c>
      <c r="F6">
        <f>'Forecasted P&amp;L'!F7</f>
        <v>419331.29</v>
      </c>
    </row>
    <row r="7" spans="2:6" x14ac:dyDescent="0.25">
      <c r="B7" t="s">
        <v>62</v>
      </c>
      <c r="C7">
        <f>Calculation!D13</f>
        <v>3760014.3799999803</v>
      </c>
      <c r="D7">
        <f>Calculation!E13</f>
        <v>3574045.4700000137</v>
      </c>
      <c r="E7">
        <f>Calculation!F13</f>
        <v>3780939.3400000036</v>
      </c>
      <c r="F7">
        <f>Calculation!G13</f>
        <v>3999809.8999999911</v>
      </c>
    </row>
    <row r="8" spans="2:6" x14ac:dyDescent="0.25">
      <c r="B8" t="s">
        <v>71</v>
      </c>
      <c r="C8">
        <f>Calculation!D20</f>
        <v>1865000.0099999998</v>
      </c>
      <c r="D8">
        <f>Calculation!E20</f>
        <v>0</v>
      </c>
      <c r="E8">
        <f>Calculation!F20</f>
        <v>9.9999998928979039E-3</v>
      </c>
      <c r="F8">
        <f>Calculation!G20</f>
        <v>1999999.99</v>
      </c>
    </row>
    <row r="9" spans="2:6" x14ac:dyDescent="0.25">
      <c r="B9" t="s">
        <v>72</v>
      </c>
      <c r="C9" s="13">
        <f>Calculation!D27</f>
        <v>4500000</v>
      </c>
      <c r="D9" s="13">
        <f>Calculation!E27</f>
        <v>0</v>
      </c>
      <c r="E9" s="13">
        <f>Calculation!F27</f>
        <v>-12944751</v>
      </c>
      <c r="F9" s="13">
        <f>Calculation!G27</f>
        <v>0</v>
      </c>
    </row>
    <row r="10" spans="2:6" ht="15.75" thickBot="1" x14ac:dyDescent="0.3">
      <c r="B10" s="11" t="s">
        <v>70</v>
      </c>
      <c r="C10" s="14">
        <f>C5+C6-C7-C8+C9</f>
        <v>14206648.43000002</v>
      </c>
      <c r="D10" s="14">
        <f t="shared" ref="D10:F10" si="0">D5+D6-D7-D8+D9</f>
        <v>12675390.439999986</v>
      </c>
      <c r="E10" s="14">
        <f t="shared" si="0"/>
        <v>787212.95999999531</v>
      </c>
      <c r="F10" s="14">
        <f t="shared" si="0"/>
        <v>12583764.480000006</v>
      </c>
    </row>
    <row r="11" spans="2:6" ht="15.75" thickTop="1" x14ac:dyDescent="0.25"/>
  </sheetData>
  <mergeCells count="1">
    <mergeCell ref="C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86ED-8DF0-446A-8834-6FCCB0E136A1}">
  <dimension ref="A1:B7"/>
  <sheetViews>
    <sheetView workbookViewId="0">
      <selection activeCell="F12" sqref="F12"/>
    </sheetView>
  </sheetViews>
  <sheetFormatPr defaultRowHeight="15" x14ac:dyDescent="0.25"/>
  <cols>
    <col min="1" max="1" width="46.42578125" customWidth="1"/>
  </cols>
  <sheetData>
    <row r="1" spans="1:2" x14ac:dyDescent="0.25">
      <c r="A1" s="5" t="s">
        <v>97</v>
      </c>
    </row>
    <row r="2" spans="1:2" x14ac:dyDescent="0.25">
      <c r="A2" s="5"/>
    </row>
    <row r="3" spans="1:2" x14ac:dyDescent="0.25">
      <c r="A3" t="s">
        <v>82</v>
      </c>
      <c r="B3" s="20">
        <v>0.125</v>
      </c>
    </row>
    <row r="4" spans="1:2" x14ac:dyDescent="0.25">
      <c r="A4" t="s">
        <v>83</v>
      </c>
      <c r="B4" s="20">
        <v>0.03</v>
      </c>
    </row>
    <row r="5" spans="1:2" x14ac:dyDescent="0.25">
      <c r="A5" t="s">
        <v>84</v>
      </c>
      <c r="B5">
        <v>55575327</v>
      </c>
    </row>
    <row r="6" spans="1:2" x14ac:dyDescent="0.25">
      <c r="A6" t="s">
        <v>85</v>
      </c>
      <c r="B6">
        <v>12944751</v>
      </c>
    </row>
    <row r="7" spans="1:2" x14ac:dyDescent="0.25">
      <c r="A7" t="s">
        <v>86</v>
      </c>
      <c r="B7">
        <v>49737051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B86B-EF90-45F4-B4BA-901173A4D3C6}">
  <sheetPr>
    <tabColor rgb="FF002060"/>
  </sheetPr>
  <dimension ref="B1:F20"/>
  <sheetViews>
    <sheetView showGridLines="0" tabSelected="1" workbookViewId="0">
      <selection activeCell="H13" sqref="H13"/>
    </sheetView>
  </sheetViews>
  <sheetFormatPr defaultRowHeight="15" x14ac:dyDescent="0.25"/>
  <cols>
    <col min="1" max="1" width="2.5703125" customWidth="1"/>
    <col min="2" max="2" width="49.85546875" customWidth="1"/>
    <col min="3" max="3" width="16.5703125" customWidth="1"/>
    <col min="4" max="7" width="11.85546875" customWidth="1"/>
  </cols>
  <sheetData>
    <row r="1" spans="2:6" ht="20.25" thickBot="1" x14ac:dyDescent="0.35">
      <c r="B1" s="7" t="s">
        <v>88</v>
      </c>
    </row>
    <row r="2" spans="2:6" ht="15.75" thickTop="1" x14ac:dyDescent="0.25"/>
    <row r="3" spans="2:6" x14ac:dyDescent="0.25">
      <c r="C3" s="32" t="s">
        <v>57</v>
      </c>
      <c r="D3" s="32"/>
      <c r="E3" s="32"/>
      <c r="F3" s="32"/>
    </row>
    <row r="4" spans="2:6" x14ac:dyDescent="0.25">
      <c r="B4" s="2"/>
      <c r="C4" s="8">
        <v>1</v>
      </c>
      <c r="D4" s="8">
        <v>2</v>
      </c>
      <c r="E4" s="8">
        <v>3</v>
      </c>
      <c r="F4" s="8">
        <v>4</v>
      </c>
    </row>
    <row r="5" spans="2:6" x14ac:dyDescent="0.25">
      <c r="B5" t="s">
        <v>64</v>
      </c>
      <c r="C5">
        <f>FCFF!C9</f>
        <v>10295356.488110656</v>
      </c>
      <c r="D5">
        <f>FCFF!D9</f>
        <v>13264098.498146296</v>
      </c>
      <c r="E5">
        <f>FCFF!E9</f>
        <v>14028105.629977828</v>
      </c>
      <c r="F5">
        <f>FCFF!F9</f>
        <v>12879906.149926705</v>
      </c>
    </row>
    <row r="6" spans="2:6" x14ac:dyDescent="0.25">
      <c r="B6" t="s">
        <v>87</v>
      </c>
      <c r="C6" s="13">
        <f>C5/(1+Assumptions!$B$3)^'Enterprise Value'!C4</f>
        <v>9151427.9894316941</v>
      </c>
      <c r="D6" s="13">
        <f>D5/(1+Assumptions!$B$3)^'Enterprise Value'!D4</f>
        <v>10480275.356560037</v>
      </c>
      <c r="E6" s="13">
        <f>E5/(1+Assumptions!$B$3)^'Enterprise Value'!E4</f>
        <v>9852386.944511177</v>
      </c>
      <c r="F6" s="13">
        <f>F5/(1+Assumptions!$B$3)^'Enterprise Value'!F4</f>
        <v>8040862.0012345351</v>
      </c>
    </row>
    <row r="8" spans="2:6" x14ac:dyDescent="0.25">
      <c r="B8" s="21" t="s">
        <v>89</v>
      </c>
    </row>
    <row r="9" spans="2:6" x14ac:dyDescent="0.25">
      <c r="B9" t="s">
        <v>83</v>
      </c>
      <c r="C9" s="20">
        <f>Assumptions!B4</f>
        <v>0.03</v>
      </c>
    </row>
    <row r="10" spans="2:6" x14ac:dyDescent="0.25">
      <c r="B10" t="s">
        <v>90</v>
      </c>
      <c r="C10" s="13">
        <f>(F5*(1+C9))/(Assumptions!B3-Assumptions!B4)</f>
        <v>139645298.25710008</v>
      </c>
    </row>
    <row r="11" spans="2:6" x14ac:dyDescent="0.25">
      <c r="B11" t="s">
        <v>91</v>
      </c>
      <c r="C11" s="13">
        <f>C10/(1+Assumptions!B3)^F4</f>
        <v>87179872.223911285</v>
      </c>
    </row>
    <row r="12" spans="2:6" x14ac:dyDescent="0.25">
      <c r="B12" s="22" t="s">
        <v>88</v>
      </c>
      <c r="C12" s="23">
        <f>SUM(C6:F6)+C11</f>
        <v>124704824.51564872</v>
      </c>
    </row>
    <row r="14" spans="2:6" ht="20.25" thickBot="1" x14ac:dyDescent="0.35">
      <c r="B14" s="7" t="s">
        <v>92</v>
      </c>
    </row>
    <row r="15" spans="2:6" ht="15.75" thickTop="1" x14ac:dyDescent="0.25"/>
    <row r="16" spans="2:6" x14ac:dyDescent="0.25">
      <c r="B16" t="s">
        <v>88</v>
      </c>
      <c r="C16" s="13">
        <f>C12</f>
        <v>124704824.51564872</v>
      </c>
    </row>
    <row r="17" spans="2:3" x14ac:dyDescent="0.25">
      <c r="B17" t="s">
        <v>93</v>
      </c>
      <c r="C17">
        <f>Assumptions!B6</f>
        <v>12944751</v>
      </c>
    </row>
    <row r="18" spans="2:3" x14ac:dyDescent="0.25">
      <c r="B18" t="s">
        <v>94</v>
      </c>
      <c r="C18">
        <f>Assumptions!B7</f>
        <v>49737051</v>
      </c>
    </row>
    <row r="19" spans="2:3" x14ac:dyDescent="0.25">
      <c r="B19" t="s">
        <v>95</v>
      </c>
      <c r="C19" s="13">
        <f>C16-C17+C18</f>
        <v>161497124.51564872</v>
      </c>
    </row>
    <row r="20" spans="2:3" x14ac:dyDescent="0.25">
      <c r="B20" s="22" t="s">
        <v>96</v>
      </c>
      <c r="C20" s="23">
        <f>C19/Assumptions!B5</f>
        <v>2.9059140671479762</v>
      </c>
    </row>
  </sheetData>
  <mergeCells count="1"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Description</vt:lpstr>
      <vt:lpstr>Forecasted P&amp;L</vt:lpstr>
      <vt:lpstr>Forecasted Balance Sheet</vt:lpstr>
      <vt:lpstr>Calculation</vt:lpstr>
      <vt:lpstr>FCFF</vt:lpstr>
      <vt:lpstr>FCFE</vt:lpstr>
      <vt:lpstr>Assumptions</vt:lpstr>
      <vt:lpstr>Enterprise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iamGYAN</dc:creator>
  <cp:lastModifiedBy>Gyan Ranjan</cp:lastModifiedBy>
  <dcterms:created xsi:type="dcterms:W3CDTF">2015-06-05T18:17:20Z</dcterms:created>
  <dcterms:modified xsi:type="dcterms:W3CDTF">2024-05-14T03:16:40Z</dcterms:modified>
</cp:coreProperties>
</file>