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GIT_Project\Financial_Fundamental_Technical\Tata Motors\Shareable Data\"/>
    </mc:Choice>
  </mc:AlternateContent>
  <xr:revisionPtr revIDLastSave="0" documentId="13_ncr:1_{F419D823-0B0C-4CDD-8733-2911125D3611}" xr6:coauthVersionLast="47" xr6:coauthVersionMax="47" xr10:uidLastSave="{00000000-0000-0000-0000-000000000000}"/>
  <bookViews>
    <workbookView xWindow="-120" yWindow="-120" windowWidth="20730" windowHeight="11310" tabRatio="946" activeTab="1" xr2:uid="{00000000-000D-0000-FFFF-FFFF00000000}"/>
  </bookViews>
  <sheets>
    <sheet name="Index" sheetId="30" r:id="rId1"/>
    <sheet name="Dashboard" sheetId="27" r:id="rId2"/>
    <sheet name="P&amp;L" sheetId="25" r:id="rId3"/>
    <sheet name="Balance Sheet" sheetId="15" r:id="rId4"/>
    <sheet name="Cash Flow" sheetId="11" r:id="rId5"/>
    <sheet name="P&amp;L Analysis" sheetId="12" r:id="rId6"/>
    <sheet name="Balance Sheet Analysis" sheetId="16" r:id="rId7"/>
    <sheet name="Cash Flow Analysis" sheetId="22" r:id="rId8"/>
    <sheet name="Ratio Analysis" sheetId="23" r:id="rId9"/>
    <sheet name="Revenue Data" sheetId="26" r:id="rId10"/>
    <sheet name="Working Data" sheetId="28" r:id="rId11"/>
  </sheets>
  <definedNames>
    <definedName name="_xlchart.v1.0" hidden="1">'P&amp;L Analysis'!$B$18</definedName>
    <definedName name="_xlchart.v1.1" hidden="1">'P&amp;L Analysis'!$C$18:$E$18</definedName>
    <definedName name="_xlchart.v1.2" hidden="1">'P&amp;L Analysis'!$C$3:$E$3</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6" l="1"/>
  <c r="E6" i="28" s="1"/>
  <c r="D18" i="16"/>
  <c r="E5" i="28" s="1"/>
  <c r="C18" i="16"/>
  <c r="D13" i="12"/>
  <c r="D18" i="12" s="1"/>
  <c r="C17" i="28" s="1"/>
  <c r="E8" i="12"/>
  <c r="E13" i="12" s="1"/>
  <c r="E18" i="12" s="1"/>
  <c r="C18" i="28" s="1"/>
  <c r="D8" i="12"/>
  <c r="C8" i="12"/>
  <c r="C13" i="12" s="1"/>
  <c r="E4" i="28"/>
  <c r="C12" i="28"/>
  <c r="C11" i="28"/>
  <c r="C9" i="28"/>
  <c r="C8" i="28"/>
  <c r="C7" i="28"/>
  <c r="C6" i="28"/>
  <c r="C5" i="28"/>
  <c r="C4" i="28"/>
  <c r="C18" i="12" l="1"/>
  <c r="C16" i="28" s="1"/>
  <c r="C13" i="28"/>
  <c r="C10" i="28"/>
  <c r="D7" i="26"/>
  <c r="E7" i="26"/>
  <c r="C7" i="26"/>
  <c r="P10" i="12"/>
  <c r="Q10" i="12"/>
  <c r="O10" i="12"/>
  <c r="D35" i="25"/>
  <c r="E35" i="25"/>
  <c r="C35" i="25"/>
  <c r="D33" i="25"/>
  <c r="E33" i="25"/>
  <c r="C33" i="25"/>
  <c r="D29" i="25"/>
  <c r="E29" i="25"/>
  <c r="C29" i="25"/>
  <c r="D22" i="25"/>
  <c r="E22" i="25"/>
  <c r="C22" i="25"/>
  <c r="D13" i="25"/>
  <c r="E13" i="25"/>
  <c r="C13" i="25"/>
  <c r="E7" i="25" l="1"/>
  <c r="E14" i="25" s="1"/>
  <c r="E23" i="25" s="1"/>
  <c r="D7" i="25"/>
  <c r="D14" i="25" s="1"/>
  <c r="D23" i="25" s="1"/>
  <c r="C7" i="25"/>
  <c r="C14" i="25" s="1"/>
  <c r="C23" i="25" s="1"/>
  <c r="D10" i="23" l="1"/>
  <c r="E10" i="23"/>
  <c r="C10" i="23"/>
  <c r="D24" i="23"/>
  <c r="E24" i="23"/>
  <c r="C24" i="23"/>
  <c r="E23" i="23"/>
  <c r="D23" i="23"/>
  <c r="C23" i="23"/>
  <c r="E22" i="23"/>
  <c r="D22" i="23"/>
  <c r="C22" i="23"/>
  <c r="E21" i="23"/>
  <c r="D21" i="23"/>
  <c r="C21" i="23"/>
  <c r="E30" i="23" l="1"/>
  <c r="D30" i="23"/>
  <c r="C30" i="23"/>
  <c r="D29" i="23"/>
  <c r="E29" i="23"/>
  <c r="C29" i="23"/>
  <c r="D27" i="23"/>
  <c r="E27" i="23"/>
  <c r="C27" i="23"/>
  <c r="D26" i="23"/>
  <c r="E26" i="23"/>
  <c r="C26" i="23"/>
  <c r="D28" i="23"/>
  <c r="E28" i="23"/>
  <c r="C28" i="23"/>
  <c r="E20" i="23"/>
  <c r="D20" i="23"/>
  <c r="C20" i="23"/>
  <c r="E19" i="23"/>
  <c r="D19" i="23"/>
  <c r="C19" i="23"/>
  <c r="E18" i="23"/>
  <c r="D18" i="23"/>
  <c r="C18" i="23"/>
  <c r="E17" i="23"/>
  <c r="D17" i="23"/>
  <c r="C17" i="23"/>
  <c r="E16" i="23"/>
  <c r="D16" i="23"/>
  <c r="C16" i="23"/>
  <c r="D14" i="23"/>
  <c r="E14" i="23"/>
  <c r="C14" i="23"/>
  <c r="D13" i="23"/>
  <c r="E13" i="23"/>
  <c r="C13" i="23"/>
  <c r="D12" i="23"/>
  <c r="E12" i="23"/>
  <c r="C12" i="23"/>
  <c r="D8" i="23"/>
  <c r="E8" i="23"/>
  <c r="C8" i="23"/>
  <c r="D7" i="23"/>
  <c r="E7" i="23"/>
  <c r="C7" i="23"/>
  <c r="M6" i="16"/>
  <c r="L6" i="16"/>
  <c r="D40" i="22" l="1"/>
  <c r="E40" i="22"/>
  <c r="C40" i="22"/>
  <c r="D18" i="22"/>
  <c r="E18" i="22"/>
  <c r="C18" i="22"/>
  <c r="D17" i="22"/>
  <c r="E17" i="22"/>
  <c r="C17" i="22"/>
  <c r="D10" i="22"/>
  <c r="E10" i="22"/>
  <c r="C10" i="22"/>
  <c r="D9" i="22"/>
  <c r="E9" i="22"/>
  <c r="C9" i="22"/>
  <c r="D8" i="22"/>
  <c r="E8" i="22"/>
  <c r="C8" i="22"/>
  <c r="D7" i="22"/>
  <c r="E7" i="22"/>
  <c r="C7" i="22"/>
  <c r="D6" i="22"/>
  <c r="E6" i="22"/>
  <c r="C6" i="22"/>
  <c r="D5" i="22"/>
  <c r="E5" i="22"/>
  <c r="C5" i="22"/>
  <c r="E101" i="11"/>
  <c r="D101" i="11"/>
  <c r="D103" i="11" s="1"/>
  <c r="E103" i="11"/>
  <c r="C103" i="11"/>
  <c r="D100" i="11"/>
  <c r="E100" i="11"/>
  <c r="C100" i="11"/>
  <c r="D99" i="11"/>
  <c r="E99" i="11"/>
  <c r="C99" i="11"/>
  <c r="D80" i="11"/>
  <c r="E80" i="11"/>
  <c r="C80" i="11"/>
  <c r="D55" i="11"/>
  <c r="E55" i="11"/>
  <c r="C55" i="11"/>
  <c r="D54" i="11"/>
  <c r="E54" i="11"/>
  <c r="C54" i="11"/>
  <c r="D47" i="11"/>
  <c r="E47" i="11"/>
  <c r="C47" i="11"/>
  <c r="D44" i="11"/>
  <c r="E44" i="11"/>
  <c r="C44" i="11"/>
  <c r="D41" i="11"/>
  <c r="E41" i="11"/>
  <c r="C41" i="11"/>
  <c r="D38" i="11"/>
  <c r="E38" i="11"/>
  <c r="C38" i="11"/>
  <c r="D34" i="11"/>
  <c r="E34" i="11"/>
  <c r="C34" i="11"/>
  <c r="L5" i="16"/>
  <c r="M5" i="16"/>
  <c r="K5" i="16"/>
  <c r="L4" i="16"/>
  <c r="H38" i="16"/>
  <c r="G38" i="16"/>
  <c r="H37" i="16"/>
  <c r="G37" i="16"/>
  <c r="H36" i="16"/>
  <c r="G36" i="16"/>
  <c r="H35" i="16"/>
  <c r="G35" i="16"/>
  <c r="H34" i="16"/>
  <c r="G34" i="16"/>
  <c r="H33" i="16"/>
  <c r="G33" i="16"/>
  <c r="G28" i="16"/>
  <c r="H28" i="16"/>
  <c r="G29" i="16"/>
  <c r="H29" i="16"/>
  <c r="G30" i="16"/>
  <c r="H30" i="16"/>
  <c r="H27" i="16"/>
  <c r="G27" i="16"/>
  <c r="H23" i="16"/>
  <c r="G23" i="16"/>
  <c r="H22" i="16"/>
  <c r="G22" i="16"/>
  <c r="H21" i="16"/>
  <c r="G21" i="16"/>
  <c r="G13" i="16"/>
  <c r="H13" i="16"/>
  <c r="G14" i="16"/>
  <c r="H14" i="16"/>
  <c r="G15" i="16"/>
  <c r="H15" i="16"/>
  <c r="G16" i="16"/>
  <c r="H16" i="16"/>
  <c r="H12" i="16"/>
  <c r="G12" i="16"/>
  <c r="G6" i="16"/>
  <c r="H6" i="16"/>
  <c r="G7" i="16"/>
  <c r="H7" i="16"/>
  <c r="G8" i="16"/>
  <c r="H8" i="16"/>
  <c r="G9" i="16"/>
  <c r="H9" i="16"/>
  <c r="H5" i="16"/>
  <c r="G5" i="16"/>
  <c r="E39" i="16"/>
  <c r="D39" i="16"/>
  <c r="C39" i="16"/>
  <c r="D31" i="16"/>
  <c r="E31" i="16"/>
  <c r="C31" i="16"/>
  <c r="D24" i="16"/>
  <c r="E24" i="16"/>
  <c r="C24" i="16"/>
  <c r="D17" i="16"/>
  <c r="E17" i="16"/>
  <c r="M4" i="16" s="1"/>
  <c r="C17" i="16"/>
  <c r="K4" i="16" s="1"/>
  <c r="D10" i="16"/>
  <c r="E10" i="16"/>
  <c r="H10" i="16" s="1"/>
  <c r="C10" i="16"/>
  <c r="E72" i="15"/>
  <c r="D72" i="15"/>
  <c r="C72" i="15"/>
  <c r="E57" i="15"/>
  <c r="D57" i="15"/>
  <c r="C57" i="15"/>
  <c r="E44" i="15"/>
  <c r="E46" i="15" s="1"/>
  <c r="D44" i="15"/>
  <c r="C44" i="15"/>
  <c r="C46" i="15" s="1"/>
  <c r="E37" i="15"/>
  <c r="D37" i="15"/>
  <c r="C37" i="15"/>
  <c r="E22" i="15"/>
  <c r="D22" i="15"/>
  <c r="C22" i="15"/>
  <c r="J5" i="12"/>
  <c r="K5" i="12"/>
  <c r="L5" i="12"/>
  <c r="J7" i="12"/>
  <c r="K7" i="12"/>
  <c r="L7" i="12"/>
  <c r="J9" i="12"/>
  <c r="K9" i="12"/>
  <c r="L9" i="12"/>
  <c r="J10" i="12"/>
  <c r="K10" i="12"/>
  <c r="L10" i="12"/>
  <c r="J11" i="12"/>
  <c r="K11" i="12"/>
  <c r="L11" i="12"/>
  <c r="J12" i="12"/>
  <c r="K12" i="12"/>
  <c r="L12" i="12"/>
  <c r="J14" i="12"/>
  <c r="K14" i="12"/>
  <c r="L14" i="12"/>
  <c r="J15" i="12"/>
  <c r="K15" i="12"/>
  <c r="L15" i="12"/>
  <c r="J17" i="12"/>
  <c r="K17" i="12"/>
  <c r="L17" i="12"/>
  <c r="K4" i="12"/>
  <c r="L4" i="12"/>
  <c r="J4" i="12"/>
  <c r="J5" i="22" l="1"/>
  <c r="I5" i="22"/>
  <c r="H5" i="22"/>
  <c r="E21" i="22"/>
  <c r="D21" i="22"/>
  <c r="C21" i="22"/>
  <c r="C11" i="22"/>
  <c r="D11" i="22"/>
  <c r="E11" i="22"/>
  <c r="G17" i="16"/>
  <c r="G39" i="16"/>
  <c r="H31" i="16"/>
  <c r="H39" i="16"/>
  <c r="H24" i="16"/>
  <c r="G31" i="16"/>
  <c r="H17" i="16"/>
  <c r="G24" i="16"/>
  <c r="G10" i="16"/>
  <c r="D40" i="16"/>
  <c r="E40" i="16"/>
  <c r="C40" i="16"/>
  <c r="C42" i="16" s="1"/>
  <c r="C45" i="16" s="1"/>
  <c r="C38" i="15"/>
  <c r="E73" i="15"/>
  <c r="E75" i="15" s="1"/>
  <c r="D46" i="15"/>
  <c r="C73" i="15"/>
  <c r="C75" i="15" s="1"/>
  <c r="E38" i="15"/>
  <c r="D73" i="15"/>
  <c r="D38" i="15"/>
  <c r="O4" i="12"/>
  <c r="H5" i="12"/>
  <c r="G5" i="12"/>
  <c r="D16" i="12"/>
  <c r="K16" i="12" s="1"/>
  <c r="E16" i="12"/>
  <c r="L16" i="12" s="1"/>
  <c r="C16" i="12"/>
  <c r="J16" i="12" s="1"/>
  <c r="E6" i="12"/>
  <c r="L6" i="12" s="1"/>
  <c r="D6" i="12"/>
  <c r="C6" i="12"/>
  <c r="H8" i="22" l="1"/>
  <c r="H4" i="22"/>
  <c r="H6" i="22"/>
  <c r="J8" i="22"/>
  <c r="J6" i="22"/>
  <c r="J4" i="22"/>
  <c r="I8" i="22"/>
  <c r="I4" i="22"/>
  <c r="I6" i="22"/>
  <c r="C41" i="22"/>
  <c r="C45" i="22" s="1"/>
  <c r="E41" i="22"/>
  <c r="D41" i="22"/>
  <c r="H18" i="16"/>
  <c r="E42" i="16"/>
  <c r="H40" i="16"/>
  <c r="D42" i="16"/>
  <c r="G40" i="16"/>
  <c r="G18" i="16"/>
  <c r="O7" i="12"/>
  <c r="J6" i="12"/>
  <c r="P7" i="12"/>
  <c r="K6" i="12"/>
  <c r="C77" i="15"/>
  <c r="D75" i="15"/>
  <c r="E77" i="15"/>
  <c r="J8" i="12"/>
  <c r="H6" i="12"/>
  <c r="L8" i="12"/>
  <c r="K8" i="12"/>
  <c r="G6" i="12"/>
  <c r="Q7" i="12"/>
  <c r="E45" i="22" l="1"/>
  <c r="D45" i="22"/>
  <c r="D45" i="16"/>
  <c r="G42" i="16"/>
  <c r="E45" i="16"/>
  <c r="H42" i="16"/>
  <c r="D77" i="15"/>
  <c r="G7" i="12"/>
  <c r="H7" i="12"/>
  <c r="G9" i="12"/>
  <c r="H9" i="12"/>
  <c r="G10" i="12"/>
  <c r="H10" i="12"/>
  <c r="G11" i="12"/>
  <c r="H11" i="12"/>
  <c r="G12" i="12"/>
  <c r="H12" i="12"/>
  <c r="G14" i="12"/>
  <c r="H14" i="12"/>
  <c r="G15" i="12"/>
  <c r="H15" i="12"/>
  <c r="G16" i="12"/>
  <c r="H16" i="12"/>
  <c r="G17" i="12"/>
  <c r="H17" i="12"/>
  <c r="H4" i="12"/>
  <c r="G4" i="12"/>
  <c r="O8" i="12"/>
  <c r="Q11" i="12" l="1"/>
  <c r="J7" i="22"/>
  <c r="P11" i="12"/>
  <c r="I7" i="22"/>
  <c r="O11" i="12"/>
  <c r="H7" i="22"/>
  <c r="L13" i="12"/>
  <c r="J13" i="12"/>
  <c r="G13" i="12"/>
  <c r="K13" i="12"/>
  <c r="H13" i="12"/>
  <c r="H8" i="12"/>
  <c r="G8" i="12"/>
  <c r="Q8" i="12"/>
  <c r="P8" i="12"/>
  <c r="D6" i="23" l="1"/>
  <c r="D5" i="23"/>
  <c r="D9" i="23"/>
  <c r="D32" i="23" s="1"/>
  <c r="E9" i="23"/>
  <c r="E32" i="23" s="1"/>
  <c r="E5" i="23"/>
  <c r="E6" i="23"/>
  <c r="C6" i="23"/>
  <c r="C9" i="23"/>
  <c r="C32" i="23" s="1"/>
  <c r="C5" i="23"/>
  <c r="J18" i="12"/>
  <c r="O9" i="12"/>
  <c r="K18" i="12"/>
  <c r="P9" i="12"/>
  <c r="G18" i="12"/>
  <c r="H18" i="12"/>
  <c r="Q4" i="12"/>
  <c r="L18" i="12"/>
  <c r="Q9" i="1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<sst xmlns="http://schemas.openxmlformats.org/spreadsheetml/2006/main" count="501" uniqueCount="315">
  <si>
    <t>Consolidated Balance Sheet</t>
  </si>
  <si>
    <t>Equity Share Capital</t>
  </si>
  <si>
    <t>Total Shareholders Funds</t>
  </si>
  <si>
    <t>Minority Interest</t>
  </si>
  <si>
    <t>NON-CURRENT LIABILITIES</t>
  </si>
  <si>
    <t>CURRENT LIABILITIES</t>
  </si>
  <si>
    <t>Trade Payables</t>
  </si>
  <si>
    <t>Other Current Liabilities</t>
  </si>
  <si>
    <t>ASSETS</t>
  </si>
  <si>
    <t>NON-CURRENT ASSETS</t>
  </si>
  <si>
    <t>Capital Work-In-Progress</t>
  </si>
  <si>
    <t>Intangible Assets Under Development</t>
  </si>
  <si>
    <t>Deferred Tax Assets [Net]</t>
  </si>
  <si>
    <t>Long Term Loans And Advances</t>
  </si>
  <si>
    <t>CURRENT ASSETS</t>
  </si>
  <si>
    <t>Current Investments</t>
  </si>
  <si>
    <t>Inventories</t>
  </si>
  <si>
    <t>Trade Receivables</t>
  </si>
  <si>
    <t>Cash And Cash Equivalents</t>
  </si>
  <si>
    <t>Short Term Loans And Advances</t>
  </si>
  <si>
    <t>Total Assets</t>
  </si>
  <si>
    <t>Total Expenses</t>
  </si>
  <si>
    <t>Deferred Tax</t>
  </si>
  <si>
    <t>Total Tax Expenses</t>
  </si>
  <si>
    <t>Share Of Profit/Loss Of Associates</t>
  </si>
  <si>
    <r>
      <rPr>
        <sz val="11"/>
        <color rgb="FF080808"/>
        <rFont val="Calibri"/>
        <family val="2"/>
        <scheme val="minor"/>
      </rPr>
      <t>Payments for property, plant and equipment</t>
    </r>
  </si>
  <si>
    <r>
      <rPr>
        <sz val="11"/>
        <color rgb="FF080808"/>
        <rFont val="Calibri"/>
        <family val="2"/>
        <scheme val="minor"/>
      </rPr>
      <t>Payments for other intangible assets</t>
    </r>
  </si>
  <si>
    <r>
      <rPr>
        <sz val="11"/>
        <color rgb="FF080808"/>
        <rFont val="Calibri"/>
        <family val="2"/>
        <scheme val="minor"/>
      </rPr>
      <t>Proceeds from sale of property, plant and equipment</t>
    </r>
  </si>
  <si>
    <r>
      <rPr>
        <sz val="11"/>
        <color rgb="FF080808"/>
        <rFont val="Calibri"/>
        <family val="2"/>
        <scheme val="minor"/>
      </rPr>
      <t>Investments in mutual fund (purchased)/sold (net)</t>
    </r>
  </si>
  <si>
    <r>
      <rPr>
        <sz val="11"/>
        <color rgb="FF080808"/>
        <rFont val="Calibri"/>
        <family val="2"/>
        <scheme val="minor"/>
      </rPr>
      <t>Investment in equity accounted investees</t>
    </r>
  </si>
  <si>
    <r>
      <rPr>
        <sz val="11"/>
        <color rgb="FF080808"/>
        <rFont val="Calibri"/>
        <family val="2"/>
        <scheme val="minor"/>
      </rPr>
      <t>Investments - others</t>
    </r>
  </si>
  <si>
    <r>
      <rPr>
        <sz val="11"/>
        <color rgb="FF080808"/>
        <rFont val="Calibri"/>
        <family val="2"/>
        <scheme val="minor"/>
      </rPr>
      <t>Proceeds from loans given to others</t>
    </r>
  </si>
  <si>
    <r>
      <rPr>
        <sz val="11"/>
        <color rgb="FF080808"/>
        <rFont val="Calibri"/>
        <family val="2"/>
        <scheme val="minor"/>
      </rPr>
      <t xml:space="preserve">Loans given to joint </t>
    </r>
    <r>
      <rPr>
        <sz val="11"/>
        <color rgb="FF1F1F1F"/>
        <rFont val="Calibri"/>
        <family val="2"/>
        <scheme val="minor"/>
      </rPr>
      <t>venture</t>
    </r>
  </si>
  <si>
    <r>
      <rPr>
        <sz val="11"/>
        <color rgb="FF080808"/>
        <rFont val="Calibri"/>
        <family val="2"/>
        <scheme val="minor"/>
      </rPr>
      <t>Proceeds from sale of investments in other companies</t>
    </r>
  </si>
  <si>
    <r>
      <rPr>
        <sz val="11"/>
        <color rgb="FF080808"/>
        <rFont val="Calibri"/>
        <family val="2"/>
        <scheme val="minor"/>
      </rPr>
      <t>Interest received</t>
    </r>
  </si>
  <si>
    <r>
      <rPr>
        <sz val="11"/>
        <color rgb="FF080808"/>
        <rFont val="Calibri"/>
        <family val="2"/>
        <scheme val="minor"/>
      </rPr>
      <t>Dividend received</t>
    </r>
  </si>
  <si>
    <r>
      <rPr>
        <sz val="11"/>
        <color rgb="FF080808"/>
        <rFont val="Calibri"/>
        <family val="2"/>
        <scheme val="minor"/>
      </rPr>
      <t>Dividend received from equity accounted investees</t>
    </r>
  </si>
  <si>
    <r>
      <rPr>
        <sz val="11"/>
        <color rgb="FF080808"/>
        <rFont val="Calibri"/>
        <family val="2"/>
        <scheme val="minor"/>
      </rPr>
      <t>Deposits with financial institution</t>
    </r>
  </si>
  <si>
    <r>
      <rPr>
        <sz val="11"/>
        <color rgb="FF080808"/>
        <rFont val="Calibri"/>
        <family val="2"/>
        <scheme val="minor"/>
      </rPr>
      <t>Realisation of deposit with financial institution</t>
    </r>
  </si>
  <si>
    <r>
      <rPr>
        <sz val="11"/>
        <color rgb="FF080808"/>
        <rFont val="Calibri"/>
        <family val="2"/>
        <scheme val="minor"/>
      </rPr>
      <t>Deposits/restricted deposits with banks</t>
    </r>
  </si>
  <si>
    <r>
      <rPr>
        <sz val="11"/>
        <color rgb="FF080808"/>
        <rFont val="Calibri"/>
        <family val="2"/>
        <scheme val="minor"/>
      </rPr>
      <t>Realisation of deposits/restricted deposits with banks</t>
    </r>
  </si>
  <si>
    <r>
      <rPr>
        <sz val="11"/>
        <color rgb="FF1F1F1F"/>
        <rFont val="Calibri"/>
        <family val="2"/>
        <scheme val="minor"/>
      </rPr>
      <t xml:space="preserve">(Increase)/ </t>
    </r>
    <r>
      <rPr>
        <sz val="11"/>
        <color rgb="FF080808"/>
        <rFont val="Calibri"/>
        <family val="2"/>
        <scheme val="minor"/>
      </rPr>
      <t>decrease in short term Inter-corporate deposits</t>
    </r>
  </si>
  <si>
    <r>
      <rPr>
        <sz val="11"/>
        <color rgb="FF070707"/>
        <rFont val="Calibri"/>
        <family val="2"/>
        <scheme val="minor"/>
      </rPr>
      <t xml:space="preserve">Proceeds from </t>
    </r>
    <r>
      <rPr>
        <sz val="11"/>
        <color rgb="FF161616"/>
        <rFont val="Calibri"/>
        <family val="2"/>
        <scheme val="minor"/>
      </rPr>
      <t xml:space="preserve">issue </t>
    </r>
    <r>
      <rPr>
        <sz val="11"/>
        <color rgb="FF070707"/>
        <rFont val="Calibri"/>
        <family val="2"/>
        <scheme val="minor"/>
      </rPr>
      <t xml:space="preserve">of shares and warrants (net </t>
    </r>
    <r>
      <rPr>
        <sz val="11"/>
        <color rgb="FF161616"/>
        <rFont val="Calibri"/>
        <family val="2"/>
        <scheme val="minor"/>
      </rPr>
      <t xml:space="preserve">of </t>
    </r>
    <r>
      <rPr>
        <sz val="11"/>
        <color rgb="FF070707"/>
        <rFont val="Calibri"/>
        <family val="2"/>
        <scheme val="minor"/>
      </rPr>
      <t xml:space="preserve">issue </t>
    </r>
    <r>
      <rPr>
        <sz val="11"/>
        <color rgb="FF161616"/>
        <rFont val="Calibri"/>
        <family val="2"/>
        <scheme val="minor"/>
      </rPr>
      <t>expenses)</t>
    </r>
  </si>
  <si>
    <r>
      <rPr>
        <sz val="11"/>
        <color rgb="FF070707"/>
        <rFont val="Calibri"/>
        <family val="2"/>
        <scheme val="minor"/>
      </rPr>
      <t>Proceeds from long-term borrowings</t>
    </r>
  </si>
  <si>
    <r>
      <rPr>
        <sz val="11"/>
        <color rgb="FF070707"/>
        <rFont val="Calibri"/>
        <family val="2"/>
        <scheme val="minor"/>
      </rPr>
      <t xml:space="preserve">Repayment </t>
    </r>
    <r>
      <rPr>
        <sz val="11"/>
        <color rgb="FF161616"/>
        <rFont val="Calibri"/>
        <family val="2"/>
        <scheme val="minor"/>
      </rPr>
      <t xml:space="preserve">of </t>
    </r>
    <r>
      <rPr>
        <sz val="11"/>
        <color rgb="FF070707"/>
        <rFont val="Calibri"/>
        <family val="2"/>
        <scheme val="minor"/>
      </rPr>
      <t>long-term borrowings</t>
    </r>
  </si>
  <si>
    <r>
      <rPr>
        <sz val="11"/>
        <color rgb="FF070707"/>
        <rFont val="Calibri"/>
        <family val="2"/>
        <scheme val="minor"/>
      </rPr>
      <t xml:space="preserve">Proceeds from </t>
    </r>
    <r>
      <rPr>
        <sz val="11"/>
        <color rgb="FF161616"/>
        <rFont val="Calibri"/>
        <family val="2"/>
        <scheme val="minor"/>
      </rPr>
      <t xml:space="preserve">option </t>
    </r>
    <r>
      <rPr>
        <sz val="11"/>
        <color rgb="FF070707"/>
        <rFont val="Calibri"/>
        <family val="2"/>
        <scheme val="minor"/>
      </rPr>
      <t xml:space="preserve">settlement </t>
    </r>
    <r>
      <rPr>
        <sz val="11"/>
        <color rgb="FF161616"/>
        <rFont val="Calibri"/>
        <family val="2"/>
        <scheme val="minor"/>
      </rPr>
      <t xml:space="preserve">of </t>
    </r>
    <r>
      <rPr>
        <sz val="11"/>
        <color rgb="FF070707"/>
        <rFont val="Calibri"/>
        <family val="2"/>
        <scheme val="minor"/>
      </rPr>
      <t>long term borrowings</t>
    </r>
  </si>
  <si>
    <r>
      <rPr>
        <sz val="11"/>
        <color rgb="FF070707"/>
        <rFont val="Calibri"/>
        <family val="2"/>
        <scheme val="minor"/>
      </rPr>
      <t>Repayment of matured fixed deposits</t>
    </r>
  </si>
  <si>
    <r>
      <rPr>
        <sz val="11"/>
        <color rgb="FF070707"/>
        <rFont val="Calibri"/>
        <family val="2"/>
        <scheme val="minor"/>
      </rPr>
      <t>Proceeds from short-term borrowings</t>
    </r>
  </si>
  <si>
    <r>
      <rPr>
        <sz val="11"/>
        <color rgb="FF070707"/>
        <rFont val="Calibri"/>
        <family val="2"/>
        <scheme val="minor"/>
      </rPr>
      <t>Repayment of short-term borrowings</t>
    </r>
  </si>
  <si>
    <r>
      <rPr>
        <sz val="11"/>
        <color rgb="FF070707"/>
        <rFont val="Calibri"/>
        <family val="2"/>
        <scheme val="minor"/>
      </rPr>
      <t xml:space="preserve">Net change in other short-term borrowings </t>
    </r>
    <r>
      <rPr>
        <sz val="11"/>
        <color rgb="FF161616"/>
        <rFont val="Calibri"/>
        <family val="2"/>
        <scheme val="minor"/>
      </rPr>
      <t xml:space="preserve">(with maturity </t>
    </r>
    <r>
      <rPr>
        <sz val="11"/>
        <color rgb="FF070707"/>
        <rFont val="Calibri"/>
        <family val="2"/>
        <scheme val="minor"/>
      </rPr>
      <t>up to three months)</t>
    </r>
  </si>
  <si>
    <r>
      <rPr>
        <sz val="11"/>
        <color rgb="FF070707"/>
        <rFont val="Calibri"/>
        <family val="2"/>
        <scheme val="minor"/>
      </rPr>
      <t>Repayment of lease liability ( including interest)</t>
    </r>
  </si>
  <si>
    <r>
      <rPr>
        <sz val="11"/>
        <color rgb="FF070707"/>
        <rFont val="Calibri"/>
        <family val="2"/>
        <scheme val="minor"/>
      </rPr>
      <t xml:space="preserve">Dividend paid to </t>
    </r>
    <r>
      <rPr>
        <sz val="11"/>
        <color rgb="FF161616"/>
        <rFont val="Calibri"/>
        <family val="2"/>
        <scheme val="minor"/>
      </rPr>
      <t xml:space="preserve">non-controlling </t>
    </r>
    <r>
      <rPr>
        <sz val="11"/>
        <color rgb="FF070707"/>
        <rFont val="Calibri"/>
        <family val="2"/>
        <scheme val="minor"/>
      </rPr>
      <t xml:space="preserve">interest shareholders of subsidiaries </t>
    </r>
    <r>
      <rPr>
        <sz val="11"/>
        <color rgb="FF161616"/>
        <rFont val="Calibri"/>
        <family val="2"/>
        <scheme val="minor"/>
      </rPr>
      <t xml:space="preserve">(including </t>
    </r>
    <r>
      <rPr>
        <sz val="11"/>
        <color rgb="FF070707"/>
        <rFont val="Calibri"/>
        <family val="2"/>
        <scheme val="minor"/>
      </rPr>
      <t>dividend distribution tax)</t>
    </r>
  </si>
  <si>
    <r>
      <rPr>
        <sz val="11"/>
        <color rgb="FF070707"/>
        <rFont val="Calibri"/>
        <family val="2"/>
        <scheme val="minor"/>
      </rPr>
      <t xml:space="preserve">Proceeds from issuance /(payment)  for acquisition </t>
    </r>
    <r>
      <rPr>
        <sz val="11"/>
        <color rgb="FF161616"/>
        <rFont val="Calibri"/>
        <family val="2"/>
        <scheme val="minor"/>
      </rPr>
      <t xml:space="preserve">of </t>
    </r>
    <r>
      <rPr>
        <sz val="11"/>
        <color rgb="FF070707"/>
        <rFont val="Calibri"/>
        <family val="2"/>
        <scheme val="minor"/>
      </rPr>
      <t>shares from non-controlling</t>
    </r>
  </si>
  <si>
    <r>
      <rPr>
        <sz val="11"/>
        <color rgb="FF070707"/>
        <rFont val="Calibri"/>
        <family val="2"/>
        <scheme val="minor"/>
      </rPr>
      <t>Dividend paid</t>
    </r>
  </si>
  <si>
    <r>
      <rPr>
        <sz val="11"/>
        <color rgb="FF070707"/>
        <rFont val="Calibri"/>
        <family val="2"/>
        <scheme val="minor"/>
      </rPr>
      <t xml:space="preserve">Proceeds from </t>
    </r>
    <r>
      <rPr>
        <sz val="11"/>
        <color rgb="FF161616"/>
        <rFont val="Calibri"/>
        <family val="2"/>
        <scheme val="minor"/>
      </rPr>
      <t xml:space="preserve">issuance of </t>
    </r>
    <r>
      <rPr>
        <sz val="11"/>
        <color rgb="FF070707"/>
        <rFont val="Calibri"/>
        <family val="2"/>
        <scheme val="minor"/>
      </rPr>
      <t xml:space="preserve">perpetual debt instrument </t>
    </r>
    <r>
      <rPr>
        <sz val="11"/>
        <color rgb="FF161616"/>
        <rFont val="Calibri"/>
        <family val="2"/>
        <scheme val="minor"/>
      </rPr>
      <t xml:space="preserve">classified </t>
    </r>
    <r>
      <rPr>
        <sz val="11"/>
        <color rgb="FF070707"/>
        <rFont val="Calibri"/>
        <family val="2"/>
        <scheme val="minor"/>
      </rPr>
      <t xml:space="preserve">as </t>
    </r>
    <r>
      <rPr>
        <sz val="11"/>
        <color rgb="FF161616"/>
        <rFont val="Calibri"/>
        <family val="2"/>
        <scheme val="minor"/>
      </rPr>
      <t xml:space="preserve">equity </t>
    </r>
    <r>
      <rPr>
        <sz val="11"/>
        <color rgb="FF070707"/>
        <rFont val="Calibri"/>
        <family val="2"/>
        <scheme val="minor"/>
      </rPr>
      <t xml:space="preserve">by a subsidiary </t>
    </r>
    <r>
      <rPr>
        <sz val="11"/>
        <color rgb="FF161616"/>
        <rFont val="Calibri"/>
        <family val="2"/>
        <scheme val="minor"/>
      </rPr>
      <t>(net)</t>
    </r>
  </si>
  <si>
    <r>
      <rPr>
        <sz val="11"/>
        <color rgb="FF070707"/>
        <rFont val="Calibri"/>
        <family val="2"/>
        <scheme val="minor"/>
      </rPr>
      <t xml:space="preserve">Interest </t>
    </r>
    <r>
      <rPr>
        <sz val="11"/>
        <color rgb="FF161616"/>
        <rFont val="Calibri"/>
        <family val="2"/>
        <scheme val="minor"/>
      </rPr>
      <t xml:space="preserve">paid </t>
    </r>
    <r>
      <rPr>
        <sz val="11"/>
        <color rgb="FF070707"/>
        <rFont val="Calibri"/>
        <family val="2"/>
        <scheme val="minor"/>
      </rPr>
      <t xml:space="preserve">[including </t>
    </r>
    <r>
      <rPr>
        <sz val="11"/>
        <color rgb="FF161616"/>
        <rFont val="Calibri"/>
        <family val="2"/>
        <scheme val="minor"/>
      </rPr>
      <t xml:space="preserve">discounting charges paid </t>
    </r>
    <r>
      <rPr>
        <vertAlign val="subscript"/>
        <sz val="11"/>
        <rFont val="Calibri"/>
        <family val="2"/>
        <scheme val="minor"/>
      </rPr>
      <t>`</t>
    </r>
    <r>
      <rPr>
        <sz val="11"/>
        <color rgb="FF161616"/>
        <rFont val="Calibri"/>
        <family val="2"/>
        <scheme val="minor"/>
      </rPr>
      <t xml:space="preserve">900.04 crores </t>
    </r>
    <r>
      <rPr>
        <sz val="11"/>
        <color rgb="FF070707"/>
        <rFont val="Calibri"/>
        <family val="2"/>
        <scheme val="minor"/>
      </rPr>
      <t xml:space="preserve">(March </t>
    </r>
    <r>
      <rPr>
        <sz val="11"/>
        <color rgb="FF161616"/>
        <rFont val="Calibri"/>
        <family val="2"/>
        <scheme val="minor"/>
      </rPr>
      <t xml:space="preserve">31, </t>
    </r>
    <r>
      <rPr>
        <sz val="11"/>
        <color rgb="FF070707"/>
        <rFont val="Calibri"/>
        <family val="2"/>
        <scheme val="minor"/>
      </rPr>
      <t xml:space="preserve">2020 </t>
    </r>
    <r>
      <rPr>
        <vertAlign val="subscript"/>
        <sz val="11"/>
        <rFont val="Calibri"/>
        <family val="2"/>
        <scheme val="minor"/>
      </rPr>
      <t>`</t>
    </r>
    <r>
      <rPr>
        <sz val="11"/>
        <color rgb="FF161616"/>
        <rFont val="Calibri"/>
        <family val="2"/>
        <scheme val="minor"/>
      </rPr>
      <t>968.85 crores)]</t>
    </r>
  </si>
  <si>
    <r>
      <rPr>
        <sz val="11"/>
        <color rgb="FF070707"/>
        <rFont val="Calibri"/>
        <family val="2"/>
        <scheme val="minor"/>
      </rPr>
      <t xml:space="preserve">Effect of foreign </t>
    </r>
    <r>
      <rPr>
        <sz val="11"/>
        <color rgb="FF161616"/>
        <rFont val="Calibri"/>
        <family val="2"/>
        <scheme val="minor"/>
      </rPr>
      <t xml:space="preserve">exchange </t>
    </r>
    <r>
      <rPr>
        <sz val="11"/>
        <color rgb="FF070707"/>
        <rFont val="Calibri"/>
        <family val="2"/>
        <scheme val="minor"/>
      </rPr>
      <t>on cash and cash equivalents</t>
    </r>
  </si>
  <si>
    <t>Investment in Government Securities</t>
  </si>
  <si>
    <t>Proceeds from disposal of defence business</t>
  </si>
  <si>
    <t>Proceeds from issuance of compulsorily convertible preference share</t>
  </si>
  <si>
    <t>Cash flows from financing activities:</t>
  </si>
  <si>
    <t>Provision for trade and other receivables</t>
  </si>
  <si>
    <t>Discounting of warranty and other provisions</t>
  </si>
  <si>
    <t>Other Exception Item</t>
  </si>
  <si>
    <t>Payment for Acquisition of Ford Assets</t>
  </si>
  <si>
    <t>Acquisition/Disposal of Subsidiaries (net cash disposal)</t>
  </si>
  <si>
    <t>Proceed from sale of investment in government securities</t>
  </si>
  <si>
    <t>Purchase of other asset with a view of resale</t>
  </si>
  <si>
    <t>Buyback of stake from minority shareholder</t>
  </si>
  <si>
    <t>Payment for acquisition of minority stake in subsidiary</t>
  </si>
  <si>
    <t>…In. Rs. Cr…</t>
  </si>
  <si>
    <t>2020 - 2021</t>
  </si>
  <si>
    <t>2022 - 2023</t>
  </si>
  <si>
    <t>2021 - 2022</t>
  </si>
  <si>
    <t>Financial Year</t>
  </si>
  <si>
    <t>Total Equity</t>
  </si>
  <si>
    <t>Right of Use Assets</t>
  </si>
  <si>
    <t>Goodwill</t>
  </si>
  <si>
    <t>Other Intangible Assets</t>
  </si>
  <si>
    <t>Investment in Equity Accounted Investees</t>
  </si>
  <si>
    <t>Other Investments</t>
  </si>
  <si>
    <t>Finance Receivables</t>
  </si>
  <si>
    <t>Other Financial Assets</t>
  </si>
  <si>
    <t>Non-Current Tax Assets [Net]</t>
  </si>
  <si>
    <t>Other Non Current Assets</t>
  </si>
  <si>
    <t>Bank Balance Other than Cash &amp; Cash Equivalents</t>
  </si>
  <si>
    <t>Current Tax Assets [Net]</t>
  </si>
  <si>
    <t>Asset Classified as Held for Sales</t>
  </si>
  <si>
    <t>Other Current Assets</t>
  </si>
  <si>
    <t>EQUITY</t>
  </si>
  <si>
    <t>Other Equity</t>
  </si>
  <si>
    <t>EQUITIES</t>
  </si>
  <si>
    <t>LIABILITIES</t>
  </si>
  <si>
    <t>Borrowings</t>
  </si>
  <si>
    <t>Lease Liabilities</t>
  </si>
  <si>
    <t>Other Financial Liabilities</t>
  </si>
  <si>
    <t>Provisions</t>
  </si>
  <si>
    <t>Deffered Tax Liabilities [Net]</t>
  </si>
  <si>
    <t>Other Non Current Liabilities</t>
  </si>
  <si>
    <t>Total Outstanding dues of MSE</t>
  </si>
  <si>
    <t>Total Outstanding dues of Creditors othe than MSE</t>
  </si>
  <si>
    <t>Acceptance</t>
  </si>
  <si>
    <t>Other Fiancial Liabilites</t>
  </si>
  <si>
    <t>Current Tax Liabilities [Net]</t>
  </si>
  <si>
    <t>Total Liabilities</t>
  </si>
  <si>
    <t>Total Equity &amp; Liabilities</t>
  </si>
  <si>
    <t>Property, Plant and Eqipment</t>
  </si>
  <si>
    <t>Liabilities Directly Associated with Assets held for Sale</t>
  </si>
  <si>
    <t>Check</t>
  </si>
  <si>
    <t xml:space="preserve">Financial Assets: - </t>
  </si>
  <si>
    <t>Finacial Liabilities: -</t>
  </si>
  <si>
    <t>Consolidated Profit &amp; Loss</t>
  </si>
  <si>
    <t>Depriciation &amp; Ammortization Expenses</t>
  </si>
  <si>
    <t>Total Exceptional Items</t>
  </si>
  <si>
    <t>Current Tax (including minimum alternate tax)</t>
  </si>
  <si>
    <t>Consolidated Cash Flow</t>
  </si>
  <si>
    <t>Finance/Interest Costs</t>
  </si>
  <si>
    <t>EBT</t>
  </si>
  <si>
    <t>PAT/Net Profit</t>
  </si>
  <si>
    <t>NET CASH GENERATED FROM OPERATING ACTIVITIES</t>
  </si>
  <si>
    <t>Cash Flows from Operating Activities:</t>
  </si>
  <si>
    <t>Cash Flows from Investing Activities:</t>
  </si>
  <si>
    <t>NET CASH FROM INVESTING ACTIVITIES</t>
  </si>
  <si>
    <t>NET CASH FROM FINANCING ACTIVITIES</t>
  </si>
  <si>
    <t>Profit From Operation</t>
  </si>
  <si>
    <t>Recievables</t>
  </si>
  <si>
    <t>Total Receivables</t>
  </si>
  <si>
    <t>Inventory</t>
  </si>
  <si>
    <t>Total Inventories</t>
  </si>
  <si>
    <t>Payables</t>
  </si>
  <si>
    <t>Total Payables</t>
  </si>
  <si>
    <t>Loan Advances</t>
  </si>
  <si>
    <t>Other Working Capital Items</t>
  </si>
  <si>
    <t>Total Profit from Operation</t>
  </si>
  <si>
    <t>Profit/Loss for the Period:</t>
  </si>
  <si>
    <t>Loans and advances and other financial assets</t>
  </si>
  <si>
    <t>Other current and non-current liabilities</t>
  </si>
  <si>
    <t>Other financial liabilities</t>
  </si>
  <si>
    <t>Income tax paid (net)</t>
  </si>
  <si>
    <t>Total Loan Advances</t>
  </si>
  <si>
    <t>Total Other Working Capital Items</t>
  </si>
  <si>
    <t>Net Increase/(Decrease) In Cash And Cash Equivalents</t>
  </si>
  <si>
    <r>
      <rPr>
        <sz val="11"/>
        <color rgb="FF070707"/>
        <rFont val="Calibri"/>
        <family val="2"/>
        <scheme val="minor"/>
      </rPr>
      <t xml:space="preserve">Opening Balance (Cash and cash </t>
    </r>
    <r>
      <rPr>
        <sz val="11"/>
        <color rgb="FF161616"/>
        <rFont val="Calibri"/>
        <family val="2"/>
        <scheme val="minor"/>
      </rPr>
      <t xml:space="preserve">equivalents </t>
    </r>
    <r>
      <rPr>
        <sz val="11"/>
        <color rgb="FF070707"/>
        <rFont val="Calibri"/>
        <family val="2"/>
        <scheme val="minor"/>
      </rPr>
      <t>as at April 1)</t>
    </r>
  </si>
  <si>
    <r>
      <rPr>
        <sz val="11"/>
        <color rgb="FF070707"/>
        <rFont val="Calibri"/>
        <family val="2"/>
        <scheme val="minor"/>
      </rPr>
      <t xml:space="preserve">Closing Balance (Cash and cash </t>
    </r>
    <r>
      <rPr>
        <sz val="11"/>
        <color rgb="FF161616"/>
        <rFont val="Calibri"/>
        <family val="2"/>
        <scheme val="minor"/>
      </rPr>
      <t xml:space="preserve">equivalents </t>
    </r>
    <r>
      <rPr>
        <sz val="11"/>
        <color rgb="FF070707"/>
        <rFont val="Calibri"/>
        <family val="2"/>
        <scheme val="minor"/>
      </rPr>
      <t>as at March 31)</t>
    </r>
  </si>
  <si>
    <t>Adjustments for:</t>
  </si>
  <si>
    <t>Depreciation and amortisation expense</t>
  </si>
  <si>
    <t>Allowances for finance receivables</t>
  </si>
  <si>
    <t>Inventory write-down</t>
  </si>
  <si>
    <t>Reversal for costs of closure of operations of a subsidiary company</t>
  </si>
  <si>
    <t>Write off/provision (reversal) for tangible/intangible assets (including under development)</t>
  </si>
  <si>
    <t>Charge associated with change in JLR Strategy</t>
  </si>
  <si>
    <t>Impairment in subsidiaries</t>
  </si>
  <si>
    <t>Impairment losses/(Reversal) in Passenger Vehicle Business</t>
  </si>
  <si>
    <t>Provision/(Reversal) for onerous contracts and related supplier claims</t>
  </si>
  <si>
    <t>Defined benefit pension plan amendment past service cost</t>
  </si>
  <si>
    <t>Employee separation cost</t>
  </si>
  <si>
    <t>Accrual for share-based payments</t>
  </si>
  <si>
    <t>(Gain) /loss on Marked-to-market investments measured at fair value through profit or loss</t>
  </si>
  <si>
    <t>(Profit) /loss on sale of assets (including assets scrapped/written off) (net)</t>
  </si>
  <si>
    <t>Profit on sale of investments (net)</t>
  </si>
  <si>
    <t>Provision for loan given to a Joint ventures</t>
  </si>
  <si>
    <t>Share of (profit)/loss of joint ventures and associates (net)</t>
  </si>
  <si>
    <t>Tax expense (net)</t>
  </si>
  <si>
    <t>Finance costs</t>
  </si>
  <si>
    <t>Interest income</t>
  </si>
  <si>
    <t>Dividend income</t>
  </si>
  <si>
    <t>Foreign exchange (gain)/loss (net)</t>
  </si>
  <si>
    <t>Finance receivables</t>
  </si>
  <si>
    <t>Trade receivables</t>
  </si>
  <si>
    <t>Trade payables and acceptances</t>
  </si>
  <si>
    <t>Other current and non-current assets</t>
  </si>
  <si>
    <t>Operating Revenue</t>
  </si>
  <si>
    <t>Other Income</t>
  </si>
  <si>
    <t>Operating Profit/EBIT</t>
  </si>
  <si>
    <t>Compounded Sales Growth</t>
  </si>
  <si>
    <t>2 Years</t>
  </si>
  <si>
    <t>Gross Margin</t>
  </si>
  <si>
    <t>Operating Margin</t>
  </si>
  <si>
    <t>Net Margin</t>
  </si>
  <si>
    <t>Cost of Manufacturing</t>
  </si>
  <si>
    <t>Gross Profit</t>
  </si>
  <si>
    <t>YoY Change %</t>
  </si>
  <si>
    <t>Key Measures</t>
  </si>
  <si>
    <t>Ratios</t>
  </si>
  <si>
    <t>Compounded Net Profit Growth</t>
  </si>
  <si>
    <t>Current Tax</t>
  </si>
  <si>
    <t>Associates P&amp;L</t>
  </si>
  <si>
    <t>Depriciation &amp; Ammortization</t>
  </si>
  <si>
    <t>Vertical Analysis</t>
  </si>
  <si>
    <t>EBITDA</t>
  </si>
  <si>
    <t>Non Current Assets</t>
  </si>
  <si>
    <t>Current Assets</t>
  </si>
  <si>
    <t>Equity</t>
  </si>
  <si>
    <t>Non Current Liabilities</t>
  </si>
  <si>
    <t>Current Liabilities</t>
  </si>
  <si>
    <t>Fixed Assets</t>
  </si>
  <si>
    <t>CWIP</t>
  </si>
  <si>
    <t>Financial Investment</t>
  </si>
  <si>
    <t>Intangible Fixed Assets</t>
  </si>
  <si>
    <t>Cash &amp; Equivalent</t>
  </si>
  <si>
    <t>Equity Capital</t>
  </si>
  <si>
    <t>Long Term Borrowing</t>
  </si>
  <si>
    <t>Long Term Lease</t>
  </si>
  <si>
    <t>Long Term Financial Liabilities</t>
  </si>
  <si>
    <t>Short Term Borrowing</t>
  </si>
  <si>
    <t>Short Term Lease</t>
  </si>
  <si>
    <t>Provision</t>
  </si>
  <si>
    <t>Other Current Liabilites</t>
  </si>
  <si>
    <t>Check (Assets - (Equity &amp; Liabilities)</t>
  </si>
  <si>
    <t>PAT &amp; Before Exceptional Items</t>
  </si>
  <si>
    <t>Net Working Capital</t>
  </si>
  <si>
    <t>Tangible Fixed Assets (PP&amp;E)</t>
  </si>
  <si>
    <t>Profit from Operation</t>
  </si>
  <si>
    <t>Receivables</t>
  </si>
  <si>
    <t>Investments</t>
  </si>
  <si>
    <t>Realisation of deposits/restricted deposits with banks</t>
  </si>
  <si>
    <t>Acquisition/Disposal of Subsidiaries or Business Units</t>
  </si>
  <si>
    <t>Cash Generated from Operating Activities</t>
  </si>
  <si>
    <t>Cash Generated from Investing Activities</t>
  </si>
  <si>
    <t>Cash Generated from Financing Activities</t>
  </si>
  <si>
    <r>
      <rPr>
        <b/>
        <sz val="11"/>
        <color rgb="FF070707"/>
        <rFont val="Calibri"/>
        <family val="2"/>
        <scheme val="minor"/>
      </rPr>
      <t xml:space="preserve">Closing Balance (Cash and cash </t>
    </r>
    <r>
      <rPr>
        <b/>
        <sz val="11"/>
        <color rgb="FF161616"/>
        <rFont val="Calibri"/>
        <family val="2"/>
        <scheme val="minor"/>
      </rPr>
      <t xml:space="preserve">equivalents </t>
    </r>
    <r>
      <rPr>
        <b/>
        <sz val="11"/>
        <color rgb="FF070707"/>
        <rFont val="Calibri"/>
        <family val="2"/>
        <scheme val="minor"/>
      </rPr>
      <t>as at March 31)</t>
    </r>
  </si>
  <si>
    <t>Free Cash Flow</t>
  </si>
  <si>
    <t>Cash Flow</t>
  </si>
  <si>
    <t>Free Cash Flow to Firm</t>
  </si>
  <si>
    <t>NOPAT</t>
  </si>
  <si>
    <t>Change in Working Capital</t>
  </si>
  <si>
    <t>Capital Expenditure</t>
  </si>
  <si>
    <t>Free Cash Flow to Equity</t>
  </si>
  <si>
    <t>Profitability Ratios</t>
  </si>
  <si>
    <t>Return on Assets</t>
  </si>
  <si>
    <t>Return on Equity</t>
  </si>
  <si>
    <t>Gross margin</t>
  </si>
  <si>
    <t>Netprofit Margin</t>
  </si>
  <si>
    <t>Liqudity Ratios</t>
  </si>
  <si>
    <t>Current Ratio</t>
  </si>
  <si>
    <t>Quick Ratio</t>
  </si>
  <si>
    <t>Cash Ratio</t>
  </si>
  <si>
    <t>Inventory Turnover Ratio</t>
  </si>
  <si>
    <t>Receivable Turnover Ratio</t>
  </si>
  <si>
    <t>Payable Turnover Ratio</t>
  </si>
  <si>
    <t>Asset Turnover Ratio</t>
  </si>
  <si>
    <t>Fixed Asset Turnover Ratio</t>
  </si>
  <si>
    <t>Days Sales Outstanding</t>
  </si>
  <si>
    <t>Days Payable Outstanding</t>
  </si>
  <si>
    <t>Days Inventory Outstanding</t>
  </si>
  <si>
    <t>Efficiency Ratios</t>
  </si>
  <si>
    <t>Leverage Ratio</t>
  </si>
  <si>
    <t>Debt to Equity Ratio</t>
  </si>
  <si>
    <t>Debt Ratio</t>
  </si>
  <si>
    <t>Equity Ratio</t>
  </si>
  <si>
    <t>Debt to Capital Ratio</t>
  </si>
  <si>
    <t>Equity Multiplier</t>
  </si>
  <si>
    <t>DuPont Analysis</t>
  </si>
  <si>
    <t>Financial Ratios</t>
  </si>
  <si>
    <t>Financial Years</t>
  </si>
  <si>
    <t>Woring Capital Days</t>
  </si>
  <si>
    <t>Return on Capital Emmployed</t>
  </si>
  <si>
    <t>Sales</t>
  </si>
  <si>
    <t>Other Operating Revenue</t>
  </si>
  <si>
    <t>Tata Motors</t>
  </si>
  <si>
    <t>Revenue</t>
  </si>
  <si>
    <t>Cost Of Materials Consumed</t>
  </si>
  <si>
    <t>Basis Adjustment on Hedge Accounted Derivatives</t>
  </si>
  <si>
    <t>Purchase of Product for Sale</t>
  </si>
  <si>
    <t>Employee Benefit Expenses</t>
  </si>
  <si>
    <t>Compulsary Convertible Preference Share Measured at Fair Value</t>
  </si>
  <si>
    <t>Foreign Exchange Gain or Loss</t>
  </si>
  <si>
    <t>Product Development/Engineering Cost</t>
  </si>
  <si>
    <t>Amount Transferred to Capital &amp; Other Account</t>
  </si>
  <si>
    <t>Other Expenses</t>
  </si>
  <si>
    <t>Changes in Inventories of FG,W in P &amp; Product for Sale</t>
  </si>
  <si>
    <t>Operating Expenses</t>
  </si>
  <si>
    <t>Tax Expenses</t>
  </si>
  <si>
    <t>Year</t>
  </si>
  <si>
    <t>Total Revenue</t>
  </si>
  <si>
    <t>Vehicle Financing</t>
  </si>
  <si>
    <t>JLR (including CJLR)</t>
  </si>
  <si>
    <t xml:space="preserve">Revenue Segmentation </t>
  </si>
  <si>
    <t>Particulars</t>
  </si>
  <si>
    <t>Profit &amp; Loss</t>
  </si>
  <si>
    <t>Value (in Rs. Cr.)</t>
  </si>
  <si>
    <t>Operating Profit</t>
  </si>
  <si>
    <t>Net Profit</t>
  </si>
  <si>
    <t>Balance Sheet</t>
  </si>
  <si>
    <t>Assets</t>
  </si>
  <si>
    <t>Column Labels</t>
  </si>
  <si>
    <t>Row Labels</t>
  </si>
  <si>
    <t>Liability</t>
  </si>
  <si>
    <t>Cash from Operating Activities</t>
  </si>
  <si>
    <t>Cash from Investing Activities</t>
  </si>
  <si>
    <t>Cash From Financing Activities</t>
  </si>
  <si>
    <t>Net Change in Cash Flow</t>
  </si>
  <si>
    <t>Closing Cash Balance</t>
  </si>
  <si>
    <t>Revenue Driver</t>
  </si>
  <si>
    <t>JLR</t>
  </si>
  <si>
    <t>Sequence</t>
  </si>
  <si>
    <t>P&amp;L</t>
  </si>
  <si>
    <t>BS</t>
  </si>
  <si>
    <t>CF</t>
  </si>
  <si>
    <t>RD</t>
  </si>
  <si>
    <t>Operating Activities</t>
  </si>
  <si>
    <t>Investing Activities</t>
  </si>
  <si>
    <t>Financing Activities</t>
  </si>
  <si>
    <t>Net Change</t>
  </si>
  <si>
    <t>Closing Balance</t>
  </si>
  <si>
    <t>Dashboard</t>
  </si>
  <si>
    <t xml:space="preserve">Profit &amp; Loss </t>
  </si>
  <si>
    <t>Recalculated Profit &amp; Loss</t>
  </si>
  <si>
    <t>Recalculated Balance Sheet</t>
  </si>
  <si>
    <t>Recalculated Cashflow</t>
  </si>
  <si>
    <t>Ratio Analysis</t>
  </si>
  <si>
    <t>Revenue Contributors</t>
  </si>
  <si>
    <t>Working Data for Pivots</t>
  </si>
  <si>
    <t>Sheets Name</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</si>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</sst>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15"/>
      <color theme="3"/>
      <name val="Calibri"/>
      <family val="2"/>
      <scheme val="minor"/>
    </font>
    <font>
      <b/>
      <sz val="11"/>
      <color theme="1"/>
      <name val="Calibri"/>
      <family val="2"/>
      <scheme val="minor"/>
    </font>
    <font>
      <sz val="11"/>
      <color rgb="FF080808"/>
      <name val="Calibri"/>
      <family val="2"/>
      <scheme val="minor"/>
    </font>
    <font>
      <sz val="11"/>
      <color rgb="FF1F1F1F"/>
      <name val="Calibri"/>
      <family val="2"/>
      <scheme val="minor"/>
    </font>
    <font>
      <sz val="11"/>
      <color rgb="FF070707"/>
      <name val="Calibri"/>
      <family val="2"/>
      <scheme val="minor"/>
    </font>
    <font>
      <sz val="11"/>
      <color rgb="FF161616"/>
      <name val="Calibri"/>
      <family val="2"/>
      <scheme val="minor"/>
    </font>
    <font>
      <vertAlign val="subscript"/>
      <sz val="11"/>
      <name val="Calibri"/>
      <family val="2"/>
      <scheme val="minor"/>
    </font>
    <font>
      <b/>
      <sz val="16"/>
      <name val="Calibri"/>
      <family val="2"/>
      <scheme val="minor"/>
    </font>
    <font>
      <i/>
      <u/>
      <sz val="10"/>
      <color theme="1"/>
      <name val="Calibri"/>
      <family val="2"/>
      <scheme val="minor"/>
    </font>
    <font>
      <b/>
      <sz val="12"/>
      <color theme="1"/>
      <name val="Calibri"/>
      <family val="2"/>
      <scheme val="minor"/>
    </font>
    <font>
      <b/>
      <u/>
      <sz val="11"/>
      <color theme="1"/>
      <name val="Calibri"/>
      <family val="2"/>
      <scheme val="minor"/>
    </font>
    <font>
      <b/>
      <sz val="11"/>
      <name val="Calibri"/>
      <family val="2"/>
      <scheme val="minor"/>
    </font>
    <font>
      <i/>
      <sz val="11"/>
      <color theme="1"/>
      <name val="Calibri"/>
      <family val="2"/>
      <scheme val="minor"/>
    </font>
    <font>
      <sz val="11"/>
      <color rgb="FF22222F"/>
      <name val="Arial"/>
      <family val="2"/>
    </font>
    <font>
      <sz val="11"/>
      <color rgb="FF22222F"/>
      <name val="Arial"/>
      <family val="2"/>
    </font>
    <font>
      <b/>
      <sz val="14"/>
      <name val="Calibri"/>
      <family val="2"/>
      <scheme val="minor"/>
    </font>
    <font>
      <sz val="11"/>
      <color theme="1"/>
      <name val="Calibri"/>
      <family val="2"/>
      <scheme val="minor"/>
    </font>
    <font>
      <b/>
      <sz val="11"/>
      <color rgb="FF070707"/>
      <name val="Calibri"/>
      <family val="2"/>
      <scheme val="minor"/>
    </font>
    <font>
      <b/>
      <sz val="11"/>
      <color rgb="FF161616"/>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79998168889431442"/>
        <bgColor indexed="64"/>
      </patternFill>
    </fill>
  </fills>
  <borders count="8">
    <border>
      <left/>
      <right/>
      <top/>
      <bottom/>
      <diagonal/>
    </border>
    <border>
      <left/>
      <right/>
      <top/>
      <bottom style="thick">
        <color theme="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9" fontId="17" fillId="0" borderId="0" applyFont="0" applyFill="0" applyBorder="0" applyAlignment="0" applyProtection="0"/>
    <xf numFmtId="0" fontId="20" fillId="0" borderId="0" applyNumberFormat="0" applyFill="0" applyBorder="0" applyAlignment="0" applyProtection="0"/>
  </cellStyleXfs>
  <cellXfs count="77">
    <xf numFmtId="0" fontId="0" fillId="0" borderId="0" xfId="0"/>
    <xf numFmtId="4" fontId="0" fillId="0" borderId="0" xfId="0" applyNumberFormat="1"/>
    <xf numFmtId="0" fontId="2" fillId="0" borderId="0" xfId="0" applyFont="1"/>
    <xf numFmtId="0" fontId="8" fillId="0" borderId="0" xfId="0" applyFont="1"/>
    <xf numFmtId="0" fontId="0" fillId="0" borderId="0" xfId="0" applyAlignment="1">
      <alignment horizontal="left" indent="2"/>
    </xf>
    <xf numFmtId="0" fontId="3" fillId="0" borderId="0" xfId="0" applyFont="1" applyAlignment="1">
      <alignment horizontal="left" indent="2"/>
    </xf>
    <xf numFmtId="0" fontId="1" fillId="0" borderId="1" xfId="1"/>
    <xf numFmtId="0" fontId="9" fillId="0" borderId="0" xfId="0" applyFont="1"/>
    <xf numFmtId="0" fontId="10" fillId="0" borderId="2" xfId="0" applyFont="1" applyBorder="1"/>
    <xf numFmtId="0" fontId="0" fillId="0" borderId="2" xfId="0" applyBorder="1"/>
    <xf numFmtId="0" fontId="2" fillId="0" borderId="2" xfId="0" applyFont="1" applyBorder="1" applyAlignment="1">
      <alignment horizontal="right"/>
    </xf>
    <xf numFmtId="17" fontId="2" fillId="0" borderId="2" xfId="0" applyNumberFormat="1" applyFont="1" applyBorder="1" applyAlignment="1">
      <alignment horizontal="right"/>
    </xf>
    <xf numFmtId="0" fontId="0" fillId="0" borderId="3" xfId="0" applyBorder="1"/>
    <xf numFmtId="0" fontId="2" fillId="0" borderId="2" xfId="0" applyFont="1" applyBorder="1"/>
    <xf numFmtId="0" fontId="0" fillId="0" borderId="0" xfId="0" applyAlignment="1">
      <alignment horizontal="left" indent="4"/>
    </xf>
    <xf numFmtId="0" fontId="2" fillId="0" borderId="0" xfId="0" applyFont="1" applyAlignment="1">
      <alignment horizontal="left"/>
    </xf>
    <xf numFmtId="0" fontId="2" fillId="0" borderId="5" xfId="0" applyFont="1" applyBorder="1"/>
    <xf numFmtId="0" fontId="2" fillId="0" borderId="0" xfId="0" applyFont="1" applyAlignment="1">
      <alignment horizontal="left" indent="2"/>
    </xf>
    <xf numFmtId="0" fontId="2" fillId="0" borderId="5" xfId="0" applyFont="1" applyBorder="1" applyAlignment="1">
      <alignment horizontal="left"/>
    </xf>
    <xf numFmtId="0" fontId="0" fillId="0" borderId="0" xfId="0" applyAlignment="1">
      <alignment horizontal="left" indent="5"/>
    </xf>
    <xf numFmtId="4" fontId="0" fillId="0" borderId="3" xfId="0" applyNumberFormat="1" applyBorder="1"/>
    <xf numFmtId="4" fontId="2" fillId="0" borderId="0" xfId="0" applyNumberFormat="1" applyFont="1"/>
    <xf numFmtId="4" fontId="0" fillId="0" borderId="4" xfId="0" applyNumberFormat="1" applyBorder="1"/>
    <xf numFmtId="4" fontId="2" fillId="0" borderId="5" xfId="0" applyNumberFormat="1" applyFont="1" applyBorder="1"/>
    <xf numFmtId="4" fontId="2" fillId="0" borderId="3" xfId="0" applyNumberFormat="1" applyFont="1" applyBorder="1"/>
    <xf numFmtId="0" fontId="2" fillId="0" borderId="3" xfId="0" applyFont="1" applyBorder="1"/>
    <xf numFmtId="0" fontId="0" fillId="0" borderId="0" xfId="0" applyAlignment="1">
      <alignment horizontal="left"/>
    </xf>
    <xf numFmtId="17" fontId="2" fillId="0" borderId="0" xfId="0" applyNumberFormat="1" applyFont="1" applyAlignment="1">
      <alignment horizontal="right"/>
    </xf>
    <xf numFmtId="0" fontId="2" fillId="0" borderId="3" xfId="0" applyFont="1" applyBorder="1" applyAlignment="1">
      <alignment horizontal="left"/>
    </xf>
    <xf numFmtId="0" fontId="11" fillId="0" borderId="0" xfId="0" applyFont="1"/>
    <xf numFmtId="4" fontId="0" fillId="0" borderId="5" xfId="0" applyNumberFormat="1" applyBorder="1"/>
    <xf numFmtId="0" fontId="8" fillId="0" borderId="4" xfId="0" applyFont="1" applyBorder="1"/>
    <xf numFmtId="0" fontId="2" fillId="0" borderId="3" xfId="0" applyFont="1" applyBorder="1" applyAlignment="1">
      <alignment horizontal="left" indent="2"/>
    </xf>
    <xf numFmtId="0" fontId="8" fillId="0" borderId="2" xfId="0" applyFont="1" applyBorder="1"/>
    <xf numFmtId="0" fontId="12" fillId="0" borderId="3" xfId="0" applyFont="1" applyBorder="1" applyAlignment="1">
      <alignment horizontal="left" indent="2"/>
    </xf>
    <xf numFmtId="0" fontId="12" fillId="0" borderId="0" xfId="0" applyFont="1" applyAlignment="1">
      <alignment horizontal="left"/>
    </xf>
    <xf numFmtId="0" fontId="0" fillId="0" borderId="0" xfId="0" applyAlignment="1">
      <alignment horizontal="right"/>
    </xf>
    <xf numFmtId="0" fontId="13" fillId="0" borderId="0" xfId="0" applyFont="1"/>
    <xf numFmtId="0" fontId="13" fillId="0" borderId="0" xfId="0" applyFont="1" applyAlignment="1">
      <alignment horizontal="left" indent="2"/>
    </xf>
    <xf numFmtId="3" fontId="14" fillId="3" borderId="0" xfId="0" applyNumberFormat="1" applyFont="1" applyFill="1" applyAlignment="1">
      <alignment horizontal="right" vertical="center" wrapText="1" indent="1"/>
    </xf>
    <xf numFmtId="3" fontId="0" fillId="0" borderId="0" xfId="0" applyNumberFormat="1"/>
    <xf numFmtId="3" fontId="15" fillId="0" borderId="0" xfId="0" applyNumberFormat="1" applyFont="1"/>
    <xf numFmtId="3" fontId="15" fillId="3" borderId="0" xfId="0" applyNumberFormat="1" applyFont="1" applyFill="1" applyAlignment="1">
      <alignment horizontal="right" vertical="center" wrapText="1" indent="1"/>
    </xf>
    <xf numFmtId="0" fontId="16" fillId="0" borderId="5" xfId="0" applyFont="1" applyBorder="1"/>
    <xf numFmtId="0" fontId="2" fillId="0" borderId="0" xfId="0" applyFont="1" applyAlignment="1">
      <alignment horizontal="right"/>
    </xf>
    <xf numFmtId="10" fontId="17" fillId="0" borderId="3" xfId="2" applyNumberFormat="1" applyFont="1" applyBorder="1"/>
    <xf numFmtId="9" fontId="0" fillId="0" borderId="0" xfId="2" applyFont="1"/>
    <xf numFmtId="0" fontId="0" fillId="0" borderId="0" xfId="2" applyNumberFormat="1" applyFont="1" applyAlignment="1">
      <alignment horizontal="right"/>
    </xf>
    <xf numFmtId="10" fontId="0" fillId="0" borderId="0" xfId="2" applyNumberFormat="1" applyFont="1"/>
    <xf numFmtId="10" fontId="0" fillId="0" borderId="0" xfId="2" applyNumberFormat="1" applyFont="1" applyAlignment="1"/>
    <xf numFmtId="10" fontId="0" fillId="0" borderId="0" xfId="2" applyNumberFormat="1" applyFont="1" applyAlignment="1">
      <alignment horizontal="right"/>
    </xf>
    <xf numFmtId="0" fontId="2" fillId="0" borderId="2" xfId="0" applyFont="1" applyBorder="1" applyAlignment="1">
      <alignment horizontal="left" indent="2"/>
    </xf>
    <xf numFmtId="10" fontId="17" fillId="0" borderId="0" xfId="2" applyNumberFormat="1" applyFont="1" applyAlignment="1">
      <alignment horizontal="right"/>
    </xf>
    <xf numFmtId="2" fontId="0" fillId="0" borderId="0" xfId="2" applyNumberFormat="1" applyFont="1"/>
    <xf numFmtId="10" fontId="0" fillId="0" borderId="2" xfId="2" applyNumberFormat="1" applyFont="1" applyBorder="1"/>
    <xf numFmtId="10" fontId="0" fillId="0" borderId="4" xfId="2" applyNumberFormat="1" applyFont="1" applyBorder="1"/>
    <xf numFmtId="4" fontId="0" fillId="0" borderId="0" xfId="2" applyNumberFormat="1" applyFont="1"/>
    <xf numFmtId="0" fontId="12" fillId="0" borderId="4" xfId="0" applyFont="1" applyBorder="1"/>
    <xf numFmtId="0" fontId="12" fillId="0" borderId="2" xfId="0" applyFont="1" applyBorder="1"/>
    <xf numFmtId="2" fontId="0" fillId="0" borderId="0" xfId="2" applyNumberFormat="1" applyFont="1" applyAlignment="1"/>
    <xf numFmtId="2" fontId="0" fillId="0" borderId="0" xfId="0" applyNumberFormat="1"/>
    <xf numFmtId="0" fontId="0" fillId="5" borderId="4" xfId="0" applyFill="1" applyBorder="1" applyAlignment="1">
      <alignment horizontal="left" indent="3"/>
    </xf>
    <xf numFmtId="10" fontId="17" fillId="5" borderId="7" xfId="2" applyNumberFormat="1" applyFont="1" applyFill="1" applyBorder="1" applyAlignment="1">
      <alignment horizontal="left" indent="3"/>
    </xf>
    <xf numFmtId="10" fontId="17" fillId="5" borderId="4" xfId="2" applyNumberFormat="1" applyFont="1" applyFill="1" applyBorder="1" applyAlignment="1">
      <alignment horizontal="left" indent="3"/>
    </xf>
    <xf numFmtId="10" fontId="0" fillId="0" borderId="0" xfId="0" applyNumberFormat="1"/>
    <xf numFmtId="164" fontId="0" fillId="0" borderId="0" xfId="2" applyNumberFormat="1" applyFont="1"/>
    <xf numFmtId="0" fontId="10" fillId="0" borderId="3" xfId="0" applyFont="1" applyBorder="1" applyAlignment="1">
      <alignment horizontal="left"/>
    </xf>
    <xf numFmtId="4" fontId="10" fillId="0" borderId="3" xfId="0" applyNumberFormat="1" applyFont="1" applyBorder="1"/>
    <xf numFmtId="0" fontId="10" fillId="0" borderId="3" xfId="0" applyFont="1" applyBorder="1"/>
    <xf numFmtId="0" fontId="0" fillId="0" borderId="0" xfId="0" pivotButton="1"/>
    <xf numFmtId="0" fontId="0" fillId="2" borderId="0" xfId="0" applyFill="1"/>
    <xf numFmtId="1" fontId="0" fillId="0" borderId="0" xfId="0" applyNumberFormat="1" applyAlignment="1">
      <alignment horizontal="left" indent="4"/>
    </xf>
    <xf numFmtId="0" fontId="20" fillId="0" borderId="0" xfId="3"/>
    <xf numFmtId="0" fontId="2" fillId="2" borderId="0" xfId="0" applyFont="1" applyFill="1" applyAlignment="1">
      <alignment horizontal="center"/>
    </xf>
    <xf numFmtId="0" fontId="2" fillId="4" borderId="0" xfId="0" applyFont="1" applyFill="1" applyAlignment="1">
      <alignment horizontal="center"/>
    </xf>
    <xf numFmtId="0" fontId="2" fillId="0" borderId="2" xfId="0" applyFont="1" applyBorder="1" applyAlignment="1">
      <alignment horizontal="center"/>
    </xf>
    <xf numFmtId="0" fontId="2" fillId="0" borderId="6" xfId="0" applyFont="1" applyBorder="1" applyAlignment="1">
      <alignment horizontal="center"/>
    </xf>
  </cellXfs>
  <cellStyles count="4">
    <cellStyle name="Heading 1" xfId="1" builtinId="1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1.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 Financial Statements_Dashboard.xlsx]Dashboard!PivotTable8</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200" b="1">
                <a:solidFill>
                  <a:schemeClr val="lt1"/>
                </a:solidFill>
                <a:latin typeface="+mn-lt"/>
                <a:ea typeface="+mn-ea"/>
                <a:cs typeface="+mn-cs"/>
              </a:rPr>
              <a:t>Profit</a:t>
            </a:r>
            <a:r>
              <a:rPr lang="en-IN" sz="1200" b="1" baseline="0">
                <a:solidFill>
                  <a:schemeClr val="lt1"/>
                </a:solidFill>
                <a:latin typeface="+mn-lt"/>
                <a:ea typeface="+mn-ea"/>
                <a:cs typeface="+mn-cs"/>
              </a:rPr>
              <a:t> &amp; Loss</a:t>
            </a:r>
            <a:endParaRPr lang="en-IN" sz="1200" b="1"/>
          </a:p>
        </c:rich>
      </c:tx>
      <c:layout>
        <c:manualLayout>
          <c:xMode val="edge"/>
          <c:yMode val="edge"/>
          <c:x val="0.73713916580444194"/>
          <c:y val="1.8197239937041938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_);[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Dashboard!$C$31:$C$32</c:f>
              <c:strCache>
                <c:ptCount val="1"/>
                <c:pt idx="0">
                  <c:v>2021</c:v>
                </c:pt>
              </c:strCache>
            </c:strRef>
          </c:tx>
          <c:spPr>
            <a:solidFill>
              <a:schemeClr val="accent1"/>
            </a:solidFill>
            <a:ln>
              <a:noFill/>
            </a:ln>
            <a:effectLst/>
          </c:spPr>
          <c:invertIfNegative val="0"/>
          <c:dLbls>
            <c:numFmt formatCode="&quot;₹&quot;#,##0_);[Red]\(&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Dashboard!$B$33:$B$37</c:f>
              <c:strCache>
                <c:ptCount val="5"/>
                <c:pt idx="0">
                  <c:v>Operating Revenue</c:v>
                </c:pt>
                <c:pt idx="1">
                  <c:v>Gross Profit</c:v>
                </c:pt>
                <c:pt idx="2">
                  <c:v>Operating Profit</c:v>
                </c:pt>
                <c:pt idx="3">
                  <c:v>EBT</c:v>
                </c:pt>
                <c:pt idx="4">
                  <c:v>Net Profit</c:v>
                </c:pt>
              </c:strCache>
            </c:strRef>
          </c:cat>
          <c:val>
            <c:numRef>
              <c:f>Dashboard!$C$33:$C$37</c:f>
              <c:numCache>
                <c:formatCode>General</c:formatCode>
                <c:ptCount val="5"/>
                <c:pt idx="0">
                  <c:v>249794.75</c:v>
                </c:pt>
                <c:pt idx="1">
                  <c:v>91503.23000000001</c:v>
                </c:pt>
                <c:pt idx="2">
                  <c:v>32287.429999999993</c:v>
                </c:pt>
                <c:pt idx="3">
                  <c:v>-10474.280000000001</c:v>
                </c:pt>
                <c:pt idx="4">
                  <c:v>-13395.1</c:v>
                </c:pt>
              </c:numCache>
            </c:numRef>
          </c:val>
          <c:extLst>
            <c:ext xmlns:c16="http://schemas.microsoft.com/office/drawing/2014/chart" uri="{C3380CC4-5D6E-409C-BE32-E72D297353CC}">
              <c16:uniqueId val="{00000000-80A7-499C-89DC-871A9225E7B5}"/>
            </c:ext>
          </c:extLst>
        </c:ser>
        <c:dLbls>
          <c:showLegendKey val="0"/>
          <c:showVal val="0"/>
          <c:showCatName val="0"/>
          <c:showSerName val="0"/>
          <c:showPercent val="0"/>
          <c:showBubbleSize val="0"/>
        </c:dLbls>
        <c:gapWidth val="99"/>
        <c:overlap val="-20"/>
        <c:axId val="2133792815"/>
        <c:axId val="2133791375"/>
      </c:barChart>
      <c:catAx>
        <c:axId val="2133792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91375"/>
        <c:crosses val="autoZero"/>
        <c:auto val="0"/>
        <c:lblAlgn val="ctr"/>
        <c:lblOffset val="100"/>
        <c:tickLblSkip val="1"/>
        <c:noMultiLvlLbl val="0"/>
      </c:catAx>
      <c:valAx>
        <c:axId val="2133791375"/>
        <c:scaling>
          <c:orientation val="minMax"/>
          <c:min val="-15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9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 Financial Statements_Dashboard.xlsx]Dashboard!PivotTable10</c:name>
    <c:fmtId val="1"/>
  </c:pivotSource>
  <c:chart>
    <c:title>
      <c:tx>
        <c:rich>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r>
              <a:rPr lang="en-IN" sz="1200" b="1" i="0" u="none" strike="noStrike" kern="1200" spc="0" baseline="0">
                <a:solidFill>
                  <a:schemeClr val="lt1"/>
                </a:solidFill>
                <a:latin typeface="+mn-lt"/>
                <a:ea typeface="+mn-ea"/>
                <a:cs typeface="+mn-cs"/>
              </a:rPr>
              <a:t>Cash Flows</a:t>
            </a:r>
          </a:p>
        </c:rich>
      </c:tx>
      <c:layout>
        <c:manualLayout>
          <c:xMode val="edge"/>
          <c:yMode val="edge"/>
          <c:x val="0.77728524707782842"/>
          <c:y val="1.8130108614459767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_);[Red]\(&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Dashboard!$M$31:$M$32</c:f>
              <c:strCache>
                <c:ptCount val="1"/>
                <c:pt idx="0">
                  <c:v>2021</c:v>
                </c:pt>
              </c:strCache>
            </c:strRef>
          </c:tx>
          <c:spPr>
            <a:solidFill>
              <a:schemeClr val="accent1"/>
            </a:solidFill>
            <a:ln>
              <a:noFill/>
            </a:ln>
            <a:effectLst/>
          </c:spPr>
          <c:invertIfNegative val="0"/>
          <c:dLbls>
            <c:numFmt formatCode="&quot;₹&quot;#,##0.00_);[Red]\(&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Dashboard!$L$33:$L$37</c:f>
              <c:strCache>
                <c:ptCount val="5"/>
                <c:pt idx="0">
                  <c:v>Operating Activities</c:v>
                </c:pt>
                <c:pt idx="1">
                  <c:v>Investing Activities</c:v>
                </c:pt>
                <c:pt idx="2">
                  <c:v>Financing Activities</c:v>
                </c:pt>
                <c:pt idx="3">
                  <c:v>Net Change</c:v>
                </c:pt>
                <c:pt idx="4">
                  <c:v>Closing Balance</c:v>
                </c:pt>
              </c:strCache>
            </c:strRef>
          </c:cat>
          <c:val>
            <c:numRef>
              <c:f>Dashboard!$M$33:$M$37</c:f>
              <c:numCache>
                <c:formatCode>General</c:formatCode>
                <c:ptCount val="5"/>
                <c:pt idx="0">
                  <c:v>29000.510000000009</c:v>
                </c:pt>
                <c:pt idx="1">
                  <c:v>-26126.249999999993</c:v>
                </c:pt>
                <c:pt idx="2">
                  <c:v>9904.2000000000044</c:v>
                </c:pt>
                <c:pt idx="3">
                  <c:v>12778.460000000021</c:v>
                </c:pt>
                <c:pt idx="4">
                  <c:v>31700.01000000002</c:v>
                </c:pt>
              </c:numCache>
            </c:numRef>
          </c:val>
          <c:extLst>
            <c:ext xmlns:c16="http://schemas.microsoft.com/office/drawing/2014/chart" uri="{C3380CC4-5D6E-409C-BE32-E72D297353CC}">
              <c16:uniqueId val="{0000001E-8C3B-4722-B538-E22B9FD6C36C}"/>
            </c:ext>
          </c:extLst>
        </c:ser>
        <c:dLbls>
          <c:showLegendKey val="0"/>
          <c:showVal val="0"/>
          <c:showCatName val="0"/>
          <c:showSerName val="0"/>
          <c:showPercent val="0"/>
          <c:showBubbleSize val="0"/>
        </c:dLbls>
        <c:gapWidth val="99"/>
        <c:overlap val="-20"/>
        <c:axId val="2136015199"/>
        <c:axId val="2136016639"/>
      </c:barChart>
      <c:catAx>
        <c:axId val="21360151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16639"/>
        <c:crosses val="autoZero"/>
        <c:auto val="1"/>
        <c:lblAlgn val="ctr"/>
        <c:lblOffset val="100"/>
        <c:tickLblSkip val="1"/>
        <c:tickMarkSkip val="1"/>
        <c:noMultiLvlLbl val="0"/>
      </c:catAx>
      <c:valAx>
        <c:axId val="21360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0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 Financial Statements_Dashboard.xlsx]Dashboard!PivotTable9</c:name>
    <c:fmtId val="1"/>
  </c:pivotSource>
  <c:chart>
    <c:title>
      <c:tx>
        <c:rich>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r>
              <a:rPr lang="en-US" sz="1200" b="1" i="0" u="none" strike="noStrike" kern="1200" spc="0" baseline="0">
                <a:solidFill>
                  <a:schemeClr val="lt1"/>
                </a:solidFill>
                <a:latin typeface="+mn-lt"/>
                <a:ea typeface="+mn-ea"/>
                <a:cs typeface="+mn-cs"/>
              </a:rPr>
              <a:t>Assets | Liability | Equity</a:t>
            </a:r>
          </a:p>
        </c:rich>
      </c:tx>
      <c:layout>
        <c:manualLayout>
          <c:xMode val="edge"/>
          <c:yMode val="edge"/>
          <c:x val="0.53628362758827164"/>
          <c:y val="2.9844869860430025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Dashboard!$H$31:$H$32</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2-C846-43FD-847F-8ECC5C825B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C846-43FD-847F-8ECC5C825B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4-C846-43FD-847F-8ECC5C825B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Dashboard!$G$33:$G$35</c:f>
              <c:strCache>
                <c:ptCount val="3"/>
                <c:pt idx="0">
                  <c:v>Assets</c:v>
                </c:pt>
                <c:pt idx="1">
                  <c:v>Liability</c:v>
                </c:pt>
                <c:pt idx="2">
                  <c:v>Equity Capital</c:v>
                </c:pt>
              </c:strCache>
            </c:strRef>
          </c:cat>
          <c:val>
            <c:numRef>
              <c:f>Dashboard!$H$33:$H$35</c:f>
              <c:numCache>
                <c:formatCode>General</c:formatCode>
                <c:ptCount val="3"/>
                <c:pt idx="0">
                  <c:v>343125.79999999993</c:v>
                </c:pt>
                <c:pt idx="1">
                  <c:v>286305.58999999997</c:v>
                </c:pt>
                <c:pt idx="2">
                  <c:v>56820.21</c:v>
                </c:pt>
              </c:numCache>
            </c:numRef>
          </c:val>
          <c:extLst>
            <c:ext xmlns:c16="http://schemas.microsoft.com/office/drawing/2014/chart" uri="{C3380CC4-5D6E-409C-BE32-E72D297353CC}">
              <c16:uniqueId val="{00000018-C846-43FD-847F-8ECC5C825B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[Tata Motors Financial Statements_Dashboard.xlsx]Dashboard!PivotTable11</c:name>
    <c:fmtId val="1"/>
  </c:pivotSource>
  <c:chart>
    <c:title>
      <c:tx>
        <c:rich>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r>
              <a:rPr lang="en-US" sz="1200" b="1" i="0" u="none" strike="noStrike" kern="1200" spc="0" baseline="0">
                <a:solidFill>
                  <a:schemeClr val="lt1"/>
                </a:solidFill>
                <a:latin typeface="+mn-lt"/>
                <a:ea typeface="+mn-ea"/>
                <a:cs typeface="+mn-cs"/>
              </a:rPr>
              <a:t>Revenue Contribution</a:t>
            </a:r>
          </a:p>
        </c:rich>
      </c:tx>
      <c:layout>
        <c:manualLayout>
          <c:xMode val="edge"/>
          <c:yMode val="edge"/>
          <c:x val="0.58817814116218303"/>
          <c:y val="3.1062079633252023E-2"/>
        </c:manualLayout>
      </c:layout>
      <c:overlay val="0"/>
      <c:spPr>
        <a:solidFill>
          <a:schemeClr val="dk1"/>
        </a:solidFill>
        <a:ln w="12700" cap="flat" cmpd="sng" algn="ctr">
          <a:solidFill>
            <a:schemeClr val="dk1">
              <a:shade val="15000"/>
            </a:schemeClr>
          </a:solidFill>
          <a:prstDash val="solid"/>
          <a:miter lim="800000"/>
        </a:ln>
        <a:effectLst/>
      </c:spPr>
      <c:txPr>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Dashboard!$R$31:$R$32</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8-4D5B-8415-EAFE2A0D0D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8-4D5B-8415-EAFE2A0D0D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8-4D5B-8415-EAFE2A0D0D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Dashboard!$Q$33:$Q$35</c:f>
              <c:strCache>
                <c:ptCount val="3"/>
                <c:pt idx="0">
                  <c:v>JLR</c:v>
                </c:pt>
                <c:pt idx="1">
                  <c:v>Tata Motors</c:v>
                </c:pt>
                <c:pt idx="2">
                  <c:v>Vehicle Financing</c:v>
                </c:pt>
              </c:strCache>
            </c:strRef>
          </c:cat>
          <c:val>
            <c:numRef>
              <c:f>Dashboard!$R$33:$R$35</c:f>
              <c:numCache>
                <c:formatCode>General</c:formatCode>
                <c:ptCount val="3"/>
                <c:pt idx="0">
                  <c:v>193823</c:v>
                </c:pt>
                <c:pt idx="1">
                  <c:v>49710</c:v>
                </c:pt>
                <c:pt idx="2">
                  <c:v>6262</c:v>
                </c:pt>
              </c:numCache>
            </c:numRef>
          </c:val>
          <c:extLst>
            <c:ext xmlns:c16="http://schemas.microsoft.com/office/drawing/2014/chart" uri="{C3380CC4-5D6E-409C-BE32-E72D297353CC}">
              <c16:uniqueId val="{0000000D-EB5B-4548-972B-422B6380DBD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Assets Structure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'Balance Sheet Analysis'!$B$10</c:f>
              <c:strCache>
                <c:ptCount val="1"/>
                <c:pt idx="0">
                  <c:v>Non Current Assets</c:v>
                </c:pt>
              </c:strCache>
            </c:strRef>
          </c:tx>
          <c:spPr>
            <a:solidFill>
              <a:schemeClr val="accent1"/>
            </a:solidFill>
            <a:ln>
              <a:noFill/>
            </a:ln>
            <a:effectLst/>
          </c:spPr>
          <c:invertIfNegative val="0"/>
          <c:cat>
            <c:strRef>
              <c:f>'Balance Sheet Analysis'!$C$3:$E$3</c:f>
              <c:strCache>
                <c:ptCount val="3"/>
                <c:pt idx="0">
                  <c:v>2020 - 2021</c:v>
                </c:pt>
                <c:pt idx="1">
                  <c:v>2021 - 2022</c:v>
                </c:pt>
                <c:pt idx="2">
                  <c:v>2022 - 2023</c:v>
                </c:pt>
              </c:strCache>
            </c:strRef>
          </c:cat>
          <c:val>
            <c:numRef>
              <c:f>'Balance Sheet Analysis'!$C$10:$E$10</c:f>
              <c:numCache>
                <c:formatCode>#,##0.00</c:formatCode>
                <c:ptCount val="3"/>
                <c:pt idx="0">
                  <c:v>196238.15999999997</c:v>
                </c:pt>
                <c:pt idx="1">
                  <c:v>183642.38999999998</c:v>
                </c:pt>
                <c:pt idx="2">
                  <c:v>184552.90999999997</c:v>
                </c:pt>
              </c:numCache>
            </c:numRef>
          </c:val>
          <c:extLst>
            <c:ext xmlns:c16="http://schemas.microsoft.com/office/drawing/2014/chart" uri="{C3380CC4-5D6E-409C-BE32-E72D297353CC}">
              <c16:uniqueId val="{00000000-EBD4-4A07-9DF4-D8F2735646B2}"/>
            </c:ext>
          </c:extLst>
        </c:ser>
        <c:ser>
          <c:idx val="1"/>
          <c:order val="1"/>
          <c:tx>
            <c:strRef>
              <c:f>'Balance Sheet Analysis'!$B$17</c:f>
              <c:strCache>
                <c:ptCount val="1"/>
                <c:pt idx="0">
                  <c:v>Current Assets</c:v>
                </c:pt>
              </c:strCache>
            </c:strRef>
          </c:tx>
          <c:spPr>
            <a:solidFill>
              <a:schemeClr val="accent2"/>
            </a:solidFill>
            <a:ln>
              <a:noFill/>
            </a:ln>
            <a:effectLst/>
          </c:spPr>
          <c:invertIfNegative val="0"/>
          <c:cat>
            <c:strRef>
              <c:f>'Balance Sheet Analysis'!$C$3:$E$3</c:f>
              <c:strCache>
                <c:ptCount val="3"/>
                <c:pt idx="0">
                  <c:v>2020 - 2021</c:v>
                </c:pt>
                <c:pt idx="1">
                  <c:v>2021 - 2022</c:v>
                </c:pt>
                <c:pt idx="2">
                  <c:v>2022 - 2023</c:v>
                </c:pt>
              </c:strCache>
            </c:strRef>
          </c:cat>
          <c:val>
            <c:numRef>
              <c:f>'Balance Sheet Analysis'!$C$17:$E$17</c:f>
              <c:numCache>
                <c:formatCode>#,##0.00</c:formatCode>
                <c:ptCount val="3"/>
                <c:pt idx="0">
                  <c:v>146887.63999999998</c:v>
                </c:pt>
                <c:pt idx="1">
                  <c:v>146977.53999999998</c:v>
                </c:pt>
                <c:pt idx="2">
                  <c:v>151528.47</c:v>
                </c:pt>
              </c:numCache>
            </c:numRef>
          </c:val>
          <c:extLst>
            <c:ext xmlns:c16="http://schemas.microsoft.com/office/drawing/2014/chart" uri="{C3380CC4-5D6E-409C-BE32-E72D297353CC}">
              <c16:uniqueId val="{00000001-EBD4-4A07-9DF4-D8F2735646B2}"/>
            </c:ext>
          </c:extLst>
        </c:ser>
        <c:dLbls>
          <c:showLegendKey val="0"/>
          <c:showVal val="0"/>
          <c:showCatName val="0"/>
          <c:showSerName val="0"/>
          <c:showPercent val="0"/>
          <c:showBubbleSize val="0"/>
        </c:dLbls>
        <c:gapWidth val="219"/>
        <c:axId val="97406847"/>
        <c:axId val="97410207"/>
      </c:barChart>
      <c:catAx>
        <c:axId val="9740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0207"/>
        <c:crosses val="autoZero"/>
        <c:auto val="1"/>
        <c:lblAlgn val="ctr"/>
        <c:lblOffset val="100"/>
        <c:noMultiLvlLbl val="0"/>
      </c:catAx>
      <c:valAx>
        <c:axId val="97410207"/>
        <c:scaling>
          <c:orientation val="minMax"/>
          <c:max val="200000"/>
          <c:min val="100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0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Liabilitiy</a:t>
            </a:r>
            <a:r>
              <a:rPr lang="en-IN" baseline="0"/>
              <a:t> Structure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'Balance Sheet Analysis'!$B$31</c:f>
              <c:strCache>
                <c:ptCount val="1"/>
                <c:pt idx="0">
                  <c:v>Non Current Liabilities</c:v>
                </c:pt>
              </c:strCache>
            </c:strRef>
          </c:tx>
          <c:spPr>
            <a:solidFill>
              <a:schemeClr val="accent1"/>
            </a:solidFill>
            <a:ln>
              <a:noFill/>
            </a:ln>
            <a:effectLst/>
          </c:spPr>
          <c:invertIfNegative val="0"/>
          <c:cat>
            <c:strRef>
              <c:f>'Balance Sheet Analysis'!$C$3:$E$3</c:f>
              <c:strCache>
                <c:ptCount val="3"/>
                <c:pt idx="0">
                  <c:v>2020 - 2021</c:v>
                </c:pt>
                <c:pt idx="1">
                  <c:v>2021 - 2022</c:v>
                </c:pt>
                <c:pt idx="2">
                  <c:v>2022 - 2023</c:v>
                </c:pt>
              </c:strCache>
            </c:strRef>
          </c:cat>
          <c:val>
            <c:numRef>
              <c:f>'Balance Sheet Analysis'!$C$31:$E$31</c:f>
              <c:numCache>
                <c:formatCode>#,##0.00</c:formatCode>
                <c:ptCount val="3"/>
                <c:pt idx="0">
                  <c:v>128556.41</c:v>
                </c:pt>
                <c:pt idx="1">
                  <c:v>131104.82</c:v>
                </c:pt>
                <c:pt idx="2">
                  <c:v>128454.54000000001</c:v>
                </c:pt>
              </c:numCache>
            </c:numRef>
          </c:val>
          <c:extLst>
            <c:ext xmlns:c16="http://schemas.microsoft.com/office/drawing/2014/chart" uri="{C3380CC4-5D6E-409C-BE32-E72D297353CC}">
              <c16:uniqueId val="{00000000-E734-41DC-A67E-6E0D7DAE6B51}"/>
            </c:ext>
          </c:extLst>
        </c:ser>
        <c:ser>
          <c:idx val="1"/>
          <c:order val="1"/>
          <c:tx>
            <c:strRef>
              <c:f>'Balance Sheet Analysis'!$B$39</c:f>
              <c:strCache>
                <c:ptCount val="1"/>
                <c:pt idx="0">
                  <c:v>Current Liabilities</c:v>
                </c:pt>
              </c:strCache>
            </c:strRef>
          </c:tx>
          <c:spPr>
            <a:solidFill>
              <a:schemeClr val="accent2"/>
            </a:solidFill>
            <a:ln>
              <a:noFill/>
            </a:ln>
            <a:effectLst/>
          </c:spPr>
          <c:invertIfNegative val="0"/>
          <c:cat>
            <c:strRef>
              <c:f>'Balance Sheet Analysis'!$C$3:$E$3</c:f>
              <c:strCache>
                <c:ptCount val="3"/>
                <c:pt idx="0">
                  <c:v>2020 - 2021</c:v>
                </c:pt>
                <c:pt idx="1">
                  <c:v>2021 - 2022</c:v>
                </c:pt>
                <c:pt idx="2">
                  <c:v>2022 - 2023</c:v>
                </c:pt>
              </c:strCache>
            </c:strRef>
          </c:cat>
          <c:val>
            <c:numRef>
              <c:f>'Balance Sheet Analysis'!$C$39:$E$39</c:f>
              <c:numCache>
                <c:formatCode>#,##0.00</c:formatCode>
                <c:ptCount val="3"/>
                <c:pt idx="0">
                  <c:v>157749.18</c:v>
                </c:pt>
                <c:pt idx="1">
                  <c:v>150682.81000000003</c:v>
                </c:pt>
                <c:pt idx="2">
                  <c:v>155027.32999999999</c:v>
                </c:pt>
              </c:numCache>
            </c:numRef>
          </c:val>
          <c:extLst>
            <c:ext xmlns:c16="http://schemas.microsoft.com/office/drawing/2014/chart" uri="{C3380CC4-5D6E-409C-BE32-E72D297353CC}">
              <c16:uniqueId val="{00000001-E734-41DC-A67E-6E0D7DAE6B51}"/>
            </c:ext>
          </c:extLst>
        </c:ser>
        <c:dLbls>
          <c:showLegendKey val="0"/>
          <c:showVal val="0"/>
          <c:showCatName val="0"/>
          <c:showSerName val="0"/>
          <c:showPercent val="0"/>
          <c:showBubbleSize val="0"/>
        </c:dLbls>
        <c:gapWidth val="219"/>
        <c:overlap val="-27"/>
        <c:axId val="79825583"/>
        <c:axId val="79823663"/>
      </c:barChart>
      <c:catAx>
        <c:axId val="7982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3663"/>
        <c:crosses val="autoZero"/>
        <c:auto val="1"/>
        <c:lblAlgn val="ctr"/>
        <c:lblOffset val="100"/>
        <c:noMultiLvlLbl val="0"/>
      </c:catAx>
      <c:valAx>
        <c:axId val="79823663"/>
        <c:scaling>
          <c:orientation val="minMax"/>
          <c:max val="160000"/>
          <c:min val="1000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Cash Flow Components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'Cash Flow Analysis'!$B$11</c:f>
              <c:strCache>
                <c:ptCount val="1"/>
                <c:pt idx="0">
                  <c:v>Cash Generated from Operating Activities</c:v>
                </c:pt>
              </c:strCache>
            </c:strRef>
          </c:tx>
          <c:spPr>
            <a:solidFill>
              <a:schemeClr val="accent1"/>
            </a:solidFill>
            <a:ln>
              <a:noFill/>
            </a:ln>
            <a:effectLst/>
          </c:spPr>
          <c:invertIfNegative val="0"/>
          <c:cat>
            <c:strRef>
              <c:f>'Cash Flow Analysis'!$C$3:$E$3</c:f>
              <c:strCache>
                <c:ptCount val="3"/>
                <c:pt idx="0">
                  <c:v>2020 - 2021</c:v>
                </c:pt>
                <c:pt idx="1">
                  <c:v>2021 - 2022</c:v>
                </c:pt>
                <c:pt idx="2">
                  <c:v>2022 - 2023</c:v>
                </c:pt>
              </c:strCache>
            </c:strRef>
          </c:cat>
          <c:val>
            <c:numRef>
              <c:f>'Cash Flow Analysis'!$C$11:$E$11</c:f>
              <c:numCache>
                <c:formatCode>#,##0.00</c:formatCode>
                <c:ptCount val="3"/>
                <c:pt idx="0">
                  <c:v>29000.510000000009</c:v>
                </c:pt>
                <c:pt idx="1">
                  <c:v>14282.829999999993</c:v>
                </c:pt>
                <c:pt idx="2">
                  <c:v>35388.006000000001</c:v>
                </c:pt>
              </c:numCache>
            </c:numRef>
          </c:val>
          <c:extLst>
            <c:ext xmlns:c16="http://schemas.microsoft.com/office/drawing/2014/chart" uri="{C3380CC4-5D6E-409C-BE32-E72D297353CC}">
              <c16:uniqueId val="{00000000-92D9-4578-A730-92F9BE254C57}"/>
            </c:ext>
          </c:extLst>
        </c:ser>
        <c:ser>
          <c:idx val="1"/>
          <c:order val="1"/>
          <c:tx>
            <c:strRef>
              <c:f>'Cash Flow Analysis'!$B$21</c:f>
              <c:strCache>
                <c:ptCount val="1"/>
                <c:pt idx="0">
                  <c:v>Cash Generated from Investing Activities</c:v>
                </c:pt>
              </c:strCache>
            </c:strRef>
          </c:tx>
          <c:spPr>
            <a:solidFill>
              <a:schemeClr val="accent2"/>
            </a:solidFill>
            <a:ln>
              <a:noFill/>
            </a:ln>
            <a:effectLst/>
          </c:spPr>
          <c:invertIfNegative val="0"/>
          <c:cat>
            <c:strRef>
              <c:f>'Cash Flow Analysis'!$C$3:$E$3</c:f>
              <c:strCache>
                <c:ptCount val="3"/>
                <c:pt idx="0">
                  <c:v>2020 - 2021</c:v>
                </c:pt>
                <c:pt idx="1">
                  <c:v>2021 - 2022</c:v>
                </c:pt>
                <c:pt idx="2">
                  <c:v>2022 - 2023</c:v>
                </c:pt>
              </c:strCache>
            </c:strRef>
          </c:cat>
          <c:val>
            <c:numRef>
              <c:f>'Cash Flow Analysis'!$C$21:$E$21</c:f>
              <c:numCache>
                <c:formatCode>General</c:formatCode>
                <c:ptCount val="3"/>
                <c:pt idx="0">
                  <c:v>-26126.249999999993</c:v>
                </c:pt>
                <c:pt idx="1">
                  <c:v>-4775.1200000000026</c:v>
                </c:pt>
                <c:pt idx="2">
                  <c:v>-16804.16</c:v>
                </c:pt>
              </c:numCache>
            </c:numRef>
          </c:val>
          <c:extLst>
            <c:ext xmlns:c16="http://schemas.microsoft.com/office/drawing/2014/chart" uri="{C3380CC4-5D6E-409C-BE32-E72D297353CC}">
              <c16:uniqueId val="{00000001-92D9-4578-A730-92F9BE254C57}"/>
            </c:ext>
          </c:extLst>
        </c:ser>
        <c:ser>
          <c:idx val="2"/>
          <c:order val="2"/>
          <c:tx>
            <c:strRef>
              <c:f>'Cash Flow Analysis'!$B$40</c:f>
              <c:strCache>
                <c:ptCount val="1"/>
                <c:pt idx="0">
                  <c:v>Cash Generated from Financing Activities</c:v>
                </c:pt>
              </c:strCache>
            </c:strRef>
          </c:tx>
          <c:spPr>
            <a:solidFill>
              <a:schemeClr val="accent3"/>
            </a:solidFill>
            <a:ln>
              <a:noFill/>
            </a:ln>
            <a:effectLst/>
          </c:spPr>
          <c:invertIfNegative val="0"/>
          <c:cat>
            <c:strRef>
              <c:f>'Cash Flow Analysis'!$C$3:$E$3</c:f>
              <c:strCache>
                <c:ptCount val="3"/>
                <c:pt idx="0">
                  <c:v>2020 - 2021</c:v>
                </c:pt>
                <c:pt idx="1">
                  <c:v>2021 - 2022</c:v>
                </c:pt>
                <c:pt idx="2">
                  <c:v>2022 - 2023</c:v>
                </c:pt>
              </c:strCache>
            </c:strRef>
          </c:cat>
          <c:val>
            <c:numRef>
              <c:f>'Cash Flow Analysis'!$C$40:$E$40</c:f>
              <c:numCache>
                <c:formatCode>General</c:formatCode>
                <c:ptCount val="3"/>
                <c:pt idx="0">
                  <c:v>9904.2000000000044</c:v>
                </c:pt>
                <c:pt idx="1">
                  <c:v>-3380.17</c:v>
                </c:pt>
                <c:pt idx="2">
                  <c:v>-26242.899999999998</c:v>
                </c:pt>
              </c:numCache>
            </c:numRef>
          </c:val>
          <c:extLst>
            <c:ext xmlns:c16="http://schemas.microsoft.com/office/drawing/2014/chart" uri="{C3380CC4-5D6E-409C-BE32-E72D297353CC}">
              <c16:uniqueId val="{00000002-92D9-4578-A730-92F9BE254C57}"/>
            </c:ext>
          </c:extLst>
        </c:ser>
        <c:dLbls>
          <c:showLegendKey val="0"/>
          <c:showVal val="0"/>
          <c:showCatName val="0"/>
          <c:showSerName val="0"/>
          <c:showPercent val="0"/>
          <c:showBubbleSize val="0"/>
        </c:dLbls>
        <c:gapWidth val="219"/>
        <c:overlap val="-27"/>
        <c:axId val="152266223"/>
        <c:axId val="152297135"/>
      </c:barChart>
      <c:catAx>
        <c:axId val="152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97135"/>
        <c:crosses val="autoZero"/>
        <c:auto val="1"/>
        <c:lblAlgn val="ctr"/>
        <c:lblOffset val="100"/>
        <c:noMultiLvlLbl val="0"/>
      </c:catAx>
      <c:valAx>
        <c:axId val="152297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6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_xlchart.v1.1</cx:f>
      </cx:numDim>
    </cx:data>
  </cx:chartData>
  <cx:chart>
    <cx:title pos="t" align="ctr" overlay="0">
      <cx:tx>
        <cx:txData>
          <cx:v>Net Profit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Net Profit</a:t>
          </a:r>
        </a:p>
      </cx:txPr>
    </cx:title>
    <cx:plotArea>
      <cx:plotAreaRegion>
        <cx:series layoutId="waterfall" uniqueId="{B2DF3B80-A2B1-4FAA-9EA8-95EB6608FD91}">
          <cx:tx>
            <cx:txData>
              <cx:f>_xlchart.v1.0</cx:f>
              <cx:v>PAT/Net Profit</cx:v>
            </cx:txData>
          </cx:tx>
          <cx:dataPt idx="1">
            <cx:spPr>
              <a:solidFill>
                <a:srgbClr val="ED7D31">
                  <a:lumMod val="75000"/>
                </a:srgbClr>
              </a:solidFill>
            </cx:spPr>
          </cx:dataPt>
          <cx:dataPt idx="2">
            <cx:spPr>
              <a:solidFill>
                <a:srgbClr val="00B050"/>
              </a:solidFill>
            </cx:spPr>
          </cx:dataPt>
          <cx:dataLabels pos="outEnd">
            <cx:visibility seriesName="0" categoryName="0" value="1"/>
          </cx:dataLabels>
          <cx:dataId val="0"/>
          <cx:layoutPr>
            <cx:subtotals>
              <cx:idx val="1"/>
              <cx:idx val="2"/>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142875</xdr:colOff>
      <xdr:row>0</xdr:row>
      <xdr:rowOff>69056</xdr:rowOff>
    </xdr:from>
    <xdr:to>
      <xdr:col>15</xdr:col>
      <xdr:colOff>1295400</xdr:colOff>
      <xdr:row>3</xdr:row>
      <xdr:rowOff>123825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9A6A9FBE-35F5-EAA7-1157-1F3AE02D65E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43475" y="69056"/>
              <a:ext cx="7372350" cy="626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91678</xdr:colOff>
      <xdr:row>3</xdr:row>
      <xdr:rowOff>179786</xdr:rowOff>
    </xdr:from>
    <xdr:to>
      <xdr:col>6</xdr:col>
      <xdr:colOff>161925</xdr:colOff>
      <xdr:row>21</xdr:row>
      <xdr:rowOff>123825</xdr:rowOff>
    </xdr:to>
    <xdr:graphicFrame macro="">
      <xdr:nvGraphicFramePr>
        <xdr:cNvPr id="7" name="Chart 6">
          <a:extLst>
            <a:ext uri="{FF2B5EF4-FFF2-40B4-BE49-F238E27FC236}">
              <a16:creationId xmlns:a16="http://schemas.microsoft.com/office/drawing/2014/main" id="{2EC2303C-FB39-3466-C481-3A10DE99B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800100</xdr:colOff>
      <xdr:row>3</xdr:row>
      <xdr:rowOff>185736</xdr:rowOff>
    </xdr:from>
    <xdr:to>
      <xdr:col>15</xdr:col>
      <xdr:colOff>1295399</xdr:colOff>
      <xdr:row>21</xdr:row>
      <xdr:rowOff>114300</xdr:rowOff>
    </xdr:to>
    <xdr:graphicFrame macro="">
      <xdr:nvGraphicFramePr>
        <xdr:cNvPr id="10" name="Chart 9">
          <a:extLst>
            <a:ext uri="{FF2B5EF4-FFF2-40B4-BE49-F238E27FC236}">
              <a16:creationId xmlns:a16="http://schemas.microsoft.com/office/drawing/2014/main" id="{BC8AB3B8-304D-BFAB-BBA7-70FBD6844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213119</xdr:colOff>
      <xdr:row>3</xdr:row>
      <xdr:rowOff>179785</xdr:rowOff>
    </xdr:from>
    <xdr:to>
      <xdr:col>11</xdr:col>
      <xdr:colOff>762000</xdr:colOff>
      <xdr:row>12</xdr:row>
      <xdr:rowOff>161925</xdr:rowOff>
    </xdr:to>
    <xdr:graphicFrame macro="">
      <xdr:nvGraphicFramePr>
        <xdr:cNvPr id="11" name="Chart 10">
          <a:extLst>
            <a:ext uri="{FF2B5EF4-FFF2-40B4-BE49-F238E27FC236}">
              <a16:creationId xmlns:a16="http://schemas.microsoft.com/office/drawing/2014/main" id="{127401CB-3426-92C8-020A-F143AA64D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203598</xdr:colOff>
      <xdr:row>12</xdr:row>
      <xdr:rowOff>189309</xdr:rowOff>
    </xdr:from>
    <xdr:to>
      <xdr:col>11</xdr:col>
      <xdr:colOff>762000</xdr:colOff>
      <xdr:row>21</xdr:row>
      <xdr:rowOff>114300</xdr:rowOff>
    </xdr:to>
    <xdr:graphicFrame macro="">
      <xdr:nvGraphicFramePr>
        <xdr:cNvPr id="12" name="Chart 11">
          <a:extLst>
            <a:ext uri="{FF2B5EF4-FFF2-40B4-BE49-F238E27FC236}">
              <a16:creationId xmlns:a16="http://schemas.microsoft.com/office/drawing/2014/main" id="{D101D7BC-E292-8848-1B00-32516C9F9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0</xdr:row>
      <xdr:rowOff>57150</xdr:rowOff>
    </xdr:from>
    <xdr:to>
      <xdr:col>4</xdr:col>
      <xdr:colOff>514350</xdr:colOff>
      <xdr:row>3</xdr:row>
      <xdr:rowOff>104775</xdr:rowOff>
    </xdr:to>
    <xdr:sp macro="" textlink="">
      <xdr:nvSpPr>
        <xdr:cNvPr id="13" name="Rectangle 12">
          <a:extLst>
            <a:ext uri="{FF2B5EF4-FFF2-40B4-BE49-F238E27FC236}">
              <a16:creationId xmlns:a16="http://schemas.microsoft.com/office/drawing/2014/main" id="{7FC23B9B-8AED-1FBE-D15E-5C977EF25DF4}"/>
            </a:ext>
          </a:extLst>
        </xdr:cNvPr>
        <xdr:cNvSpPr/>
      </xdr:nvSpPr>
      <xdr:spPr>
        <a:xfrm>
          <a:off x="95250" y="57150"/>
          <a:ext cx="3495675" cy="619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66675</xdr:colOff>
      <xdr:row>0</xdr:row>
      <xdr:rowOff>114301</xdr:rowOff>
    </xdr:from>
    <xdr:to>
      <xdr:col>4</xdr:col>
      <xdr:colOff>466725</xdr:colOff>
      <xdr:row>3</xdr:row>
      <xdr:rowOff>66675</xdr:rowOff>
    </xdr:to>
    <xdr:sp macro="" textlink="">
      <xdr:nvSpPr>
        <xdr:cNvPr id="14" name="Rectangle 13">
          <a:extLst>
            <a:ext uri="{FF2B5EF4-FFF2-40B4-BE49-F238E27FC236}">
              <a16:creationId xmlns:a16="http://schemas.microsoft.com/office/drawing/2014/main" id="{30EF49AC-8974-4FEE-8976-2AA20F53DCE8}"/>
            </a:ext>
          </a:extLst>
        </xdr:cNvPr>
        <xdr:cNvSpPr/>
      </xdr:nvSpPr>
      <xdr:spPr>
        <a:xfrm>
          <a:off x="161925" y="114301"/>
          <a:ext cx="3381375" cy="523874"/>
        </a:xfrm>
        <a:prstGeom prst="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Tata Motors</a:t>
          </a:r>
          <a:br>
            <a:rPr lang="en-IN" sz="1100"/>
          </a:br>
          <a:r>
            <a:rPr lang="en-IN" sz="1100"/>
            <a:t>Financial Analysis (consolidated)</a:t>
          </a:r>
          <a:r>
            <a:rPr lang="en-IN" sz="1100" baseline="0"/>
            <a:t> - </a:t>
          </a:r>
          <a:r>
            <a:rPr lang="en-IN" sz="1100"/>
            <a:t>2021 | 2022 | 2023</a:t>
          </a:r>
        </a:p>
      </xdr:txBody>
    </xdr:sp>
    <xdr:clientData/>
  </xdr:twoCellAnchor>
  <xdr:twoCellAnchor>
    <xdr:from>
      <xdr:col>4</xdr:col>
      <xdr:colOff>600076</xdr:colOff>
      <xdr:row>0</xdr:row>
      <xdr:rowOff>66675</xdr:rowOff>
    </xdr:from>
    <xdr:to>
      <xdr:col>7</xdr:col>
      <xdr:colOff>57151</xdr:colOff>
      <xdr:row>3</xdr:row>
      <xdr:rowOff>114300</xdr:rowOff>
    </xdr:to>
    <xdr:sp macro="" textlink="">
      <xdr:nvSpPr>
        <xdr:cNvPr id="17" name="Rectangle 16">
          <a:extLst>
            <a:ext uri="{FF2B5EF4-FFF2-40B4-BE49-F238E27FC236}">
              <a16:creationId xmlns:a16="http://schemas.microsoft.com/office/drawing/2014/main" id="{FD95F4F6-FA1D-45EB-A136-64AAD9E2D88C}"/>
            </a:ext>
          </a:extLst>
        </xdr:cNvPr>
        <xdr:cNvSpPr/>
      </xdr:nvSpPr>
      <xdr:spPr>
        <a:xfrm>
          <a:off x="3676651" y="66675"/>
          <a:ext cx="1181100" cy="619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Values in Rs Cr.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111759</xdr:colOff>
      <xdr:row>81</xdr:row>
      <xdr:rowOff>26923</xdr:rowOff>
    </xdr:from>
    <xdr:ext cx="632460" cy="188976"/>
    <xdr:pic>
      <xdr:nvPicPr>
        <xdr:cNvPr id="2" name="image3.png">
          <a:extLst>
            <a:ext uri="{FF2B5EF4-FFF2-40B4-BE49-F238E27FC236}">
              <a16:creationId xmlns:a16="http://schemas.microsoft.com/office/drawing/2014/main" id="{90C73412-8E0D-4F24-A74B-6D59F2A94D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03659" y="13857223"/>
          <a:ext cx="632460" cy="18897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13</xdr:col>
      <xdr:colOff>0</xdr:colOff>
      <xdr:row>10</xdr:row>
      <xdr:rowOff>167748</xdr:rowOff>
    </xdr:from>
    <xdr:to>
      <xdr:col>16</xdr:col>
      <xdr:colOff>1057275</xdr:colOff>
      <xdr:row>18</xdr:row>
      <xdr:rowOff>183094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2CDE75D-D08E-AC8A-BFB5-CF25151232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53500" y="2177523"/>
              <a:ext cx="3781425" cy="154887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28576</xdr:colOff>
      <xdr:row>6</xdr:row>
      <xdr:rowOff>147636</xdr:rowOff>
    </xdr:from>
    <xdr:to>
      <xdr:col>11</xdr:col>
      <xdr:colOff>85725</xdr:colOff>
      <xdr:row>16</xdr:row>
      <xdr:rowOff>57150</xdr:rowOff>
    </xdr:to>
    <xdr:graphicFrame macro="">
      <xdr:nvGraphicFramePr>
        <xdr:cNvPr id="2" name="Chart 1">
          <a:extLst>
            <a:ext uri="{FF2B5EF4-FFF2-40B4-BE49-F238E27FC236}">
              <a16:creationId xmlns:a16="http://schemas.microsoft.com/office/drawing/2014/main" id="{7DC1392E-A31D-7941-F67A-ADCEC5B5E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123826</xdr:colOff>
      <xdr:row>6</xdr:row>
      <xdr:rowOff>138112</xdr:rowOff>
    </xdr:from>
    <xdr:to>
      <xdr:col>13</xdr:col>
      <xdr:colOff>142876</xdr:colOff>
      <xdr:row>16</xdr:row>
      <xdr:rowOff>28575</xdr:rowOff>
    </xdr:to>
    <xdr:graphicFrame macro="">
      <xdr:nvGraphicFramePr>
        <xdr:cNvPr id="3" name="Chart 2">
          <a:extLst>
            <a:ext uri="{FF2B5EF4-FFF2-40B4-BE49-F238E27FC236}">
              <a16:creationId xmlns:a16="http://schemas.microsoft.com/office/drawing/2014/main" id="{8421ACF1-3F16-2398-4021-001CF58A5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0</xdr:colOff>
      <xdr:row>22</xdr:row>
      <xdr:rowOff>26923</xdr:rowOff>
    </xdr:from>
    <xdr:ext cx="632460" cy="188976"/>
    <xdr:pic>
      <xdr:nvPicPr>
        <xdr:cNvPr id="2" name="image3.png">
          <a:extLst>
            <a:ext uri="{FF2B5EF4-FFF2-40B4-BE49-F238E27FC236}">
              <a16:creationId xmlns:a16="http://schemas.microsoft.com/office/drawing/2014/main" id="{4B5E7EB3-875C-46B9-86BC-CF826F584E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84259" y="15762223"/>
          <a:ext cx="632460" cy="188976"/>
        </a:xfrm>
        <a:prstGeom prst="rect">
          <a:avLst/>
        </a:prstGeom>
      </xdr:spPr>
    </xdr:pic>
    <xdr:clientData/>
  </xdr:oneCellAnchor>
  <xdr:twoCellAnchor>
    <xdr:from>
      <xdr:col>6</xdr:col>
      <xdr:colOff>19050</xdr:colOff>
      <xdr:row>8</xdr:row>
      <xdr:rowOff>14287</xdr:rowOff>
    </xdr:from>
    <xdr:to>
      <xdr:col>9</xdr:col>
      <xdr:colOff>742950</xdr:colOff>
      <xdr:row>22</xdr:row>
      <xdr:rowOff>90487</xdr:rowOff>
    </xdr:to>
    <xdr:graphicFrame macro="">
      <xdr:nvGraphicFramePr>
        <xdr:cNvPr id="3" name="Chart 2">
          <a:extLst>
            <a:ext uri="{FF2B5EF4-FFF2-40B4-BE49-F238E27FC236}">
              <a16:creationId xmlns:a16="http://schemas.microsoft.com/office/drawing/2014/main" id="{86EE5DD6-DB5A-6CE4-6C35-967E5FA52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35.441945949075" createdVersion="8" refreshedVersion="8" minRefreshableVersion="3" recordCount="15" xr:uid="{8150BBE5-45F2-468D-A9D3-2F0C54D422F8}">
  <cacheSource type="worksheet">
    <worksheetSource ref="A3:I18" sheet="Working Data"/>
  </cacheSource>
  <cacheFields count="13">
    <cacheField name="Year" numFmtId="0">
      <sharedItems containsSemiMixedTypes="0" containsString="0" containsNumber="1" containsInteger="1" minValue="2021" maxValue="2023" count="3">
        <n v="2021"/>
        <n v="2022"/>
        <n v="2023"/>
      </sharedItems>
    </cacheField>
    <cacheField name="Sequence" numFmtId="0">
      <sharedItems containsSemiMixedTypes="0" containsString="0" containsNumber="1" containsInteger="1" minValue="1" maxValue="5" count="5">
        <n v="1"/>
        <n v="2"/>
        <n v="3"/>
        <n v="4"/>
        <n v="5"/>
      </sharedItems>
    </cacheField>
    <cacheField name="Profit &amp; Loss" numFmtId="0">
      <sharedItems count="5">
        <s v="Operating Revenue"/>
        <s v="Gross Profit"/>
        <s v="Operating Profit"/>
        <s v="EBT"/>
        <s v="Net Profit"/>
      </sharedItems>
    </cacheField>
    <cacheField name="Value (in Rs. Cr.)" numFmtId="0">
      <sharedItems containsSemiMixedTypes="0" containsString="0" containsNumber="1" minValue="-13395.1" maxValue="345966.97000000003"/>
    </cacheField>
    <cacheField name="Sequence2" numFmtId="0">
      <sharedItems containsString="0" containsBlank="1" containsNumber="1" containsInteger="1" minValue="1" maxValue="3" count="4">
        <n v="1"/>
        <n v="3"/>
        <n v="2"/>
        <m/>
      </sharedItems>
    </cacheField>
    <cacheField name="Balance Sheet" numFmtId="0">
      <sharedItems containsBlank="1" count="4">
        <s v="Assets"/>
        <s v="Equity Capital"/>
        <s v="Liability"/>
        <m/>
      </sharedItems>
    </cacheField>
    <cacheField name="Value (in Rs. Cr.)2" numFmtId="0">
      <sharedItems containsString="0" containsBlank="1" containsNumber="1" minValue="48832.299999999996" maxValue="343125.79999999993"/>
    </cacheField>
    <cacheField name="Sequence3" numFmtId="0">
      <sharedItems containsSemiMixedTypes="0" containsString="0" containsNumber="1" containsInteger="1" minValue="1" maxValue="5"/>
    </cacheField>
    <cacheField name="Cash Flow" numFmtId="0">
      <sharedItems count="5">
        <s v="Cash from Operating Activities"/>
        <s v="Cash from Investing Activities"/>
        <s v="Cash From Financing Activities"/>
        <s v="Net Change in Cash Flow"/>
        <s v="Closing Cash Balance"/>
      </sharedItems>
    </cacheField>
    <cacheField name="Value (in Rs. Cr.)3" numFmtId="0">
      <sharedItems containsSemiMixedTypes="0" containsString="0" containsNumber="1" minValue="-26242.899999999998" maxValue="38159.01"/>
    </cacheField>
    <cacheField name="Sequence4" numFmtId="0">
      <sharedItems containsString="0" containsBlank="1" containsNumber="1" containsInteger="1" minValue="1" maxValue="3"/>
    </cacheField>
    <cacheField name="Revenue Driver" numFmtId="0">
      <sharedItems containsBlank="1" count="4">
        <s v="JLR"/>
        <s v="Tata Motors"/>
        <s v="Vehicle Financing"/>
        <m/>
      </sharedItems>
    </cacheField>
    <cacheField name="Value (in Rs. Cr.)4" numFmtId="0">
      <sharedItems containsString="0" containsBlank="1" containsNumber="1" containsInteger="1" minValue="4423" maxValue="222860"/>
    </cacheField>
  </cacheFields>
  <extLst>
    <ext xmlns:x14="http://schemas.microsoft.com/office/spreadsheetml/2009/9/main" uri="{725AE2AE-9491-48be-B2B4-4EB974FC3084}">
      <x14:pivotCacheDefinition pivotCacheId="227425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n v="249794.75"/>
    <x v="0"/>
    <x v="0"/>
    <n v="343125.79999999993"/>
    <n v="1"/>
    <x v="0"/>
    <n v="29000.510000000009"/>
    <n v="1"/>
    <x v="0"/>
    <n v="193823"/>
  </r>
  <r>
    <x v="1"/>
    <x v="0"/>
    <x v="0"/>
    <n v="278453.62"/>
    <x v="0"/>
    <x v="0"/>
    <n v="330619.92999999993"/>
    <n v="1"/>
    <x v="0"/>
    <n v="14282.829999999993"/>
    <n v="1"/>
    <x v="0"/>
    <n v="187697"/>
  </r>
  <r>
    <x v="2"/>
    <x v="0"/>
    <x v="0"/>
    <n v="345966.97000000003"/>
    <x v="0"/>
    <x v="0"/>
    <n v="336081.38"/>
    <n v="1"/>
    <x v="0"/>
    <n v="35388.006000000001"/>
    <n v="1"/>
    <x v="0"/>
    <n v="222860"/>
  </r>
  <r>
    <x v="0"/>
    <x v="1"/>
    <x v="1"/>
    <n v="91503.23000000001"/>
    <x v="1"/>
    <x v="1"/>
    <n v="56820.21"/>
    <n v="2"/>
    <x v="1"/>
    <n v="-26126.249999999993"/>
    <n v="2"/>
    <x v="1"/>
    <n v="49710"/>
  </r>
  <r>
    <x v="1"/>
    <x v="1"/>
    <x v="1"/>
    <n v="97567.800000000017"/>
    <x v="1"/>
    <x v="1"/>
    <n v="48832.299999999996"/>
    <n v="2"/>
    <x v="1"/>
    <n v="-4775.1200000000026"/>
    <n v="2"/>
    <x v="1"/>
    <n v="83802"/>
  </r>
  <r>
    <x v="2"/>
    <x v="1"/>
    <x v="1"/>
    <n v="119497.33000000002"/>
    <x v="1"/>
    <x v="1"/>
    <n v="52599.509999999995"/>
    <n v="2"/>
    <x v="1"/>
    <n v="-16804.16"/>
    <n v="2"/>
    <x v="1"/>
    <n v="118684"/>
  </r>
  <r>
    <x v="0"/>
    <x v="2"/>
    <x v="2"/>
    <n v="32287.429999999993"/>
    <x v="2"/>
    <x v="2"/>
    <n v="286305.58999999997"/>
    <n v="3"/>
    <x v="2"/>
    <n v="9904.2000000000044"/>
    <n v="3"/>
    <x v="2"/>
    <n v="6262"/>
  </r>
  <r>
    <x v="1"/>
    <x v="2"/>
    <x v="2"/>
    <n v="24720.090000000055"/>
    <x v="2"/>
    <x v="2"/>
    <n v="281787.63"/>
    <n v="3"/>
    <x v="2"/>
    <n v="-3380.17"/>
    <n v="3"/>
    <x v="2"/>
    <n v="6955"/>
  </r>
  <r>
    <x v="2"/>
    <x v="2"/>
    <x v="2"/>
    <n v="31919.680000000051"/>
    <x v="2"/>
    <x v="2"/>
    <n v="283481.87"/>
    <n v="3"/>
    <x v="2"/>
    <n v="-26242.899999999998"/>
    <n v="3"/>
    <x v="2"/>
    <n v="4423"/>
  </r>
  <r>
    <x v="0"/>
    <x v="3"/>
    <x v="3"/>
    <n v="-10474.280000000001"/>
    <x v="3"/>
    <x v="3"/>
    <m/>
    <n v="4"/>
    <x v="3"/>
    <n v="12778.460000000021"/>
    <m/>
    <x v="3"/>
    <m/>
  </r>
  <r>
    <x v="1"/>
    <x v="3"/>
    <x v="3"/>
    <n v="-7003.4099999999453"/>
    <x v="3"/>
    <x v="3"/>
    <m/>
    <n v="4"/>
    <x v="3"/>
    <n v="6127.53999999999"/>
    <m/>
    <x v="3"/>
    <m/>
  </r>
  <r>
    <x v="2"/>
    <x v="3"/>
    <x v="3"/>
    <n v="3057.5500000000502"/>
    <x v="3"/>
    <x v="3"/>
    <m/>
    <n v="4"/>
    <x v="3"/>
    <n v="-7659.0539999999964"/>
    <m/>
    <x v="3"/>
    <m/>
  </r>
  <r>
    <x v="0"/>
    <x v="4"/>
    <x v="4"/>
    <n v="-13395.1"/>
    <x v="3"/>
    <x v="3"/>
    <m/>
    <n v="5"/>
    <x v="4"/>
    <n v="31700.01000000002"/>
    <m/>
    <x v="3"/>
    <m/>
  </r>
  <r>
    <x v="1"/>
    <x v="4"/>
    <x v="4"/>
    <n v="-11308.759999999946"/>
    <x v="3"/>
    <x v="3"/>
    <m/>
    <n v="5"/>
    <x v="4"/>
    <n v="38159.01"/>
    <m/>
    <x v="3"/>
    <m/>
  </r>
  <r>
    <x v="2"/>
    <x v="4"/>
    <x v="4"/>
    <n v="2689.8700000000504"/>
    <x v="3"/>
    <x v="3"/>
    <m/>
    <n v="5"/>
    <x v="4"/>
    <n v="31886.946000000007"/>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A7DF2-1F29-4DBE-BE1B-16ABFB41501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G31:H35" firstHeaderRow="1" firstDataRow="2" firstDataCol="1"/>
  <pivotFields count="13">
    <pivotField axis="axisCol" showAll="0">
      <items count="4">
        <item x="0"/>
        <item h="1" x="1"/>
        <item h="1" x="2"/>
        <item t="default"/>
      </items>
    </pivotField>
    <pivotField showAll="0">
      <items count="6">
        <item x="0"/>
        <item x="1"/>
        <item x="2"/>
        <item x="3"/>
        <item x="4"/>
        <item t="default"/>
      </items>
    </pivotField>
    <pivotField showAll="0">
      <items count="6">
        <item x="3"/>
        <item x="1"/>
        <item x="4"/>
        <item x="2"/>
        <item x="0"/>
        <item t="default"/>
      </items>
    </pivotField>
    <pivotField showAll="0"/>
    <pivotField showAll="0">
      <items count="5">
        <item x="0"/>
        <item x="2"/>
        <item x="1"/>
        <item h="1" x="3"/>
        <item t="default"/>
      </items>
    </pivotField>
    <pivotField axis="axisRow" showAll="0">
      <items count="5">
        <item x="0"/>
        <item x="2"/>
        <item x="1"/>
        <item h="1" x="3"/>
        <item t="default"/>
      </items>
    </pivotField>
    <pivotField dataField="1" showAll="0"/>
    <pivotField showAll="0"/>
    <pivotField showAll="0"/>
    <pivotField showAll="0"/>
    <pivotField showAll="0"/>
    <pivotField showAll="0"/>
    <pivotField showAll="0"/>
  </pivotFields>
  <rowFields count="1">
    <field x="5"/>
  </rowFields>
  <rowItems count="3">
    <i>
      <x/>
    </i>
    <i>
      <x v="1"/>
    </i>
    <i>
      <x v="2"/>
    </i>
  </rowItems>
  <colFields count="1">
    <field x="0"/>
  </colFields>
  <colItems count="1">
    <i>
      <x/>
    </i>
  </colItems>
  <dataFields count="1">
    <dataField name="BS" fld="6" baseField="0" baseItem="0"/>
  </dataFields>
  <chartFormats count="7">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 chart="1"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90B18-BB7B-482E-ACBD-38D01A71F87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L31:M37" firstHeaderRow="1" firstDataRow="2" firstDataCol="1"/>
  <pivotFields count="13">
    <pivotField axis="axisCol" showAll="0">
      <items count="4">
        <item x="0"/>
        <item h="1" x="1"/>
        <item h="1" x="2"/>
        <item t="default"/>
      </items>
    </pivotField>
    <pivotField showAll="0">
      <items count="6">
        <item x="0"/>
        <item x="1"/>
        <item x="2"/>
        <item x="3"/>
        <item x="4"/>
        <item t="default"/>
      </items>
    </pivotField>
    <pivotField showAll="0">
      <items count="6">
        <item x="3"/>
        <item x="1"/>
        <item x="4"/>
        <item x="2"/>
        <item x="0"/>
        <item t="default"/>
      </items>
    </pivotField>
    <pivotField showAll="0"/>
    <pivotField showAll="0"/>
    <pivotField showAll="0"/>
    <pivotField showAll="0"/>
    <pivotField showAll="0"/>
    <pivotField axis="axisRow" showAll="0">
      <items count="6">
        <item n="Operating Activities" x="0"/>
        <item n="Investing Activities" x="1"/>
        <item n="Financing Activities" x="2"/>
        <item n="Net Change" x="3"/>
        <item n="Closing Balance" x="4"/>
        <item t="default"/>
      </items>
    </pivotField>
    <pivotField dataField="1" showAll="0"/>
    <pivotField showAll="0"/>
    <pivotField showAll="0"/>
    <pivotField showAll="0"/>
  </pivotFields>
  <rowFields count="1">
    <field x="8"/>
  </rowFields>
  <rowItems count="5">
    <i>
      <x/>
    </i>
    <i>
      <x v="1"/>
    </i>
    <i>
      <x v="2"/>
    </i>
    <i>
      <x v="3"/>
    </i>
    <i>
      <x v="4"/>
    </i>
  </rowItems>
  <colFields count="1">
    <field x="0"/>
  </colFields>
  <colItems count="1">
    <i>
      <x/>
    </i>
  </colItems>
  <dataFields count="1">
    <dataField name="CF" fld="9"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119F5-4FC6-4727-A20B-D756C7A0865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Q31:R35" firstHeaderRow="1" firstDataRow="2" firstDataCol="1"/>
  <pivotFields count="13">
    <pivotField axis="axisCol" showAll="0">
      <items count="4">
        <item x="0"/>
        <item h="1" x="1"/>
        <item h="1" x="2"/>
        <item t="default"/>
      </items>
    </pivotField>
    <pivotField showAll="0">
      <items count="6">
        <item x="0"/>
        <item x="1"/>
        <item x="2"/>
        <item x="3"/>
        <item x="4"/>
        <item t="default"/>
      </items>
    </pivotField>
    <pivotField showAll="0">
      <items count="6">
        <item x="3"/>
        <item x="1"/>
        <item x="4"/>
        <item x="2"/>
        <item x="0"/>
        <item t="default"/>
      </items>
    </pivotField>
    <pivotField showAll="0"/>
    <pivotField showAll="0"/>
    <pivotField showAll="0"/>
    <pivotField showAll="0"/>
    <pivotField showAll="0"/>
    <pivotField showAll="0">
      <items count="6">
        <item x="0"/>
        <item x="1"/>
        <item x="2"/>
        <item x="3"/>
        <item x="4"/>
        <item t="default"/>
      </items>
    </pivotField>
    <pivotField showAll="0"/>
    <pivotField showAll="0"/>
    <pivotField axis="axisRow" showAll="0">
      <items count="5">
        <item x="0"/>
        <item x="1"/>
        <item x="2"/>
        <item h="1" x="3"/>
        <item t="default"/>
      </items>
    </pivotField>
    <pivotField dataField="1" showAll="0"/>
  </pivotFields>
  <rowFields count="1">
    <field x="11"/>
  </rowFields>
  <rowItems count="3">
    <i>
      <x/>
    </i>
    <i>
      <x v="1"/>
    </i>
    <i>
      <x v="2"/>
    </i>
  </rowItems>
  <colFields count="1">
    <field x="0"/>
  </colFields>
  <colItems count="1">
    <i>
      <x/>
    </i>
  </colItems>
  <dataFields count="1">
    <dataField name="RD" fld="12" baseField="0" baseItem="0"/>
  </dataFields>
  <chartFormats count="7">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1" count="1" selected="0">
            <x v="0"/>
          </reference>
        </references>
      </pivotArea>
    </chartFormat>
    <chartFormat chart="1" format="5">
      <pivotArea type="data" outline="0" fieldPosition="0">
        <references count="2">
          <reference field="4294967294" count="1" selected="0">
            <x v="0"/>
          </reference>
          <reference field="11" count="1" selected="0">
            <x v="1"/>
          </reference>
        </references>
      </pivotArea>
    </chartFormat>
    <chartFormat chart="1" format="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E6B90-E6CD-4AE6-A986-9358A84D6D9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31:C37" firstHeaderRow="1" firstDataRow="2" firstDataCol="1"/>
  <pivotFields count="13">
    <pivotField axis="axisCol" showAll="0">
      <items count="4">
        <item x="0"/>
        <item h="1" x="1"/>
        <item h="1" x="2"/>
        <item t="default"/>
      </items>
    </pivotField>
    <pivotField showAll="0">
      <items count="6">
        <item x="0"/>
        <item x="1"/>
        <item x="2"/>
        <item x="3"/>
        <item x="4"/>
        <item t="default"/>
      </items>
    </pivotField>
    <pivotField axis="axisRow" showAll="0">
      <items count="6">
        <item x="0"/>
        <item x="1"/>
        <item x="2"/>
        <item x="3"/>
        <item x="4"/>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Fields count="1">
    <field x="0"/>
  </colFields>
  <colItems count="1">
    <i>
      <x/>
    </i>
  </colItems>
  <dataFields count="1">
    <dataField name="P&amp;L" fld="3"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948FEA-B987-4B2E-A45A-635B981BE32E}" sourceName="Year">
  <pivotTables>
    <pivotTable tabId="27" name="PivotTable8"/>
    <pivotTable tabId="27" name="PivotTable10"/>
    <pivotTable tabId="27" name="PivotTable11"/>
    <pivotTable tabId="27" name="PivotTable9"/>
  </pivotTables>
  <data>
    <tabular pivotCacheId="227425286">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89D1CAB-DBC2-4515-B033-5DCACD8E27EF}" cache="Slicer_Year" caption="Year"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5ED6-19FB-4515-87D6-9077C56F55B4}">
  <dimension ref="B1:C13"/>
  <sheetViews>
    <sheetView showGridLines="0" workbookViewId="0">
      <selection activeCell="G7" sqref="G7"/>
    </sheetView>
  </sheetViews>
  <sheetFormatPr defaultRowHeight="15" x14ac:dyDescent="0.25"/>
  <cols>
    <col min="1" max="1" width="2.5703125" customWidth="1"/>
    <col min="2" max="2" width="10.28515625" customWidth="1"/>
    <col min="3" max="3" width="33.42578125" customWidth="1"/>
  </cols>
  <sheetData>
    <row r="1" spans="2:3" ht="20.25" thickBot="1" x14ac:dyDescent="0.35">
      <c r="B1" s="6" t="s">
        <v>314</v>
      </c>
    </row>
    <row r="2" spans="2:3" ht="15.75" thickTop="1" x14ac:dyDescent="0.25"/>
    <row r="3" spans="2:3" x14ac:dyDescent="0.25">
      <c r="B3" s="13" t="s">
        <v>295</v>
      </c>
      <c r="C3" s="13" t="s">
        <v>313</v>
      </c>
    </row>
    <row r="4" spans="2:3" x14ac:dyDescent="0.25">
      <c r="B4" s="71">
        <v>1</v>
      </c>
      <c r="C4" s="72" t="s">
        <v>305</v>
      </c>
    </row>
    <row r="5" spans="2:3" x14ac:dyDescent="0.25">
      <c r="B5" s="71">
        <v>2</v>
      </c>
      <c r="C5" s="72" t="s">
        <v>306</v>
      </c>
    </row>
    <row r="6" spans="2:3" x14ac:dyDescent="0.25">
      <c r="B6" s="71">
        <v>3</v>
      </c>
      <c r="C6" s="72" t="s">
        <v>283</v>
      </c>
    </row>
    <row r="7" spans="2:3" x14ac:dyDescent="0.25">
      <c r="B7" s="71">
        <v>4</v>
      </c>
      <c r="C7" s="72" t="s">
        <v>222</v>
      </c>
    </row>
    <row r="8" spans="2:3" x14ac:dyDescent="0.25">
      <c r="B8" s="71">
        <v>5</v>
      </c>
      <c r="C8" s="72" t="s">
        <v>307</v>
      </c>
    </row>
    <row r="9" spans="2:3" x14ac:dyDescent="0.25">
      <c r="B9" s="71">
        <v>6</v>
      </c>
      <c r="C9" s="72" t="s">
        <v>308</v>
      </c>
    </row>
    <row r="10" spans="2:3" x14ac:dyDescent="0.25">
      <c r="B10" s="71">
        <v>7</v>
      </c>
      <c r="C10" s="72" t="s">
        <v>309</v>
      </c>
    </row>
    <row r="11" spans="2:3" x14ac:dyDescent="0.25">
      <c r="B11" s="71">
        <v>8</v>
      </c>
      <c r="C11" s="72" t="s">
        <v>310</v>
      </c>
    </row>
    <row r="12" spans="2:3" x14ac:dyDescent="0.25">
      <c r="B12" s="71">
        <v>9</v>
      </c>
      <c r="C12" s="72" t="s">
        <v>311</v>
      </c>
    </row>
    <row r="13" spans="2:3" x14ac:dyDescent="0.25">
      <c r="B13" s="71">
        <v>10</v>
      </c>
      <c r="C13" s="72" t="s">
        <v>312</v>
      </c>
    </row>
  </sheetData>
  <hyperlinks>
    <hyperlink ref="C4" location="Dashboard!A1" display="Dashboard" xr:uid="{A57749D0-9FAE-4751-A793-D8E0F03A3BD4}"/>
    <hyperlink ref="C5" location="'P&amp;L'!A1" display="Profit &amp; Loss " xr:uid="{09244836-CFC3-498C-8BFC-FEB497AD6BF7}"/>
    <hyperlink ref="C6" location="'Balance Sheet'!A1" display="Balance Sheet" xr:uid="{6D84B130-186A-4F3B-A76D-98807FB12716}"/>
    <hyperlink ref="C7" location="'Cash Flow'!A1" display="Cash Flow" xr:uid="{9DFD032D-B4C8-434B-AD1F-16A5C3BAEF39}"/>
    <hyperlink ref="C8" location="'P&amp;L Analysis'!A1" display="Recalculated Profit &amp; Loss" xr:uid="{7CF79185-61E9-4620-A1FE-F09243EFA3EB}"/>
    <hyperlink ref="C9" location="'Balance Sheet Analysis'!A1" display="Recalculated Balance Sheet" xr:uid="{EC35CB38-5F75-4D5A-A605-06F8DD1AE737}"/>
    <hyperlink ref="C10" location="'Cash Flow Analysis'!A1" display="Recalculated Cashflow" xr:uid="{BDECEFF0-DCC7-4A6F-BABE-ADD71974CC90}"/>
    <hyperlink ref="C11" location="'Ratio Analysis'!A1" display="Ratio Analysis" xr:uid="{B30D9481-1E30-4724-867F-4773268200AA}"/>
    <hyperlink ref="C12" location="'Revenue Data'!A1" display="Revenue Contributors" xr:uid="{668E186D-F3B2-40D2-8516-52E1A69D39F7}"/>
    <hyperlink ref="C13" location="'Working Data'!A1" display="Working Data for Pivots" xr:uid="{B8844D84-EA2B-429C-A644-5D775D7433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C9193-D21D-46B1-A30B-230B03B68E3F}">
  <dimension ref="B1:E8"/>
  <sheetViews>
    <sheetView showGridLines="0" workbookViewId="0">
      <selection activeCell="J10" sqref="J10"/>
    </sheetView>
  </sheetViews>
  <sheetFormatPr defaultRowHeight="15" x14ac:dyDescent="0.25"/>
  <cols>
    <col min="1" max="1" width="1.5703125" customWidth="1"/>
    <col min="2" max="2" width="28.85546875" customWidth="1"/>
    <col min="3" max="5" width="12.28515625" bestFit="1" customWidth="1"/>
    <col min="7" max="7" width="22.140625" customWidth="1"/>
  </cols>
  <sheetData>
    <row r="1" spans="2:5" ht="20.25" thickBot="1" x14ac:dyDescent="0.35">
      <c r="B1" s="6" t="s">
        <v>277</v>
      </c>
      <c r="D1" s="7" t="s">
        <v>70</v>
      </c>
    </row>
    <row r="2" spans="2:5" ht="15.75" thickTop="1" x14ac:dyDescent="0.25">
      <c r="C2" s="73" t="s">
        <v>254</v>
      </c>
      <c r="D2" s="73"/>
      <c r="E2" s="73"/>
    </row>
    <row r="3" spans="2:5" x14ac:dyDescent="0.25">
      <c r="B3" s="13"/>
      <c r="C3" s="13">
        <v>2021</v>
      </c>
      <c r="D3" s="13">
        <v>2022</v>
      </c>
      <c r="E3" s="13">
        <v>2023</v>
      </c>
    </row>
    <row r="4" spans="2:5" x14ac:dyDescent="0.25">
      <c r="B4" t="s">
        <v>276</v>
      </c>
      <c r="C4" s="1">
        <v>193823</v>
      </c>
      <c r="D4" s="1">
        <v>187697</v>
      </c>
      <c r="E4" s="1">
        <v>222860</v>
      </c>
    </row>
    <row r="5" spans="2:5" x14ac:dyDescent="0.25">
      <c r="B5" t="s">
        <v>259</v>
      </c>
      <c r="C5" s="1">
        <v>49710</v>
      </c>
      <c r="D5" s="1">
        <v>83802</v>
      </c>
      <c r="E5" s="1">
        <v>118684</v>
      </c>
    </row>
    <row r="6" spans="2:5" x14ac:dyDescent="0.25">
      <c r="B6" t="s">
        <v>275</v>
      </c>
      <c r="C6" s="1">
        <v>6262</v>
      </c>
      <c r="D6" s="1">
        <v>6955</v>
      </c>
      <c r="E6" s="1">
        <v>4423</v>
      </c>
    </row>
    <row r="7" spans="2:5" ht="15.75" thickBot="1" x14ac:dyDescent="0.3">
      <c r="B7" s="16" t="s">
        <v>274</v>
      </c>
      <c r="C7" s="23">
        <f>SUM(C4:C6)</f>
        <v>249795</v>
      </c>
      <c r="D7" s="23">
        <f t="shared" ref="D7:E7" si="0">SUM(D4:D6)</f>
        <v>278454</v>
      </c>
      <c r="E7" s="23">
        <f t="shared" si="0"/>
        <v>345967</v>
      </c>
    </row>
    <row r="8" spans="2:5" ht="15.75" thickTop="1" x14ac:dyDescent="0.25"/>
  </sheetData>
  <mergeCells count="1">
    <mergeCell ref="C2:E2"/>
  </mergeCells>
  <pageMargins left="0.7" right="0.7" top="0.75" bottom="0.75" header="0.3" footer="0.3"/>
  <ignoredErrors>
    <ignoredError sqref="C7:E7"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4EB16-45C2-4CDB-930E-74E5F38EA4B4}">
  <dimension ref="A1:I18"/>
  <sheetViews>
    <sheetView workbookViewId="0">
      <selection activeCell="I14" sqref="I14"/>
    </sheetView>
  </sheetViews>
  <sheetFormatPr defaultRowHeight="15" x14ac:dyDescent="0.25"/>
  <cols>
    <col min="2" max="2" width="19.28515625" customWidth="1"/>
    <col min="3" max="3" width="17.5703125" customWidth="1"/>
    <col min="4" max="4" width="18.42578125" bestFit="1" customWidth="1"/>
    <col min="5" max="5" width="18" customWidth="1"/>
    <col min="6" max="6" width="28.28515625" customWidth="1"/>
    <col min="7" max="9" width="18.42578125" bestFit="1" customWidth="1"/>
    <col min="10" max="10" width="11.28515625" bestFit="1" customWidth="1"/>
  </cols>
  <sheetData>
    <row r="1" spans="1:9" x14ac:dyDescent="0.25">
      <c r="E1" s="26"/>
    </row>
    <row r="3" spans="1:9" x14ac:dyDescent="0.25">
      <c r="A3" t="s">
        <v>273</v>
      </c>
      <c r="B3" t="s">
        <v>279</v>
      </c>
      <c r="C3" t="s">
        <v>280</v>
      </c>
      <c r="D3" t="s">
        <v>283</v>
      </c>
      <c r="E3" t="s">
        <v>280</v>
      </c>
      <c r="F3" t="s">
        <v>222</v>
      </c>
      <c r="G3" t="s">
        <v>280</v>
      </c>
      <c r="H3" t="s">
        <v>293</v>
      </c>
      <c r="I3" t="s">
        <v>280</v>
      </c>
    </row>
    <row r="4" spans="1:9" x14ac:dyDescent="0.25">
      <c r="A4">
        <v>2021</v>
      </c>
      <c r="B4" t="s">
        <v>171</v>
      </c>
      <c r="C4">
        <f>'P&amp;L Analysis'!C4</f>
        <v>249794.75</v>
      </c>
      <c r="D4" t="s">
        <v>284</v>
      </c>
      <c r="E4" s="1">
        <f>'Balance Sheet Analysis'!C18</f>
        <v>343125.79999999993</v>
      </c>
      <c r="F4" t="s">
        <v>288</v>
      </c>
      <c r="G4">
        <v>29000.510000000009</v>
      </c>
      <c r="H4" t="s">
        <v>294</v>
      </c>
      <c r="I4" s="1">
        <v>193823</v>
      </c>
    </row>
    <row r="5" spans="1:9" x14ac:dyDescent="0.25">
      <c r="A5">
        <v>2022</v>
      </c>
      <c r="B5" t="s">
        <v>171</v>
      </c>
      <c r="C5">
        <f>'P&amp;L Analysis'!D4</f>
        <v>278453.62</v>
      </c>
      <c r="D5" t="s">
        <v>284</v>
      </c>
      <c r="E5" s="1">
        <f>'Balance Sheet Analysis'!D18</f>
        <v>330619.92999999993</v>
      </c>
      <c r="F5" t="s">
        <v>288</v>
      </c>
      <c r="G5">
        <v>14282.829999999993</v>
      </c>
      <c r="H5" t="s">
        <v>294</v>
      </c>
      <c r="I5" s="1">
        <v>187697</v>
      </c>
    </row>
    <row r="6" spans="1:9" x14ac:dyDescent="0.25">
      <c r="A6">
        <v>2023</v>
      </c>
      <c r="B6" t="s">
        <v>171</v>
      </c>
      <c r="C6">
        <f>'P&amp;L Analysis'!E4</f>
        <v>345966.97000000003</v>
      </c>
      <c r="D6" t="s">
        <v>284</v>
      </c>
      <c r="E6" s="1">
        <f>'Balance Sheet Analysis'!E18</f>
        <v>336081.38</v>
      </c>
      <c r="F6" t="s">
        <v>288</v>
      </c>
      <c r="G6">
        <v>35388.006000000001</v>
      </c>
      <c r="H6" t="s">
        <v>294</v>
      </c>
      <c r="I6" s="1">
        <v>222860</v>
      </c>
    </row>
    <row r="7" spans="1:9" x14ac:dyDescent="0.25">
      <c r="A7">
        <v>2021</v>
      </c>
      <c r="B7" t="s">
        <v>180</v>
      </c>
      <c r="C7">
        <f>'P&amp;L Analysis'!C6</f>
        <v>91503.23000000001</v>
      </c>
      <c r="D7" t="s">
        <v>200</v>
      </c>
      <c r="E7">
        <v>56820.21</v>
      </c>
      <c r="F7" t="s">
        <v>289</v>
      </c>
      <c r="G7">
        <v>-26126.249999999993</v>
      </c>
      <c r="H7" t="s">
        <v>259</v>
      </c>
      <c r="I7">
        <v>49710</v>
      </c>
    </row>
    <row r="8" spans="1:9" x14ac:dyDescent="0.25">
      <c r="A8">
        <v>2022</v>
      </c>
      <c r="B8" t="s">
        <v>180</v>
      </c>
      <c r="C8">
        <f>'P&amp;L Analysis'!D6</f>
        <v>97567.800000000017</v>
      </c>
      <c r="D8" t="s">
        <v>200</v>
      </c>
      <c r="E8">
        <v>48832.299999999996</v>
      </c>
      <c r="F8" t="s">
        <v>289</v>
      </c>
      <c r="G8">
        <v>-4775.1200000000026</v>
      </c>
      <c r="H8" t="s">
        <v>259</v>
      </c>
      <c r="I8">
        <v>83802</v>
      </c>
    </row>
    <row r="9" spans="1:9" x14ac:dyDescent="0.25">
      <c r="A9">
        <v>2023</v>
      </c>
      <c r="B9" t="s">
        <v>180</v>
      </c>
      <c r="C9">
        <f>'P&amp;L Analysis'!E6</f>
        <v>119497.33000000002</v>
      </c>
      <c r="D9" t="s">
        <v>200</v>
      </c>
      <c r="E9">
        <v>52599.509999999995</v>
      </c>
      <c r="F9" t="s">
        <v>289</v>
      </c>
      <c r="G9">
        <v>-16804.16</v>
      </c>
      <c r="H9" t="s">
        <v>259</v>
      </c>
      <c r="I9">
        <v>118684</v>
      </c>
    </row>
    <row r="10" spans="1:9" x14ac:dyDescent="0.25">
      <c r="A10">
        <v>2021</v>
      </c>
      <c r="B10" t="s">
        <v>281</v>
      </c>
      <c r="C10">
        <f>'P&amp;L Analysis'!C8</f>
        <v>32287.429999999993</v>
      </c>
      <c r="D10" t="s">
        <v>287</v>
      </c>
      <c r="E10">
        <v>286305.58999999997</v>
      </c>
      <c r="F10" t="s">
        <v>290</v>
      </c>
      <c r="G10">
        <v>9904.2000000000044</v>
      </c>
      <c r="H10" t="s">
        <v>275</v>
      </c>
      <c r="I10">
        <v>6262</v>
      </c>
    </row>
    <row r="11" spans="1:9" x14ac:dyDescent="0.25">
      <c r="A11">
        <v>2022</v>
      </c>
      <c r="B11" t="s">
        <v>281</v>
      </c>
      <c r="C11">
        <f>'P&amp;L Analysis'!D8</f>
        <v>24720.090000000055</v>
      </c>
      <c r="D11" t="s">
        <v>287</v>
      </c>
      <c r="E11">
        <v>281787.63</v>
      </c>
      <c r="F11" t="s">
        <v>290</v>
      </c>
      <c r="G11">
        <v>-3380.17</v>
      </c>
      <c r="H11" t="s">
        <v>275</v>
      </c>
      <c r="I11">
        <v>6955</v>
      </c>
    </row>
    <row r="12" spans="1:9" x14ac:dyDescent="0.25">
      <c r="A12">
        <v>2023</v>
      </c>
      <c r="B12" t="s">
        <v>281</v>
      </c>
      <c r="C12">
        <f>'P&amp;L Analysis'!E8</f>
        <v>31919.680000000051</v>
      </c>
      <c r="D12" t="s">
        <v>287</v>
      </c>
      <c r="E12">
        <v>283481.87</v>
      </c>
      <c r="F12" t="s">
        <v>290</v>
      </c>
      <c r="G12">
        <v>-26242.899999999998</v>
      </c>
      <c r="H12" t="s">
        <v>275</v>
      </c>
      <c r="I12">
        <v>4423</v>
      </c>
    </row>
    <row r="13" spans="1:9" x14ac:dyDescent="0.25">
      <c r="A13">
        <v>2021</v>
      </c>
      <c r="B13" t="s">
        <v>117</v>
      </c>
      <c r="C13">
        <f>'P&amp;L Analysis'!C13</f>
        <v>-10474.280000000001</v>
      </c>
      <c r="F13" t="s">
        <v>291</v>
      </c>
      <c r="G13">
        <v>12778.460000000021</v>
      </c>
    </row>
    <row r="14" spans="1:9" x14ac:dyDescent="0.25">
      <c r="A14">
        <v>2022</v>
      </c>
      <c r="B14" t="s">
        <v>117</v>
      </c>
      <c r="C14">
        <v>-7003.4099999999453</v>
      </c>
      <c r="F14" t="s">
        <v>291</v>
      </c>
      <c r="G14">
        <v>6127.53999999999</v>
      </c>
    </row>
    <row r="15" spans="1:9" x14ac:dyDescent="0.25">
      <c r="A15">
        <v>2023</v>
      </c>
      <c r="B15" t="s">
        <v>117</v>
      </c>
      <c r="C15">
        <v>3057.5500000000502</v>
      </c>
      <c r="F15" t="s">
        <v>291</v>
      </c>
      <c r="G15">
        <v>-7659.0539999999964</v>
      </c>
    </row>
    <row r="16" spans="1:9" x14ac:dyDescent="0.25">
      <c r="A16">
        <v>2021</v>
      </c>
      <c r="B16" t="s">
        <v>282</v>
      </c>
      <c r="C16">
        <f>'P&amp;L Analysis'!C18</f>
        <v>-13395.1</v>
      </c>
      <c r="F16" t="s">
        <v>292</v>
      </c>
      <c r="G16">
        <v>31700.01000000002</v>
      </c>
    </row>
    <row r="17" spans="1:7" x14ac:dyDescent="0.25">
      <c r="A17">
        <v>2022</v>
      </c>
      <c r="B17" t="s">
        <v>282</v>
      </c>
      <c r="C17">
        <f>'P&amp;L Analysis'!D18</f>
        <v>-11308.759999999946</v>
      </c>
      <c r="F17" t="s">
        <v>292</v>
      </c>
      <c r="G17">
        <v>38159.01</v>
      </c>
    </row>
    <row r="18" spans="1:7" x14ac:dyDescent="0.25">
      <c r="A18">
        <v>2023</v>
      </c>
      <c r="B18" t="s">
        <v>282</v>
      </c>
      <c r="C18">
        <f>'P&amp;L Analysis'!E18</f>
        <v>2689.8700000000504</v>
      </c>
      <c r="F18" t="s">
        <v>292</v>
      </c>
      <c r="G18">
        <v>31886.946000000007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0E85-4A88-4A07-B50D-499B07198323}">
  <dimension ref="A1:R37"/>
  <sheetViews>
    <sheetView showGridLines="0" tabSelected="1" zoomScaleNormal="100" workbookViewId="0">
      <selection activeCell="Y10" sqref="Y10"/>
    </sheetView>
  </sheetViews>
  <sheetFormatPr defaultRowHeight="15" x14ac:dyDescent="0.25"/>
  <cols>
    <col min="1" max="1" width="1.42578125" customWidth="1"/>
    <col min="2" max="2" width="18.42578125" bestFit="1" customWidth="1"/>
    <col min="3" max="3" width="16.28515625" bestFit="1" customWidth="1"/>
    <col min="4" max="5" width="10" bestFit="1" customWidth="1"/>
    <col min="6" max="6" width="2.5703125" customWidth="1"/>
    <col min="7" max="7" width="13.28515625" bestFit="1" customWidth="1"/>
    <col min="8" max="8" width="16.28515625" bestFit="1" customWidth="1"/>
    <col min="9" max="10" width="10" bestFit="1" customWidth="1"/>
    <col min="11" max="11" width="3" customWidth="1"/>
    <col min="12" max="12" width="18.85546875" bestFit="1" customWidth="1"/>
    <col min="13" max="13" width="16.28515625" bestFit="1" customWidth="1"/>
    <col min="14" max="15" width="10" bestFit="1" customWidth="1"/>
    <col min="16" max="16" width="21.140625" customWidth="1"/>
    <col min="17" max="17" width="16.7109375" bestFit="1" customWidth="1"/>
    <col min="18" max="18" width="16.28515625" bestFit="1" customWidth="1"/>
    <col min="19" max="20" width="7" bestFit="1" customWidth="1"/>
  </cols>
  <sheetData>
    <row r="1" spans="1:16" x14ac:dyDescent="0.25">
      <c r="A1" s="70"/>
      <c r="B1" s="70"/>
      <c r="C1" s="70"/>
      <c r="D1" s="70"/>
      <c r="E1" s="70"/>
      <c r="F1" s="70"/>
      <c r="G1" s="70"/>
      <c r="H1" s="70"/>
      <c r="I1" s="70"/>
      <c r="J1" s="70"/>
      <c r="K1" s="70"/>
      <c r="L1" s="70"/>
      <c r="M1" s="70"/>
      <c r="N1" s="70"/>
      <c r="O1" s="70"/>
      <c r="P1" s="70"/>
    </row>
    <row r="2" spans="1:16" x14ac:dyDescent="0.25">
      <c r="A2" s="70"/>
      <c r="B2" s="70"/>
      <c r="C2" s="70"/>
      <c r="D2" s="70"/>
      <c r="E2" s="70"/>
      <c r="F2" s="70"/>
      <c r="G2" s="70"/>
      <c r="H2" s="70"/>
      <c r="I2" s="70"/>
      <c r="J2" s="70"/>
      <c r="K2" s="70"/>
      <c r="L2" s="70"/>
      <c r="M2" s="70"/>
      <c r="N2" s="70"/>
      <c r="O2" s="70"/>
      <c r="P2" s="70"/>
    </row>
    <row r="3" spans="1:16" x14ac:dyDescent="0.25">
      <c r="A3" s="70"/>
      <c r="B3" s="70"/>
      <c r="C3" s="70"/>
      <c r="D3" s="70"/>
      <c r="E3" s="70"/>
      <c r="F3" s="70"/>
      <c r="G3" s="70"/>
      <c r="H3" s="70"/>
      <c r="I3" s="70"/>
      <c r="J3" s="70"/>
      <c r="K3" s="70"/>
      <c r="L3" s="70"/>
      <c r="M3" s="70"/>
      <c r="N3" s="70"/>
      <c r="O3" s="70"/>
      <c r="P3" s="70"/>
    </row>
    <row r="4" spans="1:16" x14ac:dyDescent="0.25">
      <c r="A4" s="70"/>
      <c r="B4" s="70"/>
      <c r="C4" s="70"/>
      <c r="D4" s="70"/>
      <c r="E4" s="70"/>
      <c r="F4" s="70"/>
      <c r="G4" s="70"/>
      <c r="H4" s="70"/>
      <c r="I4" s="70"/>
      <c r="J4" s="70"/>
      <c r="K4" s="70"/>
      <c r="L4" s="70"/>
      <c r="M4" s="70"/>
      <c r="N4" s="70"/>
      <c r="O4" s="70"/>
      <c r="P4" s="70"/>
    </row>
    <row r="5" spans="1:16" x14ac:dyDescent="0.25">
      <c r="A5" s="70"/>
      <c r="B5" s="70"/>
      <c r="C5" s="70"/>
      <c r="D5" s="70"/>
      <c r="E5" s="70"/>
      <c r="F5" s="70"/>
      <c r="G5" s="70"/>
      <c r="H5" s="70"/>
      <c r="I5" s="70"/>
      <c r="J5" s="70"/>
      <c r="K5" s="70"/>
      <c r="L5" s="70"/>
      <c r="M5" s="70"/>
      <c r="N5" s="70"/>
      <c r="O5" s="70"/>
      <c r="P5" s="70"/>
    </row>
    <row r="6" spans="1:16" x14ac:dyDescent="0.25">
      <c r="A6" s="70"/>
      <c r="B6" s="70"/>
      <c r="C6" s="70"/>
      <c r="D6" s="70"/>
      <c r="E6" s="70"/>
      <c r="F6" s="70"/>
      <c r="G6" s="70"/>
      <c r="H6" s="70"/>
      <c r="I6" s="70"/>
      <c r="J6" s="70"/>
      <c r="K6" s="70"/>
      <c r="L6" s="70"/>
      <c r="M6" s="70"/>
      <c r="N6" s="70"/>
      <c r="O6" s="70"/>
      <c r="P6" s="70"/>
    </row>
    <row r="7" spans="1:16" x14ac:dyDescent="0.25">
      <c r="A7" s="70"/>
      <c r="B7" s="70"/>
      <c r="C7" s="70"/>
      <c r="D7" s="70"/>
      <c r="E7" s="70"/>
      <c r="F7" s="70"/>
      <c r="G7" s="70"/>
      <c r="H7" s="70"/>
      <c r="I7" s="70"/>
      <c r="J7" s="70"/>
      <c r="K7" s="70"/>
      <c r="L7" s="70"/>
      <c r="M7" s="70"/>
      <c r="N7" s="70"/>
      <c r="O7" s="70"/>
      <c r="P7" s="70"/>
    </row>
    <row r="8" spans="1:16" x14ac:dyDescent="0.25">
      <c r="A8" s="70"/>
      <c r="B8" s="70"/>
      <c r="C8" s="70"/>
      <c r="D8" s="70"/>
      <c r="E8" s="70"/>
      <c r="F8" s="70"/>
      <c r="G8" s="70"/>
      <c r="H8" s="70"/>
      <c r="I8" s="70"/>
      <c r="J8" s="70"/>
      <c r="K8" s="70"/>
      <c r="L8" s="70"/>
      <c r="M8" s="70"/>
      <c r="N8" s="70"/>
      <c r="O8" s="70"/>
      <c r="P8" s="70"/>
    </row>
    <row r="9" spans="1:16" x14ac:dyDescent="0.25">
      <c r="A9" s="70"/>
      <c r="B9" s="70"/>
      <c r="C9" s="70"/>
      <c r="D9" s="70"/>
      <c r="E9" s="70"/>
      <c r="F9" s="70"/>
      <c r="G9" s="70"/>
      <c r="H9" s="70"/>
      <c r="I9" s="70"/>
      <c r="J9" s="70"/>
      <c r="K9" s="70"/>
      <c r="L9" s="70"/>
      <c r="M9" s="70"/>
      <c r="N9" s="70"/>
      <c r="O9" s="70"/>
      <c r="P9" s="70"/>
    </row>
    <row r="10" spans="1:16" x14ac:dyDescent="0.25">
      <c r="A10" s="70"/>
      <c r="B10" s="70"/>
      <c r="C10" s="70"/>
      <c r="D10" s="70"/>
      <c r="E10" s="70"/>
      <c r="F10" s="70"/>
      <c r="G10" s="70"/>
      <c r="H10" s="70"/>
      <c r="I10" s="70"/>
      <c r="J10" s="70"/>
      <c r="K10" s="70"/>
      <c r="L10" s="70"/>
      <c r="M10" s="70"/>
      <c r="N10" s="70"/>
      <c r="O10" s="70"/>
      <c r="P10" s="70"/>
    </row>
    <row r="11" spans="1:16" x14ac:dyDescent="0.25">
      <c r="A11" s="70"/>
      <c r="B11" s="70"/>
      <c r="C11" s="70"/>
      <c r="D11" s="70"/>
      <c r="E11" s="70"/>
      <c r="F11" s="70"/>
      <c r="G11" s="70"/>
      <c r="H11" s="70"/>
      <c r="I11" s="70"/>
      <c r="J11" s="70"/>
      <c r="K11" s="70"/>
      <c r="L11" s="70"/>
      <c r="M11" s="70"/>
      <c r="N11" s="70"/>
      <c r="O11" s="70"/>
      <c r="P11" s="70"/>
    </row>
    <row r="12" spans="1:16" x14ac:dyDescent="0.25">
      <c r="A12" s="70"/>
      <c r="B12" s="70"/>
      <c r="C12" s="70"/>
      <c r="D12" s="70"/>
      <c r="E12" s="70"/>
      <c r="F12" s="70"/>
      <c r="G12" s="70"/>
      <c r="H12" s="70"/>
      <c r="I12" s="70"/>
      <c r="J12" s="70"/>
      <c r="K12" s="70"/>
      <c r="L12" s="70"/>
      <c r="M12" s="70"/>
      <c r="N12" s="70"/>
      <c r="O12" s="70"/>
      <c r="P12" s="70"/>
    </row>
    <row r="13" spans="1:16" x14ac:dyDescent="0.25">
      <c r="A13" s="70"/>
      <c r="B13" s="70"/>
      <c r="C13" s="70"/>
      <c r="D13" s="70"/>
      <c r="E13" s="70"/>
      <c r="F13" s="70"/>
      <c r="G13" s="70"/>
      <c r="H13" s="70"/>
      <c r="I13" s="70"/>
      <c r="J13" s="70"/>
      <c r="K13" s="70"/>
      <c r="L13" s="70"/>
      <c r="M13" s="70"/>
      <c r="N13" s="70"/>
      <c r="O13" s="70"/>
      <c r="P13" s="70"/>
    </row>
    <row r="14" spans="1:16" x14ac:dyDescent="0.25">
      <c r="A14" s="70"/>
      <c r="B14" s="70"/>
      <c r="C14" s="70"/>
      <c r="D14" s="70"/>
      <c r="E14" s="70"/>
      <c r="F14" s="70"/>
      <c r="G14" s="70"/>
      <c r="H14" s="70"/>
      <c r="I14" s="70"/>
      <c r="J14" s="70"/>
      <c r="K14" s="70"/>
      <c r="L14" s="70"/>
      <c r="M14" s="70"/>
      <c r="N14" s="70"/>
      <c r="O14" s="70"/>
      <c r="P14" s="70"/>
    </row>
    <row r="15" spans="1:16" x14ac:dyDescent="0.25">
      <c r="A15" s="70"/>
      <c r="B15" s="70"/>
      <c r="C15" s="70"/>
      <c r="D15" s="70"/>
      <c r="E15" s="70"/>
      <c r="F15" s="70"/>
      <c r="G15" s="70"/>
      <c r="H15" s="70"/>
      <c r="I15" s="70"/>
      <c r="J15" s="70"/>
      <c r="K15" s="70"/>
      <c r="L15" s="70"/>
      <c r="M15" s="70"/>
      <c r="N15" s="70"/>
      <c r="O15" s="70"/>
      <c r="P15" s="70"/>
    </row>
    <row r="16" spans="1:16" x14ac:dyDescent="0.25">
      <c r="A16" s="70"/>
      <c r="B16" s="70"/>
      <c r="C16" s="70"/>
      <c r="D16" s="70"/>
      <c r="E16" s="70"/>
      <c r="F16" s="70"/>
      <c r="G16" s="70"/>
      <c r="H16" s="70"/>
      <c r="I16" s="70"/>
      <c r="J16" s="70"/>
      <c r="K16" s="70"/>
      <c r="L16" s="70"/>
      <c r="M16" s="70"/>
      <c r="N16" s="70"/>
      <c r="O16" s="70"/>
      <c r="P16" s="70"/>
    </row>
    <row r="17" spans="1:18" x14ac:dyDescent="0.25">
      <c r="A17" s="70"/>
      <c r="B17" s="70"/>
      <c r="C17" s="70"/>
      <c r="D17" s="70"/>
      <c r="E17" s="70"/>
      <c r="F17" s="70"/>
      <c r="G17" s="70"/>
      <c r="H17" s="70"/>
      <c r="I17" s="70"/>
      <c r="J17" s="70"/>
      <c r="K17" s="70"/>
      <c r="L17" s="70"/>
      <c r="M17" s="70"/>
      <c r="N17" s="70"/>
      <c r="O17" s="70"/>
      <c r="P17" s="70"/>
    </row>
    <row r="18" spans="1:18" x14ac:dyDescent="0.25">
      <c r="A18" s="70"/>
      <c r="B18" s="70"/>
      <c r="C18" s="70"/>
      <c r="D18" s="70"/>
      <c r="E18" s="70"/>
      <c r="F18" s="70"/>
      <c r="G18" s="70"/>
      <c r="H18" s="70"/>
      <c r="I18" s="70"/>
      <c r="J18" s="70"/>
      <c r="K18" s="70"/>
      <c r="L18" s="70"/>
      <c r="M18" s="70"/>
      <c r="N18" s="70"/>
      <c r="O18" s="70"/>
      <c r="P18" s="70"/>
    </row>
    <row r="19" spans="1:18" x14ac:dyDescent="0.25">
      <c r="A19" s="70"/>
      <c r="B19" s="70"/>
      <c r="C19" s="70"/>
      <c r="D19" s="70"/>
      <c r="E19" s="70"/>
      <c r="F19" s="70"/>
      <c r="G19" s="70"/>
      <c r="H19" s="70"/>
      <c r="I19" s="70"/>
      <c r="J19" s="70"/>
      <c r="K19" s="70"/>
      <c r="L19" s="70"/>
      <c r="M19" s="70"/>
      <c r="N19" s="70"/>
      <c r="O19" s="70"/>
      <c r="P19" s="70"/>
    </row>
    <row r="20" spans="1:18" x14ac:dyDescent="0.25">
      <c r="A20" s="70"/>
      <c r="B20" s="70"/>
      <c r="C20" s="70"/>
      <c r="D20" s="70"/>
      <c r="E20" s="70"/>
      <c r="F20" s="70"/>
      <c r="G20" s="70"/>
      <c r="H20" s="70"/>
      <c r="I20" s="70"/>
      <c r="J20" s="70"/>
      <c r="K20" s="70"/>
      <c r="L20" s="70"/>
      <c r="M20" s="70"/>
      <c r="N20" s="70"/>
      <c r="O20" s="70"/>
      <c r="P20" s="70"/>
    </row>
    <row r="21" spans="1:18" x14ac:dyDescent="0.25">
      <c r="A21" s="70"/>
      <c r="B21" s="70"/>
      <c r="C21" s="70"/>
      <c r="D21" s="70"/>
      <c r="E21" s="70"/>
      <c r="F21" s="70"/>
      <c r="G21" s="70"/>
      <c r="H21" s="70"/>
      <c r="I21" s="70"/>
      <c r="J21" s="70"/>
      <c r="K21" s="70"/>
      <c r="L21" s="70"/>
      <c r="M21" s="70"/>
      <c r="N21" s="70"/>
      <c r="O21" s="70"/>
      <c r="P21" s="70"/>
    </row>
    <row r="22" spans="1:18" x14ac:dyDescent="0.25">
      <c r="A22" s="70"/>
      <c r="B22" s="70"/>
      <c r="C22" s="70"/>
      <c r="D22" s="70"/>
      <c r="E22" s="70"/>
      <c r="F22" s="70"/>
      <c r="G22" s="70"/>
      <c r="H22" s="70"/>
      <c r="I22" s="70"/>
      <c r="J22" s="70"/>
      <c r="K22" s="70"/>
      <c r="L22" s="70"/>
      <c r="M22" s="70"/>
      <c r="N22" s="70"/>
      <c r="O22" s="70"/>
      <c r="P22" s="70"/>
    </row>
    <row r="31" spans="1:18" x14ac:dyDescent="0.25">
      <c r="B31" s="69" t="s">
        <v>296</v>
      </c>
      <c r="C31" s="69" t="s">
        <v>285</v>
      </c>
      <c r="G31" s="69" t="s">
        <v>297</v>
      </c>
      <c r="H31" s="69" t="s">
        <v>285</v>
      </c>
      <c r="L31" s="69" t="s">
        <v>298</v>
      </c>
      <c r="M31" s="69" t="s">
        <v>285</v>
      </c>
      <c r="Q31" s="69" t="s">
        <v>299</v>
      </c>
      <c r="R31" s="69" t="s">
        <v>285</v>
      </c>
    </row>
    <row r="32" spans="1:18" x14ac:dyDescent="0.25">
      <c r="B32" s="69" t="s">
        <v>286</v>
      </c>
      <c r="C32">
        <v>2021</v>
      </c>
      <c r="G32" s="69" t="s">
        <v>286</v>
      </c>
      <c r="H32">
        <v>2021</v>
      </c>
      <c r="L32" s="69" t="s">
        <v>286</v>
      </c>
      <c r="M32">
        <v>2021</v>
      </c>
      <c r="Q32" s="69" t="s">
        <v>286</v>
      </c>
      <c r="R32">
        <v>2021</v>
      </c>
    </row>
    <row r="33" spans="2:18" x14ac:dyDescent="0.25">
      <c r="B33" s="26" t="s">
        <v>171</v>
      </c>
      <c r="C33">
        <v>249794.75</v>
      </c>
      <c r="G33" s="26" t="s">
        <v>284</v>
      </c>
      <c r="H33">
        <v>343125.79999999993</v>
      </c>
      <c r="L33" s="26" t="s">
        <v>300</v>
      </c>
      <c r="M33">
        <v>29000.510000000009</v>
      </c>
      <c r="Q33" s="26" t="s">
        <v>294</v>
      </c>
      <c r="R33">
        <v>193823</v>
      </c>
    </row>
    <row r="34" spans="2:18" x14ac:dyDescent="0.25">
      <c r="B34" s="26" t="s">
        <v>180</v>
      </c>
      <c r="C34">
        <v>91503.23000000001</v>
      </c>
      <c r="G34" s="26" t="s">
        <v>287</v>
      </c>
      <c r="H34">
        <v>286305.58999999997</v>
      </c>
      <c r="L34" s="26" t="s">
        <v>301</v>
      </c>
      <c r="M34">
        <v>-26126.249999999993</v>
      </c>
      <c r="Q34" s="26" t="s">
        <v>259</v>
      </c>
      <c r="R34">
        <v>49710</v>
      </c>
    </row>
    <row r="35" spans="2:18" x14ac:dyDescent="0.25">
      <c r="B35" s="26" t="s">
        <v>281</v>
      </c>
      <c r="C35">
        <v>32287.429999999993</v>
      </c>
      <c r="G35" s="26" t="s">
        <v>200</v>
      </c>
      <c r="H35">
        <v>56820.21</v>
      </c>
      <c r="L35" s="26" t="s">
        <v>302</v>
      </c>
      <c r="M35">
        <v>9904.2000000000044</v>
      </c>
      <c r="Q35" s="26" t="s">
        <v>275</v>
      </c>
      <c r="R35">
        <v>6262</v>
      </c>
    </row>
    <row r="36" spans="2:18" x14ac:dyDescent="0.25">
      <c r="B36" s="26" t="s">
        <v>117</v>
      </c>
      <c r="C36">
        <v>-10474.280000000001</v>
      </c>
      <c r="L36" s="26" t="s">
        <v>303</v>
      </c>
      <c r="M36">
        <v>12778.460000000021</v>
      </c>
    </row>
    <row r="37" spans="2:18" x14ac:dyDescent="0.25">
      <c r="B37" s="26" t="s">
        <v>282</v>
      </c>
      <c r="C37">
        <v>-13395.1</v>
      </c>
      <c r="L37" s="26" t="s">
        <v>304</v>
      </c>
      <c r="M37">
        <v>31700.01000000002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2CB4-1520-424D-9005-D49503A2527D}">
  <dimension ref="B1:J36"/>
  <sheetViews>
    <sheetView showGridLines="0" zoomScale="90" zoomScaleNormal="90" workbookViewId="0">
      <selection activeCell="C7" sqref="C7"/>
    </sheetView>
  </sheetViews>
  <sheetFormatPr defaultRowHeight="15" x14ac:dyDescent="0.25"/>
  <cols>
    <col min="1" max="1" width="3" customWidth="1"/>
    <col min="2" max="2" width="59.7109375" customWidth="1"/>
    <col min="3" max="5" width="17.28515625" customWidth="1"/>
    <col min="6" max="11" width="25.5703125" customWidth="1"/>
  </cols>
  <sheetData>
    <row r="1" spans="2:7" ht="20.25" thickBot="1" x14ac:dyDescent="0.35">
      <c r="B1" s="6" t="s">
        <v>111</v>
      </c>
    </row>
    <row r="2" spans="2:7" ht="15.75" thickTop="1" x14ac:dyDescent="0.25">
      <c r="B2" s="7" t="s">
        <v>70</v>
      </c>
    </row>
    <row r="3" spans="2:7" x14ac:dyDescent="0.25">
      <c r="C3" s="73" t="s">
        <v>74</v>
      </c>
      <c r="D3" s="73"/>
      <c r="E3" s="73"/>
    </row>
    <row r="4" spans="2:7" x14ac:dyDescent="0.25">
      <c r="B4" t="e" vm="1">
        <v>#VALUE!</v>
      </c>
      <c r="C4" s="27" t="s">
        <v>71</v>
      </c>
      <c r="D4" s="27" t="s">
        <v>73</v>
      </c>
      <c r="E4" s="44" t="s">
        <v>72</v>
      </c>
    </row>
    <row r="5" spans="2:7" x14ac:dyDescent="0.25">
      <c r="B5" t="s">
        <v>257</v>
      </c>
      <c r="C5">
        <v>246972.17</v>
      </c>
      <c r="D5">
        <v>275235.23</v>
      </c>
      <c r="E5">
        <v>342874.59</v>
      </c>
    </row>
    <row r="6" spans="2:7" x14ac:dyDescent="0.25">
      <c r="B6" t="s">
        <v>258</v>
      </c>
      <c r="C6">
        <v>2822.58</v>
      </c>
      <c r="D6">
        <v>3218.39</v>
      </c>
      <c r="E6">
        <v>3092.38</v>
      </c>
    </row>
    <row r="7" spans="2:7" ht="15.75" customHeight="1" x14ac:dyDescent="0.25">
      <c r="B7" s="15" t="s">
        <v>260</v>
      </c>
      <c r="C7" s="24">
        <f>SUM(C5:C6)</f>
        <v>249794.75</v>
      </c>
      <c r="D7" s="24">
        <f t="shared" ref="D7:E7" si="0">SUM(D5:D6)</f>
        <v>278453.62</v>
      </c>
      <c r="E7" s="24">
        <f t="shared" si="0"/>
        <v>345966.97000000003</v>
      </c>
      <c r="F7" s="53"/>
      <c r="G7" s="60"/>
    </row>
    <row r="8" spans="2:7" ht="15.75" customHeight="1" x14ac:dyDescent="0.25">
      <c r="B8" s="15"/>
      <c r="C8" s="21"/>
      <c r="D8" s="21"/>
      <c r="E8" s="21"/>
      <c r="F8" s="60"/>
      <c r="G8" s="64"/>
    </row>
    <row r="9" spans="2:7" ht="15.75" customHeight="1" x14ac:dyDescent="0.25">
      <c r="B9" t="s">
        <v>261</v>
      </c>
      <c r="C9">
        <v>141392.43</v>
      </c>
      <c r="D9">
        <v>159598.06</v>
      </c>
      <c r="E9">
        <v>208218.05</v>
      </c>
      <c r="G9" s="64"/>
    </row>
    <row r="10" spans="2:7" ht="15.75" customHeight="1" x14ac:dyDescent="0.25">
      <c r="B10" t="s">
        <v>262</v>
      </c>
      <c r="C10">
        <v>-35.159999999999997</v>
      </c>
      <c r="D10">
        <v>1322.5</v>
      </c>
      <c r="E10">
        <v>726.26</v>
      </c>
      <c r="G10" s="64"/>
    </row>
    <row r="11" spans="2:7" ht="15.75" customHeight="1" x14ac:dyDescent="0.25">
      <c r="B11" t="s">
        <v>263</v>
      </c>
      <c r="C11">
        <v>12250.09</v>
      </c>
      <c r="D11">
        <v>18374.77</v>
      </c>
      <c r="E11">
        <v>22306.95</v>
      </c>
      <c r="G11" s="64"/>
    </row>
    <row r="12" spans="2:7" ht="15.75" customHeight="1" x14ac:dyDescent="0.25">
      <c r="B12" t="s">
        <v>270</v>
      </c>
      <c r="C12">
        <v>4684.16</v>
      </c>
      <c r="D12">
        <v>1590.49</v>
      </c>
      <c r="E12">
        <v>-4781.62</v>
      </c>
      <c r="G12" s="64"/>
    </row>
    <row r="13" spans="2:7" ht="15.75" customHeight="1" x14ac:dyDescent="0.25">
      <c r="B13" s="15" t="s">
        <v>179</v>
      </c>
      <c r="C13" s="20">
        <f>SUM(C9:C12)</f>
        <v>158291.51999999999</v>
      </c>
      <c r="D13" s="20">
        <f t="shared" ref="D13:E13" si="1">SUM(D9:D12)</f>
        <v>180885.81999999998</v>
      </c>
      <c r="E13" s="20">
        <f t="shared" si="1"/>
        <v>226469.64</v>
      </c>
      <c r="G13" s="65"/>
    </row>
    <row r="14" spans="2:7" ht="15.75" customHeight="1" x14ac:dyDescent="0.25">
      <c r="B14" s="66" t="s">
        <v>180</v>
      </c>
      <c r="C14" s="67">
        <f>C7-C13</f>
        <v>91503.23000000001</v>
      </c>
      <c r="D14" s="67">
        <f>D7-D13</f>
        <v>97567.800000000017</v>
      </c>
      <c r="E14" s="67">
        <f>E7-E13</f>
        <v>119497.33000000002</v>
      </c>
      <c r="F14" s="48"/>
    </row>
    <row r="15" spans="2:7" ht="15.75" customHeight="1" x14ac:dyDescent="0.25">
      <c r="B15" s="15"/>
      <c r="C15" s="21"/>
      <c r="D15" s="21"/>
      <c r="E15" s="21"/>
    </row>
    <row r="16" spans="2:7" ht="15.75" customHeight="1" x14ac:dyDescent="0.25">
      <c r="B16" t="s">
        <v>264</v>
      </c>
      <c r="C16">
        <v>27648.48</v>
      </c>
      <c r="D16">
        <v>30808.52</v>
      </c>
      <c r="E16">
        <v>33654.699999999997</v>
      </c>
      <c r="F16" s="1"/>
    </row>
    <row r="17" spans="2:10" ht="15.75" customHeight="1" x14ac:dyDescent="0.25">
      <c r="B17" t="s">
        <v>265</v>
      </c>
      <c r="D17">
        <v>14.45</v>
      </c>
      <c r="E17">
        <v>13.75</v>
      </c>
    </row>
    <row r="18" spans="2:10" ht="15.75" customHeight="1" x14ac:dyDescent="0.25">
      <c r="B18" t="s">
        <v>266</v>
      </c>
      <c r="C18">
        <v>-1732.15</v>
      </c>
      <c r="D18">
        <v>78.680000000000007</v>
      </c>
      <c r="E18">
        <v>-103.88</v>
      </c>
    </row>
    <row r="19" spans="2:10" ht="15.75" customHeight="1" x14ac:dyDescent="0.25">
      <c r="B19" t="s">
        <v>267</v>
      </c>
      <c r="C19">
        <v>5226.63</v>
      </c>
      <c r="D19">
        <v>9209.5</v>
      </c>
      <c r="E19">
        <v>10661.96</v>
      </c>
    </row>
    <row r="20" spans="2:10" ht="15.75" customHeight="1" x14ac:dyDescent="0.25">
      <c r="B20" t="s">
        <v>268</v>
      </c>
      <c r="C20">
        <v>-12849.13</v>
      </c>
      <c r="D20">
        <v>-14397.29</v>
      </c>
      <c r="E20">
        <v>-18434.84</v>
      </c>
    </row>
    <row r="21" spans="2:10" ht="15.75" customHeight="1" x14ac:dyDescent="0.25">
      <c r="B21" t="s">
        <v>269</v>
      </c>
      <c r="C21">
        <v>40921.97</v>
      </c>
      <c r="D21">
        <v>47133.85</v>
      </c>
      <c r="E21">
        <v>61785.96</v>
      </c>
    </row>
    <row r="22" spans="2:10" x14ac:dyDescent="0.25">
      <c r="B22" s="2" t="s">
        <v>271</v>
      </c>
      <c r="C22" s="22">
        <f>SUM(C16:C21)</f>
        <v>59215.8</v>
      </c>
      <c r="D22" s="22">
        <f t="shared" ref="D22:E22" si="2">SUM(D16:D21)</f>
        <v>72847.709999999992</v>
      </c>
      <c r="E22" s="22">
        <f t="shared" si="2"/>
        <v>87577.65</v>
      </c>
      <c r="F22" s="1"/>
      <c r="G22" s="1"/>
      <c r="H22" s="1"/>
    </row>
    <row r="23" spans="2:10" ht="15.75" x14ac:dyDescent="0.25">
      <c r="B23" s="68" t="s">
        <v>173</v>
      </c>
      <c r="C23" s="67">
        <f>C14-C22</f>
        <v>32287.430000000008</v>
      </c>
      <c r="D23" s="67">
        <f t="shared" ref="D23:E23" si="3">D14-D22</f>
        <v>24720.090000000026</v>
      </c>
      <c r="E23" s="67">
        <f t="shared" si="3"/>
        <v>31919.680000000022</v>
      </c>
      <c r="F23" s="53"/>
      <c r="G23" s="48"/>
      <c r="I23" s="1"/>
      <c r="J23" s="1"/>
    </row>
    <row r="24" spans="2:10" x14ac:dyDescent="0.25">
      <c r="B24" s="2"/>
      <c r="C24" s="21"/>
      <c r="D24" s="21"/>
      <c r="E24" s="21"/>
      <c r="F24" s="1"/>
      <c r="G24" s="48"/>
      <c r="I24" s="1"/>
      <c r="J24" s="1"/>
    </row>
    <row r="25" spans="2:10" x14ac:dyDescent="0.25">
      <c r="B25" t="s">
        <v>172</v>
      </c>
      <c r="C25" s="1">
        <v>2643.19</v>
      </c>
      <c r="D25" s="1">
        <v>3053.63</v>
      </c>
      <c r="E25" s="1">
        <v>4633.18</v>
      </c>
    </row>
    <row r="26" spans="2:10" x14ac:dyDescent="0.25">
      <c r="B26" t="s">
        <v>113</v>
      </c>
      <c r="C26" s="1">
        <v>13761.019999999999</v>
      </c>
      <c r="D26" s="1">
        <v>629.58000000000004</v>
      </c>
      <c r="E26" s="1">
        <v>-1590.53</v>
      </c>
    </row>
    <row r="27" spans="2:10" x14ac:dyDescent="0.25">
      <c r="B27" t="s">
        <v>116</v>
      </c>
      <c r="C27" s="1">
        <v>8097.17</v>
      </c>
      <c r="D27" s="1">
        <v>9311.86</v>
      </c>
      <c r="E27" s="1">
        <v>10225.48</v>
      </c>
    </row>
    <row r="28" spans="2:10" x14ac:dyDescent="0.25">
      <c r="B28" t="s">
        <v>112</v>
      </c>
      <c r="C28" s="1">
        <v>23546.71</v>
      </c>
      <c r="D28" s="1">
        <v>24835.69</v>
      </c>
      <c r="E28" s="1">
        <v>24860.36</v>
      </c>
      <c r="G28" s="1"/>
    </row>
    <row r="29" spans="2:10" x14ac:dyDescent="0.25">
      <c r="B29" s="25" t="s">
        <v>117</v>
      </c>
      <c r="C29" s="24">
        <f>C23+C25-C26-C27-C28</f>
        <v>-10474.279999999986</v>
      </c>
      <c r="D29" s="24">
        <f t="shared" ref="D29:E29" si="4">D23+D25-D26-D27-D28</f>
        <v>-7003.4099999999744</v>
      </c>
      <c r="E29" s="24">
        <f t="shared" si="4"/>
        <v>3057.5500000000211</v>
      </c>
      <c r="F29" s="48"/>
      <c r="G29" s="1"/>
      <c r="H29" s="1"/>
    </row>
    <row r="30" spans="2:10" x14ac:dyDescent="0.25">
      <c r="B30" s="29"/>
      <c r="C30" s="1"/>
      <c r="D30" s="1"/>
      <c r="E30" s="1"/>
    </row>
    <row r="31" spans="2:10" x14ac:dyDescent="0.25">
      <c r="B31" t="s">
        <v>114</v>
      </c>
      <c r="C31" s="1">
        <v>1710.18</v>
      </c>
      <c r="D31" s="1">
        <v>2669.98</v>
      </c>
      <c r="E31" s="1">
        <v>3258.35</v>
      </c>
    </row>
    <row r="32" spans="2:10" x14ac:dyDescent="0.25">
      <c r="B32" t="s">
        <v>22</v>
      </c>
      <c r="C32" s="1">
        <v>831.68</v>
      </c>
      <c r="D32" s="1">
        <v>1561.31</v>
      </c>
      <c r="E32" s="1">
        <v>-2554.29</v>
      </c>
    </row>
    <row r="33" spans="2:6" x14ac:dyDescent="0.25">
      <c r="B33" t="s">
        <v>272</v>
      </c>
      <c r="C33" s="24">
        <f>SUM(C31:C32)</f>
        <v>2541.86</v>
      </c>
      <c r="D33" s="24">
        <f t="shared" ref="D33:E33" si="5">SUM(D31:D32)</f>
        <v>4231.29</v>
      </c>
      <c r="E33" s="24">
        <f t="shared" si="5"/>
        <v>704.06</v>
      </c>
      <c r="F33" s="48"/>
    </row>
    <row r="34" spans="2:6" x14ac:dyDescent="0.25">
      <c r="B34" s="2" t="s">
        <v>24</v>
      </c>
      <c r="C34" s="1">
        <v>-378.96</v>
      </c>
      <c r="D34" s="1">
        <v>-74.06</v>
      </c>
      <c r="E34" s="1">
        <v>336.38</v>
      </c>
    </row>
    <row r="35" spans="2:6" ht="15.75" thickBot="1" x14ac:dyDescent="0.3">
      <c r="B35" s="16" t="s">
        <v>209</v>
      </c>
      <c r="C35" s="23">
        <f>C29-C33+C34</f>
        <v>-13395.099999999986</v>
      </c>
      <c r="D35" s="23">
        <f t="shared" ref="D35:E35" si="6">D29-D33+D34</f>
        <v>-11308.759999999975</v>
      </c>
      <c r="E35" s="23">
        <f t="shared" si="6"/>
        <v>2689.8700000000213</v>
      </c>
      <c r="F35" s="48"/>
    </row>
    <row r="36" spans="2:6" ht="15.75" thickTop="1" x14ac:dyDescent="0.25"/>
  </sheetData>
  <mergeCells count="1">
    <mergeCell ref="C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9036-0043-4319-86B1-B33D6E5966F4}">
  <dimension ref="B1:F77"/>
  <sheetViews>
    <sheetView showGridLines="0" zoomScale="90" zoomScaleNormal="90" workbookViewId="0">
      <selection activeCell="I21" sqref="I21"/>
    </sheetView>
  </sheetViews>
  <sheetFormatPr defaultRowHeight="15" x14ac:dyDescent="0.25"/>
  <cols>
    <col min="1" max="1" width="0.85546875" customWidth="1"/>
    <col min="2" max="2" width="52.28515625" customWidth="1"/>
    <col min="3" max="6" width="11.140625" customWidth="1"/>
  </cols>
  <sheetData>
    <row r="1" spans="2:6" ht="20.25" thickBot="1" x14ac:dyDescent="0.35">
      <c r="B1" s="6" t="s">
        <v>0</v>
      </c>
    </row>
    <row r="2" spans="2:6" ht="15.75" thickTop="1" x14ac:dyDescent="0.25">
      <c r="B2" s="7" t="s">
        <v>70</v>
      </c>
    </row>
    <row r="3" spans="2:6" x14ac:dyDescent="0.25">
      <c r="C3" s="73" t="s">
        <v>74</v>
      </c>
      <c r="D3" s="73"/>
      <c r="E3" s="73"/>
    </row>
    <row r="4" spans="2:6" x14ac:dyDescent="0.25">
      <c r="B4" s="9" t="e" vm="1">
        <v>#VALUE!</v>
      </c>
      <c r="C4" s="11" t="s">
        <v>71</v>
      </c>
      <c r="D4" s="11" t="s">
        <v>73</v>
      </c>
      <c r="E4" s="10" t="s">
        <v>72</v>
      </c>
    </row>
    <row r="5" spans="2:6" ht="15" customHeight="1" x14ac:dyDescent="0.25">
      <c r="B5" s="13" t="s">
        <v>8</v>
      </c>
    </row>
    <row r="6" spans="2:6" ht="15" customHeight="1" x14ac:dyDescent="0.25">
      <c r="B6" s="2" t="s">
        <v>9</v>
      </c>
    </row>
    <row r="7" spans="2:6" ht="15" customHeight="1" x14ac:dyDescent="0.25">
      <c r="B7" s="4" t="s">
        <v>106</v>
      </c>
      <c r="C7" s="1">
        <v>79640.05</v>
      </c>
      <c r="D7" s="1">
        <v>80900.13</v>
      </c>
      <c r="E7" s="1">
        <v>76641.429999999993</v>
      </c>
    </row>
    <row r="8" spans="2:6" ht="15" customHeight="1" x14ac:dyDescent="0.25">
      <c r="B8" s="4" t="s">
        <v>10</v>
      </c>
      <c r="C8" s="1">
        <v>8377.14</v>
      </c>
      <c r="D8" s="1">
        <v>3529.04</v>
      </c>
      <c r="E8" s="1">
        <v>5219.87</v>
      </c>
    </row>
    <row r="9" spans="2:6" ht="15" customHeight="1" x14ac:dyDescent="0.25">
      <c r="B9" s="4" t="s">
        <v>76</v>
      </c>
      <c r="C9" s="1">
        <v>6490.66</v>
      </c>
      <c r="D9" s="1">
        <v>6686.02</v>
      </c>
      <c r="E9" s="1">
        <v>7801.04</v>
      </c>
    </row>
    <row r="10" spans="2:6" ht="15" customHeight="1" x14ac:dyDescent="0.25">
      <c r="B10" s="4" t="s">
        <v>77</v>
      </c>
      <c r="C10" s="1">
        <v>803.72</v>
      </c>
      <c r="D10" s="1">
        <v>807.17</v>
      </c>
      <c r="E10" s="1">
        <v>840.6</v>
      </c>
    </row>
    <row r="11" spans="2:6" ht="15" customHeight="1" x14ac:dyDescent="0.25">
      <c r="B11" s="4" t="s">
        <v>78</v>
      </c>
      <c r="C11" s="1">
        <v>51773.18</v>
      </c>
      <c r="D11" s="1">
        <v>50462.13</v>
      </c>
      <c r="E11" s="1">
        <v>46796.69</v>
      </c>
    </row>
    <row r="12" spans="2:6" ht="15" customHeight="1" x14ac:dyDescent="0.25">
      <c r="B12" s="4" t="s">
        <v>11</v>
      </c>
      <c r="C12" s="1">
        <v>12586.79</v>
      </c>
      <c r="D12" s="1">
        <v>6722.05</v>
      </c>
      <c r="E12" s="1">
        <v>9054.6299999999992</v>
      </c>
      <c r="F12" s="1"/>
    </row>
    <row r="13" spans="2:6" ht="15" customHeight="1" x14ac:dyDescent="0.25">
      <c r="B13" s="4" t="s">
        <v>79</v>
      </c>
      <c r="C13" s="1">
        <v>4200.79</v>
      </c>
      <c r="D13" s="1">
        <v>4349.3900000000003</v>
      </c>
      <c r="E13" s="1">
        <v>4675.66</v>
      </c>
    </row>
    <row r="14" spans="2:6" ht="15" customHeight="1" x14ac:dyDescent="0.25">
      <c r="B14" s="4" t="s">
        <v>109</v>
      </c>
      <c r="C14" s="1"/>
      <c r="D14" s="1"/>
      <c r="E14" s="1"/>
    </row>
    <row r="15" spans="2:6" ht="15" customHeight="1" x14ac:dyDescent="0.25">
      <c r="B15" s="14" t="s">
        <v>80</v>
      </c>
      <c r="C15" s="1">
        <v>1368.3</v>
      </c>
      <c r="D15" s="1">
        <v>2320.92</v>
      </c>
      <c r="E15" s="1">
        <v>2865.19</v>
      </c>
    </row>
    <row r="16" spans="2:6" ht="15" customHeight="1" x14ac:dyDescent="0.25">
      <c r="B16" s="14" t="s">
        <v>81</v>
      </c>
      <c r="C16" s="1">
        <v>16846.82</v>
      </c>
      <c r="D16" s="1">
        <v>11135.85</v>
      </c>
      <c r="E16" s="1">
        <v>7416.41</v>
      </c>
    </row>
    <row r="17" spans="2:5" ht="15" customHeight="1" x14ac:dyDescent="0.25">
      <c r="B17" s="14" t="s">
        <v>13</v>
      </c>
      <c r="C17" s="1">
        <v>1204.5899999999999</v>
      </c>
      <c r="D17" s="1">
        <v>843.35</v>
      </c>
      <c r="E17" s="1">
        <v>870.65</v>
      </c>
    </row>
    <row r="18" spans="2:5" ht="15" customHeight="1" x14ac:dyDescent="0.25">
      <c r="B18" s="14" t="s">
        <v>82</v>
      </c>
      <c r="C18" s="1">
        <v>5813.98</v>
      </c>
      <c r="D18" s="1">
        <v>5179.49</v>
      </c>
      <c r="E18" s="1">
        <v>7027.66</v>
      </c>
    </row>
    <row r="19" spans="2:5" ht="15" customHeight="1" x14ac:dyDescent="0.25">
      <c r="B19" s="4" t="s">
        <v>12</v>
      </c>
      <c r="C19" s="1">
        <v>4520.3500000000004</v>
      </c>
      <c r="D19" s="1">
        <v>3870.85</v>
      </c>
      <c r="E19" s="1">
        <v>5184.67</v>
      </c>
    </row>
    <row r="20" spans="2:5" ht="15" customHeight="1" x14ac:dyDescent="0.25">
      <c r="B20" s="4" t="s">
        <v>83</v>
      </c>
      <c r="C20" s="1">
        <v>1003.3</v>
      </c>
      <c r="D20" s="1">
        <v>1196.79</v>
      </c>
      <c r="E20" s="1">
        <v>1556.36</v>
      </c>
    </row>
    <row r="21" spans="2:5" ht="15" customHeight="1" x14ac:dyDescent="0.25">
      <c r="B21" s="4" t="s">
        <v>84</v>
      </c>
      <c r="C21" s="1">
        <v>1608.49</v>
      </c>
      <c r="D21" s="1">
        <v>5639.21</v>
      </c>
      <c r="E21" s="1">
        <v>8602.0499999999993</v>
      </c>
    </row>
    <row r="22" spans="2:5" ht="15" customHeight="1" x14ac:dyDescent="0.25">
      <c r="B22" s="17" t="s">
        <v>190</v>
      </c>
      <c r="C22" s="20">
        <f>SUM(C7:C21)</f>
        <v>196238.16</v>
      </c>
      <c r="D22" s="20">
        <f>SUM(D7:D21)</f>
        <v>183642.39</v>
      </c>
      <c r="E22" s="20">
        <f>SUM(E7:E21)</f>
        <v>184552.91</v>
      </c>
    </row>
    <row r="23" spans="2:5" ht="15" customHeight="1" x14ac:dyDescent="0.25">
      <c r="B23" s="15"/>
      <c r="C23" s="21"/>
      <c r="D23" s="21"/>
      <c r="E23" s="21"/>
    </row>
    <row r="24" spans="2:5" ht="15" customHeight="1" x14ac:dyDescent="0.25">
      <c r="B24" s="2" t="s">
        <v>14</v>
      </c>
      <c r="C24" s="1"/>
      <c r="D24" s="1"/>
      <c r="E24" s="1"/>
    </row>
    <row r="25" spans="2:5" ht="15" customHeight="1" x14ac:dyDescent="0.25">
      <c r="B25" s="4" t="s">
        <v>16</v>
      </c>
      <c r="C25" s="1">
        <v>36088.589999999997</v>
      </c>
      <c r="D25" s="1">
        <v>35240.339999999997</v>
      </c>
      <c r="E25" s="1">
        <v>40755.39</v>
      </c>
    </row>
    <row r="26" spans="2:5" ht="15" customHeight="1" x14ac:dyDescent="0.25">
      <c r="B26" s="4" t="s">
        <v>109</v>
      </c>
      <c r="C26" s="1"/>
      <c r="D26" s="1"/>
      <c r="E26" s="1"/>
    </row>
    <row r="27" spans="2:5" ht="15" customHeight="1" x14ac:dyDescent="0.25">
      <c r="B27" s="14" t="s">
        <v>15</v>
      </c>
      <c r="C27" s="1">
        <v>19051.189999999999</v>
      </c>
      <c r="D27" s="1">
        <v>22709.22</v>
      </c>
      <c r="E27" s="1">
        <v>18838.310000000001</v>
      </c>
    </row>
    <row r="28" spans="2:5" ht="15" customHeight="1" x14ac:dyDescent="0.25">
      <c r="B28" s="14" t="s">
        <v>17</v>
      </c>
      <c r="C28" s="1">
        <v>12679.08</v>
      </c>
      <c r="D28" s="1">
        <v>12442.12</v>
      </c>
      <c r="E28" s="1">
        <v>15737.97</v>
      </c>
    </row>
    <row r="29" spans="2:5" ht="15" customHeight="1" x14ac:dyDescent="0.25">
      <c r="B29" s="14" t="s">
        <v>18</v>
      </c>
      <c r="C29" s="1">
        <v>31700.01</v>
      </c>
      <c r="D29" s="1">
        <v>38159.01</v>
      </c>
      <c r="E29" s="1">
        <v>31886.95</v>
      </c>
    </row>
    <row r="30" spans="2:5" ht="15" customHeight="1" x14ac:dyDescent="0.25">
      <c r="B30" s="14" t="s">
        <v>85</v>
      </c>
      <c r="C30" s="1">
        <v>15092.45</v>
      </c>
      <c r="D30" s="1">
        <v>2510.1799999999998</v>
      </c>
      <c r="E30" s="1">
        <v>5128.6099999999997</v>
      </c>
    </row>
    <row r="31" spans="2:5" ht="15" customHeight="1" x14ac:dyDescent="0.25">
      <c r="B31" s="14" t="s">
        <v>81</v>
      </c>
      <c r="C31" s="1">
        <v>17868.09</v>
      </c>
      <c r="D31" s="1">
        <v>22095.35</v>
      </c>
      <c r="E31" s="1">
        <v>23417.31</v>
      </c>
    </row>
    <row r="32" spans="2:5" ht="15" customHeight="1" x14ac:dyDescent="0.25">
      <c r="B32" s="14" t="s">
        <v>19</v>
      </c>
      <c r="C32" s="1">
        <v>1749.4</v>
      </c>
      <c r="D32" s="1">
        <v>1671.93</v>
      </c>
      <c r="E32" s="1">
        <v>2302.84</v>
      </c>
    </row>
    <row r="33" spans="2:5" ht="15" customHeight="1" x14ac:dyDescent="0.25">
      <c r="B33" s="14" t="s">
        <v>82</v>
      </c>
      <c r="C33" s="1">
        <v>5274.32</v>
      </c>
      <c r="D33" s="1">
        <v>3799.82</v>
      </c>
      <c r="E33" s="1">
        <v>2786.72</v>
      </c>
    </row>
    <row r="34" spans="2:5" ht="15" customHeight="1" x14ac:dyDescent="0.25">
      <c r="B34" s="4" t="s">
        <v>86</v>
      </c>
      <c r="C34" s="1">
        <v>865.31</v>
      </c>
      <c r="D34" s="1">
        <v>259.83999999999997</v>
      </c>
      <c r="E34" s="1">
        <v>259.26</v>
      </c>
    </row>
    <row r="35" spans="2:5" ht="15" customHeight="1" x14ac:dyDescent="0.25">
      <c r="B35" s="4" t="s">
        <v>87</v>
      </c>
      <c r="C35" s="1">
        <v>220.8</v>
      </c>
      <c r="D35" s="1">
        <v>523.85</v>
      </c>
      <c r="E35" s="1">
        <v>827.78</v>
      </c>
    </row>
    <row r="36" spans="2:5" ht="15" customHeight="1" x14ac:dyDescent="0.25">
      <c r="B36" s="4" t="s">
        <v>88</v>
      </c>
      <c r="C36" s="1">
        <v>6298.4</v>
      </c>
      <c r="D36" s="1">
        <v>7565.88</v>
      </c>
      <c r="E36" s="1">
        <v>9587.33</v>
      </c>
    </row>
    <row r="37" spans="2:5" ht="15" customHeight="1" x14ac:dyDescent="0.25">
      <c r="B37" s="17" t="s">
        <v>191</v>
      </c>
      <c r="C37" s="22">
        <f>SUM(C25:C36)</f>
        <v>146887.63999999998</v>
      </c>
      <c r="D37" s="22">
        <f>SUM(D25:D36)</f>
        <v>146977.54</v>
      </c>
      <c r="E37" s="22">
        <f>SUM(E25:E36)</f>
        <v>151528.47</v>
      </c>
    </row>
    <row r="38" spans="2:5" ht="15" customHeight="1" thickBot="1" x14ac:dyDescent="0.3">
      <c r="B38" s="16" t="s">
        <v>20</v>
      </c>
      <c r="C38" s="23">
        <f>C37+C22</f>
        <v>343125.8</v>
      </c>
      <c r="D38" s="23">
        <f>D37+D22</f>
        <v>330619.93000000005</v>
      </c>
      <c r="E38" s="23">
        <f>E37+E22</f>
        <v>336081.38</v>
      </c>
    </row>
    <row r="39" spans="2:5" ht="15" customHeight="1" thickTop="1" x14ac:dyDescent="0.25">
      <c r="B39" s="2"/>
      <c r="C39" s="21"/>
      <c r="D39" s="21"/>
      <c r="E39" s="21"/>
    </row>
    <row r="40" spans="2:5" ht="15" customHeight="1" x14ac:dyDescent="0.25">
      <c r="B40" s="8" t="s">
        <v>91</v>
      </c>
      <c r="C40" s="1"/>
      <c r="D40" s="1"/>
      <c r="E40" s="1"/>
    </row>
    <row r="41" spans="2:5" ht="15" customHeight="1" x14ac:dyDescent="0.25">
      <c r="B41" s="2" t="s">
        <v>89</v>
      </c>
      <c r="C41" s="1"/>
      <c r="D41" s="1"/>
      <c r="E41" s="1"/>
    </row>
    <row r="42" spans="2:5" ht="15" customHeight="1" x14ac:dyDescent="0.25">
      <c r="B42" s="4" t="s">
        <v>1</v>
      </c>
      <c r="C42" s="1">
        <v>765.81</v>
      </c>
      <c r="D42" s="1">
        <v>765.88</v>
      </c>
      <c r="E42" s="1">
        <v>766.02</v>
      </c>
    </row>
    <row r="43" spans="2:5" ht="15" customHeight="1" x14ac:dyDescent="0.25">
      <c r="B43" s="4" t="s">
        <v>90</v>
      </c>
      <c r="C43" s="1">
        <v>54480.91</v>
      </c>
      <c r="D43" s="1">
        <v>43795.360000000001</v>
      </c>
      <c r="E43" s="1">
        <v>44555.77</v>
      </c>
    </row>
    <row r="44" spans="2:5" ht="15" customHeight="1" x14ac:dyDescent="0.25">
      <c r="B44" s="17" t="s">
        <v>2</v>
      </c>
      <c r="C44" s="24">
        <f t="shared" ref="C44:D44" si="0">SUM(C42:C43)</f>
        <v>55246.720000000001</v>
      </c>
      <c r="D44" s="24">
        <f t="shared" si="0"/>
        <v>44561.24</v>
      </c>
      <c r="E44" s="24">
        <f>SUM(E42:E43)</f>
        <v>45321.789999999994</v>
      </c>
    </row>
    <row r="45" spans="2:5" ht="15" customHeight="1" x14ac:dyDescent="0.25">
      <c r="B45" s="4" t="s">
        <v>3</v>
      </c>
      <c r="C45" s="1">
        <v>1573.49</v>
      </c>
      <c r="D45" s="1">
        <v>4271.0600000000004</v>
      </c>
      <c r="E45" s="1">
        <v>7277.72</v>
      </c>
    </row>
    <row r="46" spans="2:5" ht="15" customHeight="1" thickBot="1" x14ac:dyDescent="0.3">
      <c r="B46" s="18" t="s">
        <v>75</v>
      </c>
      <c r="C46" s="23">
        <f t="shared" ref="C46:D46" si="1">SUM(C44:C45)</f>
        <v>56820.21</v>
      </c>
      <c r="D46" s="23">
        <f t="shared" si="1"/>
        <v>48832.299999999996</v>
      </c>
      <c r="E46" s="23">
        <f>SUM(E44:E45)</f>
        <v>52599.509999999995</v>
      </c>
    </row>
    <row r="47" spans="2:5" ht="15" customHeight="1" thickTop="1" x14ac:dyDescent="0.25">
      <c r="C47" s="1"/>
      <c r="D47" s="1"/>
      <c r="E47" s="1"/>
    </row>
    <row r="48" spans="2:5" ht="15" customHeight="1" x14ac:dyDescent="0.25">
      <c r="B48" s="8" t="s">
        <v>92</v>
      </c>
      <c r="C48" s="1"/>
      <c r="D48" s="1"/>
      <c r="E48" s="1"/>
    </row>
    <row r="49" spans="2:5" ht="15" customHeight="1" x14ac:dyDescent="0.25">
      <c r="B49" s="2" t="s">
        <v>4</v>
      </c>
      <c r="C49" s="1"/>
      <c r="D49" s="1"/>
      <c r="E49" s="1"/>
    </row>
    <row r="50" spans="2:5" ht="15" customHeight="1" x14ac:dyDescent="0.25">
      <c r="B50" s="4" t="s">
        <v>110</v>
      </c>
      <c r="C50" s="1"/>
      <c r="D50" s="1"/>
      <c r="E50" s="1"/>
    </row>
    <row r="51" spans="2:5" x14ac:dyDescent="0.25">
      <c r="B51" s="14" t="s">
        <v>93</v>
      </c>
      <c r="C51" s="1">
        <v>93112.77</v>
      </c>
      <c r="D51" s="1">
        <v>97759.17</v>
      </c>
      <c r="E51" s="1">
        <v>88695.81</v>
      </c>
    </row>
    <row r="52" spans="2:5" x14ac:dyDescent="0.25">
      <c r="B52" s="14" t="s">
        <v>94</v>
      </c>
      <c r="C52" s="1">
        <v>5412.06</v>
      </c>
      <c r="D52" s="1">
        <v>5962.44</v>
      </c>
      <c r="E52" s="1">
        <v>7568.49</v>
      </c>
    </row>
    <row r="53" spans="2:5" x14ac:dyDescent="0.25">
      <c r="B53" s="14" t="s">
        <v>95</v>
      </c>
      <c r="C53" s="1">
        <v>2556.35</v>
      </c>
      <c r="D53" s="1">
        <v>5333.66</v>
      </c>
      <c r="E53" s="1">
        <v>8322.4699999999993</v>
      </c>
    </row>
    <row r="54" spans="2:5" x14ac:dyDescent="0.25">
      <c r="B54" s="4" t="s">
        <v>96</v>
      </c>
      <c r="C54" s="1">
        <v>13606.76</v>
      </c>
      <c r="D54" s="1">
        <v>12955.89</v>
      </c>
      <c r="E54" s="1">
        <v>13196.53</v>
      </c>
    </row>
    <row r="55" spans="2:5" x14ac:dyDescent="0.25">
      <c r="B55" s="4" t="s">
        <v>97</v>
      </c>
      <c r="C55" s="1">
        <v>1555.89</v>
      </c>
      <c r="D55" s="1">
        <v>1558.44</v>
      </c>
      <c r="E55" s="1">
        <v>1406.95</v>
      </c>
    </row>
    <row r="56" spans="2:5" x14ac:dyDescent="0.25">
      <c r="B56" s="4" t="s">
        <v>98</v>
      </c>
      <c r="C56" s="1">
        <v>12312.58</v>
      </c>
      <c r="D56" s="1">
        <v>7535.22</v>
      </c>
      <c r="E56" s="1">
        <v>9264.2900000000009</v>
      </c>
    </row>
    <row r="57" spans="2:5" x14ac:dyDescent="0.25">
      <c r="B57" s="17" t="s">
        <v>193</v>
      </c>
      <c r="C57" s="24">
        <f t="shared" ref="C57:D57" si="2">SUM(C51:C56)</f>
        <v>128556.41</v>
      </c>
      <c r="D57" s="24">
        <f t="shared" si="2"/>
        <v>131104.82</v>
      </c>
      <c r="E57" s="24">
        <f>SUM(E51:E56)</f>
        <v>128454.54000000001</v>
      </c>
    </row>
    <row r="58" spans="2:5" x14ac:dyDescent="0.25">
      <c r="C58" s="1"/>
      <c r="D58" s="1"/>
      <c r="E58" s="1"/>
    </row>
    <row r="59" spans="2:5" x14ac:dyDescent="0.25">
      <c r="B59" s="2" t="s">
        <v>5</v>
      </c>
      <c r="C59" s="1"/>
      <c r="D59" s="1"/>
      <c r="E59" s="1"/>
    </row>
    <row r="60" spans="2:5" x14ac:dyDescent="0.25">
      <c r="B60" s="4" t="s">
        <v>110</v>
      </c>
      <c r="C60" s="1"/>
      <c r="D60" s="1"/>
      <c r="E60" s="1"/>
    </row>
    <row r="61" spans="2:5" x14ac:dyDescent="0.25">
      <c r="B61" s="14" t="s">
        <v>93</v>
      </c>
      <c r="C61" s="1">
        <v>21662.79</v>
      </c>
      <c r="D61" s="1">
        <v>41917.870000000003</v>
      </c>
      <c r="E61" s="1">
        <v>36964.660000000003</v>
      </c>
    </row>
    <row r="62" spans="2:5" x14ac:dyDescent="0.25">
      <c r="B62" s="14" t="s">
        <v>94</v>
      </c>
      <c r="C62" s="1">
        <v>814</v>
      </c>
      <c r="D62" s="1">
        <v>809.55</v>
      </c>
      <c r="E62" s="1">
        <v>884.48</v>
      </c>
    </row>
    <row r="63" spans="2:5" x14ac:dyDescent="0.25">
      <c r="B63" s="14" t="s">
        <v>6</v>
      </c>
      <c r="C63" s="1"/>
      <c r="D63" s="1"/>
      <c r="E63" s="1"/>
    </row>
    <row r="64" spans="2:5" x14ac:dyDescent="0.25">
      <c r="B64" s="19" t="s">
        <v>99</v>
      </c>
      <c r="C64" s="1">
        <v>186.21</v>
      </c>
      <c r="D64" s="1">
        <v>183.92</v>
      </c>
      <c r="E64" s="1">
        <v>316.01</v>
      </c>
    </row>
    <row r="65" spans="2:5" x14ac:dyDescent="0.25">
      <c r="B65" s="19" t="s">
        <v>100</v>
      </c>
      <c r="C65" s="1">
        <v>67993.63</v>
      </c>
      <c r="D65" s="1">
        <v>59786.46</v>
      </c>
      <c r="E65" s="1">
        <v>71739.759999999995</v>
      </c>
    </row>
    <row r="66" spans="2:5" x14ac:dyDescent="0.25">
      <c r="B66" s="14" t="s">
        <v>101</v>
      </c>
      <c r="C66" s="1">
        <v>7860.31</v>
      </c>
      <c r="D66" s="1">
        <v>9779.9500000000007</v>
      </c>
      <c r="E66" s="1">
        <v>7195.99</v>
      </c>
    </row>
    <row r="67" spans="2:5" x14ac:dyDescent="0.25">
      <c r="B67" s="14" t="s">
        <v>102</v>
      </c>
      <c r="C67" s="1">
        <v>34854.589999999997</v>
      </c>
      <c r="D67" s="1">
        <v>14420.24</v>
      </c>
      <c r="E67" s="1">
        <v>13828.58</v>
      </c>
    </row>
    <row r="68" spans="2:5" x14ac:dyDescent="0.25">
      <c r="B68" s="4" t="s">
        <v>96</v>
      </c>
      <c r="C68" s="1">
        <v>12848.03</v>
      </c>
      <c r="D68" s="1">
        <v>10766.31</v>
      </c>
      <c r="E68" s="1">
        <v>11810.66</v>
      </c>
    </row>
    <row r="69" spans="2:5" x14ac:dyDescent="0.25">
      <c r="B69" s="4" t="s">
        <v>103</v>
      </c>
      <c r="C69" s="1">
        <v>1086.44</v>
      </c>
      <c r="D69" s="1">
        <v>1253.8499999999999</v>
      </c>
      <c r="E69" s="1">
        <v>1254.19</v>
      </c>
    </row>
    <row r="70" spans="2:5" x14ac:dyDescent="0.25">
      <c r="B70" s="4" t="s">
        <v>107</v>
      </c>
      <c r="C70" s="1"/>
      <c r="D70" s="1">
        <v>3.12</v>
      </c>
      <c r="E70" s="1"/>
    </row>
    <row r="71" spans="2:5" x14ac:dyDescent="0.25">
      <c r="B71" s="4" t="s">
        <v>7</v>
      </c>
      <c r="C71" s="1">
        <v>10443.18</v>
      </c>
      <c r="D71" s="1">
        <v>11761.54</v>
      </c>
      <c r="E71" s="1">
        <v>11033</v>
      </c>
    </row>
    <row r="72" spans="2:5" x14ac:dyDescent="0.25">
      <c r="B72" s="17" t="s">
        <v>194</v>
      </c>
      <c r="C72" s="24">
        <f t="shared" ref="C72:D72" si="3">SUM(C61:C71)</f>
        <v>157749.18</v>
      </c>
      <c r="D72" s="24">
        <f t="shared" si="3"/>
        <v>150682.81000000003</v>
      </c>
      <c r="E72" s="24">
        <f>SUM(E61:E71)</f>
        <v>155027.33000000002</v>
      </c>
    </row>
    <row r="73" spans="2:5" ht="15.75" thickBot="1" x14ac:dyDescent="0.3">
      <c r="B73" s="18" t="s">
        <v>104</v>
      </c>
      <c r="C73" s="23">
        <f t="shared" ref="C73:E73" si="4">C72+C57</f>
        <v>286305.58999999997</v>
      </c>
      <c r="D73" s="23">
        <f t="shared" si="4"/>
        <v>281787.63</v>
      </c>
      <c r="E73" s="23">
        <f t="shared" si="4"/>
        <v>283481.87</v>
      </c>
    </row>
    <row r="74" spans="2:5" ht="15.75" thickTop="1" x14ac:dyDescent="0.25">
      <c r="C74" s="1"/>
      <c r="D74" s="1"/>
      <c r="E74" s="1"/>
    </row>
    <row r="75" spans="2:5" ht="15.75" thickBot="1" x14ac:dyDescent="0.3">
      <c r="B75" s="16" t="s">
        <v>105</v>
      </c>
      <c r="C75" s="23">
        <f t="shared" ref="C75:D75" si="5">C73+C46</f>
        <v>343125.8</v>
      </c>
      <c r="D75" s="23">
        <f t="shared" si="5"/>
        <v>330619.93</v>
      </c>
      <c r="E75" s="23">
        <f>E73+E46</f>
        <v>336081.38</v>
      </c>
    </row>
    <row r="76" spans="2:5" ht="15.75" thickTop="1" x14ac:dyDescent="0.25">
      <c r="C76" s="1"/>
      <c r="D76" s="1"/>
      <c r="E76" s="1"/>
    </row>
    <row r="77" spans="2:5" x14ac:dyDescent="0.25">
      <c r="B77" s="2" t="s">
        <v>108</v>
      </c>
      <c r="C77" s="1">
        <f t="shared" ref="C77:D77" si="6">C38-C75</f>
        <v>0</v>
      </c>
      <c r="D77" s="1">
        <f t="shared" si="6"/>
        <v>0</v>
      </c>
      <c r="E77" s="1">
        <f>E38-E75</f>
        <v>0</v>
      </c>
    </row>
  </sheetData>
  <mergeCells count="1">
    <mergeCell ref="C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2FF9-F65B-48A1-BA3F-7DF7D9929B2A}">
  <dimension ref="B1:I103"/>
  <sheetViews>
    <sheetView showGridLines="0" topLeftCell="A22" zoomScale="90" zoomScaleNormal="90" workbookViewId="0">
      <selection activeCell="H55" sqref="H55"/>
    </sheetView>
  </sheetViews>
  <sheetFormatPr defaultRowHeight="15" x14ac:dyDescent="0.25"/>
  <cols>
    <col min="1" max="1" width="2.7109375" customWidth="1"/>
    <col min="2" max="2" width="63.7109375" customWidth="1"/>
    <col min="3" max="3" width="12.5703125" customWidth="1"/>
    <col min="4" max="5" width="12.7109375" customWidth="1"/>
    <col min="6" max="6" width="3.7109375" customWidth="1"/>
    <col min="7" max="7" width="20.42578125" customWidth="1"/>
    <col min="8" max="8" width="57.140625" customWidth="1"/>
    <col min="9" max="9" width="20.7109375" customWidth="1"/>
  </cols>
  <sheetData>
    <row r="1" spans="2:5" ht="20.25" thickBot="1" x14ac:dyDescent="0.35">
      <c r="B1" s="6" t="s">
        <v>115</v>
      </c>
    </row>
    <row r="2" spans="2:5" ht="15.75" thickTop="1" x14ac:dyDescent="0.25">
      <c r="B2" s="7" t="s">
        <v>70</v>
      </c>
    </row>
    <row r="3" spans="2:5" x14ac:dyDescent="0.25">
      <c r="C3" s="73" t="s">
        <v>74</v>
      </c>
      <c r="D3" s="73"/>
      <c r="E3" s="73"/>
    </row>
    <row r="4" spans="2:5" x14ac:dyDescent="0.25">
      <c r="B4" s="9" t="e" vm="1">
        <v>#VALUE!</v>
      </c>
      <c r="C4" s="11" t="s">
        <v>71</v>
      </c>
      <c r="D4" s="11" t="s">
        <v>73</v>
      </c>
      <c r="E4" s="10" t="s">
        <v>72</v>
      </c>
    </row>
    <row r="5" spans="2:5" ht="21" x14ac:dyDescent="0.35">
      <c r="B5" s="31" t="s">
        <v>120</v>
      </c>
    </row>
    <row r="6" spans="2:5" x14ac:dyDescent="0.25">
      <c r="B6" s="29" t="s">
        <v>124</v>
      </c>
      <c r="C6" s="1"/>
    </row>
    <row r="7" spans="2:5" x14ac:dyDescent="0.25">
      <c r="B7" s="38" t="s">
        <v>134</v>
      </c>
      <c r="C7" s="37">
        <v>-13395.1</v>
      </c>
      <c r="D7" s="37">
        <v>-11308.76</v>
      </c>
      <c r="E7" s="37">
        <v>2689.87</v>
      </c>
    </row>
    <row r="8" spans="2:5" x14ac:dyDescent="0.25">
      <c r="B8" t="s">
        <v>144</v>
      </c>
      <c r="C8">
        <v>0</v>
      </c>
      <c r="D8">
        <v>0</v>
      </c>
      <c r="E8">
        <v>0</v>
      </c>
    </row>
    <row r="9" spans="2:5" x14ac:dyDescent="0.25">
      <c r="B9" s="4" t="s">
        <v>145</v>
      </c>
      <c r="C9">
        <v>23546.71</v>
      </c>
      <c r="D9">
        <v>24835.69</v>
      </c>
      <c r="E9">
        <v>24860.36</v>
      </c>
    </row>
    <row r="10" spans="2:5" x14ac:dyDescent="0.25">
      <c r="B10" s="4" t="s">
        <v>146</v>
      </c>
      <c r="C10">
        <v>957.93</v>
      </c>
      <c r="D10">
        <v>1307.5899999999999</v>
      </c>
      <c r="E10">
        <v>2039.15</v>
      </c>
    </row>
    <row r="11" spans="2:5" x14ac:dyDescent="0.25">
      <c r="B11" s="4" t="s">
        <v>61</v>
      </c>
      <c r="C11">
        <v>50.01</v>
      </c>
      <c r="D11">
        <v>0</v>
      </c>
      <c r="E11">
        <v>80.63</v>
      </c>
    </row>
    <row r="12" spans="2:5" x14ac:dyDescent="0.25">
      <c r="B12" s="4" t="s">
        <v>147</v>
      </c>
      <c r="C12">
        <v>129.19</v>
      </c>
      <c r="D12">
        <v>0</v>
      </c>
      <c r="E12">
        <v>723.21</v>
      </c>
    </row>
    <row r="13" spans="2:5" x14ac:dyDescent="0.25">
      <c r="B13" s="4" t="s">
        <v>148</v>
      </c>
      <c r="C13">
        <v>-51.99</v>
      </c>
      <c r="D13">
        <v>-3.32</v>
      </c>
      <c r="E13">
        <v>0</v>
      </c>
    </row>
    <row r="14" spans="2:5" x14ac:dyDescent="0.25">
      <c r="B14" s="4" t="s">
        <v>62</v>
      </c>
      <c r="C14">
        <v>0</v>
      </c>
      <c r="D14">
        <v>0</v>
      </c>
      <c r="E14">
        <v>-140.76</v>
      </c>
    </row>
    <row r="15" spans="2:5" x14ac:dyDescent="0.25">
      <c r="B15" s="4" t="s">
        <v>149</v>
      </c>
      <c r="C15">
        <v>114</v>
      </c>
      <c r="D15">
        <v>0</v>
      </c>
      <c r="E15">
        <v>229.95</v>
      </c>
    </row>
    <row r="16" spans="2:5" x14ac:dyDescent="0.25">
      <c r="B16" s="4" t="s">
        <v>150</v>
      </c>
      <c r="C16">
        <v>14994.3</v>
      </c>
      <c r="D16">
        <v>0</v>
      </c>
      <c r="E16">
        <v>0</v>
      </c>
    </row>
    <row r="17" spans="2:8" x14ac:dyDescent="0.25">
      <c r="B17" s="4" t="s">
        <v>151</v>
      </c>
      <c r="C17">
        <v>0</v>
      </c>
      <c r="D17">
        <v>-104.42</v>
      </c>
      <c r="E17">
        <v>-214.39</v>
      </c>
    </row>
    <row r="18" spans="2:8" x14ac:dyDescent="0.25">
      <c r="B18" s="4" t="s">
        <v>152</v>
      </c>
      <c r="C18">
        <v>-1182.4100000000001</v>
      </c>
      <c r="D18">
        <v>0</v>
      </c>
      <c r="E18">
        <v>0</v>
      </c>
    </row>
    <row r="19" spans="2:8" x14ac:dyDescent="0.25">
      <c r="B19" s="4" t="s">
        <v>153</v>
      </c>
      <c r="C19">
        <v>-663</v>
      </c>
      <c r="D19">
        <v>0</v>
      </c>
      <c r="E19">
        <v>-61.03</v>
      </c>
    </row>
    <row r="20" spans="2:8" x14ac:dyDescent="0.25">
      <c r="B20" s="4" t="s">
        <v>154</v>
      </c>
      <c r="C20">
        <v>84.81</v>
      </c>
      <c r="D20">
        <v>0</v>
      </c>
      <c r="E20">
        <v>-1495.07</v>
      </c>
    </row>
    <row r="21" spans="2:8" x14ac:dyDescent="0.25">
      <c r="B21" s="4" t="s">
        <v>63</v>
      </c>
      <c r="C21">
        <v>0</v>
      </c>
      <c r="D21">
        <v>0</v>
      </c>
      <c r="E21">
        <v>-61.99</v>
      </c>
    </row>
    <row r="22" spans="2:8" x14ac:dyDescent="0.25">
      <c r="B22" s="4" t="s">
        <v>155</v>
      </c>
      <c r="C22">
        <v>430.76</v>
      </c>
      <c r="D22">
        <v>0</v>
      </c>
      <c r="E22">
        <v>0</v>
      </c>
    </row>
    <row r="23" spans="2:8" x14ac:dyDescent="0.25">
      <c r="B23" s="4" t="s">
        <v>156</v>
      </c>
      <c r="C23">
        <v>9.0399999999999991</v>
      </c>
      <c r="D23">
        <v>18.05</v>
      </c>
      <c r="E23">
        <v>30.03</v>
      </c>
    </row>
    <row r="24" spans="2:8" x14ac:dyDescent="0.25">
      <c r="B24" s="4" t="s">
        <v>157</v>
      </c>
      <c r="C24">
        <v>-19.91</v>
      </c>
      <c r="D24">
        <v>0</v>
      </c>
      <c r="E24">
        <v>-93.27</v>
      </c>
    </row>
    <row r="25" spans="2:8" x14ac:dyDescent="0.25">
      <c r="B25" s="4" t="s">
        <v>158</v>
      </c>
      <c r="C25">
        <v>265.58999999999997</v>
      </c>
      <c r="D25">
        <v>94.19</v>
      </c>
      <c r="E25">
        <v>354.96</v>
      </c>
    </row>
    <row r="26" spans="2:8" x14ac:dyDescent="0.25">
      <c r="B26" s="4" t="s">
        <v>159</v>
      </c>
      <c r="C26">
        <v>-177.26</v>
      </c>
      <c r="D26">
        <v>-266.56</v>
      </c>
      <c r="E26">
        <v>-303.44400000000002</v>
      </c>
    </row>
    <row r="27" spans="2:8" x14ac:dyDescent="0.25">
      <c r="B27" s="4" t="s">
        <v>160</v>
      </c>
      <c r="C27">
        <v>0</v>
      </c>
      <c r="D27">
        <v>0</v>
      </c>
      <c r="E27">
        <v>0</v>
      </c>
    </row>
    <row r="28" spans="2:8" x14ac:dyDescent="0.25">
      <c r="B28" s="4" t="s">
        <v>161</v>
      </c>
      <c r="C28">
        <v>378.96</v>
      </c>
      <c r="D28">
        <v>74.06</v>
      </c>
      <c r="E28">
        <v>-336.38</v>
      </c>
    </row>
    <row r="29" spans="2:8" x14ac:dyDescent="0.25">
      <c r="B29" s="4" t="s">
        <v>162</v>
      </c>
      <c r="C29">
        <v>2541.86</v>
      </c>
      <c r="D29">
        <v>4231.29</v>
      </c>
      <c r="E29">
        <v>704.06</v>
      </c>
    </row>
    <row r="30" spans="2:8" x14ac:dyDescent="0.25">
      <c r="B30" s="4" t="s">
        <v>163</v>
      </c>
      <c r="C30">
        <v>8097.17</v>
      </c>
      <c r="D30">
        <v>9326.31</v>
      </c>
      <c r="E30">
        <v>10239.23</v>
      </c>
      <c r="H30" s="1"/>
    </row>
    <row r="31" spans="2:8" x14ac:dyDescent="0.25">
      <c r="B31" s="4" t="s">
        <v>164</v>
      </c>
      <c r="C31">
        <v>-492.53</v>
      </c>
      <c r="D31">
        <v>-625.22</v>
      </c>
      <c r="E31">
        <v>-1251.18</v>
      </c>
    </row>
    <row r="32" spans="2:8" x14ac:dyDescent="0.25">
      <c r="B32" s="4" t="s">
        <v>165</v>
      </c>
      <c r="C32">
        <v>-18.37</v>
      </c>
      <c r="D32">
        <v>-34.22</v>
      </c>
      <c r="E32">
        <v>-46.42</v>
      </c>
    </row>
    <row r="33" spans="2:9" x14ac:dyDescent="0.25">
      <c r="B33" s="4" t="s">
        <v>166</v>
      </c>
      <c r="C33">
        <v>-4402.12</v>
      </c>
      <c r="D33">
        <v>-878.51</v>
      </c>
      <c r="E33">
        <v>3746.61</v>
      </c>
    </row>
    <row r="34" spans="2:9" x14ac:dyDescent="0.25">
      <c r="B34" s="4" t="s">
        <v>133</v>
      </c>
      <c r="C34" s="12">
        <f>SUM(C7:C33)</f>
        <v>31197.640000000003</v>
      </c>
      <c r="D34" s="12">
        <f t="shared" ref="D34:E34" si="0">SUM(D7:D33)</f>
        <v>26666.169999999995</v>
      </c>
      <c r="E34" s="12">
        <f t="shared" si="0"/>
        <v>41694.126000000004</v>
      </c>
    </row>
    <row r="35" spans="2:9" x14ac:dyDescent="0.25">
      <c r="B35" s="35" t="s">
        <v>125</v>
      </c>
      <c r="C35" s="1"/>
      <c r="D35" s="1"/>
      <c r="E35" s="1"/>
      <c r="F35" s="1"/>
      <c r="G35" s="1"/>
      <c r="H35" s="1"/>
    </row>
    <row r="36" spans="2:9" x14ac:dyDescent="0.25">
      <c r="B36" s="4" t="s">
        <v>167</v>
      </c>
      <c r="C36" s="36">
        <v>-4386.9399999999996</v>
      </c>
      <c r="D36" s="36">
        <v>-75.63</v>
      </c>
      <c r="E36" s="36">
        <v>617.45000000000005</v>
      </c>
    </row>
    <row r="37" spans="2:9" x14ac:dyDescent="0.25">
      <c r="B37" s="4" t="s">
        <v>168</v>
      </c>
      <c r="C37" s="36">
        <v>-1118.3499999999999</v>
      </c>
      <c r="D37" s="36">
        <v>412.34</v>
      </c>
      <c r="E37" s="36">
        <v>-2830.1</v>
      </c>
    </row>
    <row r="38" spans="2:9" x14ac:dyDescent="0.25">
      <c r="B38" s="4" t="s">
        <v>126</v>
      </c>
      <c r="C38" s="12">
        <f>SUM(C36:C37)</f>
        <v>-5505.2899999999991</v>
      </c>
      <c r="D38" s="12">
        <f t="shared" ref="D38:E38" si="1">SUM(D36:D37)</f>
        <v>336.71</v>
      </c>
      <c r="E38" s="12">
        <f t="shared" si="1"/>
        <v>-2212.6499999999996</v>
      </c>
      <c r="G38" s="39"/>
      <c r="H38" s="39"/>
      <c r="I38" s="39"/>
    </row>
    <row r="39" spans="2:9" x14ac:dyDescent="0.25">
      <c r="B39" s="15" t="s">
        <v>127</v>
      </c>
      <c r="G39" s="41"/>
    </row>
    <row r="40" spans="2:9" x14ac:dyDescent="0.25">
      <c r="B40" s="4" t="s">
        <v>16</v>
      </c>
      <c r="C40" s="36">
        <v>3814.5</v>
      </c>
      <c r="D40" s="36">
        <v>597.4</v>
      </c>
      <c r="E40" s="36">
        <v>-5665.36</v>
      </c>
      <c r="G40" s="41"/>
    </row>
    <row r="41" spans="2:9" x14ac:dyDescent="0.25">
      <c r="B41" s="4" t="s">
        <v>128</v>
      </c>
      <c r="C41" s="12">
        <f>SUM(C40)</f>
        <v>3814.5</v>
      </c>
      <c r="D41" s="12">
        <f t="shared" ref="D41:E41" si="2">SUM(D40)</f>
        <v>597.4</v>
      </c>
      <c r="E41" s="12">
        <f t="shared" si="2"/>
        <v>-5665.36</v>
      </c>
      <c r="G41" s="42"/>
    </row>
    <row r="42" spans="2:9" x14ac:dyDescent="0.25">
      <c r="B42" s="15" t="s">
        <v>129</v>
      </c>
      <c r="G42" s="41"/>
    </row>
    <row r="43" spans="2:9" x14ac:dyDescent="0.25">
      <c r="B43" s="4" t="s">
        <v>169</v>
      </c>
      <c r="C43">
        <v>5748.15</v>
      </c>
      <c r="D43">
        <v>-7011.86</v>
      </c>
      <c r="E43">
        <v>6944.85</v>
      </c>
      <c r="G43" s="41"/>
    </row>
    <row r="44" spans="2:9" x14ac:dyDescent="0.25">
      <c r="B44" s="4" t="s">
        <v>130</v>
      </c>
      <c r="C44" s="12">
        <f>SUM(C43)</f>
        <v>5748.15</v>
      </c>
      <c r="D44" s="12">
        <f t="shared" ref="D44:E44" si="3">SUM(D43)</f>
        <v>-7011.86</v>
      </c>
      <c r="E44" s="12">
        <f t="shared" si="3"/>
        <v>6944.85</v>
      </c>
      <c r="G44" s="40"/>
    </row>
    <row r="45" spans="2:9" x14ac:dyDescent="0.25">
      <c r="B45" s="15" t="s">
        <v>131</v>
      </c>
      <c r="C45" s="1"/>
      <c r="D45" s="1"/>
      <c r="E45" s="1"/>
      <c r="F45" s="1"/>
      <c r="G45" s="1"/>
      <c r="H45" s="1"/>
    </row>
    <row r="46" spans="2:9" x14ac:dyDescent="0.25">
      <c r="B46" s="4" t="s">
        <v>135</v>
      </c>
      <c r="C46">
        <v>-1308.92</v>
      </c>
      <c r="D46">
        <v>129.26</v>
      </c>
      <c r="E46">
        <v>-736.04</v>
      </c>
      <c r="F46" s="1"/>
      <c r="G46" s="1"/>
      <c r="H46" s="1"/>
    </row>
    <row r="47" spans="2:9" x14ac:dyDescent="0.25">
      <c r="B47" s="4" t="s">
        <v>139</v>
      </c>
      <c r="C47" s="12">
        <f>SUM(C46)</f>
        <v>-1308.92</v>
      </c>
      <c r="D47" s="12">
        <f t="shared" ref="D47:E47" si="4">SUM(D46)</f>
        <v>129.26</v>
      </c>
      <c r="E47" s="12">
        <f t="shared" si="4"/>
        <v>-736.04</v>
      </c>
      <c r="F47" s="1"/>
      <c r="G47" s="1"/>
      <c r="H47" s="1"/>
    </row>
    <row r="48" spans="2:9" x14ac:dyDescent="0.25">
      <c r="B48" s="15" t="s">
        <v>132</v>
      </c>
      <c r="C48" s="1"/>
      <c r="D48" s="1"/>
      <c r="E48" s="1"/>
      <c r="F48" s="1"/>
      <c r="G48" s="1"/>
      <c r="H48" s="1"/>
    </row>
    <row r="49" spans="2:8" x14ac:dyDescent="0.25">
      <c r="B49" s="4" t="s">
        <v>170</v>
      </c>
      <c r="C49">
        <v>3853.53</v>
      </c>
      <c r="D49">
        <v>-5312.17</v>
      </c>
      <c r="E49">
        <v>-3182.09</v>
      </c>
      <c r="F49" s="1"/>
      <c r="G49" s="1"/>
      <c r="H49" s="1"/>
    </row>
    <row r="50" spans="2:8" x14ac:dyDescent="0.25">
      <c r="B50" s="4" t="s">
        <v>136</v>
      </c>
      <c r="C50">
        <v>2217.87</v>
      </c>
      <c r="D50">
        <v>-3065.37</v>
      </c>
      <c r="E50">
        <v>537.16</v>
      </c>
      <c r="F50" s="1"/>
      <c r="G50" s="1"/>
      <c r="H50" s="1"/>
    </row>
    <row r="51" spans="2:8" x14ac:dyDescent="0.25">
      <c r="B51" s="4" t="s">
        <v>137</v>
      </c>
      <c r="C51">
        <v>-1168.3900000000001</v>
      </c>
      <c r="D51">
        <v>-178.55</v>
      </c>
      <c r="E51">
        <v>706.43</v>
      </c>
      <c r="F51" s="1"/>
      <c r="G51" s="1"/>
      <c r="H51" s="1"/>
    </row>
    <row r="52" spans="2:8" x14ac:dyDescent="0.25">
      <c r="B52" s="4" t="s">
        <v>96</v>
      </c>
      <c r="C52">
        <v>-7744.02</v>
      </c>
      <c r="D52">
        <v>4030.88</v>
      </c>
      <c r="E52">
        <v>480.57</v>
      </c>
      <c r="F52" s="1"/>
      <c r="G52" s="1"/>
      <c r="H52" s="1"/>
    </row>
    <row r="53" spans="2:8" x14ac:dyDescent="0.25">
      <c r="B53" s="4" t="s">
        <v>138</v>
      </c>
      <c r="C53">
        <v>-2104.56</v>
      </c>
      <c r="D53">
        <v>-1909.64</v>
      </c>
      <c r="E53">
        <v>-3178.99</v>
      </c>
      <c r="F53" s="1"/>
      <c r="G53" s="1"/>
      <c r="H53" s="1"/>
    </row>
    <row r="54" spans="2:8" x14ac:dyDescent="0.25">
      <c r="B54" s="4" t="s">
        <v>140</v>
      </c>
      <c r="C54" s="20">
        <f>SUM(C49:C53)</f>
        <v>-4945.5700000000015</v>
      </c>
      <c r="D54" s="20">
        <f t="shared" ref="D54:E54" si="5">SUM(D49:D53)</f>
        <v>-6434.85</v>
      </c>
      <c r="E54" s="20">
        <f t="shared" si="5"/>
        <v>-4636.92</v>
      </c>
      <c r="F54" s="1"/>
      <c r="G54" s="1"/>
      <c r="H54" s="1"/>
    </row>
    <row r="55" spans="2:8" x14ac:dyDescent="0.25">
      <c r="B55" s="32" t="s">
        <v>119</v>
      </c>
      <c r="C55" s="20">
        <f>C34+C38+C41+C44+C47+C54</f>
        <v>29000.510000000009</v>
      </c>
      <c r="D55" s="20">
        <f t="shared" ref="D55:E55" si="6">D34+D38+D41+D44+D47+D54</f>
        <v>14282.829999999993</v>
      </c>
      <c r="E55" s="20">
        <f t="shared" si="6"/>
        <v>35388.006000000001</v>
      </c>
      <c r="F55" s="1"/>
      <c r="G55" s="1"/>
      <c r="H55" s="1"/>
    </row>
    <row r="56" spans="2:8" ht="21" x14ac:dyDescent="0.35">
      <c r="B56" s="33" t="s">
        <v>121</v>
      </c>
    </row>
    <row r="57" spans="2:8" x14ac:dyDescent="0.25">
      <c r="B57" s="4" t="s">
        <v>25</v>
      </c>
      <c r="C57">
        <v>-11775.65</v>
      </c>
      <c r="D57">
        <v>-9039.4</v>
      </c>
      <c r="E57">
        <v>-8492.6299999999992</v>
      </c>
    </row>
    <row r="58" spans="2:8" x14ac:dyDescent="0.25">
      <c r="B58" s="4" t="s">
        <v>26</v>
      </c>
      <c r="C58">
        <v>-8429.75</v>
      </c>
      <c r="D58">
        <v>-6129.02</v>
      </c>
      <c r="E58">
        <v>-9603.0499999999993</v>
      </c>
    </row>
    <row r="59" spans="2:8" x14ac:dyDescent="0.25">
      <c r="B59" s="4" t="s">
        <v>27</v>
      </c>
      <c r="C59">
        <v>350.58</v>
      </c>
      <c r="D59">
        <v>230.1</v>
      </c>
      <c r="E59">
        <v>285.02999999999997</v>
      </c>
    </row>
    <row r="60" spans="2:8" x14ac:dyDescent="0.25">
      <c r="B60" s="4" t="s">
        <v>64</v>
      </c>
      <c r="E60">
        <v>-836.29</v>
      </c>
    </row>
    <row r="61" spans="2:8" x14ac:dyDescent="0.25">
      <c r="B61" s="4" t="s">
        <v>28</v>
      </c>
      <c r="C61">
        <v>-7432.85</v>
      </c>
      <c r="D61">
        <v>-2968.54</v>
      </c>
      <c r="E61">
        <v>3963.25</v>
      </c>
    </row>
    <row r="62" spans="2:8" x14ac:dyDescent="0.25">
      <c r="B62" s="5" t="s">
        <v>65</v>
      </c>
      <c r="D62">
        <v>-98.45</v>
      </c>
      <c r="E62">
        <v>19.37</v>
      </c>
    </row>
    <row r="63" spans="2:8" x14ac:dyDescent="0.25">
      <c r="B63" s="4" t="s">
        <v>29</v>
      </c>
      <c r="C63">
        <v>-9.9</v>
      </c>
    </row>
    <row r="64" spans="2:8" x14ac:dyDescent="0.25">
      <c r="B64" s="4" t="s">
        <v>57</v>
      </c>
      <c r="D64">
        <v>-1228.21</v>
      </c>
      <c r="E64">
        <v>-2839.87</v>
      </c>
    </row>
    <row r="65" spans="2:7" x14ac:dyDescent="0.25">
      <c r="B65" s="4" t="s">
        <v>30</v>
      </c>
      <c r="C65">
        <v>-97.3</v>
      </c>
      <c r="D65">
        <v>-39.71</v>
      </c>
      <c r="E65">
        <v>-50</v>
      </c>
    </row>
    <row r="66" spans="2:7" x14ac:dyDescent="0.25">
      <c r="B66" s="4" t="s">
        <v>31</v>
      </c>
    </row>
    <row r="67" spans="2:7" x14ac:dyDescent="0.25">
      <c r="B67" s="4" t="s">
        <v>32</v>
      </c>
    </row>
    <row r="68" spans="2:7" x14ac:dyDescent="0.25">
      <c r="B68" s="4" t="s">
        <v>33</v>
      </c>
      <c r="C68">
        <v>225.82</v>
      </c>
      <c r="D68">
        <v>103.55</v>
      </c>
      <c r="E68">
        <v>59.33</v>
      </c>
    </row>
    <row r="69" spans="2:7" x14ac:dyDescent="0.25">
      <c r="B69" s="4" t="s">
        <v>66</v>
      </c>
      <c r="E69">
        <v>2872.88</v>
      </c>
    </row>
    <row r="70" spans="2:7" x14ac:dyDescent="0.25">
      <c r="B70" s="4" t="s">
        <v>58</v>
      </c>
      <c r="D70">
        <v>234.09</v>
      </c>
    </row>
    <row r="71" spans="2:7" x14ac:dyDescent="0.25">
      <c r="B71" s="4" t="s">
        <v>34</v>
      </c>
      <c r="C71">
        <v>427.51</v>
      </c>
      <c r="D71">
        <v>652.94000000000005</v>
      </c>
      <c r="E71">
        <v>973.44</v>
      </c>
    </row>
    <row r="72" spans="2:7" x14ac:dyDescent="0.25">
      <c r="B72" s="4" t="s">
        <v>67</v>
      </c>
      <c r="E72">
        <v>-298.2</v>
      </c>
    </row>
    <row r="73" spans="2:7" x14ac:dyDescent="0.25">
      <c r="B73" s="4" t="s">
        <v>35</v>
      </c>
      <c r="C73">
        <v>18.37</v>
      </c>
      <c r="D73">
        <v>32.01</v>
      </c>
      <c r="E73">
        <v>46.42</v>
      </c>
    </row>
    <row r="74" spans="2:7" x14ac:dyDescent="0.25">
      <c r="B74" s="4" t="s">
        <v>36</v>
      </c>
      <c r="C74">
        <v>1.51</v>
      </c>
      <c r="E74">
        <v>21.69</v>
      </c>
    </row>
    <row r="75" spans="2:7" x14ac:dyDescent="0.25">
      <c r="B75" s="4" t="s">
        <v>37</v>
      </c>
      <c r="C75">
        <v>-1000</v>
      </c>
      <c r="D75">
        <v>-600</v>
      </c>
      <c r="E75">
        <v>-2169.5700000000002</v>
      </c>
    </row>
    <row r="76" spans="2:7" x14ac:dyDescent="0.25">
      <c r="B76" s="4" t="s">
        <v>38</v>
      </c>
      <c r="C76">
        <v>750</v>
      </c>
      <c r="D76">
        <v>1300</v>
      </c>
      <c r="E76">
        <v>1469.59</v>
      </c>
    </row>
    <row r="77" spans="2:7" x14ac:dyDescent="0.25">
      <c r="B77" s="4" t="s">
        <v>39</v>
      </c>
      <c r="C77">
        <v>-38243.269999999997</v>
      </c>
      <c r="D77">
        <v>-13203.08</v>
      </c>
      <c r="E77">
        <v>-17723.34</v>
      </c>
    </row>
    <row r="78" spans="2:7" x14ac:dyDescent="0.25">
      <c r="B78" s="4" t="s">
        <v>40</v>
      </c>
      <c r="C78">
        <v>39088.68</v>
      </c>
      <c r="D78">
        <v>25978.6</v>
      </c>
      <c r="E78">
        <v>15497.79</v>
      </c>
      <c r="G78" s="1"/>
    </row>
    <row r="79" spans="2:7" x14ac:dyDescent="0.25">
      <c r="B79" s="4" t="s">
        <v>41</v>
      </c>
    </row>
    <row r="80" spans="2:7" x14ac:dyDescent="0.25">
      <c r="B80" s="34" t="s">
        <v>122</v>
      </c>
      <c r="C80" s="20">
        <f>SUM(C57:C79)</f>
        <v>-26126.25</v>
      </c>
      <c r="D80" s="20">
        <f t="shared" ref="D80:E80" si="7">SUM(D57:D79)</f>
        <v>-4775.1200000000026</v>
      </c>
      <c r="E80" s="20">
        <f t="shared" si="7"/>
        <v>-16804.159999999996</v>
      </c>
      <c r="F80" s="1"/>
    </row>
    <row r="81" spans="2:5" ht="21" x14ac:dyDescent="0.35">
      <c r="B81" s="3" t="s">
        <v>60</v>
      </c>
    </row>
    <row r="82" spans="2:5" x14ac:dyDescent="0.25">
      <c r="B82" s="4" t="s">
        <v>42</v>
      </c>
      <c r="C82">
        <v>2602.5100000000002</v>
      </c>
      <c r="D82">
        <v>18.59</v>
      </c>
      <c r="E82">
        <v>19.600000000000001</v>
      </c>
    </row>
    <row r="83" spans="2:5" x14ac:dyDescent="0.25">
      <c r="B83" s="4" t="s">
        <v>59</v>
      </c>
      <c r="D83">
        <v>3750</v>
      </c>
      <c r="E83">
        <v>3750</v>
      </c>
    </row>
    <row r="84" spans="2:5" x14ac:dyDescent="0.25">
      <c r="B84" s="4" t="s">
        <v>68</v>
      </c>
      <c r="E84">
        <v>-295.92</v>
      </c>
    </row>
    <row r="85" spans="2:5" x14ac:dyDescent="0.25">
      <c r="B85" s="4" t="s">
        <v>69</v>
      </c>
      <c r="E85">
        <v>-99.5</v>
      </c>
    </row>
    <row r="86" spans="2:5" x14ac:dyDescent="0.25">
      <c r="B86" s="4" t="s">
        <v>43</v>
      </c>
      <c r="C86">
        <v>29642.36</v>
      </c>
      <c r="D86">
        <v>31308.62</v>
      </c>
      <c r="E86">
        <v>16315.06</v>
      </c>
    </row>
    <row r="87" spans="2:5" x14ac:dyDescent="0.25">
      <c r="B87" s="4" t="s">
        <v>44</v>
      </c>
      <c r="C87">
        <v>-18629.61</v>
      </c>
      <c r="D87">
        <v>-23355.8</v>
      </c>
      <c r="E87">
        <v>-31559.46</v>
      </c>
    </row>
    <row r="88" spans="2:5" x14ac:dyDescent="0.25">
      <c r="B88" s="4" t="s">
        <v>45</v>
      </c>
      <c r="C88">
        <v>35.01</v>
      </c>
      <c r="D88">
        <v>-97.77</v>
      </c>
      <c r="E88">
        <v>-106.51</v>
      </c>
    </row>
    <row r="89" spans="2:5" x14ac:dyDescent="0.25">
      <c r="B89" s="4" t="s">
        <v>46</v>
      </c>
      <c r="C89">
        <v>-0.48</v>
      </c>
    </row>
    <row r="90" spans="2:5" x14ac:dyDescent="0.25">
      <c r="B90" s="4" t="s">
        <v>47</v>
      </c>
      <c r="C90">
        <v>20807.150000000001</v>
      </c>
      <c r="D90">
        <v>16866.240000000002</v>
      </c>
      <c r="E90">
        <v>28125.45</v>
      </c>
    </row>
    <row r="91" spans="2:5" x14ac:dyDescent="0.25">
      <c r="B91" s="4" t="s">
        <v>48</v>
      </c>
      <c r="C91">
        <v>-11078.93</v>
      </c>
      <c r="D91">
        <v>-19460.45</v>
      </c>
      <c r="E91">
        <v>-30997.82</v>
      </c>
    </row>
    <row r="92" spans="2:5" x14ac:dyDescent="0.25">
      <c r="B92" s="4" t="s">
        <v>49</v>
      </c>
      <c r="C92">
        <v>-4544.2700000000004</v>
      </c>
      <c r="D92">
        <v>-1975.59</v>
      </c>
      <c r="E92">
        <v>-753.73</v>
      </c>
    </row>
    <row r="93" spans="2:5" x14ac:dyDescent="0.25">
      <c r="B93" s="4" t="s">
        <v>50</v>
      </c>
      <c r="C93">
        <v>-1477.28</v>
      </c>
      <c r="D93">
        <v>-1558.95</v>
      </c>
      <c r="E93">
        <v>-1516.61</v>
      </c>
    </row>
    <row r="94" spans="2:5" x14ac:dyDescent="0.25">
      <c r="B94" s="4" t="s">
        <v>51</v>
      </c>
      <c r="C94">
        <v>-28.75</v>
      </c>
      <c r="D94">
        <v>-98.39</v>
      </c>
      <c r="E94">
        <v>-140.88</v>
      </c>
    </row>
    <row r="95" spans="2:5" x14ac:dyDescent="0.25">
      <c r="B95" s="4" t="s">
        <v>52</v>
      </c>
      <c r="C95">
        <v>0.24</v>
      </c>
    </row>
    <row r="96" spans="2:5" x14ac:dyDescent="0.25">
      <c r="B96" s="4" t="s">
        <v>53</v>
      </c>
      <c r="C96">
        <v>-1.56</v>
      </c>
      <c r="D96">
        <v>-1.53</v>
      </c>
    </row>
    <row r="97" spans="2:9" x14ac:dyDescent="0.25">
      <c r="B97" s="4" t="s">
        <v>54</v>
      </c>
      <c r="C97">
        <v>700.75</v>
      </c>
      <c r="D97">
        <v>476.28</v>
      </c>
      <c r="E97">
        <v>353.38</v>
      </c>
    </row>
    <row r="98" spans="2:9" ht="18" x14ac:dyDescent="0.35">
      <c r="B98" s="4" t="s">
        <v>55</v>
      </c>
      <c r="C98">
        <v>-8122.94</v>
      </c>
      <c r="D98">
        <v>-9251.42</v>
      </c>
      <c r="E98">
        <v>-9335.9599999999991</v>
      </c>
    </row>
    <row r="99" spans="2:9" x14ac:dyDescent="0.25">
      <c r="B99" s="34" t="s">
        <v>123</v>
      </c>
      <c r="C99" s="12">
        <f>SUM(C82:C98)</f>
        <v>9904.2000000000044</v>
      </c>
      <c r="D99" s="12">
        <f t="shared" ref="D99:E99" si="8">SUM(D82:D98)</f>
        <v>-3380.17</v>
      </c>
      <c r="E99" s="12">
        <f t="shared" si="8"/>
        <v>-26242.899999999998</v>
      </c>
    </row>
    <row r="100" spans="2:9" ht="19.5" thickBot="1" x14ac:dyDescent="0.35">
      <c r="B100" s="43" t="s">
        <v>141</v>
      </c>
      <c r="C100" s="30">
        <f>C55+C80+C99</f>
        <v>12778.460000000014</v>
      </c>
      <c r="D100" s="30">
        <f t="shared" ref="D100:E100" si="9">D55+D80+D99</f>
        <v>6127.53999999999</v>
      </c>
      <c r="E100" s="30">
        <f t="shared" si="9"/>
        <v>-7659.0539999999928</v>
      </c>
      <c r="G100" s="1"/>
      <c r="H100" s="1"/>
      <c r="I100" s="1"/>
    </row>
    <row r="101" spans="2:9" ht="15.75" thickTop="1" x14ac:dyDescent="0.25">
      <c r="B101" s="26" t="s">
        <v>142</v>
      </c>
      <c r="C101">
        <v>18467.8</v>
      </c>
      <c r="D101" s="1">
        <f>C103</f>
        <v>31700.010000000013</v>
      </c>
      <c r="E101" s="1">
        <f>D103</f>
        <v>38159.01</v>
      </c>
    </row>
    <row r="102" spans="2:9" x14ac:dyDescent="0.25">
      <c r="B102" s="4" t="s">
        <v>56</v>
      </c>
      <c r="C102">
        <v>453.75</v>
      </c>
      <c r="D102">
        <v>331.46</v>
      </c>
      <c r="E102">
        <v>1386.99</v>
      </c>
    </row>
    <row r="103" spans="2:9" x14ac:dyDescent="0.25">
      <c r="B103" s="26" t="s">
        <v>143</v>
      </c>
      <c r="C103" s="1">
        <f>C100+C101+C102</f>
        <v>31700.010000000013</v>
      </c>
      <c r="D103" s="1">
        <f t="shared" ref="D103:E103" si="10">D100+D101+D102</f>
        <v>38159.01</v>
      </c>
      <c r="E103" s="1">
        <f t="shared" si="10"/>
        <v>31886.946000000011</v>
      </c>
      <c r="G103" s="1"/>
      <c r="H103" s="1"/>
      <c r="I103" s="1"/>
    </row>
  </sheetData>
  <mergeCells count="1">
    <mergeCell ref="C3:E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CC45-FC57-4F37-A75A-C8C0859869BE}">
  <dimension ref="B1:S23"/>
  <sheetViews>
    <sheetView showGridLines="0" zoomScale="90" zoomScaleNormal="90" workbookViewId="0">
      <selection activeCell="K22" sqref="K22"/>
    </sheetView>
  </sheetViews>
  <sheetFormatPr defaultRowHeight="15" x14ac:dyDescent="0.25"/>
  <cols>
    <col min="1" max="1" width="1" customWidth="1"/>
    <col min="2" max="2" width="27.5703125" customWidth="1"/>
    <col min="3" max="5" width="14.42578125" customWidth="1"/>
    <col min="6" max="6" width="1.140625" customWidth="1"/>
    <col min="7" max="7" width="11.7109375" customWidth="1"/>
    <col min="8" max="8" width="11" customWidth="1"/>
    <col min="9" max="9" width="1.7109375" customWidth="1"/>
    <col min="10" max="10" width="11.140625" customWidth="1"/>
    <col min="11" max="11" width="12.7109375" customWidth="1"/>
    <col min="12" max="12" width="12" customWidth="1"/>
    <col min="13" max="13" width="1" customWidth="1"/>
    <col min="14" max="14" width="16" customWidth="1"/>
    <col min="15" max="15" width="11" customWidth="1"/>
    <col min="16" max="16" width="13.85546875" customWidth="1"/>
    <col min="17" max="17" width="16.140625" customWidth="1"/>
  </cols>
  <sheetData>
    <row r="1" spans="2:19" ht="20.25" thickBot="1" x14ac:dyDescent="0.35">
      <c r="B1" s="6" t="s">
        <v>111</v>
      </c>
      <c r="D1" s="7" t="s">
        <v>70</v>
      </c>
    </row>
    <row r="2" spans="2:19" ht="15.75" thickTop="1" x14ac:dyDescent="0.25">
      <c r="C2" s="73" t="s">
        <v>74</v>
      </c>
      <c r="D2" s="73"/>
      <c r="E2" s="73"/>
      <c r="G2" s="74" t="s">
        <v>181</v>
      </c>
      <c r="H2" s="74"/>
      <c r="J2" s="74" t="s">
        <v>188</v>
      </c>
      <c r="K2" s="74"/>
      <c r="L2" s="74"/>
      <c r="N2" s="74" t="s">
        <v>182</v>
      </c>
      <c r="O2" s="74"/>
      <c r="P2" s="74"/>
      <c r="Q2" s="74"/>
    </row>
    <row r="3" spans="2:19" x14ac:dyDescent="0.25">
      <c r="B3" t="s">
        <v>278</v>
      </c>
      <c r="C3" s="27" t="s">
        <v>71</v>
      </c>
      <c r="D3" s="27" t="s">
        <v>73</v>
      </c>
      <c r="E3" s="44" t="s">
        <v>72</v>
      </c>
      <c r="G3" s="27" t="s">
        <v>73</v>
      </c>
      <c r="H3" s="44" t="s">
        <v>72</v>
      </c>
      <c r="J3" s="27" t="s">
        <v>71</v>
      </c>
      <c r="K3" s="27" t="s">
        <v>73</v>
      </c>
      <c r="L3" s="44" t="s">
        <v>72</v>
      </c>
      <c r="N3" s="75" t="s">
        <v>174</v>
      </c>
      <c r="O3" s="76"/>
      <c r="P3" s="75" t="s">
        <v>184</v>
      </c>
      <c r="Q3" s="75"/>
    </row>
    <row r="4" spans="2:19" ht="15.75" customHeight="1" x14ac:dyDescent="0.25">
      <c r="B4" s="28" t="s">
        <v>171</v>
      </c>
      <c r="C4" s="24">
        <v>249794.75</v>
      </c>
      <c r="D4" s="24">
        <v>278453.62</v>
      </c>
      <c r="E4" s="24">
        <v>345966.97000000003</v>
      </c>
      <c r="G4" s="45">
        <f t="shared" ref="G4:H6" si="0">(D4-C4)/C4</f>
        <v>0.11472967306158355</v>
      </c>
      <c r="H4" s="45">
        <f t="shared" si="0"/>
        <v>0.24245815155859721</v>
      </c>
      <c r="J4" s="54">
        <f>C4/C$4</f>
        <v>1</v>
      </c>
      <c r="K4" s="54">
        <f t="shared" ref="K4:L4" si="1">D4/D$4</f>
        <v>1</v>
      </c>
      <c r="L4" s="54">
        <f t="shared" si="1"/>
        <v>1</v>
      </c>
      <c r="N4" s="61" t="s">
        <v>175</v>
      </c>
      <c r="O4" s="62">
        <f>(E4/C4)^(1/2)-1</f>
        <v>0.17686234075171869</v>
      </c>
      <c r="P4" s="61" t="s">
        <v>175</v>
      </c>
      <c r="Q4" s="63">
        <f>(((E18+ABS(C18)+1)/(C18+ABS(C18)+1))^(1/2)-1)/100</f>
        <v>1.2583047740980893</v>
      </c>
    </row>
    <row r="5" spans="2:19" ht="15.75" customHeight="1" x14ac:dyDescent="0.25">
      <c r="B5" s="26" t="s">
        <v>179</v>
      </c>
      <c r="C5" s="1">
        <v>158291.51999999999</v>
      </c>
      <c r="D5" s="1">
        <v>180885.81999999998</v>
      </c>
      <c r="E5" s="1">
        <v>226469.64</v>
      </c>
      <c r="G5" s="45">
        <f t="shared" si="0"/>
        <v>0.14273853709914461</v>
      </c>
      <c r="H5" s="45">
        <f t="shared" si="0"/>
        <v>0.25200328030135277</v>
      </c>
      <c r="J5" s="55">
        <f t="shared" ref="J5:J18" si="2">C5/C$4</f>
        <v>0.63368633648225192</v>
      </c>
      <c r="K5" s="55">
        <f t="shared" ref="K5:K18" si="3">D5/D$4</f>
        <v>0.64960843389286871</v>
      </c>
      <c r="L5" s="55">
        <f t="shared" ref="L5:L18" si="4">E5/E$4</f>
        <v>0.65459902140369064</v>
      </c>
      <c r="O5" s="47"/>
      <c r="P5" s="46"/>
    </row>
    <row r="6" spans="2:19" ht="15.75" customHeight="1" x14ac:dyDescent="0.25">
      <c r="B6" s="28" t="s">
        <v>180</v>
      </c>
      <c r="C6" s="24">
        <f>C4-C5</f>
        <v>91503.23000000001</v>
      </c>
      <c r="D6" s="24">
        <f t="shared" ref="D6:E6" si="5">D4-D5</f>
        <v>97567.800000000017</v>
      </c>
      <c r="E6" s="24">
        <f t="shared" si="5"/>
        <v>119497.33000000002</v>
      </c>
      <c r="G6" s="45">
        <f t="shared" si="0"/>
        <v>6.6277113933573786E-2</v>
      </c>
      <c r="H6" s="45">
        <f t="shared" si="0"/>
        <v>0.2247619604008699</v>
      </c>
      <c r="J6" s="55">
        <f t="shared" si="2"/>
        <v>0.36631366351774813</v>
      </c>
      <c r="K6" s="55">
        <f t="shared" si="3"/>
        <v>0.35039156610713129</v>
      </c>
      <c r="L6" s="55">
        <f t="shared" si="4"/>
        <v>0.34540097859630936</v>
      </c>
      <c r="N6" s="51" t="s">
        <v>183</v>
      </c>
      <c r="O6" s="11" t="s">
        <v>71</v>
      </c>
      <c r="P6" s="11" t="s">
        <v>73</v>
      </c>
      <c r="Q6" s="10" t="s">
        <v>72</v>
      </c>
    </row>
    <row r="7" spans="2:19" x14ac:dyDescent="0.25">
      <c r="B7" t="s">
        <v>21</v>
      </c>
      <c r="C7" s="1">
        <v>59215.800000000017</v>
      </c>
      <c r="D7" s="1">
        <v>72847.709999999963</v>
      </c>
      <c r="E7" s="1">
        <v>87577.649999999965</v>
      </c>
      <c r="G7" s="45">
        <f t="shared" ref="G7:G18" si="6">(D7-C7)/C7</f>
        <v>0.23020730953562971</v>
      </c>
      <c r="H7" s="45">
        <f t="shared" ref="H7:H18" si="7">(E7-D7)/D7</f>
        <v>0.20220182624821026</v>
      </c>
      <c r="J7" s="55">
        <f t="shared" si="2"/>
        <v>0.23705782447389315</v>
      </c>
      <c r="K7" s="55">
        <f t="shared" si="3"/>
        <v>0.26161523775485468</v>
      </c>
      <c r="L7" s="55">
        <f t="shared" si="4"/>
        <v>0.25313876061636736</v>
      </c>
      <c r="N7" t="s">
        <v>176</v>
      </c>
      <c r="O7" s="48">
        <f>C6/C4</f>
        <v>0.36631366351774813</v>
      </c>
      <c r="P7" s="48">
        <f t="shared" ref="P7:Q7" si="8">D6/D4</f>
        <v>0.35039156610713129</v>
      </c>
      <c r="Q7" s="48">
        <f t="shared" si="8"/>
        <v>0.34540097859630936</v>
      </c>
    </row>
    <row r="8" spans="2:19" x14ac:dyDescent="0.25">
      <c r="B8" s="25" t="s">
        <v>173</v>
      </c>
      <c r="C8" s="24">
        <f>C6-C7</f>
        <v>32287.429999999993</v>
      </c>
      <c r="D8" s="24">
        <f>D6-D7</f>
        <v>24720.090000000055</v>
      </c>
      <c r="E8" s="24">
        <f>E6-E7</f>
        <v>31919.680000000051</v>
      </c>
      <c r="G8" s="45">
        <f t="shared" si="6"/>
        <v>-0.23437418215076083</v>
      </c>
      <c r="H8" s="45">
        <f t="shared" si="7"/>
        <v>0.29124448980565931</v>
      </c>
      <c r="I8" s="1"/>
      <c r="J8" s="55">
        <f t="shared" si="2"/>
        <v>0.12925583904385499</v>
      </c>
      <c r="K8" s="55">
        <f t="shared" si="3"/>
        <v>8.8776328352276598E-2</v>
      </c>
      <c r="L8" s="55">
        <f t="shared" si="4"/>
        <v>9.2262217979941982E-2</v>
      </c>
      <c r="M8" s="1"/>
      <c r="N8" t="s">
        <v>177</v>
      </c>
      <c r="O8" s="49">
        <f>C8/C4</f>
        <v>0.12925583904385499</v>
      </c>
      <c r="P8" s="49">
        <f>D8/D4</f>
        <v>8.8776328352276598E-2</v>
      </c>
      <c r="Q8" s="49">
        <f>E8/E4</f>
        <v>9.2262217979941982E-2</v>
      </c>
    </row>
    <row r="9" spans="2:19" x14ac:dyDescent="0.25">
      <c r="B9" t="s">
        <v>172</v>
      </c>
      <c r="C9" s="1">
        <v>2643.19</v>
      </c>
      <c r="D9" s="1">
        <v>3053.63</v>
      </c>
      <c r="E9" s="1">
        <v>4633.18</v>
      </c>
      <c r="G9" s="45">
        <f t="shared" si="6"/>
        <v>0.15528206447512288</v>
      </c>
      <c r="H9" s="45">
        <f t="shared" si="7"/>
        <v>0.5172696102671247</v>
      </c>
      <c r="J9" s="55">
        <f t="shared" si="2"/>
        <v>1.0581447368289365E-2</v>
      </c>
      <c r="K9" s="55">
        <f t="shared" si="3"/>
        <v>1.0966386430889281E-2</v>
      </c>
      <c r="L9" s="55">
        <f t="shared" si="4"/>
        <v>1.3391972071784771E-2</v>
      </c>
      <c r="N9" t="s">
        <v>178</v>
      </c>
      <c r="O9" s="50">
        <f>C18/C4</f>
        <v>-5.3624425653461497E-2</v>
      </c>
      <c r="P9" s="50">
        <f>D18/D4</f>
        <v>-4.0612723943039226E-2</v>
      </c>
      <c r="Q9" s="50">
        <f>E18/E4</f>
        <v>7.7749329654216706E-3</v>
      </c>
    </row>
    <row r="10" spans="2:19" x14ac:dyDescent="0.25">
      <c r="B10" t="s">
        <v>113</v>
      </c>
      <c r="C10" s="1">
        <v>13761.019999999999</v>
      </c>
      <c r="D10" s="1">
        <v>629.58000000000004</v>
      </c>
      <c r="E10" s="1">
        <v>-1590.53</v>
      </c>
      <c r="G10" s="45">
        <f t="shared" si="6"/>
        <v>-0.95424903095846092</v>
      </c>
      <c r="H10" s="45">
        <f t="shared" si="7"/>
        <v>-3.5263350169954575</v>
      </c>
      <c r="J10" s="55">
        <f t="shared" si="2"/>
        <v>5.5089308322132463E-2</v>
      </c>
      <c r="K10" s="55">
        <f t="shared" si="3"/>
        <v>2.2609869464078076E-3</v>
      </c>
      <c r="L10" s="55">
        <f t="shared" si="4"/>
        <v>-4.5973463882982811E-3</v>
      </c>
      <c r="N10" t="s">
        <v>189</v>
      </c>
      <c r="O10" s="56">
        <f>C8+C9</f>
        <v>34930.619999999995</v>
      </c>
      <c r="P10" s="56">
        <f t="shared" ref="P10:Q10" si="9">D8+D9</f>
        <v>27773.720000000056</v>
      </c>
      <c r="Q10" s="56">
        <f t="shared" si="9"/>
        <v>36552.860000000052</v>
      </c>
    </row>
    <row r="11" spans="2:19" x14ac:dyDescent="0.25">
      <c r="B11" t="s">
        <v>116</v>
      </c>
      <c r="C11" s="1">
        <v>8097.17</v>
      </c>
      <c r="D11" s="1">
        <v>9311.86</v>
      </c>
      <c r="E11" s="1">
        <v>10225.48</v>
      </c>
      <c r="G11" s="45">
        <f t="shared" si="6"/>
        <v>0.1500141407430004</v>
      </c>
      <c r="H11" s="45">
        <f t="shared" si="7"/>
        <v>9.8113588477489883E-2</v>
      </c>
      <c r="J11" s="55">
        <f t="shared" si="2"/>
        <v>3.2415292955516477E-2</v>
      </c>
      <c r="K11" s="55">
        <f t="shared" si="3"/>
        <v>3.3441332168710897E-2</v>
      </c>
      <c r="L11" s="55">
        <f t="shared" si="4"/>
        <v>2.9556231914277826E-2</v>
      </c>
      <c r="N11" t="s">
        <v>224</v>
      </c>
      <c r="O11" s="59">
        <f>C8*(1-(C16/C13))</f>
        <v>40122.825542204322</v>
      </c>
      <c r="P11" s="59">
        <f t="shared" ref="P11:Q11" si="10">D8*(1-(D16/D13))</f>
        <v>39655.367188698285</v>
      </c>
      <c r="Q11" s="59">
        <f t="shared" si="10"/>
        <v>24569.556567578777</v>
      </c>
    </row>
    <row r="12" spans="2:19" x14ac:dyDescent="0.25">
      <c r="B12" t="s">
        <v>187</v>
      </c>
      <c r="C12" s="1">
        <v>23546.71</v>
      </c>
      <c r="D12" s="1">
        <v>24835.69</v>
      </c>
      <c r="E12" s="1">
        <v>24860.36</v>
      </c>
      <c r="G12" s="45">
        <f t="shared" si="6"/>
        <v>5.4741405487220916E-2</v>
      </c>
      <c r="H12" s="45">
        <f t="shared" si="7"/>
        <v>9.9332855257904624E-4</v>
      </c>
      <c r="J12" s="55">
        <f t="shared" si="2"/>
        <v>9.4264230933596482E-2</v>
      </c>
      <c r="K12" s="55">
        <f t="shared" si="3"/>
        <v>8.9191478279219347E-2</v>
      </c>
      <c r="L12" s="55">
        <f t="shared" si="4"/>
        <v>7.1857611147098807E-2</v>
      </c>
      <c r="O12" s="52"/>
      <c r="P12" s="52"/>
      <c r="Q12" s="52"/>
    </row>
    <row r="13" spans="2:19" x14ac:dyDescent="0.25">
      <c r="B13" s="25" t="s">
        <v>117</v>
      </c>
      <c r="C13" s="24">
        <f>C8+C9-C10-C11-C12</f>
        <v>-10474.280000000001</v>
      </c>
      <c r="D13" s="24">
        <f>D8+D9-D10-D11-D12</f>
        <v>-7003.4099999999453</v>
      </c>
      <c r="E13" s="24">
        <f>E8+E9-E10-E11-E12</f>
        <v>3057.5500000000502</v>
      </c>
      <c r="G13" s="45">
        <f t="shared" si="6"/>
        <v>-0.3313707481564418</v>
      </c>
      <c r="H13" s="45">
        <f t="shared" si="7"/>
        <v>-1.4365801802265001</v>
      </c>
      <c r="J13" s="55">
        <f t="shared" si="2"/>
        <v>-4.1931545799101064E-2</v>
      </c>
      <c r="K13" s="55">
        <f t="shared" si="3"/>
        <v>-2.5151082611172177E-2</v>
      </c>
      <c r="L13" s="55">
        <f t="shared" si="4"/>
        <v>8.8376933786484015E-3</v>
      </c>
      <c r="O13" s="53"/>
      <c r="P13" s="53"/>
      <c r="Q13" s="53"/>
    </row>
    <row r="14" spans="2:19" x14ac:dyDescent="0.25">
      <c r="B14" t="s">
        <v>185</v>
      </c>
      <c r="C14" s="1">
        <v>1710.18</v>
      </c>
      <c r="D14" s="1">
        <v>2669.98</v>
      </c>
      <c r="E14" s="1">
        <v>3258.35</v>
      </c>
      <c r="G14" s="45">
        <f t="shared" si="6"/>
        <v>0.56122747313148313</v>
      </c>
      <c r="H14" s="45">
        <f t="shared" si="7"/>
        <v>0.22036494655390673</v>
      </c>
      <c r="J14" s="55">
        <f t="shared" si="2"/>
        <v>6.8463408458344305E-3</v>
      </c>
      <c r="K14" s="55">
        <f t="shared" si="3"/>
        <v>9.5885986326915053E-3</v>
      </c>
      <c r="L14" s="55">
        <f t="shared" si="4"/>
        <v>9.4180956060632027E-3</v>
      </c>
      <c r="O14" s="48"/>
      <c r="P14" s="48"/>
      <c r="Q14" s="48"/>
    </row>
    <row r="15" spans="2:19" x14ac:dyDescent="0.25">
      <c r="B15" t="s">
        <v>22</v>
      </c>
      <c r="C15" s="1">
        <v>831.68</v>
      </c>
      <c r="D15" s="1">
        <v>1561.31</v>
      </c>
      <c r="E15" s="1">
        <v>-2554.29</v>
      </c>
      <c r="G15" s="45">
        <f t="shared" si="6"/>
        <v>0.87729655636783388</v>
      </c>
      <c r="H15" s="45">
        <f t="shared" si="7"/>
        <v>-2.6359915711806114</v>
      </c>
      <c r="J15" s="55">
        <f t="shared" si="2"/>
        <v>3.3294534813081539E-3</v>
      </c>
      <c r="K15" s="55">
        <f t="shared" si="3"/>
        <v>5.6070738099939224E-3</v>
      </c>
      <c r="L15" s="55">
        <f t="shared" si="4"/>
        <v>-7.3830458439428474E-3</v>
      </c>
      <c r="O15" s="48"/>
      <c r="P15" s="48"/>
      <c r="Q15" s="48"/>
    </row>
    <row r="16" spans="2:19" x14ac:dyDescent="0.25">
      <c r="B16" s="12" t="s">
        <v>23</v>
      </c>
      <c r="C16" s="24">
        <f>C15+C14</f>
        <v>2541.86</v>
      </c>
      <c r="D16" s="24">
        <f t="shared" ref="D16:E16" si="11">D15+D14</f>
        <v>4231.29</v>
      </c>
      <c r="E16" s="24">
        <f t="shared" si="11"/>
        <v>704.06</v>
      </c>
      <c r="G16" s="45">
        <f t="shared" si="6"/>
        <v>0.66464321402437576</v>
      </c>
      <c r="H16" s="45">
        <f t="shared" si="7"/>
        <v>-0.83360629973365097</v>
      </c>
      <c r="J16" s="55">
        <f t="shared" si="2"/>
        <v>1.0175794327142584E-2</v>
      </c>
      <c r="K16" s="55">
        <f t="shared" si="3"/>
        <v>1.5195672442685429E-2</v>
      </c>
      <c r="L16" s="55">
        <f t="shared" si="4"/>
        <v>2.0350497621203548E-3</v>
      </c>
      <c r="O16" s="46"/>
      <c r="P16" s="46"/>
      <c r="Q16" s="46"/>
      <c r="S16" s="46"/>
    </row>
    <row r="17" spans="2:12" x14ac:dyDescent="0.25">
      <c r="B17" s="2" t="s">
        <v>186</v>
      </c>
      <c r="C17" s="1">
        <v>-378.96</v>
      </c>
      <c r="D17" s="1">
        <v>-74.06</v>
      </c>
      <c r="E17" s="1">
        <v>336.38</v>
      </c>
      <c r="G17" s="45">
        <f t="shared" si="6"/>
        <v>-0.80457040320878193</v>
      </c>
      <c r="H17" s="45">
        <f t="shared" si="7"/>
        <v>-5.5419929786659461</v>
      </c>
      <c r="J17" s="55">
        <f t="shared" si="2"/>
        <v>-1.5170855272178458E-3</v>
      </c>
      <c r="K17" s="55">
        <f t="shared" si="3"/>
        <v>-2.6596888918161668E-4</v>
      </c>
      <c r="L17" s="55">
        <f t="shared" si="4"/>
        <v>9.7228934889362405E-4</v>
      </c>
    </row>
    <row r="18" spans="2:12" ht="15.75" thickBot="1" x14ac:dyDescent="0.3">
      <c r="B18" s="16" t="s">
        <v>118</v>
      </c>
      <c r="C18" s="23">
        <f>C13-C16+C17</f>
        <v>-13395.1</v>
      </c>
      <c r="D18" s="23">
        <f>D13-D16+D17</f>
        <v>-11308.759999999946</v>
      </c>
      <c r="E18" s="23">
        <f>E13-E16+E17</f>
        <v>2689.8700000000504</v>
      </c>
      <c r="G18" s="45">
        <f t="shared" si="6"/>
        <v>-0.15575396973520575</v>
      </c>
      <c r="H18" s="45">
        <f t="shared" si="7"/>
        <v>-1.237857200966336</v>
      </c>
      <c r="J18" s="48">
        <f t="shared" si="2"/>
        <v>-5.3624425653461497E-2</v>
      </c>
      <c r="K18" s="48">
        <f t="shared" si="3"/>
        <v>-4.0612723943039226E-2</v>
      </c>
      <c r="L18" s="48">
        <f t="shared" si="4"/>
        <v>7.7749329654216706E-3</v>
      </c>
    </row>
    <row r="19" spans="2:12" ht="15.75" thickTop="1" x14ac:dyDescent="0.25"/>
    <row r="21" spans="2:12" x14ac:dyDescent="0.25">
      <c r="C21" s="1"/>
      <c r="D21" s="1"/>
      <c r="E21" s="1"/>
      <c r="G21" s="46"/>
    </row>
    <row r="22" spans="2:12" x14ac:dyDescent="0.25">
      <c r="C22" s="1"/>
      <c r="D22" s="1"/>
      <c r="E22" s="1"/>
      <c r="H22" s="46"/>
    </row>
    <row r="23" spans="2:12" x14ac:dyDescent="0.25">
      <c r="B23" s="1"/>
    </row>
  </sheetData>
  <mergeCells count="6">
    <mergeCell ref="C2:E2"/>
    <mergeCell ref="G2:H2"/>
    <mergeCell ref="N3:O3"/>
    <mergeCell ref="P3:Q3"/>
    <mergeCell ref="N2:Q2"/>
    <mergeCell ref="J2:L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76303-B6DE-44AB-A7E0-9D2BE981C662}">
  <dimension ref="B1:M51"/>
  <sheetViews>
    <sheetView showGridLines="0" zoomScale="90" zoomScaleNormal="90" workbookViewId="0">
      <selection activeCell="K40" sqref="K40"/>
    </sheetView>
  </sheetViews>
  <sheetFormatPr defaultRowHeight="15" x14ac:dyDescent="0.25"/>
  <cols>
    <col min="1" max="1" width="1.7109375" customWidth="1"/>
    <col min="2" max="2" width="29.28515625" customWidth="1"/>
    <col min="3" max="5" width="11.7109375" customWidth="1"/>
    <col min="6" max="6" width="1" customWidth="1"/>
    <col min="7" max="8" width="11.42578125" customWidth="1"/>
    <col min="9" max="9" width="1.28515625" customWidth="1"/>
    <col min="10" max="10" width="19.85546875" customWidth="1"/>
    <col min="11" max="13" width="19" customWidth="1"/>
    <col min="14" max="14" width="16.7109375" customWidth="1"/>
  </cols>
  <sheetData>
    <row r="1" spans="2:13" ht="20.25" thickBot="1" x14ac:dyDescent="0.35">
      <c r="B1" s="6" t="s">
        <v>0</v>
      </c>
      <c r="D1" s="7" t="s">
        <v>70</v>
      </c>
    </row>
    <row r="2" spans="2:13" ht="15.75" thickTop="1" x14ac:dyDescent="0.25">
      <c r="C2" s="73" t="s">
        <v>74</v>
      </c>
      <c r="D2" s="73"/>
      <c r="E2" s="73"/>
      <c r="G2" s="74" t="s">
        <v>181</v>
      </c>
      <c r="H2" s="74"/>
      <c r="I2" s="44"/>
      <c r="J2" s="74" t="s">
        <v>74</v>
      </c>
      <c r="K2" s="74"/>
      <c r="L2" s="74"/>
      <c r="M2" s="74"/>
    </row>
    <row r="3" spans="2:13" x14ac:dyDescent="0.25">
      <c r="C3" s="11" t="s">
        <v>71</v>
      </c>
      <c r="D3" s="11" t="s">
        <v>73</v>
      </c>
      <c r="E3" s="10" t="s">
        <v>72</v>
      </c>
      <c r="G3" s="11" t="s">
        <v>73</v>
      </c>
      <c r="H3" s="10" t="s">
        <v>72</v>
      </c>
      <c r="I3" s="44"/>
      <c r="K3" s="11" t="s">
        <v>71</v>
      </c>
      <c r="L3" s="11" t="s">
        <v>73</v>
      </c>
      <c r="M3" s="10" t="s">
        <v>72</v>
      </c>
    </row>
    <row r="4" spans="2:13" ht="15" customHeight="1" x14ac:dyDescent="0.25">
      <c r="B4" s="29" t="s">
        <v>190</v>
      </c>
      <c r="J4" t="s">
        <v>210</v>
      </c>
      <c r="K4" s="1">
        <f>C17-C39</f>
        <v>-10861.540000000008</v>
      </c>
      <c r="L4" s="1">
        <f t="shared" ref="L4:M4" si="0">D17-D39</f>
        <v>-3705.2700000000477</v>
      </c>
      <c r="M4" s="1">
        <f t="shared" si="0"/>
        <v>-3498.859999999986</v>
      </c>
    </row>
    <row r="5" spans="2:13" ht="15" customHeight="1" x14ac:dyDescent="0.25">
      <c r="B5" t="s">
        <v>211</v>
      </c>
      <c r="C5" s="1">
        <v>79640.05</v>
      </c>
      <c r="D5" s="1">
        <v>80900.13</v>
      </c>
      <c r="E5" s="1">
        <v>76641.429999999993</v>
      </c>
      <c r="G5" s="48">
        <f>(D5-C5)/C5</f>
        <v>1.5822189965978194E-2</v>
      </c>
      <c r="H5" s="48">
        <f>(E5-D5)/D5</f>
        <v>-5.2641448165781826E-2</v>
      </c>
      <c r="I5" s="48"/>
      <c r="J5" t="s">
        <v>195</v>
      </c>
      <c r="K5" s="1">
        <f>C5+C8</f>
        <v>138707.60999999999</v>
      </c>
      <c r="L5" s="1">
        <f t="shared" ref="L5:M5" si="1">D5+D8</f>
        <v>138855.45000000001</v>
      </c>
      <c r="M5" s="1">
        <f t="shared" si="1"/>
        <v>132079.76</v>
      </c>
    </row>
    <row r="6" spans="2:13" ht="15" customHeight="1" x14ac:dyDescent="0.25">
      <c r="B6" t="s">
        <v>197</v>
      </c>
      <c r="C6" s="1">
        <v>34958.129999999997</v>
      </c>
      <c r="D6" s="1">
        <v>28896.639999999999</v>
      </c>
      <c r="E6" s="1">
        <v>29596.600000000002</v>
      </c>
      <c r="G6" s="48">
        <f t="shared" ref="G6:G10" si="2">(D6-C6)/C6</f>
        <v>-0.17339285596798223</v>
      </c>
      <c r="H6" s="48">
        <f t="shared" ref="H6:H10" si="3">(E6-D6)/D6</f>
        <v>2.4222885428894253E-2</v>
      </c>
      <c r="I6" s="48"/>
      <c r="J6" t="s">
        <v>225</v>
      </c>
      <c r="L6" s="1">
        <f>L4-K4</f>
        <v>7156.2699999999604</v>
      </c>
      <c r="M6" s="1">
        <f>M4-L4</f>
        <v>206.4100000000617</v>
      </c>
    </row>
    <row r="7" spans="2:13" ht="15" customHeight="1" x14ac:dyDescent="0.25">
      <c r="B7" t="s">
        <v>196</v>
      </c>
      <c r="C7" s="1">
        <v>20963.93</v>
      </c>
      <c r="D7" s="1">
        <v>10251.09</v>
      </c>
      <c r="E7" s="1">
        <v>14274.5</v>
      </c>
      <c r="G7" s="48">
        <f t="shared" si="2"/>
        <v>-0.51101296369526139</v>
      </c>
      <c r="H7" s="48">
        <f t="shared" si="3"/>
        <v>0.39248606733527847</v>
      </c>
      <c r="I7" s="48"/>
    </row>
    <row r="8" spans="2:13" ht="15" customHeight="1" x14ac:dyDescent="0.25">
      <c r="B8" t="s">
        <v>198</v>
      </c>
      <c r="C8" s="1">
        <v>59067.56</v>
      </c>
      <c r="D8" s="1">
        <v>57955.32</v>
      </c>
      <c r="E8" s="1">
        <v>55438.33</v>
      </c>
      <c r="G8" s="48">
        <f t="shared" si="2"/>
        <v>-1.8829963519739059E-2</v>
      </c>
      <c r="H8" s="48">
        <f t="shared" si="3"/>
        <v>-4.3429835259299714E-2</v>
      </c>
      <c r="I8" s="48"/>
    </row>
    <row r="9" spans="2:13" ht="15" customHeight="1" x14ac:dyDescent="0.25">
      <c r="B9" t="s">
        <v>84</v>
      </c>
      <c r="C9" s="1">
        <v>1608.49</v>
      </c>
      <c r="D9" s="1">
        <v>5639.21</v>
      </c>
      <c r="E9" s="1">
        <v>8602.0499999999993</v>
      </c>
      <c r="G9" s="48">
        <f t="shared" si="2"/>
        <v>2.5059030519306931</v>
      </c>
      <c r="H9" s="48">
        <f t="shared" si="3"/>
        <v>0.52539983437396354</v>
      </c>
      <c r="I9" s="48"/>
    </row>
    <row r="10" spans="2:13" ht="15" customHeight="1" x14ac:dyDescent="0.25">
      <c r="B10" s="2" t="s">
        <v>190</v>
      </c>
      <c r="C10" s="20">
        <f>SUM(C5:C9)</f>
        <v>196238.15999999997</v>
      </c>
      <c r="D10" s="20">
        <f t="shared" ref="D10:E10" si="4">SUM(D5:D9)</f>
        <v>183642.38999999998</v>
      </c>
      <c r="E10" s="20">
        <f t="shared" si="4"/>
        <v>184552.90999999997</v>
      </c>
      <c r="G10" s="48">
        <f t="shared" si="2"/>
        <v>-6.4186139943423801E-2</v>
      </c>
      <c r="H10" s="48">
        <f t="shared" si="3"/>
        <v>4.9581145181131084E-3</v>
      </c>
      <c r="I10" s="48"/>
    </row>
    <row r="11" spans="2:13" ht="15" customHeight="1" x14ac:dyDescent="0.25">
      <c r="B11" s="29" t="s">
        <v>191</v>
      </c>
    </row>
    <row r="12" spans="2:13" ht="15" customHeight="1" x14ac:dyDescent="0.25">
      <c r="B12" t="s">
        <v>16</v>
      </c>
      <c r="C12" s="1">
        <v>36088.589999999997</v>
      </c>
      <c r="D12" s="1">
        <v>35240.339999999997</v>
      </c>
      <c r="E12" s="1">
        <v>40755.39</v>
      </c>
      <c r="G12" s="48">
        <f t="shared" ref="G12" si="5">(D12-C12)/C12</f>
        <v>-2.3504658951762871E-2</v>
      </c>
      <c r="H12" s="48">
        <f t="shared" ref="H12" si="6">(E12-D12)/D12</f>
        <v>0.15649820631696526</v>
      </c>
      <c r="I12" s="48"/>
    </row>
    <row r="13" spans="2:13" ht="15" customHeight="1" x14ac:dyDescent="0.25">
      <c r="B13" t="s">
        <v>197</v>
      </c>
      <c r="C13" s="1">
        <v>45029.11</v>
      </c>
      <c r="D13" s="1">
        <v>51060.009999999995</v>
      </c>
      <c r="E13" s="1">
        <v>48432.220000000008</v>
      </c>
      <c r="G13" s="48">
        <f t="shared" ref="G13:G18" si="7">(D13-C13)/C13</f>
        <v>0.13393335999756589</v>
      </c>
      <c r="H13" s="48">
        <f t="shared" ref="H13:H18" si="8">(E13-D13)/D13</f>
        <v>-5.1464737276784446E-2</v>
      </c>
      <c r="I13" s="48"/>
    </row>
    <row r="14" spans="2:13" ht="15" customHeight="1" x14ac:dyDescent="0.25">
      <c r="B14" t="s">
        <v>17</v>
      </c>
      <c r="C14" s="1">
        <v>12679.08</v>
      </c>
      <c r="D14" s="1">
        <v>12442.12</v>
      </c>
      <c r="E14" s="1">
        <v>15737.97</v>
      </c>
      <c r="G14" s="48">
        <f t="shared" si="7"/>
        <v>-1.8689053148966576E-2</v>
      </c>
      <c r="H14" s="48">
        <f t="shared" si="8"/>
        <v>0.26489456780677234</v>
      </c>
      <c r="I14" s="48"/>
    </row>
    <row r="15" spans="2:13" ht="15" customHeight="1" x14ac:dyDescent="0.25">
      <c r="B15" t="s">
        <v>199</v>
      </c>
      <c r="C15" s="1">
        <v>46792.46</v>
      </c>
      <c r="D15" s="1">
        <v>40669.19</v>
      </c>
      <c r="E15" s="1">
        <v>37015.56</v>
      </c>
      <c r="G15" s="48">
        <f t="shared" si="7"/>
        <v>-0.13086018559400375</v>
      </c>
      <c r="H15" s="48">
        <f t="shared" si="8"/>
        <v>-8.9837786294735753E-2</v>
      </c>
      <c r="I15" s="48"/>
    </row>
    <row r="16" spans="2:13" ht="15" customHeight="1" x14ac:dyDescent="0.25">
      <c r="B16" t="s">
        <v>88</v>
      </c>
      <c r="C16" s="1">
        <v>6298.4</v>
      </c>
      <c r="D16" s="1">
        <v>7565.88</v>
      </c>
      <c r="E16" s="1">
        <v>9587.33</v>
      </c>
      <c r="G16" s="48">
        <f t="shared" si="7"/>
        <v>0.20123840975485846</v>
      </c>
      <c r="H16" s="48">
        <f t="shared" si="8"/>
        <v>0.26717975965783225</v>
      </c>
      <c r="I16" s="48"/>
    </row>
    <row r="17" spans="2:9" ht="15" customHeight="1" x14ac:dyDescent="0.25">
      <c r="B17" s="2" t="s">
        <v>191</v>
      </c>
      <c r="C17" s="20">
        <f>SUM(C12:C16)</f>
        <v>146887.63999999998</v>
      </c>
      <c r="D17" s="20">
        <f t="shared" ref="D17:E17" si="9">SUM(D12:D16)</f>
        <v>146977.53999999998</v>
      </c>
      <c r="E17" s="20">
        <f t="shared" si="9"/>
        <v>151528.47</v>
      </c>
      <c r="F17" s="1"/>
      <c r="G17" s="48">
        <f t="shared" si="7"/>
        <v>6.1203243513201103E-4</v>
      </c>
      <c r="H17" s="48">
        <f t="shared" si="8"/>
        <v>3.0963438359357647E-2</v>
      </c>
      <c r="I17" s="48"/>
    </row>
    <row r="18" spans="2:9" ht="15" customHeight="1" x14ac:dyDescent="0.25">
      <c r="B18" s="25" t="s">
        <v>20</v>
      </c>
      <c r="C18" s="20">
        <f>C10+C17</f>
        <v>343125.79999999993</v>
      </c>
      <c r="D18" s="20">
        <f>D10+D17</f>
        <v>330619.92999999993</v>
      </c>
      <c r="E18" s="20">
        <f>E10+E17</f>
        <v>336081.38</v>
      </c>
      <c r="F18" s="1"/>
      <c r="G18" s="48">
        <f t="shared" si="7"/>
        <v>-3.6446894987202938E-2</v>
      </c>
      <c r="H18" s="48">
        <f t="shared" si="8"/>
        <v>1.6518816636371773E-2</v>
      </c>
      <c r="I18" s="48"/>
    </row>
    <row r="19" spans="2:9" ht="15" customHeight="1" x14ac:dyDescent="0.25"/>
    <row r="20" spans="2:9" ht="15" customHeight="1" x14ac:dyDescent="0.25">
      <c r="B20" s="29" t="s">
        <v>192</v>
      </c>
    </row>
    <row r="21" spans="2:9" ht="15" customHeight="1" x14ac:dyDescent="0.25">
      <c r="B21" t="s">
        <v>200</v>
      </c>
      <c r="C21" s="1">
        <v>765.81</v>
      </c>
      <c r="D21" s="1">
        <v>765.88</v>
      </c>
      <c r="E21" s="1">
        <v>766.02</v>
      </c>
      <c r="G21" s="48">
        <f t="shared" ref="G21" si="10">(D21-C21)/C21</f>
        <v>9.1406484637246877E-5</v>
      </c>
      <c r="H21" s="48">
        <f t="shared" ref="H21" si="11">(E21-D21)/D21</f>
        <v>1.8279626051076716E-4</v>
      </c>
      <c r="I21" s="48"/>
    </row>
    <row r="22" spans="2:9" ht="15" customHeight="1" x14ac:dyDescent="0.25">
      <c r="B22" t="s">
        <v>90</v>
      </c>
      <c r="C22" s="1">
        <v>54480.91</v>
      </c>
      <c r="D22" s="1">
        <v>43795.360000000001</v>
      </c>
      <c r="E22" s="1">
        <v>44555.77</v>
      </c>
      <c r="G22" s="48">
        <f t="shared" ref="G22:G24" si="12">(D22-C22)/C22</f>
        <v>-0.1961338384399233</v>
      </c>
      <c r="H22" s="48">
        <f t="shared" ref="H22:H24" si="13">(E22-D22)/D22</f>
        <v>1.7362798250773512E-2</v>
      </c>
      <c r="I22" s="48"/>
    </row>
    <row r="23" spans="2:9" ht="15" customHeight="1" x14ac:dyDescent="0.25">
      <c r="B23" t="s">
        <v>3</v>
      </c>
      <c r="C23" s="1">
        <v>1573.49</v>
      </c>
      <c r="D23" s="1">
        <v>4271.0600000000004</v>
      </c>
      <c r="E23" s="1">
        <v>7277.72</v>
      </c>
      <c r="G23" s="48">
        <f t="shared" si="12"/>
        <v>1.7143864911756672</v>
      </c>
      <c r="H23" s="48">
        <f t="shared" si="13"/>
        <v>0.70396107757793136</v>
      </c>
      <c r="I23" s="48"/>
    </row>
    <row r="24" spans="2:9" ht="15" customHeight="1" x14ac:dyDescent="0.25">
      <c r="B24" s="25" t="s">
        <v>200</v>
      </c>
      <c r="C24" s="20">
        <f>SUM(C21:C23)</f>
        <v>56820.21</v>
      </c>
      <c r="D24" s="20">
        <f t="shared" ref="D24:E24" si="14">SUM(D21:D23)</f>
        <v>48832.299999999996</v>
      </c>
      <c r="E24" s="20">
        <f t="shared" si="14"/>
        <v>52599.509999999995</v>
      </c>
      <c r="G24" s="48">
        <f t="shared" si="12"/>
        <v>-0.14058219777786818</v>
      </c>
      <c r="H24" s="48">
        <f t="shared" si="13"/>
        <v>7.7145864520000065E-2</v>
      </c>
      <c r="I24" s="48"/>
    </row>
    <row r="25" spans="2:9" ht="15" customHeight="1" x14ac:dyDescent="0.25"/>
    <row r="26" spans="2:9" ht="15" customHeight="1" x14ac:dyDescent="0.25">
      <c r="B26" s="29" t="s">
        <v>193</v>
      </c>
    </row>
    <row r="27" spans="2:9" ht="15" customHeight="1" x14ac:dyDescent="0.25">
      <c r="B27" t="s">
        <v>201</v>
      </c>
      <c r="C27" s="1">
        <v>93112.77</v>
      </c>
      <c r="D27" s="1">
        <v>97759.17</v>
      </c>
      <c r="E27" s="1">
        <v>88695.81</v>
      </c>
      <c r="G27" s="48">
        <f t="shared" ref="G27" si="15">(D27-C27)/C27</f>
        <v>4.9900781600633229E-2</v>
      </c>
      <c r="H27" s="48">
        <f t="shared" ref="H27" si="16">(E27-D27)/D27</f>
        <v>-9.2711098099544018E-2</v>
      </c>
      <c r="I27" s="48"/>
    </row>
    <row r="28" spans="2:9" ht="15" customHeight="1" x14ac:dyDescent="0.25">
      <c r="B28" t="s">
        <v>202</v>
      </c>
      <c r="C28" s="1">
        <v>5412.06</v>
      </c>
      <c r="D28" s="1">
        <v>5962.44</v>
      </c>
      <c r="E28" s="1">
        <v>7568.49</v>
      </c>
      <c r="G28" s="48">
        <f t="shared" ref="G28:G31" si="17">(D28-C28)/C28</f>
        <v>0.10169510315850142</v>
      </c>
      <c r="H28" s="48">
        <f t="shared" ref="H28:H31" si="18">(E28-D28)/D28</f>
        <v>0.26936120111900502</v>
      </c>
      <c r="I28" s="48"/>
    </row>
    <row r="29" spans="2:9" ht="15" customHeight="1" x14ac:dyDescent="0.25">
      <c r="B29" t="s">
        <v>98</v>
      </c>
      <c r="C29" s="1">
        <v>27475.23</v>
      </c>
      <c r="D29" s="1">
        <v>22049.55</v>
      </c>
      <c r="E29" s="1">
        <v>23867.770000000004</v>
      </c>
      <c r="G29" s="48">
        <f t="shared" si="17"/>
        <v>-0.19747532595723494</v>
      </c>
      <c r="H29" s="48">
        <f t="shared" si="18"/>
        <v>8.2460639786299708E-2</v>
      </c>
      <c r="I29" s="48"/>
    </row>
    <row r="30" spans="2:9" ht="15" customHeight="1" x14ac:dyDescent="0.25">
      <c r="B30" t="s">
        <v>203</v>
      </c>
      <c r="C30" s="1">
        <v>2556.35</v>
      </c>
      <c r="D30" s="1">
        <v>5333.66</v>
      </c>
      <c r="E30" s="1">
        <v>8322.4699999999993</v>
      </c>
      <c r="G30" s="48">
        <f t="shared" si="17"/>
        <v>1.0864357384552195</v>
      </c>
      <c r="H30" s="48">
        <f t="shared" si="18"/>
        <v>0.5603675524874101</v>
      </c>
      <c r="I30" s="48"/>
    </row>
    <row r="31" spans="2:9" ht="15" customHeight="1" x14ac:dyDescent="0.25">
      <c r="B31" s="2" t="s">
        <v>193</v>
      </c>
      <c r="C31" s="20">
        <f>SUM(C27:C30)</f>
        <v>128556.41</v>
      </c>
      <c r="D31" s="20">
        <f t="shared" ref="D31:E31" si="19">SUM(D27:D30)</f>
        <v>131104.82</v>
      </c>
      <c r="E31" s="20">
        <f t="shared" si="19"/>
        <v>128454.54000000001</v>
      </c>
      <c r="G31" s="48">
        <f t="shared" si="17"/>
        <v>1.9823282246291752E-2</v>
      </c>
      <c r="H31" s="48">
        <f t="shared" si="18"/>
        <v>-2.0214969975932227E-2</v>
      </c>
      <c r="I31" s="48"/>
    </row>
    <row r="32" spans="2:9" ht="15" customHeight="1" x14ac:dyDescent="0.25">
      <c r="B32" s="29" t="s">
        <v>194</v>
      </c>
    </row>
    <row r="33" spans="2:9" ht="15" customHeight="1" x14ac:dyDescent="0.25">
      <c r="B33" t="s">
        <v>6</v>
      </c>
      <c r="C33" s="1">
        <v>76040.150000000009</v>
      </c>
      <c r="D33" s="1">
        <v>69750.33</v>
      </c>
      <c r="E33" s="1">
        <v>79251.759999999995</v>
      </c>
      <c r="G33" s="48">
        <f t="shared" ref="G33:G40" si="20">(D33-C33)/C33</f>
        <v>-8.2717090905265259E-2</v>
      </c>
      <c r="H33" s="48">
        <f t="shared" ref="H33:H40" si="21">(E33-D33)/D33</f>
        <v>0.13622057415355587</v>
      </c>
      <c r="I33" s="48"/>
    </row>
    <row r="34" spans="2:9" ht="15" customHeight="1" x14ac:dyDescent="0.25">
      <c r="B34" t="s">
        <v>204</v>
      </c>
      <c r="C34" s="1">
        <v>21662.79</v>
      </c>
      <c r="D34" s="1">
        <v>41917.870000000003</v>
      </c>
      <c r="E34" s="1">
        <v>36964.660000000003</v>
      </c>
      <c r="G34" s="48">
        <f t="shared" si="20"/>
        <v>0.93501714229792199</v>
      </c>
      <c r="H34" s="48">
        <f t="shared" si="21"/>
        <v>-0.11816463956780243</v>
      </c>
      <c r="I34" s="48"/>
    </row>
    <row r="35" spans="2:9" ht="15" customHeight="1" x14ac:dyDescent="0.25">
      <c r="B35" t="s">
        <v>205</v>
      </c>
      <c r="C35" s="1">
        <v>814</v>
      </c>
      <c r="D35" s="1">
        <v>809.55</v>
      </c>
      <c r="E35" s="1">
        <v>884.48</v>
      </c>
      <c r="G35" s="48">
        <f t="shared" si="20"/>
        <v>-5.4668304668305228E-3</v>
      </c>
      <c r="H35" s="48">
        <f t="shared" si="21"/>
        <v>9.2557593724908988E-2</v>
      </c>
      <c r="I35" s="48"/>
    </row>
    <row r="36" spans="2:9" ht="15" customHeight="1" x14ac:dyDescent="0.25">
      <c r="B36" t="s">
        <v>206</v>
      </c>
      <c r="C36" s="1">
        <v>12848.03</v>
      </c>
      <c r="D36" s="1">
        <v>10766.31</v>
      </c>
      <c r="E36" s="1">
        <v>11810.66</v>
      </c>
      <c r="G36" s="48">
        <f t="shared" si="20"/>
        <v>-0.16202639626464144</v>
      </c>
      <c r="H36" s="48">
        <f t="shared" si="21"/>
        <v>9.7001665380246377E-2</v>
      </c>
      <c r="I36" s="48"/>
    </row>
    <row r="37" spans="2:9" ht="15" customHeight="1" x14ac:dyDescent="0.25">
      <c r="B37" t="s">
        <v>95</v>
      </c>
      <c r="C37" s="1">
        <v>35941.03</v>
      </c>
      <c r="D37" s="1">
        <v>15674.09</v>
      </c>
      <c r="E37" s="1">
        <v>15082.77</v>
      </c>
      <c r="G37" s="48">
        <f t="shared" si="20"/>
        <v>-0.56389424565740043</v>
      </c>
      <c r="H37" s="48">
        <f t="shared" si="21"/>
        <v>-3.7725954106426575E-2</v>
      </c>
      <c r="I37" s="48"/>
    </row>
    <row r="38" spans="2:9" ht="15" customHeight="1" x14ac:dyDescent="0.25">
      <c r="B38" t="s">
        <v>207</v>
      </c>
      <c r="C38" s="1">
        <v>10443.18</v>
      </c>
      <c r="D38" s="1">
        <v>11764.660000000002</v>
      </c>
      <c r="E38" s="1">
        <v>11033</v>
      </c>
      <c r="G38" s="48">
        <f t="shared" si="20"/>
        <v>0.12654000026811771</v>
      </c>
      <c r="H38" s="48">
        <f t="shared" si="21"/>
        <v>-6.2191342546236067E-2</v>
      </c>
      <c r="I38" s="48"/>
    </row>
    <row r="39" spans="2:9" ht="15" customHeight="1" x14ac:dyDescent="0.25">
      <c r="B39" s="2" t="s">
        <v>194</v>
      </c>
      <c r="C39" s="20">
        <f>SUM(C33:C38)</f>
        <v>157749.18</v>
      </c>
      <c r="D39" s="20">
        <f t="shared" ref="D39:E39" si="22">SUM(D33:D38)</f>
        <v>150682.81000000003</v>
      </c>
      <c r="E39" s="20">
        <f t="shared" si="22"/>
        <v>155027.32999999999</v>
      </c>
      <c r="G39" s="48">
        <f t="shared" si="20"/>
        <v>-4.4794971358963431E-2</v>
      </c>
      <c r="H39" s="48">
        <f t="shared" si="21"/>
        <v>2.8832220476907484E-2</v>
      </c>
      <c r="I39" s="48"/>
    </row>
    <row r="40" spans="2:9" ht="15" customHeight="1" x14ac:dyDescent="0.25">
      <c r="B40" s="25" t="s">
        <v>104</v>
      </c>
      <c r="C40" s="20">
        <f>C31+C39</f>
        <v>286305.58999999997</v>
      </c>
      <c r="D40" s="20">
        <f t="shared" ref="D40:E40" si="23">D31+D39</f>
        <v>281787.63</v>
      </c>
      <c r="E40" s="20">
        <f t="shared" si="23"/>
        <v>283481.87</v>
      </c>
      <c r="G40" s="48">
        <f t="shared" si="20"/>
        <v>-1.5780201846565284E-2</v>
      </c>
      <c r="H40" s="48">
        <f t="shared" si="21"/>
        <v>6.012471164898156E-3</v>
      </c>
      <c r="I40" s="48"/>
    </row>
    <row r="41" spans="2:9" ht="15" customHeight="1" x14ac:dyDescent="0.25"/>
    <row r="42" spans="2:9" ht="15" customHeight="1" x14ac:dyDescent="0.25">
      <c r="B42" s="25" t="s">
        <v>105</v>
      </c>
      <c r="C42" s="24">
        <f>C24+C40</f>
        <v>343125.8</v>
      </c>
      <c r="D42" s="24">
        <f t="shared" ref="D42:E42" si="24">D24+D40</f>
        <v>330619.93</v>
      </c>
      <c r="E42" s="24">
        <f t="shared" si="24"/>
        <v>336081.38</v>
      </c>
      <c r="G42" s="48">
        <f t="shared" ref="G42" si="25">(D42-C42)/C42</f>
        <v>-3.6446894987202931E-2</v>
      </c>
      <c r="H42" s="48">
        <f t="shared" ref="H42" si="26">(E42-D42)/D42</f>
        <v>1.6518816636371593E-2</v>
      </c>
      <c r="I42" s="48"/>
    </row>
    <row r="43" spans="2:9" ht="15" customHeight="1" x14ac:dyDescent="0.25">
      <c r="C43" s="1"/>
    </row>
    <row r="44" spans="2:9" ht="15" customHeight="1" x14ac:dyDescent="0.25">
      <c r="C44" s="1"/>
    </row>
    <row r="45" spans="2:9" ht="15" customHeight="1" x14ac:dyDescent="0.25">
      <c r="B45" t="s">
        <v>208</v>
      </c>
      <c r="C45" s="1">
        <f>C18-C42</f>
        <v>0</v>
      </c>
      <c r="D45" s="1">
        <f t="shared" ref="D45:E45" si="27">D18-D42</f>
        <v>0</v>
      </c>
      <c r="E45" s="1">
        <f t="shared" si="27"/>
        <v>0</v>
      </c>
    </row>
    <row r="46" spans="2:9" ht="15" customHeight="1" x14ac:dyDescent="0.25">
      <c r="C46" s="1"/>
    </row>
    <row r="47" spans="2:9" ht="15" customHeight="1" x14ac:dyDescent="0.25"/>
    <row r="48" spans="2:9" ht="15" customHeight="1" x14ac:dyDescent="0.25"/>
    <row r="49" ht="15" customHeight="1" x14ac:dyDescent="0.25"/>
    <row r="50" ht="15" customHeight="1" x14ac:dyDescent="0.25"/>
    <row r="51" ht="15" customHeight="1" x14ac:dyDescent="0.25"/>
  </sheetData>
  <mergeCells count="3">
    <mergeCell ref="C2:E2"/>
    <mergeCell ref="G2:H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523C1-3FF4-4DBD-8297-9B84230CD7ED}">
  <dimension ref="B1:J46"/>
  <sheetViews>
    <sheetView showGridLines="0" zoomScale="90" zoomScaleNormal="90" workbookViewId="0">
      <selection activeCell="C45" sqref="C45"/>
    </sheetView>
  </sheetViews>
  <sheetFormatPr defaultRowHeight="15" x14ac:dyDescent="0.25"/>
  <cols>
    <col min="1" max="1" width="2.7109375" customWidth="1"/>
    <col min="2" max="2" width="63.7109375" customWidth="1"/>
    <col min="3" max="3" width="12.5703125" customWidth="1"/>
    <col min="4" max="5" width="12.7109375" customWidth="1"/>
    <col min="6" max="6" width="1.42578125" customWidth="1"/>
    <col min="7" max="7" width="22.7109375" customWidth="1"/>
    <col min="8" max="8" width="13.140625" customWidth="1"/>
    <col min="9" max="11" width="11.42578125" customWidth="1"/>
  </cols>
  <sheetData>
    <row r="1" spans="2:10" ht="20.25" thickBot="1" x14ac:dyDescent="0.35">
      <c r="B1" s="6" t="s">
        <v>115</v>
      </c>
      <c r="D1" s="7" t="s">
        <v>70</v>
      </c>
    </row>
    <row r="2" spans="2:10" ht="15.75" thickTop="1" x14ac:dyDescent="0.25">
      <c r="C2" s="73" t="s">
        <v>74</v>
      </c>
      <c r="D2" s="73"/>
      <c r="E2" s="73"/>
      <c r="G2" s="74" t="s">
        <v>74</v>
      </c>
      <c r="H2" s="74"/>
      <c r="I2" s="74"/>
      <c r="J2" s="74"/>
    </row>
    <row r="3" spans="2:10" x14ac:dyDescent="0.25">
      <c r="B3" s="9" t="e" vm="1">
        <v>#VALUE!</v>
      </c>
      <c r="C3" s="11" t="s">
        <v>71</v>
      </c>
      <c r="D3" s="11" t="s">
        <v>73</v>
      </c>
      <c r="E3" s="10" t="s">
        <v>72</v>
      </c>
      <c r="H3" s="11" t="s">
        <v>71</v>
      </c>
      <c r="I3" s="11" t="s">
        <v>73</v>
      </c>
      <c r="J3" s="10" t="s">
        <v>72</v>
      </c>
    </row>
    <row r="4" spans="2:10" x14ac:dyDescent="0.25">
      <c r="B4" s="57" t="s">
        <v>120</v>
      </c>
      <c r="G4" t="s">
        <v>222</v>
      </c>
      <c r="H4" s="1">
        <f>C11+C21+C40</f>
        <v>12778.460000000021</v>
      </c>
      <c r="I4" s="1">
        <f t="shared" ref="I4:J4" si="0">D11+D21+D40</f>
        <v>6127.53999999999</v>
      </c>
      <c r="J4" s="1">
        <f t="shared" si="0"/>
        <v>-7659.0539999999964</v>
      </c>
    </row>
    <row r="5" spans="2:10" x14ac:dyDescent="0.25">
      <c r="B5" s="4" t="s">
        <v>212</v>
      </c>
      <c r="C5">
        <f>'Cash Flow'!C34</f>
        <v>31197.640000000003</v>
      </c>
      <c r="D5">
        <f>'Cash Flow'!D34</f>
        <v>26666.169999999995</v>
      </c>
      <c r="E5">
        <f>'Cash Flow'!E34</f>
        <v>41694.126000000004</v>
      </c>
      <c r="G5" t="s">
        <v>226</v>
      </c>
      <c r="H5" s="1">
        <f>SUM(C13:C17)</f>
        <v>-19854.82</v>
      </c>
      <c r="I5" s="1">
        <f t="shared" ref="I5:J5" si="1">SUM(D13:D17)</f>
        <v>-14802.68</v>
      </c>
      <c r="J5" s="1">
        <f t="shared" si="1"/>
        <v>-18925.77</v>
      </c>
    </row>
    <row r="6" spans="2:10" x14ac:dyDescent="0.25">
      <c r="B6" s="4" t="s">
        <v>213</v>
      </c>
      <c r="C6">
        <f>'Cash Flow'!C38</f>
        <v>-5505.2899999999991</v>
      </c>
      <c r="D6">
        <f>'Cash Flow'!D38</f>
        <v>336.71</v>
      </c>
      <c r="E6">
        <f>'Cash Flow'!E38</f>
        <v>-2212.6499999999996</v>
      </c>
      <c r="G6" t="s">
        <v>221</v>
      </c>
      <c r="H6" s="1">
        <f>C11-H5</f>
        <v>48855.330000000009</v>
      </c>
      <c r="I6" s="1">
        <f t="shared" ref="I6:J6" si="2">D11-I5</f>
        <v>29085.509999999995</v>
      </c>
      <c r="J6" s="1">
        <f t="shared" si="2"/>
        <v>54313.775999999998</v>
      </c>
    </row>
    <row r="7" spans="2:10" x14ac:dyDescent="0.25">
      <c r="B7" s="4" t="s">
        <v>16</v>
      </c>
      <c r="C7">
        <f>'Cash Flow'!C41</f>
        <v>3814.5</v>
      </c>
      <c r="D7">
        <f>'Cash Flow'!D41</f>
        <v>597.4</v>
      </c>
      <c r="E7">
        <f>'Cash Flow'!E41</f>
        <v>-5665.36</v>
      </c>
      <c r="G7" t="s">
        <v>223</v>
      </c>
      <c r="H7" s="1">
        <f>C11+'P&amp;L Analysis'!C11*(1-('P&amp;L Analysis'!C16/'P&amp;L Analysis'!C13))-'Cash Flow Analysis'!H5</f>
        <v>58917.491630565542</v>
      </c>
      <c r="I7" s="1">
        <f>D11+'P&amp;L Analysis'!D11*(1-('P&amp;L Analysis'!D16/'P&amp;L Analysis'!D13))-'Cash Flow Analysis'!I5</f>
        <v>44023.369348802982</v>
      </c>
      <c r="J7" s="1">
        <f>E11+'P&amp;L Analysis'!E11*(1-('P&amp;L Analysis'!E16/'P&amp;L Analysis'!E13))-'Cash Flow Analysis'!J5</f>
        <v>62184.64153783262</v>
      </c>
    </row>
    <row r="8" spans="2:10" x14ac:dyDescent="0.25">
      <c r="B8" s="4" t="s">
        <v>129</v>
      </c>
      <c r="C8">
        <f>'Cash Flow'!C44</f>
        <v>5748.15</v>
      </c>
      <c r="D8">
        <f>'Cash Flow'!D44</f>
        <v>-7011.86</v>
      </c>
      <c r="E8">
        <f>'Cash Flow'!E44</f>
        <v>6944.85</v>
      </c>
      <c r="G8" s="40" t="s">
        <v>227</v>
      </c>
      <c r="H8" s="1">
        <f>C11-H5+C28+C30+C32</f>
        <v>19146.310000000009</v>
      </c>
      <c r="I8" s="1">
        <f t="shared" ref="I8:J8" si="3">D11-I5+D28+D30+D32</f>
        <v>-13730.740000000005</v>
      </c>
      <c r="J8" s="1">
        <f t="shared" si="3"/>
        <v>-8243.5040000000008</v>
      </c>
    </row>
    <row r="9" spans="2:10" x14ac:dyDescent="0.25">
      <c r="B9" s="4" t="s">
        <v>131</v>
      </c>
      <c r="C9">
        <f>'Cash Flow'!C47</f>
        <v>-1308.92</v>
      </c>
      <c r="D9">
        <f>'Cash Flow'!D47</f>
        <v>129.26</v>
      </c>
      <c r="E9">
        <f>'Cash Flow'!E47</f>
        <v>-736.04</v>
      </c>
      <c r="F9" s="1"/>
      <c r="G9" s="1"/>
      <c r="H9" s="1"/>
      <c r="I9" s="1"/>
      <c r="J9" s="1"/>
    </row>
    <row r="10" spans="2:10" x14ac:dyDescent="0.25">
      <c r="B10" s="4" t="s">
        <v>132</v>
      </c>
      <c r="C10">
        <f>'Cash Flow'!C54</f>
        <v>-4945.5700000000015</v>
      </c>
      <c r="D10">
        <f>'Cash Flow'!D54</f>
        <v>-6434.85</v>
      </c>
      <c r="E10">
        <f>'Cash Flow'!E54</f>
        <v>-4636.92</v>
      </c>
      <c r="F10" s="1"/>
      <c r="G10" s="1"/>
      <c r="H10" s="1"/>
    </row>
    <row r="11" spans="2:10" x14ac:dyDescent="0.25">
      <c r="B11" s="32" t="s">
        <v>217</v>
      </c>
      <c r="C11" s="20">
        <f>SUM(C5:C10)</f>
        <v>29000.510000000009</v>
      </c>
      <c r="D11" s="20">
        <f t="shared" ref="D11:E11" si="4">SUM(D5:D10)</f>
        <v>14282.829999999993</v>
      </c>
      <c r="E11" s="20">
        <f t="shared" si="4"/>
        <v>35388.006000000001</v>
      </c>
      <c r="F11" s="1"/>
      <c r="G11" s="1"/>
      <c r="H11" s="1"/>
    </row>
    <row r="12" spans="2:10" x14ac:dyDescent="0.25">
      <c r="B12" s="58" t="s">
        <v>121</v>
      </c>
    </row>
    <row r="13" spans="2:10" x14ac:dyDescent="0.25">
      <c r="B13" s="4" t="s">
        <v>25</v>
      </c>
      <c r="C13">
        <v>-11775.65</v>
      </c>
      <c r="D13">
        <v>-9039.4</v>
      </c>
      <c r="E13">
        <v>-8492.6299999999992</v>
      </c>
    </row>
    <row r="14" spans="2:10" x14ac:dyDescent="0.25">
      <c r="B14" s="4" t="s">
        <v>26</v>
      </c>
      <c r="C14">
        <v>-8429.75</v>
      </c>
      <c r="D14">
        <v>-6129.02</v>
      </c>
      <c r="E14">
        <v>-9603.0499999999993</v>
      </c>
    </row>
    <row r="15" spans="2:10" x14ac:dyDescent="0.25">
      <c r="B15" s="4" t="s">
        <v>27</v>
      </c>
      <c r="C15">
        <v>350.58</v>
      </c>
      <c r="D15">
        <v>230.1</v>
      </c>
      <c r="E15">
        <v>285.02999999999997</v>
      </c>
    </row>
    <row r="16" spans="2:10" x14ac:dyDescent="0.25">
      <c r="B16" s="4" t="s">
        <v>67</v>
      </c>
      <c r="E16">
        <v>-298.2</v>
      </c>
    </row>
    <row r="17" spans="2:5" x14ac:dyDescent="0.25">
      <c r="B17" s="4" t="s">
        <v>216</v>
      </c>
      <c r="C17">
        <f>'Cash Flow'!C62+'Cash Flow'!C70+'Cash Flow'!C60</f>
        <v>0</v>
      </c>
      <c r="D17">
        <f>'Cash Flow'!D62+'Cash Flow'!D70+'Cash Flow'!D60</f>
        <v>135.63999999999999</v>
      </c>
      <c r="E17">
        <f>'Cash Flow'!E62+'Cash Flow'!E70+'Cash Flow'!E60</f>
        <v>-816.92</v>
      </c>
    </row>
    <row r="18" spans="2:5" x14ac:dyDescent="0.25">
      <c r="B18" s="5" t="s">
        <v>214</v>
      </c>
      <c r="C18">
        <f>'Cash Flow'!C61+'Cash Flow'!C63+'Cash Flow'!C64+'Cash Flow'!C65+'Cash Flow'!C68+'Cash Flow'!C69+'Cash Flow'!C71+'Cash Flow'!C73+'Cash Flow'!C74+'Cash Flow'!C75+'Cash Flow'!C76</f>
        <v>-7116.84</v>
      </c>
      <c r="D18">
        <f>'Cash Flow'!D61+'Cash Flow'!D63+'Cash Flow'!D64+'Cash Flow'!D65+'Cash Flow'!D68+'Cash Flow'!D69+'Cash Flow'!D71+'Cash Flow'!D73+'Cash Flow'!D74+'Cash Flow'!D75+'Cash Flow'!D76</f>
        <v>-2747.9599999999996</v>
      </c>
      <c r="E18">
        <f>'Cash Flow'!E61+'Cash Flow'!E63+'Cash Flow'!E64+'Cash Flow'!E65+'Cash Flow'!E68+'Cash Flow'!E69+'Cash Flow'!E71+'Cash Flow'!E73+'Cash Flow'!E74+'Cash Flow'!E75+'Cash Flow'!E76</f>
        <v>4347.16</v>
      </c>
    </row>
    <row r="19" spans="2:5" x14ac:dyDescent="0.25">
      <c r="B19" s="4" t="s">
        <v>39</v>
      </c>
      <c r="C19">
        <v>-38243.269999999997</v>
      </c>
      <c r="D19">
        <v>-13203.08</v>
      </c>
      <c r="E19">
        <v>-17723.34</v>
      </c>
    </row>
    <row r="20" spans="2:5" x14ac:dyDescent="0.25">
      <c r="B20" s="5" t="s">
        <v>215</v>
      </c>
      <c r="C20">
        <v>39088.68</v>
      </c>
      <c r="D20">
        <v>25978.6</v>
      </c>
      <c r="E20">
        <v>15497.79</v>
      </c>
    </row>
    <row r="21" spans="2:5" x14ac:dyDescent="0.25">
      <c r="B21" s="34" t="s">
        <v>218</v>
      </c>
      <c r="C21" s="12">
        <f>SUM(C13:C20)</f>
        <v>-26126.249999999993</v>
      </c>
      <c r="D21" s="12">
        <f t="shared" ref="D21:E21" si="5">SUM(D13:D20)</f>
        <v>-4775.1200000000026</v>
      </c>
      <c r="E21" s="12">
        <f t="shared" si="5"/>
        <v>-16804.16</v>
      </c>
    </row>
    <row r="22" spans="2:5" x14ac:dyDescent="0.25">
      <c r="B22" s="58" t="s">
        <v>60</v>
      </c>
    </row>
    <row r="23" spans="2:5" x14ac:dyDescent="0.25">
      <c r="B23" s="4" t="s">
        <v>42</v>
      </c>
      <c r="C23">
        <v>2602.5100000000002</v>
      </c>
      <c r="D23">
        <v>18.59</v>
      </c>
      <c r="E23">
        <v>19.600000000000001</v>
      </c>
    </row>
    <row r="24" spans="2:5" x14ac:dyDescent="0.25">
      <c r="B24" s="4" t="s">
        <v>59</v>
      </c>
      <c r="D24">
        <v>3750</v>
      </c>
      <c r="E24">
        <v>3750</v>
      </c>
    </row>
    <row r="25" spans="2:5" x14ac:dyDescent="0.25">
      <c r="B25" s="4" t="s">
        <v>68</v>
      </c>
      <c r="E25">
        <v>-295.92</v>
      </c>
    </row>
    <row r="26" spans="2:5" x14ac:dyDescent="0.25">
      <c r="B26" s="4" t="s">
        <v>69</v>
      </c>
      <c r="E26">
        <v>-99.5</v>
      </c>
    </row>
    <row r="27" spans="2:5" x14ac:dyDescent="0.25">
      <c r="B27" s="4" t="s">
        <v>43</v>
      </c>
      <c r="C27">
        <v>29642.36</v>
      </c>
      <c r="D27">
        <v>31308.62</v>
      </c>
      <c r="E27">
        <v>16315.06</v>
      </c>
    </row>
    <row r="28" spans="2:5" x14ac:dyDescent="0.25">
      <c r="B28" s="4" t="s">
        <v>44</v>
      </c>
      <c r="C28">
        <v>-18629.61</v>
      </c>
      <c r="D28">
        <v>-23355.8</v>
      </c>
      <c r="E28">
        <v>-31559.46</v>
      </c>
    </row>
    <row r="29" spans="2:5" x14ac:dyDescent="0.25">
      <c r="B29" s="4" t="s">
        <v>45</v>
      </c>
      <c r="C29">
        <v>35.01</v>
      </c>
      <c r="D29">
        <v>-97.77</v>
      </c>
      <c r="E29">
        <v>-106.51</v>
      </c>
    </row>
    <row r="30" spans="2:5" x14ac:dyDescent="0.25">
      <c r="B30" s="4" t="s">
        <v>46</v>
      </c>
      <c r="C30">
        <v>-0.48</v>
      </c>
    </row>
    <row r="31" spans="2:5" x14ac:dyDescent="0.25">
      <c r="B31" s="4" t="s">
        <v>47</v>
      </c>
      <c r="C31">
        <v>20807.150000000001</v>
      </c>
      <c r="D31">
        <v>16866.240000000002</v>
      </c>
      <c r="E31">
        <v>28125.45</v>
      </c>
    </row>
    <row r="32" spans="2:5" x14ac:dyDescent="0.25">
      <c r="B32" s="4" t="s">
        <v>48</v>
      </c>
      <c r="C32">
        <v>-11078.93</v>
      </c>
      <c r="D32">
        <v>-19460.45</v>
      </c>
      <c r="E32">
        <v>-30997.82</v>
      </c>
    </row>
    <row r="33" spans="2:9" x14ac:dyDescent="0.25">
      <c r="B33" s="4" t="s">
        <v>49</v>
      </c>
      <c r="C33">
        <v>-4544.2700000000004</v>
      </c>
      <c r="D33">
        <v>-1975.59</v>
      </c>
      <c r="E33">
        <v>-753.73</v>
      </c>
    </row>
    <row r="34" spans="2:9" x14ac:dyDescent="0.25">
      <c r="B34" s="4" t="s">
        <v>50</v>
      </c>
      <c r="C34">
        <v>-1477.28</v>
      </c>
      <c r="D34">
        <v>-1558.95</v>
      </c>
      <c r="E34">
        <v>-1516.61</v>
      </c>
    </row>
    <row r="35" spans="2:9" x14ac:dyDescent="0.25">
      <c r="B35" s="4" t="s">
        <v>51</v>
      </c>
      <c r="C35">
        <v>-28.75</v>
      </c>
      <c r="D35">
        <v>-98.39</v>
      </c>
      <c r="E35">
        <v>-140.88</v>
      </c>
    </row>
    <row r="36" spans="2:9" x14ac:dyDescent="0.25">
      <c r="B36" s="4" t="s">
        <v>52</v>
      </c>
      <c r="C36">
        <v>0.24</v>
      </c>
    </row>
    <row r="37" spans="2:9" x14ac:dyDescent="0.25">
      <c r="B37" s="4" t="s">
        <v>53</v>
      </c>
      <c r="C37">
        <v>-1.56</v>
      </c>
      <c r="D37">
        <v>-1.53</v>
      </c>
    </row>
    <row r="38" spans="2:9" x14ac:dyDescent="0.25">
      <c r="B38" s="4" t="s">
        <v>54</v>
      </c>
      <c r="C38">
        <v>700.75</v>
      </c>
      <c r="D38">
        <v>476.28</v>
      </c>
      <c r="E38">
        <v>353.38</v>
      </c>
    </row>
    <row r="39" spans="2:9" ht="18" x14ac:dyDescent="0.35">
      <c r="B39" s="4" t="s">
        <v>55</v>
      </c>
      <c r="C39">
        <v>-8122.94</v>
      </c>
      <c r="D39">
        <v>-9251.42</v>
      </c>
      <c r="E39">
        <v>-9335.9599999999991</v>
      </c>
    </row>
    <row r="40" spans="2:9" x14ac:dyDescent="0.25">
      <c r="B40" s="34" t="s">
        <v>219</v>
      </c>
      <c r="C40" s="12">
        <f>SUM(C23:C39)</f>
        <v>9904.2000000000044</v>
      </c>
      <c r="D40" s="12">
        <f t="shared" ref="D40:E40" si="6">SUM(D23:D39)</f>
        <v>-3380.17</v>
      </c>
      <c r="E40" s="12">
        <f t="shared" si="6"/>
        <v>-26242.899999999998</v>
      </c>
    </row>
    <row r="41" spans="2:9" ht="15.75" thickBot="1" x14ac:dyDescent="0.3">
      <c r="B41" s="23" t="s">
        <v>141</v>
      </c>
      <c r="C41" s="30">
        <f>C11+C21+C40</f>
        <v>12778.460000000021</v>
      </c>
      <c r="D41" s="30">
        <f t="shared" ref="D41:E41" si="7">D11+D21+D40</f>
        <v>6127.53999999999</v>
      </c>
      <c r="E41" s="30">
        <f t="shared" si="7"/>
        <v>-7659.0539999999964</v>
      </c>
      <c r="G41" s="1"/>
      <c r="H41" s="1"/>
      <c r="I41" s="1"/>
    </row>
    <row r="42" spans="2:9" ht="15.75" thickTop="1" x14ac:dyDescent="0.25">
      <c r="B42" s="21"/>
      <c r="C42" s="1"/>
      <c r="D42" s="1"/>
      <c r="E42" s="1"/>
      <c r="G42" s="1"/>
      <c r="H42" s="1"/>
      <c r="I42" s="1"/>
    </row>
    <row r="43" spans="2:9" x14ac:dyDescent="0.25">
      <c r="B43" s="26" t="s">
        <v>142</v>
      </c>
      <c r="C43">
        <v>18467.8</v>
      </c>
      <c r="D43">
        <v>31700.010000000013</v>
      </c>
      <c r="E43">
        <v>38159.01</v>
      </c>
    </row>
    <row r="44" spans="2:9" x14ac:dyDescent="0.25">
      <c r="B44" s="4" t="s">
        <v>56</v>
      </c>
      <c r="C44">
        <v>453.75</v>
      </c>
      <c r="D44">
        <v>331.46</v>
      </c>
      <c r="E44">
        <v>1386.99</v>
      </c>
    </row>
    <row r="45" spans="2:9" ht="15.75" thickBot="1" x14ac:dyDescent="0.3">
      <c r="B45" s="18" t="s">
        <v>220</v>
      </c>
      <c r="C45" s="23">
        <f>SUM(C41:C44)</f>
        <v>31700.01000000002</v>
      </c>
      <c r="D45" s="23">
        <f>SUM(D41:D44)</f>
        <v>38159.01</v>
      </c>
      <c r="E45" s="23">
        <f>SUM(E41:E44)</f>
        <v>31886.946000000007</v>
      </c>
      <c r="F45" s="1"/>
    </row>
    <row r="46" spans="2:9" ht="15.75" thickTop="1" x14ac:dyDescent="0.25"/>
  </sheetData>
  <mergeCells count="2">
    <mergeCell ref="C2:E2"/>
    <mergeCell ref="G2: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461A5-D51C-4B74-88B0-40F39A0F5AC8}">
  <dimension ref="B1:I32"/>
  <sheetViews>
    <sheetView showGridLines="0" zoomScaleNormal="90" workbookViewId="0">
      <selection activeCell="J11" sqref="J11"/>
    </sheetView>
  </sheetViews>
  <sheetFormatPr defaultRowHeight="15" x14ac:dyDescent="0.25"/>
  <cols>
    <col min="1" max="1" width="1.7109375" customWidth="1"/>
    <col min="2" max="2" width="25.85546875" customWidth="1"/>
    <col min="3" max="5" width="13.140625" customWidth="1"/>
  </cols>
  <sheetData>
    <row r="1" spans="2:9" ht="20.25" thickBot="1" x14ac:dyDescent="0.35">
      <c r="B1" s="6" t="s">
        <v>253</v>
      </c>
    </row>
    <row r="2" spans="2:9" ht="15.75" thickTop="1" x14ac:dyDescent="0.25"/>
    <row r="3" spans="2:9" x14ac:dyDescent="0.25">
      <c r="C3" s="74" t="s">
        <v>254</v>
      </c>
      <c r="D3" s="74"/>
      <c r="E3" s="74"/>
    </row>
    <row r="4" spans="2:9" x14ac:dyDescent="0.25">
      <c r="B4" s="13" t="s">
        <v>228</v>
      </c>
      <c r="C4" s="10" t="s">
        <v>71</v>
      </c>
      <c r="D4" s="10" t="s">
        <v>73</v>
      </c>
      <c r="E4" s="10" t="s">
        <v>72</v>
      </c>
    </row>
    <row r="5" spans="2:9" x14ac:dyDescent="0.25">
      <c r="B5" t="s">
        <v>229</v>
      </c>
      <c r="C5" s="48">
        <f>'P&amp;L Analysis'!C18/'Balance Sheet Analysis'!C18</f>
        <v>-3.9038451786487648E-2</v>
      </c>
      <c r="D5" s="48">
        <f>'P&amp;L Analysis'!D18/AVERAGE('Balance Sheet Analysis'!C18:D18)</f>
        <v>-3.3569815722616747E-2</v>
      </c>
      <c r="E5" s="48">
        <f>'P&amp;L Analysis'!E18/AVERAGE('Balance Sheet Analysis'!D18:E18)</f>
        <v>8.0691906845062316E-3</v>
      </c>
    </row>
    <row r="6" spans="2:9" x14ac:dyDescent="0.25">
      <c r="B6" t="s">
        <v>230</v>
      </c>
      <c r="C6" s="48">
        <f>'P&amp;L Analysis'!C18/SUM('Balance Sheet Analysis'!C21:C22)</f>
        <v>-0.24245964285300559</v>
      </c>
      <c r="D6" s="48">
        <f>'P&amp;L Analysis'!D18/SUM('Balance Sheet Analysis'!D21:D22)</f>
        <v>-0.25378019103597532</v>
      </c>
      <c r="E6" s="48">
        <f>'P&amp;L Analysis'!E18/SUM('Balance Sheet Analysis'!E21:E22)</f>
        <v>5.9350480199481324E-2</v>
      </c>
    </row>
    <row r="7" spans="2:9" x14ac:dyDescent="0.25">
      <c r="B7" t="s">
        <v>231</v>
      </c>
      <c r="C7" s="48">
        <f>'P&amp;L Analysis'!C6/'P&amp;L Analysis'!C4</f>
        <v>0.36631366351774813</v>
      </c>
      <c r="D7" s="48">
        <f>'P&amp;L Analysis'!D6/'P&amp;L Analysis'!D4</f>
        <v>0.35039156610713129</v>
      </c>
      <c r="E7" s="48">
        <f>'P&amp;L Analysis'!E6/'P&amp;L Analysis'!E4</f>
        <v>0.34540097859630936</v>
      </c>
    </row>
    <row r="8" spans="2:9" x14ac:dyDescent="0.25">
      <c r="B8" t="s">
        <v>177</v>
      </c>
      <c r="C8" s="48">
        <f>'P&amp;L Analysis'!C8/'P&amp;L Analysis'!C4</f>
        <v>0.12925583904385499</v>
      </c>
      <c r="D8" s="48">
        <f>'P&amp;L Analysis'!D8/'P&amp;L Analysis'!D4</f>
        <v>8.8776328352276598E-2</v>
      </c>
      <c r="E8" s="48">
        <f>'P&amp;L Analysis'!E8/'P&amp;L Analysis'!E4</f>
        <v>9.2262217979941982E-2</v>
      </c>
    </row>
    <row r="9" spans="2:9" x14ac:dyDescent="0.25">
      <c r="B9" t="s">
        <v>232</v>
      </c>
      <c r="C9" s="48">
        <f>'P&amp;L Analysis'!C18/'P&amp;L Analysis'!C4</f>
        <v>-5.3624425653461497E-2</v>
      </c>
      <c r="D9" s="48">
        <f>'P&amp;L Analysis'!D18/'P&amp;L Analysis'!D4</f>
        <v>-4.0612723943039226E-2</v>
      </c>
      <c r="E9" s="48">
        <f>'P&amp;L Analysis'!E18/'P&amp;L Analysis'!E4</f>
        <v>7.7749329654216706E-3</v>
      </c>
    </row>
    <row r="10" spans="2:9" x14ac:dyDescent="0.25">
      <c r="B10" t="s">
        <v>256</v>
      </c>
      <c r="C10" s="48">
        <f>'P&amp;L Analysis'!C8/('Balance Sheet Analysis'!C18-'Balance Sheet Analysis'!C39)</f>
        <v>0.17417207196894627</v>
      </c>
      <c r="D10" s="48">
        <f>'P&amp;L Analysis'!D8/('Balance Sheet Analysis'!D18-'Balance Sheet Analysis'!D39)</f>
        <v>0.13738182538433463</v>
      </c>
      <c r="E10" s="48">
        <f>'P&amp;L Analysis'!E8/('Balance Sheet Analysis'!E18-'Balance Sheet Analysis'!E39)</f>
        <v>0.1762991769584831</v>
      </c>
      <c r="G10" s="46"/>
      <c r="H10" s="46"/>
      <c r="I10" s="46"/>
    </row>
    <row r="11" spans="2:9" x14ac:dyDescent="0.25">
      <c r="B11" s="13" t="s">
        <v>233</v>
      </c>
    </row>
    <row r="12" spans="2:9" x14ac:dyDescent="0.25">
      <c r="B12" t="s">
        <v>234</v>
      </c>
      <c r="C12" s="60">
        <f>'Balance Sheet Analysis'!C17/'Balance Sheet Analysis'!C39</f>
        <v>0.93114677363140641</v>
      </c>
      <c r="D12" s="60">
        <f>'Balance Sheet Analysis'!D17/'Balance Sheet Analysis'!D39</f>
        <v>0.97541013470614168</v>
      </c>
      <c r="E12" s="60">
        <f>'Balance Sheet Analysis'!E17/'Balance Sheet Analysis'!E39</f>
        <v>0.97743068915655074</v>
      </c>
    </row>
    <row r="13" spans="2:9" x14ac:dyDescent="0.25">
      <c r="B13" t="s">
        <v>235</v>
      </c>
      <c r="C13" s="60">
        <f>('Balance Sheet Analysis'!C17-'Balance Sheet Analysis'!C12)/'Balance Sheet Analysis'!C39</f>
        <v>0.70237480790708384</v>
      </c>
      <c r="D13" s="60">
        <f>('Balance Sheet Analysis'!D17-'Balance Sheet Analysis'!D12)/'Balance Sheet Analysis'!D39</f>
        <v>0.74153913110593017</v>
      </c>
      <c r="E13" s="60">
        <f>('Balance Sheet Analysis'!E17-'Balance Sheet Analysis'!E12)/'Balance Sheet Analysis'!E39</f>
        <v>0.71453904289005044</v>
      </c>
    </row>
    <row r="14" spans="2:9" x14ac:dyDescent="0.25">
      <c r="B14" t="s">
        <v>236</v>
      </c>
      <c r="C14" s="60">
        <f>('Balance Sheet Analysis'!C15)/'Balance Sheet Analysis'!C39</f>
        <v>0.29662569402896422</v>
      </c>
      <c r="D14" s="60">
        <f>('Balance Sheet Analysis'!D15)/'Balance Sheet Analysis'!D39</f>
        <v>0.26989933357361728</v>
      </c>
      <c r="E14" s="60">
        <f>('Balance Sheet Analysis'!E15)/'Balance Sheet Analysis'!E39</f>
        <v>0.23876796433248254</v>
      </c>
    </row>
    <row r="15" spans="2:9" x14ac:dyDescent="0.25">
      <c r="B15" s="13" t="s">
        <v>245</v>
      </c>
    </row>
    <row r="16" spans="2:9" x14ac:dyDescent="0.25">
      <c r="B16" t="s">
        <v>237</v>
      </c>
      <c r="C16" s="60">
        <f>'P&amp;L Analysis'!C5/('Balance Sheet Analysis'!C12)/2</f>
        <v>2.1930964883914834</v>
      </c>
      <c r="D16" s="60">
        <f>'P&amp;L Analysis'!D5/AVERAGE('Balance Sheet Analysis'!C12:D12)</f>
        <v>5.0718781285517673</v>
      </c>
      <c r="E16" s="60">
        <f>'P&amp;L Analysis'!E5/AVERAGE('Balance Sheet Analysis'!D12:E12)</f>
        <v>5.9600622298121229</v>
      </c>
    </row>
    <row r="17" spans="2:5" x14ac:dyDescent="0.25">
      <c r="B17" t="s">
        <v>238</v>
      </c>
      <c r="C17" s="60">
        <f>'P&amp;L Analysis'!C4/(0+'Balance Sheet Analysis'!C14)/2</f>
        <v>9.8506654268290763</v>
      </c>
      <c r="D17" s="60">
        <f>'P&amp;L Analysis'!D4/AVERAGE('Balance Sheet Analysis'!C14:D14)</f>
        <v>22.168815183988023</v>
      </c>
      <c r="E17" s="60">
        <f>'P&amp;L Analysis'!E4/AVERAGE('Balance Sheet Analysis'!D14:E14)</f>
        <v>24.554000359828517</v>
      </c>
    </row>
    <row r="18" spans="2:5" x14ac:dyDescent="0.25">
      <c r="B18" t="s">
        <v>239</v>
      </c>
      <c r="C18" s="60">
        <f>'P&amp;L Analysis'!C5/(0+'Balance Sheet Analysis'!C33)/2</f>
        <v>1.0408417132264993</v>
      </c>
      <c r="D18" s="60">
        <f>'P&amp;L Analysis'!D5/AVERAGE('Balance Sheet Analysis'!C33:D33)</f>
        <v>2.4814489944748104</v>
      </c>
      <c r="E18" s="60">
        <f>'P&amp;L Analysis'!E5/AVERAGE('Balance Sheet Analysis'!D33:E33)</f>
        <v>3.0398183005352477</v>
      </c>
    </row>
    <row r="19" spans="2:5" x14ac:dyDescent="0.25">
      <c r="B19" t="s">
        <v>240</v>
      </c>
      <c r="C19" s="60">
        <f>'P&amp;L Analysis'!C4/(0+'Balance Sheet Analysis'!C18)/2</f>
        <v>0.36399878703379351</v>
      </c>
      <c r="D19" s="60">
        <f>'P&amp;L Analysis'!D4/AVERAGE('Balance Sheet Analysis'!C18:D18)</f>
        <v>0.82658370243029233</v>
      </c>
      <c r="E19" s="60">
        <f>'P&amp;L Analysis'!E4/AVERAGE('Balance Sheet Analysis'!D18:E18)</f>
        <v>1.0378469782817739</v>
      </c>
    </row>
    <row r="20" spans="2:5" x14ac:dyDescent="0.25">
      <c r="B20" t="s">
        <v>241</v>
      </c>
      <c r="C20" s="60">
        <f>'P&amp;L Analysis'!C4/(0+'Balance Sheet Analysis'!K5)/2</f>
        <v>0.90043635673630318</v>
      </c>
      <c r="D20" s="60">
        <f>'P&amp;L Analysis'!D4/AVERAGE('Balance Sheet Analysis'!K5:L5)</f>
        <v>2.0064169922323236</v>
      </c>
      <c r="E20" s="60">
        <f>'P&amp;L Analysis'!E4/AVERAGE('Balance Sheet Analysis'!L5:M5)</f>
        <v>2.553872344609621</v>
      </c>
    </row>
    <row r="21" spans="2:5" x14ac:dyDescent="0.25">
      <c r="B21" t="s">
        <v>242</v>
      </c>
      <c r="C21" s="60">
        <f>(((0+'Balance Sheet Analysis'!C14)/2)/'P&amp;L Analysis'!C4)*365</f>
        <v>9.2633335968830401</v>
      </c>
      <c r="D21" s="60">
        <f>AVERAGE('Balance Sheet Analysis'!C14:D14)/'P&amp;L Analysis'!C4*365</f>
        <v>18.353544259837328</v>
      </c>
      <c r="E21" s="60">
        <f>AVERAGE('Balance Sheet Analysis'!D14:E14)/'P&amp;L Analysis'!D4*365</f>
        <v>18.469382531281152</v>
      </c>
    </row>
    <row r="22" spans="2:5" x14ac:dyDescent="0.25">
      <c r="B22" t="s">
        <v>243</v>
      </c>
      <c r="C22" s="60">
        <f>(((0+'Balance Sheet Analysis'!C33)/2)/'P&amp;L Analysis'!C5)*365</f>
        <v>87.669430270174942</v>
      </c>
      <c r="D22" s="60">
        <f>AVERAGE('Balance Sheet Analysis'!C33:D33)/'P&amp;L Analysis'!C5*365</f>
        <v>168.08710030707903</v>
      </c>
      <c r="E22" s="60">
        <f>AVERAGE('Balance Sheet Analysis'!D33:E33)/'P&amp;L Analysis'!D5*365</f>
        <v>150.33174753554482</v>
      </c>
    </row>
    <row r="23" spans="2:5" x14ac:dyDescent="0.25">
      <c r="B23" t="s">
        <v>244</v>
      </c>
      <c r="C23" s="60">
        <f>((0+'Balance Sheet Analysis'!C12)/2)/'P&amp;L Analysis'!C5*365</f>
        <v>41.607836446323844</v>
      </c>
      <c r="D23" s="60">
        <f>AVERAGE('Balance Sheet Analysis'!C12:D12)/'P&amp;L Analysis'!D5*365</f>
        <v>71.965451603669109</v>
      </c>
      <c r="E23" s="60">
        <f>AVERAGE('Balance Sheet Analysis'!D12:E12)/'P&amp;L Analysis'!E5*365</f>
        <v>61.240971306352584</v>
      </c>
    </row>
    <row r="24" spans="2:5" x14ac:dyDescent="0.25">
      <c r="B24" t="s">
        <v>255</v>
      </c>
      <c r="C24" s="60">
        <f>C23+C21-C22</f>
        <v>-36.798260226968054</v>
      </c>
      <c r="D24" s="60">
        <f t="shared" ref="D24:E24" si="0">D23+D21-D22</f>
        <v>-77.768104443572582</v>
      </c>
      <c r="E24" s="60">
        <f t="shared" si="0"/>
        <v>-70.621393697911088</v>
      </c>
    </row>
    <row r="25" spans="2:5" x14ac:dyDescent="0.25">
      <c r="B25" s="13" t="s">
        <v>246</v>
      </c>
    </row>
    <row r="26" spans="2:5" x14ac:dyDescent="0.25">
      <c r="B26" t="s">
        <v>247</v>
      </c>
      <c r="C26" s="60">
        <f>('Balance Sheet Analysis'!C27+'Balance Sheet Analysis'!C30+'Balance Sheet Analysis'!C34+'Balance Sheet Analysis'!C37)/'Balance Sheet Analysis'!C24</f>
        <v>2.6975074537739303</v>
      </c>
      <c r="D26" s="60">
        <f>('Balance Sheet Analysis'!D27+'Balance Sheet Analysis'!D30+'Balance Sheet Analysis'!D34+'Balance Sheet Analysis'!D37)/'Balance Sheet Analysis'!D24</f>
        <v>3.2905431445989648</v>
      </c>
      <c r="E26" s="60">
        <f>('Balance Sheet Analysis'!E27+'Balance Sheet Analysis'!E30+'Balance Sheet Analysis'!E34+'Balance Sheet Analysis'!E37)/'Balance Sheet Analysis'!E24</f>
        <v>2.8339752594653449</v>
      </c>
    </row>
    <row r="27" spans="2:5" x14ac:dyDescent="0.25">
      <c r="B27" t="s">
        <v>248</v>
      </c>
      <c r="C27" s="60">
        <f>('Balance Sheet Analysis'!C27+'Balance Sheet Analysis'!C30+'Balance Sheet Analysis'!C34+'Balance Sheet Analysis'!C37)/'Balance Sheet Analysis'!C18</f>
        <v>0.44669605141904234</v>
      </c>
      <c r="D27" s="60">
        <f>('Balance Sheet Analysis'!D27+'Balance Sheet Analysis'!D30+'Balance Sheet Analysis'!D34+'Balance Sheet Analysis'!D37)/'Balance Sheet Analysis'!D18</f>
        <v>0.48601059833265359</v>
      </c>
      <c r="E27" s="60">
        <f>('Balance Sheet Analysis'!E27+'Balance Sheet Analysis'!E30+'Balance Sheet Analysis'!E34+'Balance Sheet Analysis'!E37)/'Balance Sheet Analysis'!E18</f>
        <v>0.44354051985861276</v>
      </c>
    </row>
    <row r="28" spans="2:5" x14ac:dyDescent="0.25">
      <c r="B28" t="s">
        <v>249</v>
      </c>
      <c r="C28" s="60">
        <f>'Balance Sheet Analysis'!C24/'Balance Sheet Analysis'!C18</f>
        <v>0.16559585434846349</v>
      </c>
      <c r="D28" s="60">
        <f>'Balance Sheet Analysis'!D24/'Balance Sheet Analysis'!D18</f>
        <v>0.14769920252538921</v>
      </c>
      <c r="E28" s="60">
        <f>'Balance Sheet Analysis'!E24/'Balance Sheet Analysis'!E18</f>
        <v>0.15650825404251789</v>
      </c>
    </row>
    <row r="29" spans="2:5" x14ac:dyDescent="0.25">
      <c r="B29" t="s">
        <v>250</v>
      </c>
      <c r="C29" s="60">
        <f>('Balance Sheet Analysis'!C27+'Balance Sheet Analysis'!C30+'Balance Sheet Analysis'!C34+'Balance Sheet Analysis'!C37)/(('Balance Sheet Analysis'!C27+'Balance Sheet Analysis'!C30+'Balance Sheet Analysis'!C34+'Balance Sheet Analysis'!C37)+'Balance Sheet Analysis'!C24)</f>
        <v>0.72954753641420489</v>
      </c>
      <c r="D29" s="60">
        <f>('Balance Sheet Analysis'!D27+'Balance Sheet Analysis'!D30+'Balance Sheet Analysis'!D34+'Balance Sheet Analysis'!D37)/(('Balance Sheet Analysis'!D27+'Balance Sheet Analysis'!D30+'Balance Sheet Analysis'!D34+'Balance Sheet Analysis'!D37)+'Balance Sheet Analysis'!D24)</f>
        <v>0.76692927531591815</v>
      </c>
      <c r="E29" s="60">
        <f>('Balance Sheet Analysis'!E27+'Balance Sheet Analysis'!E30+'Balance Sheet Analysis'!E34+'Balance Sheet Analysis'!E37)/(('Balance Sheet Analysis'!E27+'Balance Sheet Analysis'!E30+'Balance Sheet Analysis'!E34+'Balance Sheet Analysis'!E37)+'Balance Sheet Analysis'!E24)</f>
        <v>0.73917411242255859</v>
      </c>
    </row>
    <row r="30" spans="2:5" x14ac:dyDescent="0.25">
      <c r="B30" t="s">
        <v>251</v>
      </c>
      <c r="C30" s="60">
        <f>((0+'Balance Sheet Analysis'!C18)/2)/((0+'Balance Sheet Analysis'!C24)/2)</f>
        <v>6.0387985190480631</v>
      </c>
      <c r="D30" s="60">
        <f>AVERAGE('Balance Sheet Analysis'!C18:D18)/AVERAGE('Balance Sheet Analysis'!C24:D24)</f>
        <v>6.3769969118575593</v>
      </c>
      <c r="E30" s="60">
        <f>AVERAGE('Balance Sheet Analysis'!D18:E18)/AVERAGE('Balance Sheet Analysis'!D24:E24)</f>
        <v>6.572901637070264</v>
      </c>
    </row>
    <row r="32" spans="2:5" x14ac:dyDescent="0.25">
      <c r="B32" s="13" t="s">
        <v>252</v>
      </c>
      <c r="C32" s="48">
        <f>C9*C19*C30</f>
        <v>-0.11787267241708541</v>
      </c>
      <c r="D32" s="48">
        <f>D9*D19*D30</f>
        <v>-0.21407461119475435</v>
      </c>
      <c r="E32" s="48">
        <f>E9*E19*E30</f>
        <v>5.303799666002313E-2</v>
      </c>
    </row>
  </sheetData>
  <mergeCells count="1">
    <mergeCell ref="C3:E3"/>
  </mergeCells>
  <pageMargins left="0.7" right="0.7" top="0.75" bottom="0.75" header="0.3" footer="0.3"/>
  <ignoredErrors>
    <ignoredError sqref="C6:E9 C25:E32 D21:E23 C11:E20"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k 2 v 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B J N 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T a 9 Y K I p H u A 4 A A A A R A A A A E w A c A E Z v c m 1 1 b G F z L 1 N l Y 3 R p b 2 4 x L m 0 g o h g A K K A U A A A A A A A A A A A A A A A A A A A A A A A A A A A A K 0 5 N L s n M z 1 M I h t C G 1 g B Q S w E C L Q A U A A I A C A A S T a 9 Y w K n 8 R 6 U A A A D 2 A A A A E g A A A A A A A A A A A A A A A A A A A A A A Q 2 9 u Z m l n L 1 B h Y 2 t h Z 2 U u e G 1 s U E s B A i 0 A F A A C A A g A E k 2 v W A / K 6 a u k A A A A 6 Q A A A B M A A A A A A A A A A A A A A A A A 8 Q A A A F t D b 2 5 0 Z W 5 0 X 1 R 5 c G V z X S 5 4 b W x Q S w E C L Q A U A A I A C A A S T a 9 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S b N N H F O t 0 e h W Y x t k Z G q E Q A A A A A C A A A A A A A Q Z g A A A A E A A C A A A A C o h 0 v 4 r O Q h j B c 9 f X Y u L Z t b V X E r 3 c c A j q z J k 9 W a Q j 0 v 0 g A A A A A O g A A A A A I A A C A A A A C j H q b q P o j Y Z b O T 8 / B 5 r X e y 3 5 0 p O R T 8 3 Q R 6 r Y h / 0 x e y 6 1 A A A A B n i h l Q F u k O q Z e 3 q u G A X W R h l D o w 9 U R p / f T I Z n G E A Z 1 Q L C B S a j b 6 T D F l x o F F D G r L Z 7 I f c y 2 L p z x B a g S u Y Y u P K o e / B Q a C w o L R K F h a S W N G 4 Z Z i g k A A A A A J J D c f V 1 w j T D d r x 6 q r r d I R t m U 5 H 4 P P p Z I S r u V v G H z z h F c B 3 Q A J 8 C z b C w 1 5 M h C h k G 4 b o o P 2 g p w 5 r K v S 4 b f S P F V P < / D a t a M a s h u p > 
</file>

<file path=customXml/itemProps1.xml><?xml version="1.0" encoding="utf-8"?>
<ds:datastoreItem xmlns:ds="http://schemas.openxmlformats.org/officeDocument/2006/customXml" ds:itemID="{7494DA6D-BA97-4A32-8E5C-FFB81D7B99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Dashboard</vt:lpstr>
      <vt:lpstr>P&amp;L</vt:lpstr>
      <vt:lpstr>Balance Sheet</vt:lpstr>
      <vt:lpstr>Cash Flow</vt:lpstr>
      <vt:lpstr>P&amp;L Analysis</vt:lpstr>
      <vt:lpstr>Balance Sheet Analysis</vt:lpstr>
      <vt:lpstr>Cash Flow Analysis</vt:lpstr>
      <vt:lpstr>Ratio Analysis</vt:lpstr>
      <vt:lpstr>Revenue Data</vt:lpstr>
      <vt:lpstr>Working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iamGYAN</dc:creator>
  <cp:lastModifiedBy>Gyan Ranjan</cp:lastModifiedBy>
  <dcterms:created xsi:type="dcterms:W3CDTF">2015-06-05T18:17:20Z</dcterms:created>
  <dcterms:modified xsi:type="dcterms:W3CDTF">2024-05-23T09:00:00Z</dcterms:modified>
</cp:coreProperties>
</file>