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GIT_Project\Financial Analysis\4_11-5-24_NOPAT_FCF\"/>
    </mc:Choice>
  </mc:AlternateContent>
  <xr:revisionPtr revIDLastSave="0" documentId="13_ncr:1_{88EAACB7-677B-44E9-9BE9-75FF8A6BF19D}" xr6:coauthVersionLast="47" xr6:coauthVersionMax="47" xr10:uidLastSave="{00000000-0000-0000-0000-000000000000}"/>
  <bookViews>
    <workbookView xWindow="-120" yWindow="-120" windowWidth="20730" windowHeight="11310" tabRatio="946" activeTab="4" xr2:uid="{00000000-000D-0000-FFFF-FFFF00000000}"/>
  </bookViews>
  <sheets>
    <sheet name="Index" sheetId="9" r:id="rId1"/>
    <sheet name="Description" sheetId="1" r:id="rId2"/>
    <sheet name="Assumption" sheetId="2" r:id="rId3"/>
    <sheet name="Calculations" sheetId="4" r:id="rId4"/>
    <sheet name="Profit &amp; Loss Statement" sheetId="3" r:id="rId5"/>
    <sheet name="NOPAT" sheetId="6" r:id="rId6"/>
    <sheet name="Working Capital Change" sheetId="10" r:id="rId7"/>
    <sheet name="Free Cash Flow"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7" l="1"/>
  <c r="E11" i="7"/>
  <c r="F11" i="7"/>
  <c r="G11" i="7"/>
  <c r="H11" i="7"/>
  <c r="I11" i="7"/>
  <c r="J11" i="7"/>
  <c r="K11" i="7"/>
  <c r="L11" i="7"/>
  <c r="M11" i="7"/>
  <c r="C11" i="7"/>
  <c r="C10" i="7"/>
  <c r="E9" i="7"/>
  <c r="F9" i="7"/>
  <c r="G9" i="7"/>
  <c r="H9" i="7"/>
  <c r="I9" i="7"/>
  <c r="J9" i="7"/>
  <c r="K9" i="7"/>
  <c r="L9" i="7"/>
  <c r="M9" i="7"/>
  <c r="D9" i="7"/>
  <c r="E8" i="7"/>
  <c r="F8" i="7"/>
  <c r="G8" i="7"/>
  <c r="H8" i="7"/>
  <c r="I8" i="7"/>
  <c r="J8" i="7"/>
  <c r="K8" i="7"/>
  <c r="L8" i="7"/>
  <c r="M8" i="7"/>
  <c r="D8" i="7"/>
  <c r="E7" i="7"/>
  <c r="F7" i="7"/>
  <c r="G7" i="7"/>
  <c r="H7" i="7"/>
  <c r="I7" i="7"/>
  <c r="J7" i="7"/>
  <c r="K7" i="7"/>
  <c r="L7" i="7"/>
  <c r="M7" i="7"/>
  <c r="D7" i="7"/>
  <c r="E15" i="10"/>
  <c r="F15" i="10"/>
  <c r="G15" i="10"/>
  <c r="H15" i="10"/>
  <c r="I15" i="10"/>
  <c r="J15" i="10"/>
  <c r="K15" i="10"/>
  <c r="L15" i="10"/>
  <c r="M15" i="10"/>
  <c r="D15" i="10"/>
  <c r="E6" i="10"/>
  <c r="F6" i="10"/>
  <c r="G6" i="10"/>
  <c r="H6" i="10"/>
  <c r="H7" i="10" s="1"/>
  <c r="I6" i="10"/>
  <c r="I7" i="10" s="1"/>
  <c r="J6" i="10"/>
  <c r="J7" i="10" s="1"/>
  <c r="J13" i="10" s="1"/>
  <c r="K6" i="10"/>
  <c r="K7" i="10" s="1"/>
  <c r="L6" i="10"/>
  <c r="L7" i="10" s="1"/>
  <c r="E7" i="10"/>
  <c r="F7" i="10"/>
  <c r="F13" i="10" s="1"/>
  <c r="G7" i="10"/>
  <c r="G13" i="10" s="1"/>
  <c r="M7" i="10"/>
  <c r="E10" i="10"/>
  <c r="F10" i="10"/>
  <c r="F11" i="10" s="1"/>
  <c r="G10" i="10"/>
  <c r="G11" i="10" s="1"/>
  <c r="H10" i="10"/>
  <c r="H11" i="10" s="1"/>
  <c r="H13" i="10" s="1"/>
  <c r="I10" i="10"/>
  <c r="I11" i="10" s="1"/>
  <c r="J10" i="10"/>
  <c r="J11" i="10" s="1"/>
  <c r="K10" i="10"/>
  <c r="K11" i="10" s="1"/>
  <c r="L10" i="10"/>
  <c r="L11" i="10" s="1"/>
  <c r="L13" i="10" s="1"/>
  <c r="E11" i="10"/>
  <c r="M11" i="10"/>
  <c r="D10" i="10"/>
  <c r="D11" i="10" s="1"/>
  <c r="D7" i="10"/>
  <c r="D6" i="10"/>
  <c r="C43" i="4"/>
  <c r="D43" i="4"/>
  <c r="E43" i="4"/>
  <c r="F43" i="4"/>
  <c r="F45" i="4" s="1"/>
  <c r="G43" i="4"/>
  <c r="H43" i="4"/>
  <c r="I43" i="4"/>
  <c r="J43" i="4"/>
  <c r="J45" i="4" s="1"/>
  <c r="K43" i="4"/>
  <c r="C44" i="4"/>
  <c r="D44" i="4"/>
  <c r="E44" i="4"/>
  <c r="E45" i="4" s="1"/>
  <c r="F44" i="4"/>
  <c r="G44" i="4"/>
  <c r="H44" i="4"/>
  <c r="I44" i="4"/>
  <c r="I45" i="4" s="1"/>
  <c r="J44" i="4"/>
  <c r="K44" i="4"/>
  <c r="C45" i="4"/>
  <c r="D45" i="4"/>
  <c r="G45" i="4"/>
  <c r="H45" i="4"/>
  <c r="K45" i="4"/>
  <c r="B45" i="4"/>
  <c r="B44" i="4"/>
  <c r="B43" i="4"/>
  <c r="C40" i="4"/>
  <c r="D40" i="4"/>
  <c r="E40" i="4"/>
  <c r="F40" i="4"/>
  <c r="G40" i="4"/>
  <c r="H40" i="4"/>
  <c r="I40" i="4"/>
  <c r="J40" i="4"/>
  <c r="K40" i="4"/>
  <c r="B40" i="4"/>
  <c r="K33" i="4"/>
  <c r="K32" i="4"/>
  <c r="C34" i="4"/>
  <c r="D34" i="4"/>
  <c r="E34" i="4"/>
  <c r="F34" i="4"/>
  <c r="G34" i="4"/>
  <c r="H34" i="4"/>
  <c r="I34" i="4"/>
  <c r="J34" i="4"/>
  <c r="B34" i="4"/>
  <c r="C27" i="4"/>
  <c r="D27" i="4"/>
  <c r="E27" i="4"/>
  <c r="F27" i="4"/>
  <c r="G27" i="4"/>
  <c r="H27" i="4"/>
  <c r="I27" i="4"/>
  <c r="J27" i="4"/>
  <c r="K27" i="4"/>
  <c r="C28" i="4"/>
  <c r="D28" i="4"/>
  <c r="E28" i="4"/>
  <c r="F28" i="4"/>
  <c r="G28" i="4"/>
  <c r="H28" i="4"/>
  <c r="I28" i="4"/>
  <c r="J28" i="4"/>
  <c r="K28" i="4"/>
  <c r="B28" i="4"/>
  <c r="B27" i="4"/>
  <c r="C24" i="4"/>
  <c r="D8" i="3" s="1"/>
  <c r="D24" i="4"/>
  <c r="E8" i="3" s="1"/>
  <c r="E24" i="4"/>
  <c r="F8" i="3" s="1"/>
  <c r="F24" i="4"/>
  <c r="G8" i="3" s="1"/>
  <c r="G24" i="4"/>
  <c r="H8" i="3" s="1"/>
  <c r="H24" i="4"/>
  <c r="I8" i="3" s="1"/>
  <c r="I24" i="4"/>
  <c r="J8" i="3" s="1"/>
  <c r="J24" i="4"/>
  <c r="K8" i="3" s="1"/>
  <c r="K24" i="4"/>
  <c r="L8" i="3" s="1"/>
  <c r="B24" i="4"/>
  <c r="C8" i="3" s="1"/>
  <c r="B21" i="4"/>
  <c r="C21" i="4" s="1"/>
  <c r="D21" i="4" s="1"/>
  <c r="E21" i="4" s="1"/>
  <c r="F21" i="4" s="1"/>
  <c r="G21" i="4" s="1"/>
  <c r="H21" i="4" s="1"/>
  <c r="I21" i="4" s="1"/>
  <c r="J21" i="4" s="1"/>
  <c r="K21" i="4" s="1"/>
  <c r="B20" i="4"/>
  <c r="B10" i="4"/>
  <c r="C10" i="4" s="1"/>
  <c r="D10" i="4" s="1"/>
  <c r="E10" i="4" s="1"/>
  <c r="F10" i="4" s="1"/>
  <c r="G10" i="4" s="1"/>
  <c r="H10" i="4" s="1"/>
  <c r="I10" i="4" s="1"/>
  <c r="J10" i="4" s="1"/>
  <c r="K10" i="4" s="1"/>
  <c r="B11" i="4"/>
  <c r="C11" i="4" s="1"/>
  <c r="D11" i="4" s="1"/>
  <c r="E11" i="4" s="1"/>
  <c r="F11" i="4" s="1"/>
  <c r="G11" i="4" s="1"/>
  <c r="H11" i="4" s="1"/>
  <c r="I11" i="4" s="1"/>
  <c r="J11" i="4" s="1"/>
  <c r="K11" i="4" s="1"/>
  <c r="B9" i="4"/>
  <c r="C9" i="4" s="1"/>
  <c r="D9" i="4" s="1"/>
  <c r="E9" i="4" s="1"/>
  <c r="F9" i="4" s="1"/>
  <c r="G9" i="4" s="1"/>
  <c r="H9" i="4" s="1"/>
  <c r="I9" i="4" s="1"/>
  <c r="J9" i="4" s="1"/>
  <c r="K9" i="4" s="1"/>
  <c r="B5" i="4"/>
  <c r="C5" i="4" s="1"/>
  <c r="D5" i="4" s="1"/>
  <c r="B6" i="4"/>
  <c r="C6" i="4" s="1"/>
  <c r="D6" i="4" s="1"/>
  <c r="B4" i="4"/>
  <c r="C4" i="4" s="1"/>
  <c r="I13" i="10" l="1"/>
  <c r="E13" i="10"/>
  <c r="M13" i="10"/>
  <c r="D13" i="10"/>
  <c r="K13" i="10"/>
  <c r="B29" i="4"/>
  <c r="C10" i="3" s="1"/>
  <c r="I29" i="4"/>
  <c r="J10" i="3" s="1"/>
  <c r="E29" i="4"/>
  <c r="F10" i="3" s="1"/>
  <c r="J29" i="4"/>
  <c r="K10" i="3" s="1"/>
  <c r="F29" i="4"/>
  <c r="G10" i="3" s="1"/>
  <c r="B16" i="4"/>
  <c r="H29" i="4"/>
  <c r="I10" i="3" s="1"/>
  <c r="D29" i="4"/>
  <c r="E10" i="3" s="1"/>
  <c r="B14" i="4"/>
  <c r="B39" i="4" s="1"/>
  <c r="K29" i="4"/>
  <c r="L10" i="3" s="1"/>
  <c r="G29" i="4"/>
  <c r="H10" i="3" s="1"/>
  <c r="C29" i="4"/>
  <c r="D10" i="3" s="1"/>
  <c r="C14" i="4"/>
  <c r="C39" i="4" s="1"/>
  <c r="D4" i="4"/>
  <c r="E6" i="4"/>
  <c r="D16" i="4"/>
  <c r="C15" i="4"/>
  <c r="C16" i="4"/>
  <c r="B22" i="4"/>
  <c r="C6" i="3" s="1"/>
  <c r="C20" i="4"/>
  <c r="E5" i="4"/>
  <c r="D15" i="4"/>
  <c r="B15" i="4"/>
  <c r="K34" i="4"/>
  <c r="B17" i="4" l="1"/>
  <c r="C5" i="3" s="1"/>
  <c r="C7" i="3" s="1"/>
  <c r="C9" i="3" s="1"/>
  <c r="C5" i="6" s="1"/>
  <c r="C6" i="6" s="1"/>
  <c r="C11" i="6" s="1"/>
  <c r="C22" i="4"/>
  <c r="D6" i="3" s="1"/>
  <c r="D20" i="4"/>
  <c r="F6" i="4"/>
  <c r="E16" i="4"/>
  <c r="E4" i="4"/>
  <c r="D14" i="4"/>
  <c r="F5" i="4"/>
  <c r="E15" i="4"/>
  <c r="C17" i="4"/>
  <c r="D5" i="3" s="1"/>
  <c r="C11" i="3" l="1"/>
  <c r="C12" i="3" s="1"/>
  <c r="C13" i="3" s="1"/>
  <c r="D17" i="4"/>
  <c r="E5" i="3" s="1"/>
  <c r="D39" i="4"/>
  <c r="D7" i="3"/>
  <c r="D9" i="3" s="1"/>
  <c r="D11" i="3" s="1"/>
  <c r="D5" i="7"/>
  <c r="D6" i="7" s="1"/>
  <c r="G5" i="4"/>
  <c r="F15" i="4"/>
  <c r="G6" i="4"/>
  <c r="F16" i="4"/>
  <c r="F4" i="4"/>
  <c r="E14" i="4"/>
  <c r="E20" i="4"/>
  <c r="D22" i="4"/>
  <c r="E6" i="3" s="1"/>
  <c r="E7" i="3" s="1"/>
  <c r="E9" i="3" s="1"/>
  <c r="E17" i="4" l="1"/>
  <c r="F5" i="3" s="1"/>
  <c r="E39" i="4"/>
  <c r="D5" i="6"/>
  <c r="D6" i="6" s="1"/>
  <c r="D11" i="6" s="1"/>
  <c r="E5" i="7"/>
  <c r="E6" i="7" s="1"/>
  <c r="F5" i="7"/>
  <c r="F6" i="7" s="1"/>
  <c r="E5" i="6"/>
  <c r="E6" i="6" s="1"/>
  <c r="E11" i="3"/>
  <c r="E12" i="3" s="1"/>
  <c r="E13" i="3" s="1"/>
  <c r="F20" i="4"/>
  <c r="E22" i="4"/>
  <c r="F6" i="3" s="1"/>
  <c r="F7" i="3" s="1"/>
  <c r="F9" i="3" s="1"/>
  <c r="D8" i="6"/>
  <c r="H6" i="4"/>
  <c r="G16" i="4"/>
  <c r="G4" i="4"/>
  <c r="F14" i="4"/>
  <c r="D12" i="3"/>
  <c r="D13" i="3" s="1"/>
  <c r="H5" i="4"/>
  <c r="G15" i="4"/>
  <c r="F17" i="4" l="1"/>
  <c r="G5" i="3" s="1"/>
  <c r="F39" i="4"/>
  <c r="F11" i="3"/>
  <c r="G5" i="7"/>
  <c r="G6" i="7" s="1"/>
  <c r="F5" i="6"/>
  <c r="F6" i="6" s="1"/>
  <c r="I6" i="4"/>
  <c r="H16" i="4"/>
  <c r="G20" i="4"/>
  <c r="F22" i="4"/>
  <c r="G6" i="3" s="1"/>
  <c r="G7" i="3" s="1"/>
  <c r="G9" i="3" s="1"/>
  <c r="I5" i="4"/>
  <c r="H15" i="4"/>
  <c r="H4" i="4"/>
  <c r="G14" i="4"/>
  <c r="E11" i="6"/>
  <c r="E8" i="6"/>
  <c r="G17" i="4" l="1"/>
  <c r="H5" i="3" s="1"/>
  <c r="G39" i="4"/>
  <c r="G11" i="3"/>
  <c r="H5" i="7"/>
  <c r="H6" i="7" s="1"/>
  <c r="G5" i="6"/>
  <c r="G6" i="6" s="1"/>
  <c r="J6" i="4"/>
  <c r="I16" i="4"/>
  <c r="I4" i="4"/>
  <c r="H14" i="4"/>
  <c r="H20" i="4"/>
  <c r="G22" i="4"/>
  <c r="H6" i="3" s="1"/>
  <c r="F8" i="6"/>
  <c r="F11" i="6"/>
  <c r="J5" i="4"/>
  <c r="I15" i="4"/>
  <c r="F12" i="3"/>
  <c r="F13" i="3" s="1"/>
  <c r="H17" i="4" l="1"/>
  <c r="I5" i="3" s="1"/>
  <c r="H39" i="4"/>
  <c r="H7" i="3"/>
  <c r="H9" i="3" s="1"/>
  <c r="H5" i="6" s="1"/>
  <c r="H6" i="6" s="1"/>
  <c r="K5" i="4"/>
  <c r="K15" i="4" s="1"/>
  <c r="J15" i="4"/>
  <c r="I20" i="4"/>
  <c r="H22" i="4"/>
  <c r="I6" i="3" s="1"/>
  <c r="I7" i="3" s="1"/>
  <c r="I9" i="3" s="1"/>
  <c r="K6" i="4"/>
  <c r="K16" i="4" s="1"/>
  <c r="J16" i="4"/>
  <c r="G11" i="6"/>
  <c r="G8" i="6"/>
  <c r="J4" i="4"/>
  <c r="I14" i="4"/>
  <c r="G12" i="3"/>
  <c r="G13" i="3" s="1"/>
  <c r="I5" i="7" l="1"/>
  <c r="I6" i="7" s="1"/>
  <c r="H11" i="3"/>
  <c r="I17" i="4"/>
  <c r="J5" i="3" s="1"/>
  <c r="I39" i="4"/>
  <c r="J5" i="7"/>
  <c r="J6" i="7" s="1"/>
  <c r="I5" i="6"/>
  <c r="I6" i="6" s="1"/>
  <c r="I11" i="3"/>
  <c r="H12" i="3"/>
  <c r="H13" i="3" s="1"/>
  <c r="J20" i="4"/>
  <c r="I22" i="4"/>
  <c r="J6" i="3" s="1"/>
  <c r="H11" i="6"/>
  <c r="H8" i="6"/>
  <c r="K4" i="4"/>
  <c r="K14" i="4" s="1"/>
  <c r="J14" i="4"/>
  <c r="K17" i="4" l="1"/>
  <c r="L5" i="3" s="1"/>
  <c r="K39" i="4"/>
  <c r="J17" i="4"/>
  <c r="K5" i="3" s="1"/>
  <c r="J39" i="4"/>
  <c r="J7" i="3"/>
  <c r="J9" i="3" s="1"/>
  <c r="K5" i="7" s="1"/>
  <c r="K6" i="7" s="1"/>
  <c r="J11" i="3"/>
  <c r="K20" i="4"/>
  <c r="K22" i="4" s="1"/>
  <c r="L6" i="3" s="1"/>
  <c r="J22" i="4"/>
  <c r="K6" i="3" s="1"/>
  <c r="I12" i="3"/>
  <c r="I13" i="3" s="1"/>
  <c r="I11" i="6"/>
  <c r="I8" i="6"/>
  <c r="L7" i="3" l="1"/>
  <c r="L9" i="3" s="1"/>
  <c r="J5" i="6"/>
  <c r="J6" i="6" s="1"/>
  <c r="J8" i="6" s="1"/>
  <c r="K7" i="3"/>
  <c r="K9" i="3" s="1"/>
  <c r="L5" i="7" s="1"/>
  <c r="L6" i="7" s="1"/>
  <c r="J11" i="6"/>
  <c r="L11" i="3"/>
  <c r="L5" i="6"/>
  <c r="L6" i="6" s="1"/>
  <c r="M5" i="7"/>
  <c r="M6" i="7" s="1"/>
  <c r="J12" i="3"/>
  <c r="J13" i="3" s="1"/>
  <c r="K11" i="3" l="1"/>
  <c r="K5" i="6"/>
  <c r="K6" i="6" s="1"/>
  <c r="K8" i="6" s="1"/>
  <c r="K12" i="3"/>
  <c r="K13" i="3" s="1"/>
  <c r="L12" i="3"/>
  <c r="L13" i="3"/>
  <c r="K11" i="6"/>
  <c r="L11" i="6"/>
  <c r="L8" i="6"/>
</calcChain>
</file>

<file path=xl/sharedStrings.xml><?xml version="1.0" encoding="utf-8"?>
<sst xmlns="http://schemas.openxmlformats.org/spreadsheetml/2006/main" count="198" uniqueCount="124">
  <si>
    <t>Description</t>
  </si>
  <si>
    <t>ABP Buildcon is an Infrastructure company that makes Roads, Bridges, and Real Estate projects.</t>
  </si>
  <si>
    <t>A 200 km highway construction project is undertaken by ABP Buildcon. Construction is expected to be completed in 1 year, starting at the beginning of year 0. This project is retained by ABP Buildcon. for 10 years and then transfered to the government for 0 cost. This project earns revenues by collecting tolls from vehicles.</t>
  </si>
  <si>
    <t>Q1 - Make a Profit &amp; Loss Statement for the project for 10 Years and calculate NOPAT for the same period</t>
  </si>
  <si>
    <t>For this project, initial investment includes costs incurred for purchase and installation of fixed assets and cost incurred for construction (labour wages, electricity, petrol, raw material, etc.).This initial investment sums up to Rs. 2,724,137,931. The company took 2 loans to finance this project. First loan was taken from SBI of Rs. 908,045,977 for a period of 10 years at interest rate of 9.5%. The second loan was taken from BOI of Rs. 1,816,091,954 for a period of 10 years at interest rate of 10.4%</t>
  </si>
  <si>
    <t xml:space="preserve">Other information about the project is as below - </t>
  </si>
  <si>
    <t xml:space="preserve">Capex &amp; Financing Details - </t>
  </si>
  <si>
    <t xml:space="preserve">Revenue Details - </t>
  </si>
  <si>
    <t>Revenue is generated by collecting toll from Buses, Private vehicles and Commercial vehicles that cross the highway once the construction is completed.</t>
  </si>
  <si>
    <t xml:space="preserve">Bus - </t>
  </si>
  <si>
    <t>It is estimated that 1,000,000 buses will cross the highways in Y1 and this number increases by 15% per annum. Toll charges will be Rs.234 per bus and it is expected that the toll amount will increase by 4.5% per annum.</t>
  </si>
  <si>
    <t>It is estimated that 1,500,000 private vehicles will cross the highway in Y1 and this number increases by 12% per annum. Toll charges will be Rs. 68 per private vehicle and it is expected that the toll amount will increase by 6.2% per annum.</t>
  </si>
  <si>
    <t>It is estimated that 1,700,000 commercial vehicles will cross the highway in Y1 and this number increases by 11.5% per annum. Toll charges will be Rs. 113 per commercial vehicle and it is expected that the toll amount will increase by 4.9% per annum.</t>
  </si>
  <si>
    <t>Private Vehicle -</t>
  </si>
  <si>
    <t>Commercial Vehicle -</t>
  </si>
  <si>
    <t xml:space="preserve">Operational Expenses - </t>
  </si>
  <si>
    <t>The costs incurred per annum once the highway starts functioning is-</t>
  </si>
  <si>
    <t>Salary to staff of Rs. 45,480,000. The salary to staff increases by 5% every year.</t>
  </si>
  <si>
    <t>Maintenance cost of Rs. 70,000,000 is incurred per annum. This amount increases by 4.25% every year.</t>
  </si>
  <si>
    <t xml:space="preserve">Tax - </t>
  </si>
  <si>
    <t>Tax is expected to be levied at 26.5%.</t>
  </si>
  <si>
    <t>Initial Investemnt</t>
  </si>
  <si>
    <t>Depriciation</t>
  </si>
  <si>
    <t>Years</t>
  </si>
  <si>
    <t>Rs</t>
  </si>
  <si>
    <t>Life of Project</t>
  </si>
  <si>
    <t>List</t>
  </si>
  <si>
    <t>Bus</t>
  </si>
  <si>
    <t>Private Vehicle</t>
  </si>
  <si>
    <t>Commercial Vehicle</t>
  </si>
  <si>
    <t>Number of Vehicles (Y1)</t>
  </si>
  <si>
    <t>Y1 Toll Charge (in Rs)</t>
  </si>
  <si>
    <t>Operational Expenses</t>
  </si>
  <si>
    <t>Salary</t>
  </si>
  <si>
    <t>Maintenance Cost</t>
  </si>
  <si>
    <t>Amount (in Rs)</t>
  </si>
  <si>
    <t>Yearly Growth (in %)</t>
  </si>
  <si>
    <t>Revenue from Sales</t>
  </si>
  <si>
    <t>Loan</t>
  </si>
  <si>
    <t>Loan_SBI</t>
  </si>
  <si>
    <t>Loan_BOI</t>
  </si>
  <si>
    <t>Loan Repayment Year</t>
  </si>
  <si>
    <t>Loan Taken Year</t>
  </si>
  <si>
    <t>Tax</t>
  </si>
  <si>
    <t>Number of Vehicles</t>
  </si>
  <si>
    <t>Y1</t>
  </si>
  <si>
    <t>Y2</t>
  </si>
  <si>
    <t>Y3</t>
  </si>
  <si>
    <t>Y4</t>
  </si>
  <si>
    <t>Y5</t>
  </si>
  <si>
    <t>Y6</t>
  </si>
  <si>
    <t>Y7</t>
  </si>
  <si>
    <t>Y8</t>
  </si>
  <si>
    <t>Y9</t>
  </si>
  <si>
    <t>Y10</t>
  </si>
  <si>
    <t>Toll Per Vehicle (in Rs)</t>
  </si>
  <si>
    <t>Total Sales From Toll (in Rs)</t>
  </si>
  <si>
    <t>Total Sales Collection</t>
  </si>
  <si>
    <t>Sales Calculation (In Rs)</t>
  </si>
  <si>
    <t>Operating Expenses (in Rs)</t>
  </si>
  <si>
    <t>Total Opex</t>
  </si>
  <si>
    <t>Depriciation (in Rs)</t>
  </si>
  <si>
    <t>Interest Rate (Annual)</t>
  </si>
  <si>
    <t>Interest on Loan (in Rs)</t>
  </si>
  <si>
    <t>Total Interest</t>
  </si>
  <si>
    <t>Loan Repayment (in Rs)</t>
  </si>
  <si>
    <t>Total Loan Repayment</t>
  </si>
  <si>
    <t>Profit &amp; Loss Statement</t>
  </si>
  <si>
    <t>Revenue/Sales</t>
  </si>
  <si>
    <t>Less: - Operational Expenses</t>
  </si>
  <si>
    <t>EBITDA</t>
  </si>
  <si>
    <t>Less: - Depriciation</t>
  </si>
  <si>
    <t>EBIT</t>
  </si>
  <si>
    <t>Less: - Interest</t>
  </si>
  <si>
    <t>PBT</t>
  </si>
  <si>
    <t>PAT/Net Profit</t>
  </si>
  <si>
    <t>Project NOPAT</t>
  </si>
  <si>
    <t>NOPAT</t>
  </si>
  <si>
    <t>Less: - Tax on PBT</t>
  </si>
  <si>
    <t>Capital Efficiency</t>
  </si>
  <si>
    <t>Return on Invested Capital (ROIC)</t>
  </si>
  <si>
    <t>NOPAT Growth/Decline</t>
  </si>
  <si>
    <t>Y0</t>
  </si>
  <si>
    <t>Add: - Depriciation</t>
  </si>
  <si>
    <t>Added Description</t>
  </si>
  <si>
    <t>20% of tolls collected from buses is from government buses, for which the government makes the payment after 1 month.</t>
  </si>
  <si>
    <t>Payment for Salary to staff is made after 1 month</t>
  </si>
  <si>
    <t xml:space="preserve">Account Receivables - </t>
  </si>
  <si>
    <t xml:space="preserve">Account Payables - </t>
  </si>
  <si>
    <t>Payment for Maintenace Cost is made after 2 months</t>
  </si>
  <si>
    <t>At the end of the 10 year period all the receivables will be collected and all the outstanding salary and maintenance cost will be repaid.</t>
  </si>
  <si>
    <t>Q2 - Calculate Working Capital Change and Free Cash Flows for the given period</t>
  </si>
  <si>
    <t>Working Capital Change</t>
  </si>
  <si>
    <t>Current Asset</t>
  </si>
  <si>
    <t>Account Receivables</t>
  </si>
  <si>
    <t>Govt. Vehicle Share %</t>
  </si>
  <si>
    <t>After 1 Month</t>
  </si>
  <si>
    <t>Receivables</t>
  </si>
  <si>
    <t>Tolls from Govt Busses</t>
  </si>
  <si>
    <t>Adjusted Calculation for Question 2</t>
  </si>
  <si>
    <t>Receivable at the end of Years</t>
  </si>
  <si>
    <t>Total Current Assets</t>
  </si>
  <si>
    <t>Current Liabilities</t>
  </si>
  <si>
    <t>Payables</t>
  </si>
  <si>
    <t>Salary to Staff</t>
  </si>
  <si>
    <t>Collection Schedule (Govt. Vehicle)</t>
  </si>
  <si>
    <t>Payment Schedule</t>
  </si>
  <si>
    <t>After 2 Month</t>
  </si>
  <si>
    <t>Added Assumption for Question 2</t>
  </si>
  <si>
    <t>Assumption for Question 1</t>
  </si>
  <si>
    <t>Payable at the end of Years</t>
  </si>
  <si>
    <t>Account Payables</t>
  </si>
  <si>
    <t>Total Current Liabilities</t>
  </si>
  <si>
    <t>Net Working Capital</t>
  </si>
  <si>
    <t>Increase/Decrease in Working Capital</t>
  </si>
  <si>
    <t>Working Capital Chnages</t>
  </si>
  <si>
    <t>Free Cash Flow</t>
  </si>
  <si>
    <t>Less: - Change in Working Capital</t>
  </si>
  <si>
    <t>Operating Cash Flow</t>
  </si>
  <si>
    <t>Capital Expenditure</t>
  </si>
  <si>
    <t>Free Cash Flow (FCF)</t>
  </si>
  <si>
    <t>Assumptions</t>
  </si>
  <si>
    <t>Calculations</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</si>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</sst>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5"/>
      <color theme="3"/>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b/>
      <sz val="16"/>
      <color theme="1"/>
      <name val="Calibri"/>
      <family val="2"/>
      <scheme val="minor"/>
    </font>
    <font>
      <sz val="8"/>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mediumGray">
        <fgColor theme="8" tint="0.59996337778862885"/>
        <bgColor indexed="65"/>
      </patternFill>
    </fill>
    <fill>
      <patternFill patternType="solid">
        <fgColor theme="0" tint="-0.34998626667073579"/>
        <bgColor indexed="64"/>
      </patternFill>
    </fill>
    <fill>
      <patternFill patternType="solid">
        <fgColor theme="3" tint="0.59999389629810485"/>
        <bgColor indexed="64"/>
      </patternFill>
    </fill>
    <fill>
      <patternFill patternType="lightGray">
        <fgColor theme="2" tint="-0.499984740745262"/>
        <bgColor indexed="65"/>
      </patternFill>
    </fill>
    <fill>
      <patternFill patternType="solid">
        <fgColor theme="3" tint="0.39997558519241921"/>
        <bgColor indexed="64"/>
      </patternFill>
    </fill>
    <fill>
      <patternFill patternType="solid">
        <fgColor theme="4" tint="0.59999389629810485"/>
        <bgColor indexed="64"/>
      </patternFill>
    </fill>
  </fills>
  <borders count="9">
    <border>
      <left/>
      <right/>
      <top/>
      <bottom/>
      <diagonal/>
    </border>
    <border>
      <left/>
      <right/>
      <top/>
      <bottom style="thick">
        <color theme="4"/>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double">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9" fontId="1" fillId="0" borderId="0" applyFont="0" applyFill="0" applyBorder="0" applyAlignment="0" applyProtection="0"/>
    <xf numFmtId="0" fontId="2" fillId="0" borderId="1" applyNumberFormat="0" applyFill="0" applyAlignment="0" applyProtection="0"/>
    <xf numFmtId="0" fontId="4" fillId="0" borderId="0" applyNumberFormat="0" applyFill="0" applyBorder="0" applyAlignment="0" applyProtection="0"/>
  </cellStyleXfs>
  <cellXfs count="42">
    <xf numFmtId="0" fontId="0" fillId="0" borderId="0" xfId="0"/>
    <xf numFmtId="0" fontId="0" fillId="0" borderId="2" xfId="0" applyBorder="1"/>
    <xf numFmtId="0" fontId="0" fillId="0" borderId="2" xfId="0" applyBorder="1" applyAlignment="1">
      <alignment wrapText="1"/>
    </xf>
    <xf numFmtId="0" fontId="3" fillId="0" borderId="0" xfId="0" applyFont="1"/>
    <xf numFmtId="0" fontId="5" fillId="0" borderId="0" xfId="0" applyFont="1"/>
    <xf numFmtId="0" fontId="6" fillId="0" borderId="0" xfId="0" applyFont="1"/>
    <xf numFmtId="0" fontId="3" fillId="0" borderId="2" xfId="0" applyFont="1" applyBorder="1"/>
    <xf numFmtId="0" fontId="0" fillId="0" borderId="3" xfId="0" applyBorder="1"/>
    <xf numFmtId="0" fontId="3" fillId="0" borderId="3" xfId="0" applyFont="1" applyBorder="1"/>
    <xf numFmtId="9" fontId="0" fillId="0" borderId="0" xfId="0" applyNumberFormat="1"/>
    <xf numFmtId="2" fontId="0" fillId="0" borderId="0" xfId="0" applyNumberFormat="1"/>
    <xf numFmtId="2" fontId="3" fillId="0" borderId="0" xfId="0" applyNumberFormat="1" applyFont="1"/>
    <xf numFmtId="0" fontId="2" fillId="0" borderId="1" xfId="2"/>
    <xf numFmtId="0" fontId="0" fillId="0" borderId="4" xfId="0" applyBorder="1"/>
    <xf numFmtId="2" fontId="0" fillId="0" borderId="4" xfId="0" applyNumberFormat="1" applyBorder="1"/>
    <xf numFmtId="0" fontId="3" fillId="0" borderId="4" xfId="0" applyFont="1" applyBorder="1"/>
    <xf numFmtId="0" fontId="3" fillId="0" borderId="5" xfId="0" applyFont="1" applyBorder="1"/>
    <xf numFmtId="2" fontId="0" fillId="0" borderId="5" xfId="0" applyNumberFormat="1" applyBorder="1"/>
    <xf numFmtId="9" fontId="0" fillId="0" borderId="0" xfId="1" applyFont="1"/>
    <xf numFmtId="0" fontId="0" fillId="3" borderId="0" xfId="0" applyFill="1"/>
    <xf numFmtId="0" fontId="0" fillId="4" borderId="0" xfId="0" applyFill="1"/>
    <xf numFmtId="9" fontId="1" fillId="0" borderId="0" xfId="1" applyFont="1"/>
    <xf numFmtId="0" fontId="0" fillId="6" borderId="0" xfId="0" applyFill="1"/>
    <xf numFmtId="0" fontId="0" fillId="0" borderId="6" xfId="0" applyBorder="1"/>
    <xf numFmtId="0" fontId="3" fillId="0" borderId="6" xfId="0" applyFont="1" applyBorder="1"/>
    <xf numFmtId="10" fontId="0" fillId="0" borderId="6" xfId="0" applyNumberFormat="1" applyBorder="1"/>
    <xf numFmtId="10" fontId="0" fillId="0" borderId="0" xfId="0" applyNumberFormat="1"/>
    <xf numFmtId="0" fontId="0" fillId="6" borderId="6" xfId="0" applyFill="1" applyBorder="1"/>
    <xf numFmtId="0" fontId="5" fillId="0" borderId="7" xfId="0" applyFont="1" applyBorder="1"/>
    <xf numFmtId="0" fontId="0" fillId="0" borderId="8" xfId="0" applyBorder="1"/>
    <xf numFmtId="0" fontId="3" fillId="0" borderId="2" xfId="0" applyFont="1" applyBorder="1" applyAlignment="1">
      <alignment horizontal="right"/>
    </xf>
    <xf numFmtId="0" fontId="4" fillId="0" borderId="0" xfId="3" applyAlignment="1">
      <alignment horizontal="left" indent="1"/>
    </xf>
    <xf numFmtId="0" fontId="0" fillId="0" borderId="4" xfId="0" applyBorder="1" applyAlignment="1">
      <alignment horizontal="left" wrapText="1"/>
    </xf>
    <xf numFmtId="0" fontId="0" fillId="0" borderId="0" xfId="0" applyAlignment="1">
      <alignment horizontal="left" wrapText="1"/>
    </xf>
    <xf numFmtId="0" fontId="0" fillId="0" borderId="2" xfId="0" applyBorder="1" applyAlignment="1">
      <alignment horizontal="left" wrapText="1"/>
    </xf>
    <xf numFmtId="0" fontId="0" fillId="0" borderId="0" xfId="0" applyAlignment="1">
      <alignment horizontal="center" vertical="center"/>
    </xf>
    <xf numFmtId="0" fontId="0" fillId="0" borderId="2" xfId="0" applyBorder="1" applyAlignment="1">
      <alignment horizontal="center" vertical="center"/>
    </xf>
    <xf numFmtId="0" fontId="3" fillId="2" borderId="0" xfId="0" applyFont="1" applyFill="1" applyAlignment="1">
      <alignment horizontal="center"/>
    </xf>
    <xf numFmtId="0" fontId="3" fillId="2" borderId="6" xfId="0" applyFont="1" applyFill="1" applyBorder="1" applyAlignment="1">
      <alignment horizontal="center"/>
    </xf>
    <xf numFmtId="0" fontId="3" fillId="7" borderId="0" xfId="0" applyFont="1" applyFill="1" applyAlignment="1">
      <alignment horizontal="center"/>
    </xf>
    <xf numFmtId="0" fontId="3" fillId="5" borderId="0" xfId="0" applyFont="1" applyFill="1" applyAlignment="1">
      <alignment horizontal="left"/>
    </xf>
    <xf numFmtId="0" fontId="3" fillId="8" borderId="0" xfId="0" applyFont="1" applyFill="1" applyAlignment="1">
      <alignment horizontal="center"/>
    </xf>
  </cellXfs>
  <cellStyles count="4">
    <cellStyle name="Heading 1" xfId="2" builtinId="16"/>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3DC317-A1D5-4C8A-9D94-E2950D867447}">
  <dimension ref="B1:C9"/>
  <sheetViews>
    <sheetView showGridLines="0" workbookViewId="0">
      <selection activeCell="J9" sqref="J9"/>
    </sheetView>
  </sheetViews>
  <sheetFormatPr defaultRowHeight="15" x14ac:dyDescent="0.25"/>
  <cols>
    <col min="2" max="2" width="3.7109375" customWidth="1"/>
    <col min="3" max="3" width="24.140625" customWidth="1"/>
    <col min="5" max="5" width="30.140625" customWidth="1"/>
  </cols>
  <sheetData>
    <row r="1" spans="2:3" ht="20.25" thickBot="1" x14ac:dyDescent="0.35">
      <c r="B1" s="12" t="s">
        <v>123</v>
      </c>
      <c r="C1" s="12"/>
    </row>
    <row r="2" spans="2:3" ht="15.75" thickTop="1" x14ac:dyDescent="0.25"/>
    <row r="3" spans="2:3" ht="22.5" customHeight="1" x14ac:dyDescent="0.25">
      <c r="B3">
        <v>1</v>
      </c>
      <c r="C3" s="31" t="s">
        <v>0</v>
      </c>
    </row>
    <row r="4" spans="2:3" ht="22.5" customHeight="1" x14ac:dyDescent="0.25">
      <c r="B4">
        <v>2</v>
      </c>
      <c r="C4" s="31" t="s">
        <v>121</v>
      </c>
    </row>
    <row r="5" spans="2:3" ht="22.5" customHeight="1" x14ac:dyDescent="0.25">
      <c r="B5">
        <v>3</v>
      </c>
      <c r="C5" s="31" t="s">
        <v>122</v>
      </c>
    </row>
    <row r="6" spans="2:3" ht="22.5" customHeight="1" x14ac:dyDescent="0.25">
      <c r="B6">
        <v>4</v>
      </c>
      <c r="C6" s="31" t="s">
        <v>67</v>
      </c>
    </row>
    <row r="7" spans="2:3" ht="22.5" customHeight="1" x14ac:dyDescent="0.25">
      <c r="B7">
        <v>5</v>
      </c>
      <c r="C7" s="31" t="s">
        <v>77</v>
      </c>
    </row>
    <row r="8" spans="2:3" ht="22.5" customHeight="1" x14ac:dyDescent="0.25">
      <c r="B8">
        <v>6</v>
      </c>
      <c r="C8" s="31" t="s">
        <v>92</v>
      </c>
    </row>
    <row r="9" spans="2:3" ht="22.5" customHeight="1" x14ac:dyDescent="0.25">
      <c r="B9">
        <v>7</v>
      </c>
      <c r="C9" s="31" t="s">
        <v>116</v>
      </c>
    </row>
  </sheetData>
  <hyperlinks>
    <hyperlink ref="C3" location="Description!A1" display="Description" xr:uid="{16145D39-4C7D-4908-8BCE-D352A18CF5FE}"/>
    <hyperlink ref="C4" location="Assumption!A1" display="Assumptions" xr:uid="{0A8AB8F2-E064-4946-A72F-8C5DB623F17B}"/>
    <hyperlink ref="C5" location="Calculations!A1" display="Calculations" xr:uid="{1C425F93-FB1B-44A3-8723-7E77AEB56B81}"/>
    <hyperlink ref="C6" location="'Profit &amp; Loss Statement'!A1" display="Profit &amp; Loss Statement" xr:uid="{85E73763-4ECB-4FEF-AED9-0083B4297390}"/>
    <hyperlink ref="C7" location="NOPAT!A1" display="NOPAT" xr:uid="{D797722F-4633-4F69-9C90-F30AB487686C}"/>
    <hyperlink ref="C8" location="'Working Capital Change'!A1" display="Working Capital Change" xr:uid="{0738D511-776E-43B7-BE28-142F9DECF0F6}"/>
    <hyperlink ref="C9" location="'Free Cash Flow'!A1" display="Free Cash Flow" xr:uid="{9D58D4A7-78BA-4BBF-B604-9FCC1247B01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51"/>
  <sheetViews>
    <sheetView showGridLines="0" workbookViewId="0">
      <selection activeCell="Q38" sqref="Q38"/>
    </sheetView>
  </sheetViews>
  <sheetFormatPr defaultRowHeight="15" x14ac:dyDescent="0.25"/>
  <cols>
    <col min="1" max="1" width="2.7109375" customWidth="1"/>
    <col min="2" max="2" width="4.5703125" customWidth="1"/>
    <col min="3" max="3" width="5.140625" customWidth="1"/>
  </cols>
  <sheetData>
    <row r="1" spans="2:14" ht="21" x14ac:dyDescent="0.35">
      <c r="B1" s="5" t="s">
        <v>0</v>
      </c>
    </row>
    <row r="3" spans="2:14" x14ac:dyDescent="0.25">
      <c r="B3" s="1" t="s">
        <v>1</v>
      </c>
      <c r="C3" s="1"/>
      <c r="D3" s="1"/>
      <c r="E3" s="1"/>
      <c r="F3" s="1"/>
      <c r="G3" s="1"/>
      <c r="H3" s="1"/>
      <c r="I3" s="1"/>
      <c r="J3" s="1"/>
      <c r="K3" s="1"/>
      <c r="L3" s="1"/>
      <c r="M3" s="1"/>
    </row>
    <row r="4" spans="2:14" ht="15" customHeight="1" x14ac:dyDescent="0.25">
      <c r="B4" s="32" t="s">
        <v>2</v>
      </c>
      <c r="C4" s="32"/>
      <c r="D4" s="32"/>
      <c r="E4" s="32"/>
      <c r="F4" s="32"/>
      <c r="G4" s="32"/>
      <c r="H4" s="32"/>
      <c r="I4" s="32"/>
      <c r="J4" s="32"/>
      <c r="K4" s="32"/>
      <c r="L4" s="32"/>
      <c r="M4" s="32"/>
    </row>
    <row r="5" spans="2:14" x14ac:dyDescent="0.25">
      <c r="B5" s="33"/>
      <c r="C5" s="33"/>
      <c r="D5" s="33"/>
      <c r="E5" s="33"/>
      <c r="F5" s="33"/>
      <c r="G5" s="33"/>
      <c r="H5" s="33"/>
      <c r="I5" s="33"/>
      <c r="J5" s="33"/>
      <c r="K5" s="33"/>
      <c r="L5" s="33"/>
      <c r="M5" s="33"/>
    </row>
    <row r="6" spans="2:14" x14ac:dyDescent="0.25">
      <c r="B6" s="34"/>
      <c r="C6" s="34"/>
      <c r="D6" s="34"/>
      <c r="E6" s="34"/>
      <c r="F6" s="34"/>
      <c r="G6" s="34"/>
      <c r="H6" s="34"/>
      <c r="I6" s="34"/>
      <c r="J6" s="34"/>
      <c r="K6" s="34"/>
      <c r="L6" s="34"/>
      <c r="M6" s="34"/>
    </row>
    <row r="8" spans="2:14" ht="15.75" x14ac:dyDescent="0.25">
      <c r="B8" s="28" t="s">
        <v>3</v>
      </c>
      <c r="C8" s="7"/>
      <c r="D8" s="7"/>
      <c r="E8" s="7"/>
      <c r="F8" s="7"/>
      <c r="G8" s="7"/>
      <c r="H8" s="7"/>
      <c r="I8" s="7"/>
      <c r="J8" s="7"/>
      <c r="K8" s="7"/>
      <c r="L8" s="7"/>
      <c r="M8" s="7"/>
      <c r="N8" s="29"/>
    </row>
    <row r="9" spans="2:14" ht="15.75" x14ac:dyDescent="0.25">
      <c r="B9" s="4"/>
    </row>
    <row r="10" spans="2:14" x14ac:dyDescent="0.25">
      <c r="B10" t="s">
        <v>5</v>
      </c>
    </row>
    <row r="11" spans="2:14" x14ac:dyDescent="0.25">
      <c r="B11" s="6" t="s">
        <v>6</v>
      </c>
      <c r="C11" s="1"/>
      <c r="D11" s="1"/>
      <c r="E11" s="1"/>
    </row>
    <row r="12" spans="2:14" x14ac:dyDescent="0.25">
      <c r="B12" s="35"/>
      <c r="C12" s="33" t="s">
        <v>4</v>
      </c>
      <c r="D12" s="33"/>
      <c r="E12" s="33"/>
      <c r="F12" s="33"/>
      <c r="G12" s="33"/>
      <c r="H12" s="33"/>
      <c r="I12" s="33"/>
      <c r="J12" s="33"/>
      <c r="K12" s="33"/>
      <c r="L12" s="33"/>
      <c r="M12" s="33"/>
    </row>
    <row r="13" spans="2:14" x14ac:dyDescent="0.25">
      <c r="B13" s="35"/>
      <c r="C13" s="33"/>
      <c r="D13" s="33"/>
      <c r="E13" s="33"/>
      <c r="F13" s="33"/>
      <c r="G13" s="33"/>
      <c r="H13" s="33"/>
      <c r="I13" s="33"/>
      <c r="J13" s="33"/>
      <c r="K13" s="33"/>
      <c r="L13" s="33"/>
      <c r="M13" s="33"/>
    </row>
    <row r="14" spans="2:14" x14ac:dyDescent="0.25">
      <c r="B14" s="35"/>
      <c r="C14" s="33"/>
      <c r="D14" s="33"/>
      <c r="E14" s="33"/>
      <c r="F14" s="33"/>
      <c r="G14" s="33"/>
      <c r="H14" s="33"/>
      <c r="I14" s="33"/>
      <c r="J14" s="33"/>
      <c r="K14" s="33"/>
      <c r="L14" s="33"/>
      <c r="M14" s="33"/>
    </row>
    <row r="15" spans="2:14" x14ac:dyDescent="0.25">
      <c r="B15" s="35"/>
      <c r="C15" s="33"/>
      <c r="D15" s="33"/>
      <c r="E15" s="33"/>
      <c r="F15" s="33"/>
      <c r="G15" s="33"/>
      <c r="H15" s="33"/>
      <c r="I15" s="33"/>
      <c r="J15" s="33"/>
      <c r="K15" s="33"/>
      <c r="L15" s="33"/>
      <c r="M15" s="33"/>
    </row>
    <row r="16" spans="2:14" x14ac:dyDescent="0.25">
      <c r="B16" s="36"/>
      <c r="C16" s="34"/>
      <c r="D16" s="34"/>
      <c r="E16" s="34"/>
      <c r="F16" s="34"/>
      <c r="G16" s="34"/>
      <c r="H16" s="34"/>
      <c r="I16" s="34"/>
      <c r="J16" s="34"/>
      <c r="K16" s="34"/>
      <c r="L16" s="34"/>
      <c r="M16" s="34"/>
    </row>
    <row r="17" spans="2:13" x14ac:dyDescent="0.25">
      <c r="B17" s="8" t="s">
        <v>7</v>
      </c>
      <c r="C17" s="7"/>
      <c r="D17" s="7"/>
      <c r="E17" s="7"/>
    </row>
    <row r="18" spans="2:13" x14ac:dyDescent="0.25">
      <c r="C18" s="33" t="s">
        <v>8</v>
      </c>
      <c r="D18" s="33"/>
      <c r="E18" s="33"/>
      <c r="F18" s="33"/>
      <c r="G18" s="33"/>
      <c r="H18" s="33"/>
      <c r="I18" s="33"/>
      <c r="J18" s="33"/>
      <c r="K18" s="33"/>
      <c r="L18" s="33"/>
      <c r="M18" s="33"/>
    </row>
    <row r="19" spans="2:13" x14ac:dyDescent="0.25">
      <c r="C19" s="33"/>
      <c r="D19" s="33"/>
      <c r="E19" s="33"/>
      <c r="F19" s="33"/>
      <c r="G19" s="33"/>
      <c r="H19" s="33"/>
      <c r="I19" s="33"/>
      <c r="J19" s="33"/>
      <c r="K19" s="33"/>
      <c r="L19" s="33"/>
      <c r="M19" s="33"/>
    </row>
    <row r="20" spans="2:13" x14ac:dyDescent="0.25">
      <c r="C20" s="3" t="s">
        <v>9</v>
      </c>
    </row>
    <row r="21" spans="2:13" ht="15" customHeight="1" x14ac:dyDescent="0.25">
      <c r="C21" s="33" t="s">
        <v>10</v>
      </c>
      <c r="D21" s="33"/>
      <c r="E21" s="33"/>
      <c r="F21" s="33"/>
      <c r="G21" s="33"/>
      <c r="H21" s="33"/>
      <c r="I21" s="33"/>
      <c r="J21" s="33"/>
      <c r="K21" s="33"/>
      <c r="L21" s="33"/>
      <c r="M21" s="33"/>
    </row>
    <row r="22" spans="2:13" x14ac:dyDescent="0.25">
      <c r="C22" s="33"/>
      <c r="D22" s="33"/>
      <c r="E22" s="33"/>
      <c r="F22" s="33"/>
      <c r="G22" s="33"/>
      <c r="H22" s="33"/>
      <c r="I22" s="33"/>
      <c r="J22" s="33"/>
      <c r="K22" s="33"/>
      <c r="L22" s="33"/>
      <c r="M22" s="33"/>
    </row>
    <row r="23" spans="2:13" x14ac:dyDescent="0.25">
      <c r="C23" s="33"/>
      <c r="D23" s="33"/>
      <c r="E23" s="33"/>
      <c r="F23" s="33"/>
      <c r="G23" s="33"/>
      <c r="H23" s="33"/>
      <c r="I23" s="33"/>
      <c r="J23" s="33"/>
      <c r="K23" s="33"/>
      <c r="L23" s="33"/>
      <c r="M23" s="33"/>
    </row>
    <row r="24" spans="2:13" x14ac:dyDescent="0.25">
      <c r="C24" s="3" t="s">
        <v>13</v>
      </c>
    </row>
    <row r="25" spans="2:13" x14ac:dyDescent="0.25">
      <c r="C25" s="33" t="s">
        <v>11</v>
      </c>
      <c r="D25" s="33"/>
      <c r="E25" s="33"/>
      <c r="F25" s="33"/>
      <c r="G25" s="33"/>
      <c r="H25" s="33"/>
      <c r="I25" s="33"/>
      <c r="J25" s="33"/>
      <c r="K25" s="33"/>
      <c r="L25" s="33"/>
      <c r="M25" s="33"/>
    </row>
    <row r="26" spans="2:13" x14ac:dyDescent="0.25">
      <c r="C26" s="33"/>
      <c r="D26" s="33"/>
      <c r="E26" s="33"/>
      <c r="F26" s="33"/>
      <c r="G26" s="33"/>
      <c r="H26" s="33"/>
      <c r="I26" s="33"/>
      <c r="J26" s="33"/>
      <c r="K26" s="33"/>
      <c r="L26" s="33"/>
      <c r="M26" s="33"/>
    </row>
    <row r="27" spans="2:13" x14ac:dyDescent="0.25">
      <c r="C27" s="33"/>
      <c r="D27" s="33"/>
      <c r="E27" s="33"/>
      <c r="F27" s="33"/>
      <c r="G27" s="33"/>
      <c r="H27" s="33"/>
      <c r="I27" s="33"/>
      <c r="J27" s="33"/>
      <c r="K27" s="33"/>
      <c r="L27" s="33"/>
      <c r="M27" s="33"/>
    </row>
    <row r="28" spans="2:13" x14ac:dyDescent="0.25">
      <c r="C28" s="3" t="s">
        <v>14</v>
      </c>
    </row>
    <row r="29" spans="2:13" x14ac:dyDescent="0.25">
      <c r="C29" s="33" t="s">
        <v>12</v>
      </c>
      <c r="D29" s="33"/>
      <c r="E29" s="33"/>
      <c r="F29" s="33"/>
      <c r="G29" s="33"/>
      <c r="H29" s="33"/>
      <c r="I29" s="33"/>
      <c r="J29" s="33"/>
      <c r="K29" s="33"/>
      <c r="L29" s="33"/>
      <c r="M29" s="33"/>
    </row>
    <row r="30" spans="2:13" x14ac:dyDescent="0.25">
      <c r="C30" s="33"/>
      <c r="D30" s="33"/>
      <c r="E30" s="33"/>
      <c r="F30" s="33"/>
      <c r="G30" s="33"/>
      <c r="H30" s="33"/>
      <c r="I30" s="33"/>
      <c r="J30" s="33"/>
      <c r="K30" s="33"/>
      <c r="L30" s="33"/>
      <c r="M30" s="33"/>
    </row>
    <row r="31" spans="2:13" x14ac:dyDescent="0.25">
      <c r="B31" s="1"/>
      <c r="C31" s="34"/>
      <c r="D31" s="34"/>
      <c r="E31" s="34"/>
      <c r="F31" s="34"/>
      <c r="G31" s="34"/>
      <c r="H31" s="34"/>
      <c r="I31" s="34"/>
      <c r="J31" s="34"/>
      <c r="K31" s="34"/>
      <c r="L31" s="34"/>
      <c r="M31" s="34"/>
    </row>
    <row r="32" spans="2:13" x14ac:dyDescent="0.25">
      <c r="B32" s="8" t="s">
        <v>15</v>
      </c>
      <c r="C32" s="7"/>
      <c r="D32" s="7"/>
      <c r="E32" s="7"/>
    </row>
    <row r="33" spans="2:14" x14ac:dyDescent="0.25">
      <c r="C33" t="s">
        <v>16</v>
      </c>
    </row>
    <row r="34" spans="2:14" x14ac:dyDescent="0.25">
      <c r="C34" t="s">
        <v>17</v>
      </c>
    </row>
    <row r="35" spans="2:14" x14ac:dyDescent="0.25">
      <c r="B35" s="1"/>
      <c r="C35" s="1" t="s">
        <v>18</v>
      </c>
      <c r="D35" s="1"/>
      <c r="E35" s="1"/>
      <c r="F35" s="1"/>
      <c r="G35" s="1"/>
      <c r="H35" s="1"/>
      <c r="I35" s="1"/>
      <c r="J35" s="1"/>
      <c r="K35" s="1"/>
      <c r="L35" s="1"/>
      <c r="M35" s="1"/>
    </row>
    <row r="36" spans="2:14" x14ac:dyDescent="0.25">
      <c r="B36" s="6" t="s">
        <v>19</v>
      </c>
      <c r="C36" s="1"/>
      <c r="D36" s="1"/>
      <c r="E36" s="1"/>
    </row>
    <row r="37" spans="2:14" x14ac:dyDescent="0.25">
      <c r="B37" s="1"/>
      <c r="C37" s="1" t="s">
        <v>20</v>
      </c>
      <c r="D37" s="1"/>
      <c r="E37" s="1"/>
      <c r="F37" s="1"/>
      <c r="G37" s="1"/>
      <c r="H37" s="1"/>
      <c r="I37" s="1"/>
      <c r="J37" s="1"/>
      <c r="K37" s="1"/>
      <c r="L37" s="1"/>
      <c r="M37" s="1"/>
    </row>
    <row r="40" spans="2:14" ht="21" x14ac:dyDescent="0.35">
      <c r="B40" s="5" t="s">
        <v>84</v>
      </c>
    </row>
    <row r="42" spans="2:14" ht="15.75" x14ac:dyDescent="0.25">
      <c r="B42" s="28" t="s">
        <v>91</v>
      </c>
      <c r="C42" s="7"/>
      <c r="D42" s="7"/>
      <c r="E42" s="7"/>
      <c r="F42" s="7"/>
      <c r="G42" s="7"/>
      <c r="H42" s="7"/>
      <c r="I42" s="7"/>
      <c r="J42" s="7"/>
      <c r="K42" s="7"/>
      <c r="L42" s="7"/>
      <c r="M42" s="7"/>
      <c r="N42" s="29"/>
    </row>
    <row r="43" spans="2:14" ht="15.75" x14ac:dyDescent="0.25">
      <c r="B43" s="4"/>
    </row>
    <row r="44" spans="2:14" x14ac:dyDescent="0.25">
      <c r="B44" s="6" t="s">
        <v>87</v>
      </c>
      <c r="C44" s="1"/>
      <c r="D44" s="1"/>
      <c r="E44" s="1"/>
    </row>
    <row r="45" spans="2:14" ht="15" customHeight="1" x14ac:dyDescent="0.25">
      <c r="C45" s="33" t="s">
        <v>85</v>
      </c>
      <c r="D45" s="33"/>
      <c r="E45" s="33"/>
      <c r="F45" s="33"/>
      <c r="G45" s="33"/>
      <c r="H45" s="33"/>
      <c r="I45" s="33"/>
      <c r="J45" s="33"/>
      <c r="K45" s="33"/>
      <c r="L45" s="33"/>
      <c r="M45" s="33"/>
    </row>
    <row r="46" spans="2:14" x14ac:dyDescent="0.25">
      <c r="B46" s="2"/>
      <c r="C46" s="34"/>
      <c r="D46" s="34"/>
      <c r="E46" s="34"/>
      <c r="F46" s="34"/>
      <c r="G46" s="34"/>
      <c r="H46" s="34"/>
      <c r="I46" s="34"/>
      <c r="J46" s="34"/>
      <c r="K46" s="34"/>
      <c r="L46" s="34"/>
      <c r="M46" s="34"/>
    </row>
    <row r="47" spans="2:14" x14ac:dyDescent="0.25">
      <c r="B47" s="8" t="s">
        <v>88</v>
      </c>
      <c r="C47" s="8"/>
      <c r="D47" s="8"/>
      <c r="E47" s="8"/>
    </row>
    <row r="48" spans="2:14" x14ac:dyDescent="0.25">
      <c r="C48" t="s">
        <v>86</v>
      </c>
    </row>
    <row r="49" spans="2:13" x14ac:dyDescent="0.25">
      <c r="B49" s="1"/>
      <c r="C49" s="1" t="s">
        <v>89</v>
      </c>
      <c r="D49" s="1"/>
      <c r="E49" s="1"/>
      <c r="F49" s="1"/>
      <c r="G49" s="1"/>
      <c r="H49" s="1"/>
      <c r="I49" s="1"/>
      <c r="J49" s="1"/>
      <c r="K49" s="1"/>
      <c r="L49" s="1"/>
      <c r="M49" s="1"/>
    </row>
    <row r="50" spans="2:13" x14ac:dyDescent="0.25">
      <c r="C50" s="32" t="s">
        <v>90</v>
      </c>
      <c r="D50" s="32"/>
      <c r="E50" s="32"/>
      <c r="F50" s="32"/>
      <c r="G50" s="32"/>
      <c r="H50" s="32"/>
      <c r="I50" s="32"/>
      <c r="J50" s="32"/>
      <c r="K50" s="32"/>
      <c r="L50" s="32"/>
      <c r="M50" s="32"/>
    </row>
    <row r="51" spans="2:13" x14ac:dyDescent="0.25">
      <c r="C51" s="33"/>
      <c r="D51" s="33"/>
      <c r="E51" s="33"/>
      <c r="F51" s="33"/>
      <c r="G51" s="33"/>
      <c r="H51" s="33"/>
      <c r="I51" s="33"/>
      <c r="J51" s="33"/>
      <c r="K51" s="33"/>
      <c r="L51" s="33"/>
      <c r="M51" s="33"/>
    </row>
  </sheetData>
  <mergeCells count="9">
    <mergeCell ref="B4:M6"/>
    <mergeCell ref="C12:M16"/>
    <mergeCell ref="B12:B16"/>
    <mergeCell ref="C45:M46"/>
    <mergeCell ref="C50:M51"/>
    <mergeCell ref="C18:M19"/>
    <mergeCell ref="C21:M23"/>
    <mergeCell ref="C25:M27"/>
    <mergeCell ref="C29:M3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F779D-1698-47D6-8AFC-42206E06B51E}">
  <dimension ref="A1:G31"/>
  <sheetViews>
    <sheetView workbookViewId="0">
      <selection activeCell="G4" sqref="G4"/>
    </sheetView>
  </sheetViews>
  <sheetFormatPr defaultRowHeight="15" x14ac:dyDescent="0.25"/>
  <cols>
    <col min="1" max="1" width="20.28515625" customWidth="1"/>
    <col min="2" max="2" width="23.28515625" customWidth="1"/>
    <col min="3" max="3" width="19.42578125" customWidth="1"/>
    <col min="4" max="4" width="21.28515625" customWidth="1"/>
    <col min="5" max="5" width="21.140625" customWidth="1"/>
    <col min="6" max="6" width="25.140625" customWidth="1"/>
    <col min="7" max="7" width="33" customWidth="1"/>
  </cols>
  <sheetData>
    <row r="1" spans="1:7" x14ac:dyDescent="0.25">
      <c r="A1" s="37" t="s">
        <v>109</v>
      </c>
      <c r="B1" s="37"/>
      <c r="C1" s="37"/>
      <c r="D1" s="37"/>
      <c r="E1" s="38"/>
      <c r="F1" s="39" t="s">
        <v>108</v>
      </c>
      <c r="G1" s="39"/>
    </row>
    <row r="2" spans="1:7" x14ac:dyDescent="0.25">
      <c r="A2" s="3" t="s">
        <v>21</v>
      </c>
      <c r="B2">
        <v>2724137931</v>
      </c>
      <c r="C2" t="s">
        <v>24</v>
      </c>
      <c r="E2" s="23"/>
    </row>
    <row r="3" spans="1:7" x14ac:dyDescent="0.25">
      <c r="E3" s="23"/>
    </row>
    <row r="4" spans="1:7" x14ac:dyDescent="0.25">
      <c r="A4" s="3" t="s">
        <v>22</v>
      </c>
      <c r="E4" s="23"/>
    </row>
    <row r="5" spans="1:7" x14ac:dyDescent="0.25">
      <c r="A5" t="s">
        <v>25</v>
      </c>
      <c r="B5">
        <v>10</v>
      </c>
      <c r="C5" t="s">
        <v>23</v>
      </c>
      <c r="E5" s="23"/>
    </row>
    <row r="6" spans="1:7" x14ac:dyDescent="0.25">
      <c r="E6" s="23"/>
    </row>
    <row r="7" spans="1:7" x14ac:dyDescent="0.25">
      <c r="E7" s="23"/>
    </row>
    <row r="8" spans="1:7" x14ac:dyDescent="0.25">
      <c r="A8" s="3" t="s">
        <v>37</v>
      </c>
      <c r="E8" s="23"/>
    </row>
    <row r="9" spans="1:7" x14ac:dyDescent="0.25">
      <c r="A9" s="3" t="s">
        <v>26</v>
      </c>
      <c r="B9" s="3" t="s">
        <v>30</v>
      </c>
      <c r="C9" s="3" t="s">
        <v>36</v>
      </c>
      <c r="D9" s="3" t="s">
        <v>31</v>
      </c>
      <c r="E9" s="24" t="s">
        <v>36</v>
      </c>
      <c r="F9" s="3" t="s">
        <v>95</v>
      </c>
      <c r="G9" s="3" t="s">
        <v>105</v>
      </c>
    </row>
    <row r="10" spans="1:7" x14ac:dyDescent="0.25">
      <c r="A10" t="s">
        <v>27</v>
      </c>
      <c r="B10">
        <v>1000000</v>
      </c>
      <c r="C10" s="9">
        <v>0.15</v>
      </c>
      <c r="D10">
        <v>234</v>
      </c>
      <c r="E10" s="25">
        <v>4.4999999999999998E-2</v>
      </c>
      <c r="F10" s="9">
        <v>0.2</v>
      </c>
      <c r="G10" t="s">
        <v>96</v>
      </c>
    </row>
    <row r="11" spans="1:7" x14ac:dyDescent="0.25">
      <c r="A11" t="s">
        <v>28</v>
      </c>
      <c r="B11">
        <v>1500000</v>
      </c>
      <c r="C11" s="9">
        <v>0.12</v>
      </c>
      <c r="D11">
        <v>68</v>
      </c>
      <c r="E11" s="25">
        <v>6.2E-2</v>
      </c>
      <c r="F11" s="9">
        <v>0</v>
      </c>
    </row>
    <row r="12" spans="1:7" x14ac:dyDescent="0.25">
      <c r="A12" t="s">
        <v>29</v>
      </c>
      <c r="B12">
        <v>1700000</v>
      </c>
      <c r="C12" s="26">
        <v>0.115</v>
      </c>
      <c r="D12">
        <v>113</v>
      </c>
      <c r="E12" s="25">
        <v>4.9000000000000002E-2</v>
      </c>
      <c r="F12" s="9">
        <v>0</v>
      </c>
    </row>
    <row r="13" spans="1:7" x14ac:dyDescent="0.25">
      <c r="E13" s="23"/>
    </row>
    <row r="14" spans="1:7" x14ac:dyDescent="0.25">
      <c r="A14" s="3" t="s">
        <v>32</v>
      </c>
      <c r="E14" s="23"/>
    </row>
    <row r="15" spans="1:7" x14ac:dyDescent="0.25">
      <c r="A15" s="3" t="s">
        <v>26</v>
      </c>
      <c r="B15" s="3" t="s">
        <v>35</v>
      </c>
      <c r="C15" s="3" t="s">
        <v>36</v>
      </c>
      <c r="D15" s="22"/>
      <c r="E15" s="27"/>
      <c r="F15" s="22"/>
      <c r="G15" s="3" t="s">
        <v>106</v>
      </c>
    </row>
    <row r="16" spans="1:7" x14ac:dyDescent="0.25">
      <c r="A16" t="s">
        <v>33</v>
      </c>
      <c r="B16">
        <v>45480000</v>
      </c>
      <c r="C16" s="9">
        <v>0.05</v>
      </c>
      <c r="D16" s="22"/>
      <c r="E16" s="27"/>
      <c r="F16" s="22"/>
      <c r="G16" t="s">
        <v>96</v>
      </c>
    </row>
    <row r="17" spans="1:7" x14ac:dyDescent="0.25">
      <c r="A17" t="s">
        <v>34</v>
      </c>
      <c r="B17">
        <v>70000000</v>
      </c>
      <c r="C17" s="26">
        <v>4.2500000000000003E-2</v>
      </c>
      <c r="D17" s="22"/>
      <c r="E17" s="27"/>
      <c r="F17" s="22"/>
      <c r="G17" t="s">
        <v>107</v>
      </c>
    </row>
    <row r="18" spans="1:7" x14ac:dyDescent="0.25">
      <c r="E18" s="23"/>
    </row>
    <row r="19" spans="1:7" x14ac:dyDescent="0.25">
      <c r="A19" s="3" t="s">
        <v>38</v>
      </c>
      <c r="E19" s="23"/>
    </row>
    <row r="20" spans="1:7" x14ac:dyDescent="0.25">
      <c r="A20" s="3" t="s">
        <v>26</v>
      </c>
      <c r="B20" s="3" t="s">
        <v>35</v>
      </c>
      <c r="C20" s="3" t="s">
        <v>42</v>
      </c>
      <c r="D20" s="3" t="s">
        <v>62</v>
      </c>
      <c r="E20" s="24" t="s">
        <v>41</v>
      </c>
    </row>
    <row r="21" spans="1:7" x14ac:dyDescent="0.25">
      <c r="A21" t="s">
        <v>39</v>
      </c>
      <c r="B21">
        <v>908045977</v>
      </c>
      <c r="C21">
        <v>0</v>
      </c>
      <c r="D21" s="26">
        <v>9.5000000000000001E-2</v>
      </c>
      <c r="E21" s="23">
        <v>10</v>
      </c>
    </row>
    <row r="22" spans="1:7" x14ac:dyDescent="0.25">
      <c r="A22" t="s">
        <v>40</v>
      </c>
      <c r="B22">
        <v>1816091954</v>
      </c>
      <c r="C22">
        <v>0</v>
      </c>
      <c r="D22" s="26">
        <v>0.104</v>
      </c>
      <c r="E22" s="23">
        <v>10</v>
      </c>
    </row>
    <row r="23" spans="1:7" x14ac:dyDescent="0.25">
      <c r="E23" s="23"/>
    </row>
    <row r="24" spans="1:7" x14ac:dyDescent="0.25">
      <c r="A24" s="3" t="s">
        <v>43</v>
      </c>
      <c r="B24" s="26">
        <v>0.26500000000000001</v>
      </c>
      <c r="E24" s="23"/>
    </row>
    <row r="25" spans="1:7" x14ac:dyDescent="0.25">
      <c r="E25" s="23"/>
    </row>
    <row r="26" spans="1:7" x14ac:dyDescent="0.25">
      <c r="E26" s="23"/>
    </row>
    <row r="27" spans="1:7" x14ac:dyDescent="0.25">
      <c r="E27" s="23"/>
    </row>
    <row r="28" spans="1:7" x14ac:dyDescent="0.25">
      <c r="E28" s="23"/>
    </row>
    <row r="29" spans="1:7" x14ac:dyDescent="0.25">
      <c r="E29" s="23"/>
    </row>
    <row r="30" spans="1:7" x14ac:dyDescent="0.25">
      <c r="E30" s="23"/>
    </row>
    <row r="31" spans="1:7" x14ac:dyDescent="0.25">
      <c r="E31" s="23"/>
    </row>
  </sheetData>
  <mergeCells count="2">
    <mergeCell ref="A1:E1"/>
    <mergeCell ref="F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06C588-E77B-423A-BC08-5BD4532FCB15}">
  <dimension ref="A1:K45"/>
  <sheetViews>
    <sheetView topLeftCell="A2" workbookViewId="0">
      <selection activeCell="K14" sqref="K14"/>
    </sheetView>
  </sheetViews>
  <sheetFormatPr defaultRowHeight="15" x14ac:dyDescent="0.25"/>
  <cols>
    <col min="1" max="1" width="27.42578125" customWidth="1"/>
    <col min="2" max="11" width="14.5703125" customWidth="1"/>
  </cols>
  <sheetData>
    <row r="1" spans="1:11" x14ac:dyDescent="0.25">
      <c r="B1" s="3" t="s">
        <v>45</v>
      </c>
      <c r="C1" s="3" t="s">
        <v>46</v>
      </c>
      <c r="D1" s="3" t="s">
        <v>47</v>
      </c>
      <c r="E1" s="3" t="s">
        <v>48</v>
      </c>
      <c r="F1" s="3" t="s">
        <v>49</v>
      </c>
      <c r="G1" s="3" t="s">
        <v>50</v>
      </c>
      <c r="H1" s="3" t="s">
        <v>51</v>
      </c>
      <c r="I1" s="3" t="s">
        <v>52</v>
      </c>
      <c r="J1" s="3" t="s">
        <v>53</v>
      </c>
      <c r="K1" s="3" t="s">
        <v>54</v>
      </c>
    </row>
    <row r="2" spans="1:11" x14ac:dyDescent="0.25">
      <c r="A2" s="3" t="s">
        <v>58</v>
      </c>
    </row>
    <row r="3" spans="1:11" x14ac:dyDescent="0.25">
      <c r="A3" s="3" t="s">
        <v>44</v>
      </c>
    </row>
    <row r="4" spans="1:11" x14ac:dyDescent="0.25">
      <c r="A4" t="s">
        <v>27</v>
      </c>
      <c r="B4">
        <f>Assumption!$B10</f>
        <v>1000000</v>
      </c>
      <c r="C4">
        <f>B4*(1+Assumption!$C10)</f>
        <v>1150000</v>
      </c>
      <c r="D4">
        <f>C4*(1+Assumption!$C10)</f>
        <v>1322500</v>
      </c>
      <c r="E4">
        <f>D4*(1+Assumption!$C10)</f>
        <v>1520874.9999999998</v>
      </c>
      <c r="F4">
        <f>E4*(1+Assumption!$C10)</f>
        <v>1749006.2499999995</v>
      </c>
      <c r="G4">
        <f>F4*(1+Assumption!$C10)</f>
        <v>2011357.1874999993</v>
      </c>
      <c r="H4">
        <f>G4*(1+Assumption!$C10)</f>
        <v>2313060.7656249991</v>
      </c>
      <c r="I4">
        <f>H4*(1+Assumption!$C10)</f>
        <v>2660019.8804687485</v>
      </c>
      <c r="J4">
        <f>I4*(1+Assumption!$C10)</f>
        <v>3059022.8625390604</v>
      </c>
      <c r="K4">
        <f>J4*(1+Assumption!$C10)</f>
        <v>3517876.2919199192</v>
      </c>
    </row>
    <row r="5" spans="1:11" x14ac:dyDescent="0.25">
      <c r="A5" t="s">
        <v>28</v>
      </c>
      <c r="B5">
        <f>Assumption!$B11</f>
        <v>1500000</v>
      </c>
      <c r="C5">
        <f>B5*(1+Assumption!$C11)</f>
        <v>1680000.0000000002</v>
      </c>
      <c r="D5">
        <f>C5*(1+Assumption!$C11)</f>
        <v>1881600.0000000005</v>
      </c>
      <c r="E5">
        <f>D5*(1+Assumption!$C11)</f>
        <v>2107392.0000000009</v>
      </c>
      <c r="F5">
        <f>E5*(1+Assumption!$C11)</f>
        <v>2360279.0400000014</v>
      </c>
      <c r="G5">
        <f>F5*(1+Assumption!$C11)</f>
        <v>2643512.5248000016</v>
      </c>
      <c r="H5">
        <f>G5*(1+Assumption!$C11)</f>
        <v>2960734.027776002</v>
      </c>
      <c r="I5">
        <f>H5*(1+Assumption!$C11)</f>
        <v>3316022.1111091226</v>
      </c>
      <c r="J5">
        <f>I5*(1+Assumption!$C11)</f>
        <v>3713944.7644422175</v>
      </c>
      <c r="K5">
        <f>J5*(1+Assumption!$C11)</f>
        <v>4159618.1361752842</v>
      </c>
    </row>
    <row r="6" spans="1:11" x14ac:dyDescent="0.25">
      <c r="A6" t="s">
        <v>29</v>
      </c>
      <c r="B6">
        <f>Assumption!$B12</f>
        <v>1700000</v>
      </c>
      <c r="C6">
        <f>B6*(1+Assumption!$C12)</f>
        <v>1895500</v>
      </c>
      <c r="D6">
        <f>C6*(1+Assumption!$C12)</f>
        <v>2113482.5</v>
      </c>
      <c r="E6">
        <f>D6*(1+Assumption!$C12)</f>
        <v>2356532.9874999998</v>
      </c>
      <c r="F6">
        <f>E6*(1+Assumption!$C12)</f>
        <v>2627534.2810624996</v>
      </c>
      <c r="G6">
        <f>F6*(1+Assumption!$C12)</f>
        <v>2929700.7233846872</v>
      </c>
      <c r="H6">
        <f>G6*(1+Assumption!$C12)</f>
        <v>3266616.306573926</v>
      </c>
      <c r="I6">
        <f>H6*(1+Assumption!$C12)</f>
        <v>3642277.1818299275</v>
      </c>
      <c r="J6">
        <f>I6*(1+Assumption!$C12)</f>
        <v>4061139.0577403693</v>
      </c>
      <c r="K6">
        <f>J6*(1+Assumption!$C12)</f>
        <v>4528170.049380512</v>
      </c>
    </row>
    <row r="8" spans="1:11" x14ac:dyDescent="0.25">
      <c r="A8" s="3" t="s">
        <v>55</v>
      </c>
    </row>
    <row r="9" spans="1:11" x14ac:dyDescent="0.25">
      <c r="A9" t="s">
        <v>27</v>
      </c>
      <c r="B9" s="10">
        <f>Assumption!$D10</f>
        <v>234</v>
      </c>
      <c r="C9" s="10">
        <f>B9*(1+Assumption!$E10)</f>
        <v>244.52999999999997</v>
      </c>
      <c r="D9" s="10">
        <f>C9*(1+Assumption!$E10)</f>
        <v>255.53384999999994</v>
      </c>
      <c r="E9" s="10">
        <f>D9*(1+Assumption!$E10)</f>
        <v>267.03287324999991</v>
      </c>
      <c r="F9" s="10">
        <f>E9*(1+Assumption!$E10)</f>
        <v>279.04935254624991</v>
      </c>
      <c r="G9" s="10">
        <f>F9*(1+Assumption!$E10)</f>
        <v>291.60657341083112</v>
      </c>
      <c r="H9" s="10">
        <f>G9*(1+Assumption!$E10)</f>
        <v>304.72886921431848</v>
      </c>
      <c r="I9" s="10">
        <f>H9*(1+Assumption!$E10)</f>
        <v>318.44166832896281</v>
      </c>
      <c r="J9" s="10">
        <f>I9*(1+Assumption!$E10)</f>
        <v>332.77154340376609</v>
      </c>
      <c r="K9" s="10">
        <f>J9*(1+Assumption!$E10)</f>
        <v>347.74626285693552</v>
      </c>
    </row>
    <row r="10" spans="1:11" x14ac:dyDescent="0.25">
      <c r="A10" t="s">
        <v>28</v>
      </c>
      <c r="B10" s="10">
        <f>Assumption!$D11</f>
        <v>68</v>
      </c>
      <c r="C10" s="10">
        <f>B10*(1+Assumption!$E11)</f>
        <v>72.216000000000008</v>
      </c>
      <c r="D10" s="10">
        <f>C10*(1+Assumption!$E11)</f>
        <v>76.693392000000017</v>
      </c>
      <c r="E10" s="10">
        <f>D10*(1+Assumption!$E11)</f>
        <v>81.44838230400002</v>
      </c>
      <c r="F10" s="10">
        <f>E10*(1+Assumption!$E11)</f>
        <v>86.498182006848026</v>
      </c>
      <c r="G10" s="10">
        <f>F10*(1+Assumption!$E11)</f>
        <v>91.861069291272614</v>
      </c>
      <c r="H10" s="10">
        <f>G10*(1+Assumption!$E11)</f>
        <v>97.556455587331527</v>
      </c>
      <c r="I10" s="10">
        <f>H10*(1+Assumption!$E11)</f>
        <v>103.60495583374609</v>
      </c>
      <c r="J10" s="10">
        <f>I10*(1+Assumption!$E11)</f>
        <v>110.02846309543835</v>
      </c>
      <c r="K10" s="10">
        <f>J10*(1+Assumption!$E11)</f>
        <v>116.85022780735554</v>
      </c>
    </row>
    <row r="11" spans="1:11" x14ac:dyDescent="0.25">
      <c r="A11" t="s">
        <v>29</v>
      </c>
      <c r="B11" s="10">
        <f>Assumption!$D12</f>
        <v>113</v>
      </c>
      <c r="C11" s="10">
        <f>B11*(1+Assumption!$E12)</f>
        <v>118.53699999999999</v>
      </c>
      <c r="D11" s="10">
        <f>C11*(1+Assumption!$E12)</f>
        <v>124.34531299999999</v>
      </c>
      <c r="E11" s="10">
        <f>D11*(1+Assumption!$E12)</f>
        <v>130.43823333699999</v>
      </c>
      <c r="F11" s="10">
        <f>E11*(1+Assumption!$E12)</f>
        <v>136.82970677051298</v>
      </c>
      <c r="G11" s="10">
        <f>F11*(1+Assumption!$E12)</f>
        <v>143.5343624022681</v>
      </c>
      <c r="H11" s="10">
        <f>G11*(1+Assumption!$E12)</f>
        <v>150.56754615997923</v>
      </c>
      <c r="I11" s="10">
        <f>H11*(1+Assumption!$E12)</f>
        <v>157.94535592181819</v>
      </c>
      <c r="J11" s="10">
        <f>I11*(1+Assumption!$E12)</f>
        <v>165.68467836198727</v>
      </c>
      <c r="K11" s="10">
        <f>J11*(1+Assumption!$E12)</f>
        <v>173.80322760172464</v>
      </c>
    </row>
    <row r="13" spans="1:11" x14ac:dyDescent="0.25">
      <c r="A13" s="3" t="s">
        <v>56</v>
      </c>
    </row>
    <row r="14" spans="1:11" x14ac:dyDescent="0.25">
      <c r="A14" t="s">
        <v>27</v>
      </c>
      <c r="B14" s="10">
        <f>B4*B9</f>
        <v>234000000</v>
      </c>
      <c r="C14" s="10">
        <f t="shared" ref="C14:K14" si="0">C4*C9</f>
        <v>281209499.99999994</v>
      </c>
      <c r="D14" s="10">
        <f t="shared" si="0"/>
        <v>337943516.62499994</v>
      </c>
      <c r="E14" s="10">
        <f t="shared" si="0"/>
        <v>406123621.10409355</v>
      </c>
      <c r="F14" s="10">
        <f t="shared" si="0"/>
        <v>488059061.66184437</v>
      </c>
      <c r="G14" s="10">
        <f t="shared" si="0"/>
        <v>586524977.35212135</v>
      </c>
      <c r="H14" s="10">
        <f t="shared" si="0"/>
        <v>704856391.53291166</v>
      </c>
      <c r="I14" s="10">
        <f t="shared" si="0"/>
        <v>847061168.52467644</v>
      </c>
      <c r="J14" s="10">
        <f t="shared" si="0"/>
        <v>1017955759.2745297</v>
      </c>
      <c r="K14" s="10">
        <f t="shared" si="0"/>
        <v>1223328333.7081659</v>
      </c>
    </row>
    <row r="15" spans="1:11" x14ac:dyDescent="0.25">
      <c r="A15" t="s">
        <v>28</v>
      </c>
      <c r="B15" s="10">
        <f t="shared" ref="B15:K16" si="1">B5*B10</f>
        <v>102000000</v>
      </c>
      <c r="C15" s="10">
        <f t="shared" si="1"/>
        <v>121322880.00000003</v>
      </c>
      <c r="D15" s="10">
        <f t="shared" si="1"/>
        <v>144306286.38720006</v>
      </c>
      <c r="E15" s="10">
        <f t="shared" si="1"/>
        <v>171643669.28039128</v>
      </c>
      <c r="F15" s="10">
        <f t="shared" si="1"/>
        <v>204159845.98886865</v>
      </c>
      <c r="G15" s="10">
        <f t="shared" si="1"/>
        <v>242835887.21299997</v>
      </c>
      <c r="H15" s="10">
        <f t="shared" si="1"/>
        <v>288838717.68663073</v>
      </c>
      <c r="I15" s="10">
        <f t="shared" si="1"/>
        <v>343556324.3651861</v>
      </c>
      <c r="J15" s="10">
        <f t="shared" si="1"/>
        <v>408639634.45292705</v>
      </c>
      <c r="K15" s="10">
        <f t="shared" si="1"/>
        <v>486052326.8036896</v>
      </c>
    </row>
    <row r="16" spans="1:11" x14ac:dyDescent="0.25">
      <c r="A16" t="s">
        <v>29</v>
      </c>
      <c r="B16" s="10">
        <f t="shared" si="1"/>
        <v>192100000</v>
      </c>
      <c r="C16" s="10">
        <f t="shared" si="1"/>
        <v>224686883.49999997</v>
      </c>
      <c r="D16" s="10">
        <f t="shared" si="1"/>
        <v>262801642.98252249</v>
      </c>
      <c r="E16" s="10">
        <f t="shared" si="1"/>
        <v>307381999.68986267</v>
      </c>
      <c r="F16" s="10">
        <f t="shared" si="1"/>
        <v>359524745.20725244</v>
      </c>
      <c r="G16" s="10">
        <f t="shared" si="1"/>
        <v>420512725.36048472</v>
      </c>
      <c r="H16" s="10">
        <f t="shared" si="1"/>
        <v>491846401.52701044</v>
      </c>
      <c r="I16" s="10">
        <f t="shared" si="1"/>
        <v>575280765.85004485</v>
      </c>
      <c r="J16" s="10">
        <f t="shared" si="1"/>
        <v>672868518.5650171</v>
      </c>
      <c r="K16" s="10">
        <f t="shared" si="1"/>
        <v>787010569.71179378</v>
      </c>
    </row>
    <row r="17" spans="1:11" x14ac:dyDescent="0.25">
      <c r="A17" s="3" t="s">
        <v>57</v>
      </c>
      <c r="B17" s="11">
        <f>SUM(B14:B16)</f>
        <v>528100000</v>
      </c>
      <c r="C17" s="11">
        <f t="shared" ref="C17:K17" si="2">SUM(C14:C16)</f>
        <v>627219263.5</v>
      </c>
      <c r="D17" s="11">
        <f t="shared" si="2"/>
        <v>745051445.99472249</v>
      </c>
      <c r="E17" s="11">
        <f t="shared" si="2"/>
        <v>885149290.0743475</v>
      </c>
      <c r="F17" s="11">
        <f t="shared" si="2"/>
        <v>1051743652.8579655</v>
      </c>
      <c r="G17" s="11">
        <f t="shared" si="2"/>
        <v>1249873589.925606</v>
      </c>
      <c r="H17" s="11">
        <f t="shared" si="2"/>
        <v>1485541510.7465529</v>
      </c>
      <c r="I17" s="11">
        <f t="shared" si="2"/>
        <v>1765898258.7399073</v>
      </c>
      <c r="J17" s="11">
        <f t="shared" si="2"/>
        <v>2099463912.2924738</v>
      </c>
      <c r="K17" s="11">
        <f t="shared" si="2"/>
        <v>2496391230.2236495</v>
      </c>
    </row>
    <row r="19" spans="1:11" x14ac:dyDescent="0.25">
      <c r="A19" s="3" t="s">
        <v>59</v>
      </c>
    </row>
    <row r="20" spans="1:11" x14ac:dyDescent="0.25">
      <c r="A20" t="s">
        <v>33</v>
      </c>
      <c r="B20" s="10">
        <f>Assumption!B16</f>
        <v>45480000</v>
      </c>
      <c r="C20" s="10">
        <f>B20*(1+Assumption!$C16)</f>
        <v>47754000</v>
      </c>
      <c r="D20" s="10">
        <f>C20*(1+Assumption!$C16)</f>
        <v>50141700</v>
      </c>
      <c r="E20" s="10">
        <f>D20*(1+Assumption!$C16)</f>
        <v>52648785</v>
      </c>
      <c r="F20" s="10">
        <f>E20*(1+Assumption!$C16)</f>
        <v>55281224.25</v>
      </c>
      <c r="G20" s="10">
        <f>F20*(1+Assumption!$C16)</f>
        <v>58045285.462500006</v>
      </c>
      <c r="H20" s="10">
        <f>G20*(1+Assumption!$C16)</f>
        <v>60947549.735625006</v>
      </c>
      <c r="I20" s="10">
        <f>H20*(1+Assumption!$C16)</f>
        <v>63994927.222406261</v>
      </c>
      <c r="J20" s="10">
        <f>I20*(1+Assumption!$C16)</f>
        <v>67194673.583526582</v>
      </c>
      <c r="K20" s="10">
        <f>J20*(1+Assumption!$C16)</f>
        <v>70554407.262702912</v>
      </c>
    </row>
    <row r="21" spans="1:11" x14ac:dyDescent="0.25">
      <c r="A21" t="s">
        <v>34</v>
      </c>
      <c r="B21" s="10">
        <f>Assumption!B17</f>
        <v>70000000</v>
      </c>
      <c r="C21" s="10">
        <f>B21*(1+Assumption!$C17)</f>
        <v>72975000</v>
      </c>
      <c r="D21" s="10">
        <f>C21*(1+Assumption!$C17)</f>
        <v>76076437.5</v>
      </c>
      <c r="E21" s="10">
        <f>D21*(1+Assumption!$C17)</f>
        <v>79309686.09375</v>
      </c>
      <c r="F21" s="10">
        <f>E21*(1+Assumption!$C17)</f>
        <v>82680347.752734378</v>
      </c>
      <c r="G21" s="10">
        <f>F21*(1+Assumption!$C17)</f>
        <v>86194262.532225594</v>
      </c>
      <c r="H21" s="10">
        <f>G21*(1+Assumption!$C17)</f>
        <v>89857518.689845175</v>
      </c>
      <c r="I21" s="10">
        <f>H21*(1+Assumption!$C17)</f>
        <v>93676463.234163597</v>
      </c>
      <c r="J21" s="10">
        <f>I21*(1+Assumption!$C17)</f>
        <v>97657712.921615556</v>
      </c>
      <c r="K21" s="10">
        <f>J21*(1+Assumption!$C17)</f>
        <v>101808165.72078422</v>
      </c>
    </row>
    <row r="22" spans="1:11" x14ac:dyDescent="0.25">
      <c r="A22" s="3" t="s">
        <v>60</v>
      </c>
      <c r="B22" s="10">
        <f>SUM(B20:B21)</f>
        <v>115480000</v>
      </c>
      <c r="C22" s="10">
        <f t="shared" ref="C22:K22" si="3">SUM(C20:C21)</f>
        <v>120729000</v>
      </c>
      <c r="D22" s="10">
        <f t="shared" si="3"/>
        <v>126218137.5</v>
      </c>
      <c r="E22" s="10">
        <f t="shared" si="3"/>
        <v>131958471.09375</v>
      </c>
      <c r="F22" s="10">
        <f t="shared" si="3"/>
        <v>137961572.00273436</v>
      </c>
      <c r="G22" s="10">
        <f t="shared" si="3"/>
        <v>144239547.99472558</v>
      </c>
      <c r="H22" s="10">
        <f t="shared" si="3"/>
        <v>150805068.42547017</v>
      </c>
      <c r="I22" s="10">
        <f t="shared" si="3"/>
        <v>157671390.45656985</v>
      </c>
      <c r="J22" s="10">
        <f t="shared" si="3"/>
        <v>164852386.50514215</v>
      </c>
      <c r="K22" s="10">
        <f t="shared" si="3"/>
        <v>172362572.98348713</v>
      </c>
    </row>
    <row r="24" spans="1:11" x14ac:dyDescent="0.25">
      <c r="A24" s="3" t="s">
        <v>61</v>
      </c>
      <c r="B24" s="11">
        <f>Assumption!$B$2/Assumption!$B$5</f>
        <v>272413793.10000002</v>
      </c>
      <c r="C24" s="11">
        <f>Assumption!$B$2/Assumption!$B$5</f>
        <v>272413793.10000002</v>
      </c>
      <c r="D24" s="11">
        <f>Assumption!$B$2/Assumption!$B$5</f>
        <v>272413793.10000002</v>
      </c>
      <c r="E24" s="11">
        <f>Assumption!$B$2/Assumption!$B$5</f>
        <v>272413793.10000002</v>
      </c>
      <c r="F24" s="11">
        <f>Assumption!$B$2/Assumption!$B$5</f>
        <v>272413793.10000002</v>
      </c>
      <c r="G24" s="11">
        <f>Assumption!$B$2/Assumption!$B$5</f>
        <v>272413793.10000002</v>
      </c>
      <c r="H24" s="11">
        <f>Assumption!$B$2/Assumption!$B$5</f>
        <v>272413793.10000002</v>
      </c>
      <c r="I24" s="11">
        <f>Assumption!$B$2/Assumption!$B$5</f>
        <v>272413793.10000002</v>
      </c>
      <c r="J24" s="11">
        <f>Assumption!$B$2/Assumption!$B$5</f>
        <v>272413793.10000002</v>
      </c>
      <c r="K24" s="11">
        <f>Assumption!$B$2/Assumption!$B$5</f>
        <v>272413793.10000002</v>
      </c>
    </row>
    <row r="26" spans="1:11" x14ac:dyDescent="0.25">
      <c r="A26" s="3" t="s">
        <v>63</v>
      </c>
    </row>
    <row r="27" spans="1:11" x14ac:dyDescent="0.25">
      <c r="A27" t="s">
        <v>39</v>
      </c>
      <c r="B27" s="10">
        <f>Assumption!$B21*Assumption!$D21</f>
        <v>86264367.814999998</v>
      </c>
      <c r="C27" s="10">
        <f>Assumption!$B21*Assumption!$D21</f>
        <v>86264367.814999998</v>
      </c>
      <c r="D27" s="10">
        <f>Assumption!$B21*Assumption!$D21</f>
        <v>86264367.814999998</v>
      </c>
      <c r="E27" s="10">
        <f>Assumption!$B21*Assumption!$D21</f>
        <v>86264367.814999998</v>
      </c>
      <c r="F27" s="10">
        <f>Assumption!$B21*Assumption!$D21</f>
        <v>86264367.814999998</v>
      </c>
      <c r="G27" s="10">
        <f>Assumption!$B21*Assumption!$D21</f>
        <v>86264367.814999998</v>
      </c>
      <c r="H27" s="10">
        <f>Assumption!$B21*Assumption!$D21</f>
        <v>86264367.814999998</v>
      </c>
      <c r="I27" s="10">
        <f>Assumption!$B21*Assumption!$D21</f>
        <v>86264367.814999998</v>
      </c>
      <c r="J27" s="10">
        <f>Assumption!$B21*Assumption!$D21</f>
        <v>86264367.814999998</v>
      </c>
      <c r="K27" s="10">
        <f>Assumption!$B21*Assumption!$D21</f>
        <v>86264367.814999998</v>
      </c>
    </row>
    <row r="28" spans="1:11" x14ac:dyDescent="0.25">
      <c r="A28" t="s">
        <v>40</v>
      </c>
      <c r="B28" s="10">
        <f>Assumption!$B22*Assumption!$D22</f>
        <v>188873563.21599999</v>
      </c>
      <c r="C28" s="10">
        <f>Assumption!$B22*Assumption!$D22</f>
        <v>188873563.21599999</v>
      </c>
      <c r="D28" s="10">
        <f>Assumption!$B22*Assumption!$D22</f>
        <v>188873563.21599999</v>
      </c>
      <c r="E28" s="10">
        <f>Assumption!$B22*Assumption!$D22</f>
        <v>188873563.21599999</v>
      </c>
      <c r="F28" s="10">
        <f>Assumption!$B22*Assumption!$D22</f>
        <v>188873563.21599999</v>
      </c>
      <c r="G28" s="10">
        <f>Assumption!$B22*Assumption!$D22</f>
        <v>188873563.21599999</v>
      </c>
      <c r="H28" s="10">
        <f>Assumption!$B22*Assumption!$D22</f>
        <v>188873563.21599999</v>
      </c>
      <c r="I28" s="10">
        <f>Assumption!$B22*Assumption!$D22</f>
        <v>188873563.21599999</v>
      </c>
      <c r="J28" s="10">
        <f>Assumption!$B22*Assumption!$D22</f>
        <v>188873563.21599999</v>
      </c>
      <c r="K28" s="10">
        <f>Assumption!$B22*Assumption!$D22</f>
        <v>188873563.21599999</v>
      </c>
    </row>
    <row r="29" spans="1:11" x14ac:dyDescent="0.25">
      <c r="A29" s="3" t="s">
        <v>64</v>
      </c>
      <c r="B29" s="11">
        <f>SUM(B27:B28)</f>
        <v>275137931.03100002</v>
      </c>
      <c r="C29" s="11">
        <f t="shared" ref="C29:K29" si="4">SUM(C27:C28)</f>
        <v>275137931.03100002</v>
      </c>
      <c r="D29" s="11">
        <f t="shared" si="4"/>
        <v>275137931.03100002</v>
      </c>
      <c r="E29" s="11">
        <f t="shared" si="4"/>
        <v>275137931.03100002</v>
      </c>
      <c r="F29" s="11">
        <f t="shared" si="4"/>
        <v>275137931.03100002</v>
      </c>
      <c r="G29" s="11">
        <f t="shared" si="4"/>
        <v>275137931.03100002</v>
      </c>
      <c r="H29" s="11">
        <f t="shared" si="4"/>
        <v>275137931.03100002</v>
      </c>
      <c r="I29" s="11">
        <f t="shared" si="4"/>
        <v>275137931.03100002</v>
      </c>
      <c r="J29" s="11">
        <f t="shared" si="4"/>
        <v>275137931.03100002</v>
      </c>
      <c r="K29" s="11">
        <f t="shared" si="4"/>
        <v>275137931.03100002</v>
      </c>
    </row>
    <row r="31" spans="1:11" x14ac:dyDescent="0.25">
      <c r="A31" s="3" t="s">
        <v>65</v>
      </c>
    </row>
    <row r="32" spans="1:11" x14ac:dyDescent="0.25">
      <c r="A32" t="s">
        <v>39</v>
      </c>
      <c r="B32" s="10">
        <v>0</v>
      </c>
      <c r="C32" s="10">
        <v>0</v>
      </c>
      <c r="D32" s="10">
        <v>0</v>
      </c>
      <c r="E32" s="10">
        <v>0</v>
      </c>
      <c r="F32" s="10">
        <v>0</v>
      </c>
      <c r="G32" s="10">
        <v>0</v>
      </c>
      <c r="H32" s="10">
        <v>0</v>
      </c>
      <c r="I32" s="10">
        <v>0</v>
      </c>
      <c r="J32" s="10">
        <v>0</v>
      </c>
      <c r="K32" s="10">
        <f>Assumption!B21</f>
        <v>908045977</v>
      </c>
    </row>
    <row r="33" spans="1:11" x14ac:dyDescent="0.25">
      <c r="A33" t="s">
        <v>40</v>
      </c>
      <c r="B33" s="10">
        <v>0</v>
      </c>
      <c r="C33" s="10">
        <v>0</v>
      </c>
      <c r="D33" s="10">
        <v>0</v>
      </c>
      <c r="E33" s="10">
        <v>0</v>
      </c>
      <c r="F33" s="10">
        <v>0</v>
      </c>
      <c r="G33" s="10">
        <v>0</v>
      </c>
      <c r="H33" s="10">
        <v>0</v>
      </c>
      <c r="I33" s="10">
        <v>0</v>
      </c>
      <c r="J33" s="10">
        <v>0</v>
      </c>
      <c r="K33" s="10">
        <f>Assumption!B22</f>
        <v>1816091954</v>
      </c>
    </row>
    <row r="34" spans="1:11" x14ac:dyDescent="0.25">
      <c r="A34" s="3" t="s">
        <v>66</v>
      </c>
      <c r="B34" s="10">
        <f>SUM(B32:B33)</f>
        <v>0</v>
      </c>
      <c r="C34" s="10">
        <f t="shared" ref="C34:K34" si="5">SUM(C32:C33)</f>
        <v>0</v>
      </c>
      <c r="D34" s="10">
        <f t="shared" si="5"/>
        <v>0</v>
      </c>
      <c r="E34" s="10">
        <f t="shared" si="5"/>
        <v>0</v>
      </c>
      <c r="F34" s="10">
        <f t="shared" si="5"/>
        <v>0</v>
      </c>
      <c r="G34" s="10">
        <f t="shared" si="5"/>
        <v>0</v>
      </c>
      <c r="H34" s="10">
        <f t="shared" si="5"/>
        <v>0</v>
      </c>
      <c r="I34" s="10">
        <f t="shared" si="5"/>
        <v>0</v>
      </c>
      <c r="J34" s="10">
        <f t="shared" si="5"/>
        <v>0</v>
      </c>
      <c r="K34" s="10">
        <f t="shared" si="5"/>
        <v>2724137931</v>
      </c>
    </row>
    <row r="36" spans="1:11" x14ac:dyDescent="0.25">
      <c r="A36" s="40" t="s">
        <v>99</v>
      </c>
      <c r="B36" s="40"/>
    </row>
    <row r="38" spans="1:11" x14ac:dyDescent="0.25">
      <c r="A38" s="3" t="s">
        <v>97</v>
      </c>
    </row>
    <row r="39" spans="1:11" x14ac:dyDescent="0.25">
      <c r="A39" t="s">
        <v>98</v>
      </c>
      <c r="B39" s="10">
        <f>B14*Assumption!$F$10</f>
        <v>46800000</v>
      </c>
      <c r="C39" s="10">
        <f>C14*Assumption!$F$10</f>
        <v>56241899.999999993</v>
      </c>
      <c r="D39" s="10">
        <f>D14*Assumption!$F$10</f>
        <v>67588703.324999988</v>
      </c>
      <c r="E39" s="10">
        <f>E14*Assumption!$F$10</f>
        <v>81224724.220818713</v>
      </c>
      <c r="F39" s="10">
        <f>F14*Assumption!$F$10</f>
        <v>97611812.332368881</v>
      </c>
      <c r="G39" s="10">
        <f>G14*Assumption!$F$10</f>
        <v>117304995.47042428</v>
      </c>
      <c r="H39" s="10">
        <f>H14*Assumption!$F$10</f>
        <v>140971278.30658233</v>
      </c>
      <c r="I39" s="10">
        <f>I14*Assumption!$F$10</f>
        <v>169412233.70493531</v>
      </c>
      <c r="J39" s="10">
        <f>J14*Assumption!$F$10</f>
        <v>203591151.85490596</v>
      </c>
      <c r="K39" s="10">
        <f>K14*Assumption!$F$10</f>
        <v>244665666.74163318</v>
      </c>
    </row>
    <row r="40" spans="1:11" x14ac:dyDescent="0.25">
      <c r="A40" s="3" t="s">
        <v>100</v>
      </c>
      <c r="B40" s="10">
        <f>B39/12</f>
        <v>3900000</v>
      </c>
      <c r="C40" s="10">
        <f t="shared" ref="C40:K40" si="6">C39/12</f>
        <v>4686824.9999999991</v>
      </c>
      <c r="D40" s="10">
        <f t="shared" si="6"/>
        <v>5632391.9437499987</v>
      </c>
      <c r="E40" s="10">
        <f t="shared" si="6"/>
        <v>6768727.0184015594</v>
      </c>
      <c r="F40" s="10">
        <f t="shared" si="6"/>
        <v>8134317.6943640737</v>
      </c>
      <c r="G40" s="10">
        <f t="shared" si="6"/>
        <v>9775416.2892020233</v>
      </c>
      <c r="H40" s="10">
        <f t="shared" si="6"/>
        <v>11747606.525548527</v>
      </c>
      <c r="I40" s="10">
        <f t="shared" si="6"/>
        <v>14117686.142077943</v>
      </c>
      <c r="J40" s="10">
        <f t="shared" si="6"/>
        <v>16965929.321242165</v>
      </c>
      <c r="K40" s="10">
        <f t="shared" si="6"/>
        <v>20388805.561802763</v>
      </c>
    </row>
    <row r="42" spans="1:11" x14ac:dyDescent="0.25">
      <c r="A42" s="3" t="s">
        <v>103</v>
      </c>
    </row>
    <row r="43" spans="1:11" x14ac:dyDescent="0.25">
      <c r="A43" t="s">
        <v>104</v>
      </c>
      <c r="B43" s="10">
        <f>B20/12</f>
        <v>3790000</v>
      </c>
      <c r="C43" s="10">
        <f t="shared" ref="C43:K43" si="7">C20/12</f>
        <v>3979500</v>
      </c>
      <c r="D43" s="10">
        <f t="shared" si="7"/>
        <v>4178475</v>
      </c>
      <c r="E43" s="10">
        <f t="shared" si="7"/>
        <v>4387398.75</v>
      </c>
      <c r="F43" s="10">
        <f t="shared" si="7"/>
        <v>4606768.6875</v>
      </c>
      <c r="G43" s="10">
        <f t="shared" si="7"/>
        <v>4837107.1218750002</v>
      </c>
      <c r="H43" s="10">
        <f t="shared" si="7"/>
        <v>5078962.4779687505</v>
      </c>
      <c r="I43" s="10">
        <f t="shared" si="7"/>
        <v>5332910.6018671887</v>
      </c>
      <c r="J43" s="10">
        <f t="shared" si="7"/>
        <v>5599556.1319605485</v>
      </c>
      <c r="K43" s="10">
        <f t="shared" si="7"/>
        <v>5879533.9385585757</v>
      </c>
    </row>
    <row r="44" spans="1:11" x14ac:dyDescent="0.25">
      <c r="A44" t="s">
        <v>34</v>
      </c>
      <c r="B44" s="10">
        <f>B21/6</f>
        <v>11666666.666666666</v>
      </c>
      <c r="C44" s="10">
        <f t="shared" ref="C44:K44" si="8">C21/6</f>
        <v>12162500</v>
      </c>
      <c r="D44" s="10">
        <f t="shared" si="8"/>
        <v>12679406.25</v>
      </c>
      <c r="E44" s="10">
        <f t="shared" si="8"/>
        <v>13218281.015625</v>
      </c>
      <c r="F44" s="10">
        <f t="shared" si="8"/>
        <v>13780057.958789064</v>
      </c>
      <c r="G44" s="10">
        <f t="shared" si="8"/>
        <v>14365710.4220376</v>
      </c>
      <c r="H44" s="10">
        <f t="shared" si="8"/>
        <v>14976253.114974195</v>
      </c>
      <c r="I44" s="10">
        <f t="shared" si="8"/>
        <v>15612743.8723606</v>
      </c>
      <c r="J44" s="10">
        <f t="shared" si="8"/>
        <v>16276285.486935927</v>
      </c>
      <c r="K44" s="10">
        <f t="shared" si="8"/>
        <v>16968027.620130703</v>
      </c>
    </row>
    <row r="45" spans="1:11" x14ac:dyDescent="0.25">
      <c r="A45" s="3" t="s">
        <v>110</v>
      </c>
      <c r="B45" s="10">
        <f>SUM(B43:B44)</f>
        <v>15456666.666666666</v>
      </c>
      <c r="C45" s="10">
        <f t="shared" ref="C45:K45" si="9">SUM(C43:C44)</f>
        <v>16142000</v>
      </c>
      <c r="D45" s="10">
        <f t="shared" si="9"/>
        <v>16857881.25</v>
      </c>
      <c r="E45" s="10">
        <f t="shared" si="9"/>
        <v>17605679.765625</v>
      </c>
      <c r="F45" s="10">
        <f t="shared" si="9"/>
        <v>18386826.646289065</v>
      </c>
      <c r="G45" s="10">
        <f t="shared" si="9"/>
        <v>19202817.543912601</v>
      </c>
      <c r="H45" s="10">
        <f t="shared" si="9"/>
        <v>20055215.592942946</v>
      </c>
      <c r="I45" s="10">
        <f t="shared" si="9"/>
        <v>20945654.47422779</v>
      </c>
      <c r="J45" s="10">
        <f t="shared" si="9"/>
        <v>21875841.618896477</v>
      </c>
      <c r="K45" s="10">
        <f t="shared" si="9"/>
        <v>22847561.558689278</v>
      </c>
    </row>
  </sheetData>
  <mergeCells count="1">
    <mergeCell ref="A36:B36"/>
  </mergeCells>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F165C-0DDF-4D14-9957-E3FBE8FDCEE6}">
  <sheetPr>
    <tabColor rgb="FF002060"/>
  </sheetPr>
  <dimension ref="B1:L14"/>
  <sheetViews>
    <sheetView showGridLines="0" tabSelected="1" workbookViewId="0">
      <selection activeCell="E17" sqref="E17"/>
    </sheetView>
  </sheetViews>
  <sheetFormatPr defaultRowHeight="15" x14ac:dyDescent="0.25"/>
  <cols>
    <col min="1" max="1" width="2.28515625" customWidth="1"/>
    <col min="2" max="2" width="31.5703125" customWidth="1"/>
    <col min="3" max="12" width="14.28515625" customWidth="1"/>
  </cols>
  <sheetData>
    <row r="1" spans="2:12" ht="20.25" thickBot="1" x14ac:dyDescent="0.35">
      <c r="B1" s="12" t="s">
        <v>67</v>
      </c>
    </row>
    <row r="2" spans="2:12" ht="15.75" thickTop="1" x14ac:dyDescent="0.25"/>
    <row r="3" spans="2:12" x14ac:dyDescent="0.25">
      <c r="C3" s="37" t="s">
        <v>23</v>
      </c>
      <c r="D3" s="37"/>
      <c r="E3" s="37"/>
      <c r="F3" s="37"/>
      <c r="G3" s="37"/>
      <c r="H3" s="37"/>
      <c r="I3" s="37"/>
      <c r="J3" s="37"/>
      <c r="K3" s="37"/>
      <c r="L3" s="37"/>
    </row>
    <row r="4" spans="2:12" x14ac:dyDescent="0.25">
      <c r="B4" s="1"/>
      <c r="C4" s="6" t="s">
        <v>45</v>
      </c>
      <c r="D4" s="6" t="s">
        <v>46</v>
      </c>
      <c r="E4" s="6" t="s">
        <v>47</v>
      </c>
      <c r="F4" s="6" t="s">
        <v>48</v>
      </c>
      <c r="G4" s="6" t="s">
        <v>49</v>
      </c>
      <c r="H4" s="6" t="s">
        <v>50</v>
      </c>
      <c r="I4" s="6" t="s">
        <v>51</v>
      </c>
      <c r="J4" s="6" t="s">
        <v>52</v>
      </c>
      <c r="K4" s="6" t="s">
        <v>53</v>
      </c>
      <c r="L4" s="6" t="s">
        <v>54</v>
      </c>
    </row>
    <row r="5" spans="2:12" x14ac:dyDescent="0.25">
      <c r="B5" t="s">
        <v>68</v>
      </c>
      <c r="C5" s="10">
        <f>Calculations!B17</f>
        <v>528100000</v>
      </c>
      <c r="D5" s="10">
        <f>Calculations!C17</f>
        <v>627219263.5</v>
      </c>
      <c r="E5" s="10">
        <f>Calculations!D17</f>
        <v>745051445.99472249</v>
      </c>
      <c r="F5" s="10">
        <f>Calculations!E17</f>
        <v>885149290.0743475</v>
      </c>
      <c r="G5" s="10">
        <f>Calculations!F17</f>
        <v>1051743652.8579655</v>
      </c>
      <c r="H5" s="10">
        <f>Calculations!G17</f>
        <v>1249873589.925606</v>
      </c>
      <c r="I5" s="10">
        <f>Calculations!H17</f>
        <v>1485541510.7465529</v>
      </c>
      <c r="J5" s="10">
        <f>Calculations!I17</f>
        <v>1765898258.7399073</v>
      </c>
      <c r="K5" s="10">
        <f>Calculations!J17</f>
        <v>2099463912.2924738</v>
      </c>
      <c r="L5" s="10">
        <f>Calculations!K17</f>
        <v>2496391230.2236495</v>
      </c>
    </row>
    <row r="6" spans="2:12" x14ac:dyDescent="0.25">
      <c r="B6" t="s">
        <v>69</v>
      </c>
      <c r="C6" s="10">
        <f>Calculations!B22</f>
        <v>115480000</v>
      </c>
      <c r="D6" s="10">
        <f>Calculations!C22</f>
        <v>120729000</v>
      </c>
      <c r="E6" s="10">
        <f>Calculations!D22</f>
        <v>126218137.5</v>
      </c>
      <c r="F6" s="10">
        <f>Calculations!E22</f>
        <v>131958471.09375</v>
      </c>
      <c r="G6" s="10">
        <f>Calculations!F22</f>
        <v>137961572.00273436</v>
      </c>
      <c r="H6" s="10">
        <f>Calculations!G22</f>
        <v>144239547.99472558</v>
      </c>
      <c r="I6" s="10">
        <f>Calculations!H22</f>
        <v>150805068.42547017</v>
      </c>
      <c r="J6" s="10">
        <f>Calculations!I22</f>
        <v>157671390.45656985</v>
      </c>
      <c r="K6" s="10">
        <f>Calculations!J22</f>
        <v>164852386.50514215</v>
      </c>
      <c r="L6" s="10">
        <f>Calculations!K22</f>
        <v>172362572.98348713</v>
      </c>
    </row>
    <row r="7" spans="2:12" x14ac:dyDescent="0.25">
      <c r="B7" s="15" t="s">
        <v>70</v>
      </c>
      <c r="C7" s="14">
        <f>C5-C6</f>
        <v>412620000</v>
      </c>
      <c r="D7" s="14">
        <f t="shared" ref="D7:L7" si="0">D5-D6</f>
        <v>506490263.5</v>
      </c>
      <c r="E7" s="14">
        <f t="shared" si="0"/>
        <v>618833308.49472249</v>
      </c>
      <c r="F7" s="14">
        <f t="shared" si="0"/>
        <v>753190818.9805975</v>
      </c>
      <c r="G7" s="14">
        <f t="shared" si="0"/>
        <v>913782080.85523105</v>
      </c>
      <c r="H7" s="14">
        <f t="shared" si="0"/>
        <v>1105634041.9308805</v>
      </c>
      <c r="I7" s="14">
        <f t="shared" si="0"/>
        <v>1334736442.3210828</v>
      </c>
      <c r="J7" s="14">
        <f t="shared" si="0"/>
        <v>1608226868.2833374</v>
      </c>
      <c r="K7" s="14">
        <f t="shared" si="0"/>
        <v>1934611525.7873316</v>
      </c>
      <c r="L7" s="14">
        <f t="shared" si="0"/>
        <v>2324028657.2401624</v>
      </c>
    </row>
    <row r="8" spans="2:12" x14ac:dyDescent="0.25">
      <c r="B8" t="s">
        <v>71</v>
      </c>
      <c r="C8" s="10">
        <f>Calculations!B24</f>
        <v>272413793.10000002</v>
      </c>
      <c r="D8" s="10">
        <f>Calculations!C24</f>
        <v>272413793.10000002</v>
      </c>
      <c r="E8" s="10">
        <f>Calculations!D24</f>
        <v>272413793.10000002</v>
      </c>
      <c r="F8" s="10">
        <f>Calculations!E24</f>
        <v>272413793.10000002</v>
      </c>
      <c r="G8" s="10">
        <f>Calculations!F24</f>
        <v>272413793.10000002</v>
      </c>
      <c r="H8" s="10">
        <f>Calculations!G24</f>
        <v>272413793.10000002</v>
      </c>
      <c r="I8" s="10">
        <f>Calculations!H24</f>
        <v>272413793.10000002</v>
      </c>
      <c r="J8" s="10">
        <f>Calculations!I24</f>
        <v>272413793.10000002</v>
      </c>
      <c r="K8" s="10">
        <f>Calculations!J24</f>
        <v>272413793.10000002</v>
      </c>
      <c r="L8" s="10">
        <f>Calculations!K24</f>
        <v>272413793.10000002</v>
      </c>
    </row>
    <row r="9" spans="2:12" x14ac:dyDescent="0.25">
      <c r="B9" s="15" t="s">
        <v>72</v>
      </c>
      <c r="C9" s="14">
        <f>C7-C8</f>
        <v>140206206.89999998</v>
      </c>
      <c r="D9" s="14">
        <f t="shared" ref="D9:L9" si="1">D7-D8</f>
        <v>234076470.39999998</v>
      </c>
      <c r="E9" s="14">
        <f t="shared" si="1"/>
        <v>346419515.39472246</v>
      </c>
      <c r="F9" s="14">
        <f t="shared" si="1"/>
        <v>480777025.88059747</v>
      </c>
      <c r="G9" s="14">
        <f t="shared" si="1"/>
        <v>641368287.75523102</v>
      </c>
      <c r="H9" s="14">
        <f t="shared" si="1"/>
        <v>833220248.83088052</v>
      </c>
      <c r="I9" s="14">
        <f t="shared" si="1"/>
        <v>1062322649.2210828</v>
      </c>
      <c r="J9" s="14">
        <f t="shared" si="1"/>
        <v>1335813075.1833372</v>
      </c>
      <c r="K9" s="14">
        <f t="shared" si="1"/>
        <v>1662197732.6873317</v>
      </c>
      <c r="L9" s="14">
        <f t="shared" si="1"/>
        <v>2051614864.1401625</v>
      </c>
    </row>
    <row r="10" spans="2:12" x14ac:dyDescent="0.25">
      <c r="B10" t="s">
        <v>73</v>
      </c>
      <c r="C10" s="10">
        <f>Calculations!B29</f>
        <v>275137931.03100002</v>
      </c>
      <c r="D10" s="10">
        <f>Calculations!C29</f>
        <v>275137931.03100002</v>
      </c>
      <c r="E10" s="10">
        <f>Calculations!D29</f>
        <v>275137931.03100002</v>
      </c>
      <c r="F10" s="10">
        <f>Calculations!E29</f>
        <v>275137931.03100002</v>
      </c>
      <c r="G10" s="10">
        <f>Calculations!F29</f>
        <v>275137931.03100002</v>
      </c>
      <c r="H10" s="10">
        <f>Calculations!G29</f>
        <v>275137931.03100002</v>
      </c>
      <c r="I10" s="10">
        <f>Calculations!H29</f>
        <v>275137931.03100002</v>
      </c>
      <c r="J10" s="10">
        <f>Calculations!I29</f>
        <v>275137931.03100002</v>
      </c>
      <c r="K10" s="10">
        <f>Calculations!J29</f>
        <v>275137931.03100002</v>
      </c>
      <c r="L10" s="10">
        <f>Calculations!K29</f>
        <v>275137931.03100002</v>
      </c>
    </row>
    <row r="11" spans="2:12" x14ac:dyDescent="0.25">
      <c r="B11" s="15" t="s">
        <v>74</v>
      </c>
      <c r="C11" s="14">
        <f>C9-C10</f>
        <v>-134931724.13100004</v>
      </c>
      <c r="D11" s="14">
        <f t="shared" ref="D11:L11" si="2">D9-D10</f>
        <v>-41061460.631000042</v>
      </c>
      <c r="E11" s="14">
        <f t="shared" si="2"/>
        <v>71281584.363722444</v>
      </c>
      <c r="F11" s="14">
        <f t="shared" si="2"/>
        <v>205639094.84959745</v>
      </c>
      <c r="G11" s="14">
        <f t="shared" si="2"/>
        <v>366230356.724231</v>
      </c>
      <c r="H11" s="14">
        <f t="shared" si="2"/>
        <v>558082317.7998805</v>
      </c>
      <c r="I11" s="14">
        <f t="shared" si="2"/>
        <v>787184718.19008279</v>
      </c>
      <c r="J11" s="14">
        <f t="shared" si="2"/>
        <v>1060675144.1523372</v>
      </c>
      <c r="K11" s="14">
        <f t="shared" si="2"/>
        <v>1387059801.6563315</v>
      </c>
      <c r="L11" s="14">
        <f t="shared" si="2"/>
        <v>1776476933.1091623</v>
      </c>
    </row>
    <row r="12" spans="2:12" x14ac:dyDescent="0.25">
      <c r="B12" t="s">
        <v>78</v>
      </c>
      <c r="C12" s="10">
        <f>IF(C11&gt;0,C11*Assumption!$B$24,0)</f>
        <v>0</v>
      </c>
      <c r="D12" s="10">
        <f>IF(D11&gt;0,D11*Assumption!$B$24,0)</f>
        <v>0</v>
      </c>
      <c r="E12" s="10">
        <f>IF(E11&gt;0,E11*Assumption!$B$24,0)</f>
        <v>18889619.856386449</v>
      </c>
      <c r="F12" s="10">
        <f>IF(F11&gt;0,F11*Assumption!$B$24,0)</f>
        <v>54494360.135143325</v>
      </c>
      <c r="G12" s="10">
        <f>IF(G11&gt;0,G11*Assumption!$B$24,0)</f>
        <v>97051044.531921223</v>
      </c>
      <c r="H12" s="10">
        <f>IF(H11&gt;0,H11*Assumption!$B$24,0)</f>
        <v>147891814.21696833</v>
      </c>
      <c r="I12" s="10">
        <f>IF(I11&gt;0,I11*Assumption!$B$24,0)</f>
        <v>208603950.32037196</v>
      </c>
      <c r="J12" s="10">
        <f>IF(J11&gt;0,J11*Assumption!$B$24,0)</f>
        <v>281078913.20036936</v>
      </c>
      <c r="K12" s="10">
        <f>IF(K11&gt;0,K11*Assumption!$B$24,0)</f>
        <v>367570847.43892789</v>
      </c>
      <c r="L12" s="10">
        <f>IF(L11&gt;0,L11*Assumption!$B$24,0)</f>
        <v>470766387.27392805</v>
      </c>
    </row>
    <row r="13" spans="2:12" ht="15.75" thickBot="1" x14ac:dyDescent="0.3">
      <c r="B13" s="16" t="s">
        <v>75</v>
      </c>
      <c r="C13" s="17">
        <f>C11-C12</f>
        <v>-134931724.13100004</v>
      </c>
      <c r="D13" s="17">
        <f t="shared" ref="D13:L13" si="3">D11-D12</f>
        <v>-41061460.631000042</v>
      </c>
      <c r="E13" s="17">
        <f t="shared" si="3"/>
        <v>52391964.507335991</v>
      </c>
      <c r="F13" s="17">
        <f t="shared" si="3"/>
        <v>151144734.71445411</v>
      </c>
      <c r="G13" s="17">
        <f t="shared" si="3"/>
        <v>269179312.1923098</v>
      </c>
      <c r="H13" s="17">
        <f t="shared" si="3"/>
        <v>410190503.58291221</v>
      </c>
      <c r="I13" s="17">
        <f t="shared" si="3"/>
        <v>578580767.8697108</v>
      </c>
      <c r="J13" s="17">
        <f t="shared" si="3"/>
        <v>779596230.95196784</v>
      </c>
      <c r="K13" s="17">
        <f t="shared" si="3"/>
        <v>1019488954.2174037</v>
      </c>
      <c r="L13" s="17">
        <f t="shared" si="3"/>
        <v>1305710545.8352342</v>
      </c>
    </row>
    <row r="14" spans="2:12" ht="15.75" thickTop="1" x14ac:dyDescent="0.25"/>
  </sheetData>
  <mergeCells count="1">
    <mergeCell ref="C3:L3"/>
  </mergeCells>
  <phoneticPr fontId="7" type="noConversion"/>
  <pageMargins left="0.7" right="0.7" top="0.75" bottom="0.75" header="0.3" footer="0.3"/>
  <ignoredErrors>
    <ignoredError sqref="C8:L13"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A8129-3C44-43D5-97D5-769C7D82D1A8}">
  <sheetPr>
    <tabColor rgb="FF002060"/>
  </sheetPr>
  <dimension ref="B1:L12"/>
  <sheetViews>
    <sheetView showGridLines="0" workbookViewId="0">
      <selection activeCell="J17" sqref="J17"/>
    </sheetView>
  </sheetViews>
  <sheetFormatPr defaultRowHeight="15" x14ac:dyDescent="0.25"/>
  <cols>
    <col min="1" max="1" width="2.28515625" customWidth="1"/>
    <col min="2" max="2" width="32.42578125" customWidth="1"/>
    <col min="3" max="12" width="14.28515625" customWidth="1"/>
  </cols>
  <sheetData>
    <row r="1" spans="2:12" ht="20.25" thickBot="1" x14ac:dyDescent="0.35">
      <c r="B1" s="12" t="s">
        <v>76</v>
      </c>
    </row>
    <row r="2" spans="2:12" ht="15.75" thickTop="1" x14ac:dyDescent="0.25"/>
    <row r="3" spans="2:12" x14ac:dyDescent="0.25">
      <c r="C3" s="37" t="s">
        <v>23</v>
      </c>
      <c r="D3" s="37"/>
      <c r="E3" s="37"/>
      <c r="F3" s="37"/>
      <c r="G3" s="37"/>
      <c r="H3" s="37"/>
      <c r="I3" s="37"/>
      <c r="J3" s="37"/>
      <c r="K3" s="37"/>
      <c r="L3" s="37"/>
    </row>
    <row r="4" spans="2:12" x14ac:dyDescent="0.25">
      <c r="B4" s="1"/>
      <c r="C4" s="6" t="s">
        <v>45</v>
      </c>
      <c r="D4" s="6" t="s">
        <v>46</v>
      </c>
      <c r="E4" s="6" t="s">
        <v>47</v>
      </c>
      <c r="F4" s="6" t="s">
        <v>48</v>
      </c>
      <c r="G4" s="6" t="s">
        <v>49</v>
      </c>
      <c r="H4" s="6" t="s">
        <v>50</v>
      </c>
      <c r="I4" s="6" t="s">
        <v>51</v>
      </c>
      <c r="J4" s="6" t="s">
        <v>52</v>
      </c>
      <c r="K4" s="6" t="s">
        <v>53</v>
      </c>
      <c r="L4" s="6" t="s">
        <v>54</v>
      </c>
    </row>
    <row r="5" spans="2:12" x14ac:dyDescent="0.25">
      <c r="B5" s="15" t="s">
        <v>72</v>
      </c>
      <c r="C5" s="14">
        <f>'Profit &amp; Loss Statement'!C9</f>
        <v>140206206.89999998</v>
      </c>
      <c r="D5" s="14">
        <f>'Profit &amp; Loss Statement'!D9</f>
        <v>234076470.39999998</v>
      </c>
      <c r="E5" s="14">
        <f>'Profit &amp; Loss Statement'!E9</f>
        <v>346419515.39472246</v>
      </c>
      <c r="F5" s="14">
        <f>'Profit &amp; Loss Statement'!F9</f>
        <v>480777025.88059747</v>
      </c>
      <c r="G5" s="14">
        <f>'Profit &amp; Loss Statement'!G9</f>
        <v>641368287.75523102</v>
      </c>
      <c r="H5" s="14">
        <f>'Profit &amp; Loss Statement'!H9</f>
        <v>833220248.83088052</v>
      </c>
      <c r="I5" s="14">
        <f>'Profit &amp; Loss Statement'!I9</f>
        <v>1062322649.2210828</v>
      </c>
      <c r="J5" s="14">
        <f>'Profit &amp; Loss Statement'!J9</f>
        <v>1335813075.1833372</v>
      </c>
      <c r="K5" s="14">
        <f>'Profit &amp; Loss Statement'!K9</f>
        <v>1662197732.6873317</v>
      </c>
      <c r="L5" s="14">
        <f>'Profit &amp; Loss Statement'!L9</f>
        <v>2051614864.1401625</v>
      </c>
    </row>
    <row r="6" spans="2:12" ht="15.75" thickBot="1" x14ac:dyDescent="0.3">
      <c r="B6" s="16" t="s">
        <v>77</v>
      </c>
      <c r="C6" s="17">
        <f>C5*(1-Assumption!$B$24)</f>
        <v>103051562.07149997</v>
      </c>
      <c r="D6" s="17">
        <f>D5*(1-Assumption!$B$24)</f>
        <v>172046205.74399999</v>
      </c>
      <c r="E6" s="17">
        <f>E5*(1-Assumption!$B$24)</f>
        <v>254618343.815121</v>
      </c>
      <c r="F6" s="17">
        <f>F5*(1-Assumption!$B$24)</f>
        <v>353371114.02223915</v>
      </c>
      <c r="G6" s="17">
        <f>G5*(1-Assumption!$B$24)</f>
        <v>471405691.50009477</v>
      </c>
      <c r="H6" s="17">
        <f>H5*(1-Assumption!$B$24)</f>
        <v>612416882.89069712</v>
      </c>
      <c r="I6" s="17">
        <f>I5*(1-Assumption!$B$24)</f>
        <v>780807147.17749584</v>
      </c>
      <c r="J6" s="17">
        <f>J5*(1-Assumption!$B$24)</f>
        <v>981822610.25975287</v>
      </c>
      <c r="K6" s="17">
        <f>K5*(1-Assumption!$B$24)</f>
        <v>1221715333.5251887</v>
      </c>
      <c r="L6" s="17">
        <f>L5*(1-Assumption!$B$24)</f>
        <v>1507936925.1430194</v>
      </c>
    </row>
    <row r="7" spans="2:12" ht="15.75" thickTop="1" x14ac:dyDescent="0.25"/>
    <row r="8" spans="2:12" x14ac:dyDescent="0.25">
      <c r="B8" s="3" t="s">
        <v>81</v>
      </c>
      <c r="C8" s="19"/>
      <c r="D8" s="21">
        <f>(D6-C6)/C6</f>
        <v>0.66951574809346082</v>
      </c>
      <c r="E8" s="21">
        <f t="shared" ref="E8:L8" si="0">(E6-D6)/D6</f>
        <v>0.47994163959643532</v>
      </c>
      <c r="F8" s="21">
        <f t="shared" si="0"/>
        <v>0.38784625148148316</v>
      </c>
      <c r="G8" s="21">
        <f t="shared" si="0"/>
        <v>0.33402440888370749</v>
      </c>
      <c r="H8" s="21">
        <f t="shared" si="0"/>
        <v>0.29912916609445306</v>
      </c>
      <c r="I8" s="21">
        <f t="shared" si="0"/>
        <v>0.27496019295217999</v>
      </c>
      <c r="J8" s="21">
        <f t="shared" si="0"/>
        <v>0.25744572627043522</v>
      </c>
      <c r="K8" s="21">
        <f t="shared" si="0"/>
        <v>0.24433407904709928</v>
      </c>
      <c r="L8" s="21">
        <f t="shared" si="0"/>
        <v>0.23427846386437254</v>
      </c>
    </row>
    <row r="10" spans="2:12" x14ac:dyDescent="0.25">
      <c r="B10" s="3" t="s">
        <v>79</v>
      </c>
    </row>
    <row r="11" spans="2:12" x14ac:dyDescent="0.25">
      <c r="B11" t="s">
        <v>80</v>
      </c>
      <c r="C11" s="18">
        <f>C6/Assumption!$B$2</f>
        <v>3.7829054431788967E-2</v>
      </c>
      <c r="D11" s="18">
        <f>D6/Assumption!$B$2</f>
        <v>6.3156202109356407E-2</v>
      </c>
      <c r="E11" s="18">
        <f>E6/Assumption!$B$2</f>
        <v>9.3467493300404769E-2</v>
      </c>
      <c r="F11" s="18">
        <f>F6/Assumption!$B$2</f>
        <v>0.12971851021233738</v>
      </c>
      <c r="G11" s="18">
        <f>G6/Assumption!$B$2</f>
        <v>0.17304765890728857</v>
      </c>
      <c r="H11" s="18">
        <f>H6/Assumption!$B$2</f>
        <v>0.22481126081082314</v>
      </c>
      <c r="I11" s="18">
        <f>I6/Assumption!$B$2</f>
        <v>0.28662540846118995</v>
      </c>
      <c r="J11" s="18">
        <f>J6/Assumption!$B$2</f>
        <v>0.36041589491004111</v>
      </c>
      <c r="K11" s="18">
        <f>K6/Assumption!$B$2</f>
        <v>0.44847778066682215</v>
      </c>
      <c r="L11" s="18">
        <f>L6/Assumption!$B$2</f>
        <v>0.55354646619874825</v>
      </c>
    </row>
    <row r="12" spans="2:12" x14ac:dyDescent="0.25">
      <c r="C12" s="9"/>
    </row>
  </sheetData>
  <mergeCells count="1">
    <mergeCell ref="C3:L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4FBEB-8CF1-4E0D-84EF-AFC044EBCC1D}">
  <sheetPr>
    <tabColor rgb="FF002060"/>
  </sheetPr>
  <dimension ref="B1:M15"/>
  <sheetViews>
    <sheetView showGridLines="0" workbookViewId="0">
      <selection activeCell="J20" sqref="J20"/>
    </sheetView>
  </sheetViews>
  <sheetFormatPr defaultRowHeight="15" x14ac:dyDescent="0.25"/>
  <cols>
    <col min="1" max="1" width="2" customWidth="1"/>
    <col min="2" max="2" width="34.5703125" customWidth="1"/>
    <col min="3" max="3" width="14.7109375" customWidth="1"/>
    <col min="4" max="13" width="12.85546875" customWidth="1"/>
  </cols>
  <sheetData>
    <row r="1" spans="2:13" ht="20.25" thickBot="1" x14ac:dyDescent="0.35">
      <c r="B1" s="12" t="s">
        <v>115</v>
      </c>
    </row>
    <row r="2" spans="2:13" ht="15.75" thickTop="1" x14ac:dyDescent="0.25"/>
    <row r="3" spans="2:13" x14ac:dyDescent="0.25">
      <c r="C3" s="41" t="s">
        <v>23</v>
      </c>
      <c r="D3" s="41"/>
      <c r="E3" s="41"/>
      <c r="F3" s="41"/>
      <c r="G3" s="41"/>
      <c r="H3" s="41"/>
      <c r="I3" s="41"/>
      <c r="J3" s="41"/>
      <c r="K3" s="41"/>
      <c r="L3" s="41"/>
      <c r="M3" s="41"/>
    </row>
    <row r="4" spans="2:13" x14ac:dyDescent="0.25">
      <c r="B4" s="1"/>
      <c r="C4" s="30" t="s">
        <v>82</v>
      </c>
      <c r="D4" s="30" t="s">
        <v>45</v>
      </c>
      <c r="E4" s="30" t="s">
        <v>46</v>
      </c>
      <c r="F4" s="30" t="s">
        <v>47</v>
      </c>
      <c r="G4" s="30" t="s">
        <v>48</v>
      </c>
      <c r="H4" s="30" t="s">
        <v>49</v>
      </c>
      <c r="I4" s="30" t="s">
        <v>50</v>
      </c>
      <c r="J4" s="30" t="s">
        <v>51</v>
      </c>
      <c r="K4" s="30" t="s">
        <v>52</v>
      </c>
      <c r="L4" s="30" t="s">
        <v>53</v>
      </c>
      <c r="M4" s="30" t="s">
        <v>54</v>
      </c>
    </row>
    <row r="5" spans="2:13" x14ac:dyDescent="0.25">
      <c r="B5" s="3" t="s">
        <v>93</v>
      </c>
    </row>
    <row r="6" spans="2:13" x14ac:dyDescent="0.25">
      <c r="B6" t="s">
        <v>94</v>
      </c>
      <c r="C6" s="10">
        <v>0</v>
      </c>
      <c r="D6" s="10">
        <f>Calculations!B40</f>
        <v>3900000</v>
      </c>
      <c r="E6" s="10">
        <f>Calculations!C40</f>
        <v>4686824.9999999991</v>
      </c>
      <c r="F6" s="10">
        <f>Calculations!D40</f>
        <v>5632391.9437499987</v>
      </c>
      <c r="G6" s="10">
        <f>Calculations!E40</f>
        <v>6768727.0184015594</v>
      </c>
      <c r="H6" s="10">
        <f>Calculations!F40</f>
        <v>8134317.6943640737</v>
      </c>
      <c r="I6" s="10">
        <f>Calculations!G40</f>
        <v>9775416.2892020233</v>
      </c>
      <c r="J6" s="10">
        <f>Calculations!H40</f>
        <v>11747606.525548527</v>
      </c>
      <c r="K6" s="10">
        <f>Calculations!I40</f>
        <v>14117686.142077943</v>
      </c>
      <c r="L6" s="10">
        <f>Calculations!J40</f>
        <v>16965929.321242165</v>
      </c>
      <c r="M6" s="10">
        <v>0</v>
      </c>
    </row>
    <row r="7" spans="2:13" x14ac:dyDescent="0.25">
      <c r="B7" s="15" t="s">
        <v>101</v>
      </c>
      <c r="C7" s="14">
        <v>0</v>
      </c>
      <c r="D7" s="14">
        <f>SUM(D6)</f>
        <v>3900000</v>
      </c>
      <c r="E7" s="14">
        <f t="shared" ref="E7:M7" si="0">SUM(E6)</f>
        <v>4686824.9999999991</v>
      </c>
      <c r="F7" s="14">
        <f t="shared" si="0"/>
        <v>5632391.9437499987</v>
      </c>
      <c r="G7" s="14">
        <f t="shared" si="0"/>
        <v>6768727.0184015594</v>
      </c>
      <c r="H7" s="14">
        <f t="shared" si="0"/>
        <v>8134317.6943640737</v>
      </c>
      <c r="I7" s="14">
        <f t="shared" si="0"/>
        <v>9775416.2892020233</v>
      </c>
      <c r="J7" s="14">
        <f t="shared" si="0"/>
        <v>11747606.525548527</v>
      </c>
      <c r="K7" s="14">
        <f t="shared" si="0"/>
        <v>14117686.142077943</v>
      </c>
      <c r="L7" s="14">
        <f t="shared" si="0"/>
        <v>16965929.321242165</v>
      </c>
      <c r="M7" s="14">
        <f t="shared" si="0"/>
        <v>0</v>
      </c>
    </row>
    <row r="8" spans="2:13" x14ac:dyDescent="0.25">
      <c r="C8" s="10"/>
    </row>
    <row r="9" spans="2:13" x14ac:dyDescent="0.25">
      <c r="B9" s="3" t="s">
        <v>102</v>
      </c>
      <c r="C9" s="10"/>
    </row>
    <row r="10" spans="2:13" x14ac:dyDescent="0.25">
      <c r="B10" t="s">
        <v>111</v>
      </c>
      <c r="C10" s="10">
        <v>0</v>
      </c>
      <c r="D10" s="10">
        <f>Calculations!B45</f>
        <v>15456666.666666666</v>
      </c>
      <c r="E10" s="10">
        <f>Calculations!C45</f>
        <v>16142000</v>
      </c>
      <c r="F10" s="10">
        <f>Calculations!D45</f>
        <v>16857881.25</v>
      </c>
      <c r="G10" s="10">
        <f>Calculations!E45</f>
        <v>17605679.765625</v>
      </c>
      <c r="H10" s="10">
        <f>Calculations!F45</f>
        <v>18386826.646289065</v>
      </c>
      <c r="I10" s="10">
        <f>Calculations!G45</f>
        <v>19202817.543912601</v>
      </c>
      <c r="J10" s="10">
        <f>Calculations!H45</f>
        <v>20055215.592942946</v>
      </c>
      <c r="K10" s="10">
        <f>Calculations!I45</f>
        <v>20945654.47422779</v>
      </c>
      <c r="L10" s="10">
        <f>Calculations!J45</f>
        <v>21875841.618896477</v>
      </c>
      <c r="M10" s="10">
        <v>0</v>
      </c>
    </row>
    <row r="11" spans="2:13" x14ac:dyDescent="0.25">
      <c r="B11" s="15" t="s">
        <v>112</v>
      </c>
      <c r="C11" s="14">
        <v>0</v>
      </c>
      <c r="D11" s="14">
        <f>SUM(D10)</f>
        <v>15456666.666666666</v>
      </c>
      <c r="E11" s="14">
        <f t="shared" ref="E11:M11" si="1">SUM(E10)</f>
        <v>16142000</v>
      </c>
      <c r="F11" s="14">
        <f t="shared" si="1"/>
        <v>16857881.25</v>
      </c>
      <c r="G11" s="14">
        <f t="shared" si="1"/>
        <v>17605679.765625</v>
      </c>
      <c r="H11" s="14">
        <f t="shared" si="1"/>
        <v>18386826.646289065</v>
      </c>
      <c r="I11" s="14">
        <f t="shared" si="1"/>
        <v>19202817.543912601</v>
      </c>
      <c r="J11" s="14">
        <f t="shared" si="1"/>
        <v>20055215.592942946</v>
      </c>
      <c r="K11" s="14">
        <f t="shared" si="1"/>
        <v>20945654.47422779</v>
      </c>
      <c r="L11" s="14">
        <f t="shared" si="1"/>
        <v>21875841.618896477</v>
      </c>
      <c r="M11" s="14">
        <f t="shared" si="1"/>
        <v>0</v>
      </c>
    </row>
    <row r="12" spans="2:13" x14ac:dyDescent="0.25">
      <c r="C12" s="10"/>
    </row>
    <row r="13" spans="2:13" ht="15.75" thickBot="1" x14ac:dyDescent="0.3">
      <c r="B13" s="16" t="s">
        <v>113</v>
      </c>
      <c r="C13" s="17">
        <v>0</v>
      </c>
      <c r="D13" s="17">
        <f>D7-D11</f>
        <v>-11556666.666666666</v>
      </c>
      <c r="E13" s="17">
        <f t="shared" ref="E13:M13" si="2">E7-E11</f>
        <v>-11455175</v>
      </c>
      <c r="F13" s="17">
        <f t="shared" si="2"/>
        <v>-11225489.306250002</v>
      </c>
      <c r="G13" s="17">
        <f t="shared" si="2"/>
        <v>-10836952.747223441</v>
      </c>
      <c r="H13" s="17">
        <f t="shared" si="2"/>
        <v>-10252508.951924991</v>
      </c>
      <c r="I13" s="17">
        <f t="shared" si="2"/>
        <v>-9427401.2547105774</v>
      </c>
      <c r="J13" s="17">
        <f t="shared" si="2"/>
        <v>-8307609.0673944186</v>
      </c>
      <c r="K13" s="17">
        <f t="shared" si="2"/>
        <v>-6827968.3321498465</v>
      </c>
      <c r="L13" s="17">
        <f t="shared" si="2"/>
        <v>-4909912.2976543121</v>
      </c>
      <c r="M13" s="17">
        <f t="shared" si="2"/>
        <v>0</v>
      </c>
    </row>
    <row r="14" spans="2:13" ht="15.75" thickTop="1" x14ac:dyDescent="0.25">
      <c r="C14" s="10"/>
    </row>
    <row r="15" spans="2:13" x14ac:dyDescent="0.25">
      <c r="B15" s="3" t="s">
        <v>114</v>
      </c>
      <c r="C15" s="10">
        <v>0</v>
      </c>
      <c r="D15" s="10">
        <f>D13-C13</f>
        <v>-11556666.666666666</v>
      </c>
      <c r="E15" s="10">
        <f t="shared" ref="E15:M15" si="3">E13-D13</f>
        <v>101491.66666666605</v>
      </c>
      <c r="F15" s="10">
        <f t="shared" si="3"/>
        <v>229685.69374999776</v>
      </c>
      <c r="G15" s="10">
        <f t="shared" si="3"/>
        <v>388536.55902656168</v>
      </c>
      <c r="H15" s="10">
        <f t="shared" si="3"/>
        <v>584443.7952984497</v>
      </c>
      <c r="I15" s="10">
        <f t="shared" si="3"/>
        <v>825107.69721441343</v>
      </c>
      <c r="J15" s="10">
        <f t="shared" si="3"/>
        <v>1119792.1873161588</v>
      </c>
      <c r="K15" s="10">
        <f t="shared" si="3"/>
        <v>1479640.7352445722</v>
      </c>
      <c r="L15" s="10">
        <f t="shared" si="3"/>
        <v>1918056.0344955344</v>
      </c>
      <c r="M15" s="10">
        <f t="shared" si="3"/>
        <v>4909912.2976543121</v>
      </c>
    </row>
  </sheetData>
  <mergeCells count="1">
    <mergeCell ref="C3:M3"/>
  </mergeCells>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636A-A93A-4338-BB53-6E309F012AF6}">
  <sheetPr>
    <tabColor rgb="FF002060"/>
  </sheetPr>
  <dimension ref="B1:M12"/>
  <sheetViews>
    <sheetView showGridLines="0" workbookViewId="0">
      <selection activeCell="G17" sqref="G17"/>
    </sheetView>
  </sheetViews>
  <sheetFormatPr defaultRowHeight="15" x14ac:dyDescent="0.25"/>
  <cols>
    <col min="1" max="1" width="1.5703125" customWidth="1"/>
    <col min="2" max="2" width="30.140625" customWidth="1"/>
    <col min="3" max="13" width="14" customWidth="1"/>
  </cols>
  <sheetData>
    <row r="1" spans="2:13" ht="20.25" thickBot="1" x14ac:dyDescent="0.35">
      <c r="B1" s="12" t="s">
        <v>120</v>
      </c>
    </row>
    <row r="2" spans="2:13" ht="15.75" thickTop="1" x14ac:dyDescent="0.25"/>
    <row r="3" spans="2:13" x14ac:dyDescent="0.25">
      <c r="C3" s="20"/>
      <c r="D3" s="37" t="s">
        <v>23</v>
      </c>
      <c r="E3" s="37"/>
      <c r="F3" s="37"/>
      <c r="G3" s="37"/>
      <c r="H3" s="37"/>
      <c r="I3" s="37"/>
      <c r="J3" s="37"/>
      <c r="K3" s="37"/>
      <c r="L3" s="37"/>
      <c r="M3" s="37"/>
    </row>
    <row r="4" spans="2:13" x14ac:dyDescent="0.25">
      <c r="B4" s="1"/>
      <c r="C4" s="1" t="s">
        <v>82</v>
      </c>
      <c r="D4" s="6" t="s">
        <v>45</v>
      </c>
      <c r="E4" s="6" t="s">
        <v>46</v>
      </c>
      <c r="F4" s="6" t="s">
        <v>47</v>
      </c>
      <c r="G4" s="6" t="s">
        <v>48</v>
      </c>
      <c r="H4" s="6" t="s">
        <v>49</v>
      </c>
      <c r="I4" s="6" t="s">
        <v>50</v>
      </c>
      <c r="J4" s="6" t="s">
        <v>51</v>
      </c>
      <c r="K4" s="6" t="s">
        <v>52</v>
      </c>
      <c r="L4" s="6" t="s">
        <v>53</v>
      </c>
      <c r="M4" s="6" t="s">
        <v>54</v>
      </c>
    </row>
    <row r="5" spans="2:13" x14ac:dyDescent="0.25">
      <c r="B5" s="15" t="s">
        <v>72</v>
      </c>
      <c r="C5" s="15"/>
      <c r="D5" s="14">
        <f>'Profit &amp; Loss Statement'!C9</f>
        <v>140206206.89999998</v>
      </c>
      <c r="E5" s="14">
        <f>'Profit &amp; Loss Statement'!D9</f>
        <v>234076470.39999998</v>
      </c>
      <c r="F5" s="14">
        <f>'Profit &amp; Loss Statement'!E9</f>
        <v>346419515.39472246</v>
      </c>
      <c r="G5" s="14">
        <f>'Profit &amp; Loss Statement'!F9</f>
        <v>480777025.88059747</v>
      </c>
      <c r="H5" s="14">
        <f>'Profit &amp; Loss Statement'!G9</f>
        <v>641368287.75523102</v>
      </c>
      <c r="I5" s="14">
        <f>'Profit &amp; Loss Statement'!H9</f>
        <v>833220248.83088052</v>
      </c>
      <c r="J5" s="14">
        <f>'Profit &amp; Loss Statement'!I9</f>
        <v>1062322649.2210828</v>
      </c>
      <c r="K5" s="14">
        <f>'Profit &amp; Loss Statement'!J9</f>
        <v>1335813075.1833372</v>
      </c>
      <c r="L5" s="14">
        <f>'Profit &amp; Loss Statement'!K9</f>
        <v>1662197732.6873317</v>
      </c>
      <c r="M5" s="14">
        <f>'Profit &amp; Loss Statement'!L9</f>
        <v>2051614864.1401625</v>
      </c>
    </row>
    <row r="6" spans="2:13" x14ac:dyDescent="0.25">
      <c r="B6" s="15" t="s">
        <v>77</v>
      </c>
      <c r="C6" s="15"/>
      <c r="D6" s="14">
        <f>D5*(1-Assumption!$B$24)</f>
        <v>103051562.07149997</v>
      </c>
      <c r="E6" s="14">
        <f>E5*(1-Assumption!$B$24)</f>
        <v>172046205.74399999</v>
      </c>
      <c r="F6" s="14">
        <f>F5*(1-Assumption!$B$24)</f>
        <v>254618343.815121</v>
      </c>
      <c r="G6" s="14">
        <f>G5*(1-Assumption!$B$24)</f>
        <v>353371114.02223915</v>
      </c>
      <c r="H6" s="14">
        <f>H5*(1-Assumption!$B$24)</f>
        <v>471405691.50009477</v>
      </c>
      <c r="I6" s="14">
        <f>I5*(1-Assumption!$B$24)</f>
        <v>612416882.89069712</v>
      </c>
      <c r="J6" s="14">
        <f>J5*(1-Assumption!$B$24)</f>
        <v>780807147.17749584</v>
      </c>
      <c r="K6" s="14">
        <f>K5*(1-Assumption!$B$24)</f>
        <v>981822610.25975287</v>
      </c>
      <c r="L6" s="14">
        <f>L5*(1-Assumption!$B$24)</f>
        <v>1221715333.5251887</v>
      </c>
      <c r="M6" s="14">
        <f>M5*(1-Assumption!$B$24)</f>
        <v>1507936925.1430194</v>
      </c>
    </row>
    <row r="7" spans="2:13" x14ac:dyDescent="0.25">
      <c r="B7" t="s">
        <v>83</v>
      </c>
      <c r="D7" s="10">
        <f>'Profit &amp; Loss Statement'!C8</f>
        <v>272413793.10000002</v>
      </c>
      <c r="E7" s="10">
        <f>'Profit &amp; Loss Statement'!D8</f>
        <v>272413793.10000002</v>
      </c>
      <c r="F7" s="10">
        <f>'Profit &amp; Loss Statement'!E8</f>
        <v>272413793.10000002</v>
      </c>
      <c r="G7" s="10">
        <f>'Profit &amp; Loss Statement'!F8</f>
        <v>272413793.10000002</v>
      </c>
      <c r="H7" s="10">
        <f>'Profit &amp; Loss Statement'!G8</f>
        <v>272413793.10000002</v>
      </c>
      <c r="I7" s="10">
        <f>'Profit &amp; Loss Statement'!H8</f>
        <v>272413793.10000002</v>
      </c>
      <c r="J7" s="10">
        <f>'Profit &amp; Loss Statement'!I8</f>
        <v>272413793.10000002</v>
      </c>
      <c r="K7" s="10">
        <f>'Profit &amp; Loss Statement'!J8</f>
        <v>272413793.10000002</v>
      </c>
      <c r="L7" s="10">
        <f>'Profit &amp; Loss Statement'!K8</f>
        <v>272413793.10000002</v>
      </c>
      <c r="M7" s="10">
        <f>'Profit &amp; Loss Statement'!L8</f>
        <v>272413793.10000002</v>
      </c>
    </row>
    <row r="8" spans="2:13" x14ac:dyDescent="0.25">
      <c r="B8" t="s">
        <v>117</v>
      </c>
      <c r="D8" s="10">
        <f>'Working Capital Change'!D15</f>
        <v>-11556666.666666666</v>
      </c>
      <c r="E8" s="10">
        <f>'Working Capital Change'!E15</f>
        <v>101491.66666666605</v>
      </c>
      <c r="F8" s="10">
        <f>'Working Capital Change'!F15</f>
        <v>229685.69374999776</v>
      </c>
      <c r="G8" s="10">
        <f>'Working Capital Change'!G15</f>
        <v>388536.55902656168</v>
      </c>
      <c r="H8" s="10">
        <f>'Working Capital Change'!H15</f>
        <v>584443.7952984497</v>
      </c>
      <c r="I8" s="10">
        <f>'Working Capital Change'!I15</f>
        <v>825107.69721441343</v>
      </c>
      <c r="J8" s="10">
        <f>'Working Capital Change'!J15</f>
        <v>1119792.1873161588</v>
      </c>
      <c r="K8" s="10">
        <f>'Working Capital Change'!K15</f>
        <v>1479640.7352445722</v>
      </c>
      <c r="L8" s="10">
        <f>'Working Capital Change'!L15</f>
        <v>1918056.0344955344</v>
      </c>
      <c r="M8" s="10">
        <f>'Working Capital Change'!M15</f>
        <v>4909912.2976543121</v>
      </c>
    </row>
    <row r="9" spans="2:13" x14ac:dyDescent="0.25">
      <c r="B9" s="15" t="s">
        <v>118</v>
      </c>
      <c r="C9" s="13"/>
      <c r="D9" s="14">
        <f>D6+D7-D8</f>
        <v>387022021.83816665</v>
      </c>
      <c r="E9" s="14">
        <f t="shared" ref="E9:M9" si="0">E6+E7-E8</f>
        <v>444358507.1773333</v>
      </c>
      <c r="F9" s="14">
        <f t="shared" si="0"/>
        <v>526802451.221371</v>
      </c>
      <c r="G9" s="14">
        <f t="shared" si="0"/>
        <v>625396370.56321251</v>
      </c>
      <c r="H9" s="14">
        <f t="shared" si="0"/>
        <v>743235040.80479634</v>
      </c>
      <c r="I9" s="14">
        <f t="shared" si="0"/>
        <v>884005568.29348278</v>
      </c>
      <c r="J9" s="14">
        <f t="shared" si="0"/>
        <v>1052101148.0901797</v>
      </c>
      <c r="K9" s="14">
        <f t="shared" si="0"/>
        <v>1252756762.6245084</v>
      </c>
      <c r="L9" s="14">
        <f t="shared" si="0"/>
        <v>1492211070.5906932</v>
      </c>
      <c r="M9" s="14">
        <f t="shared" si="0"/>
        <v>1775440805.9453652</v>
      </c>
    </row>
    <row r="10" spans="2:13" x14ac:dyDescent="0.25">
      <c r="B10" t="s">
        <v>119</v>
      </c>
      <c r="C10" s="10">
        <f>Assumption!B2</f>
        <v>2724137931</v>
      </c>
      <c r="D10" s="10">
        <v>0</v>
      </c>
      <c r="E10" s="10">
        <v>0</v>
      </c>
      <c r="F10" s="10">
        <v>0</v>
      </c>
      <c r="G10" s="10">
        <v>0</v>
      </c>
      <c r="H10" s="10">
        <v>0</v>
      </c>
      <c r="I10" s="10">
        <v>0</v>
      </c>
      <c r="J10" s="10">
        <v>0</v>
      </c>
      <c r="K10" s="10">
        <v>0</v>
      </c>
      <c r="L10" s="10">
        <v>0</v>
      </c>
      <c r="M10" s="10">
        <v>0</v>
      </c>
    </row>
    <row r="11" spans="2:13" ht="15.75" thickBot="1" x14ac:dyDescent="0.3">
      <c r="B11" s="16" t="s">
        <v>116</v>
      </c>
      <c r="C11" s="17">
        <f>C9-C10</f>
        <v>-2724137931</v>
      </c>
      <c r="D11" s="17">
        <f t="shared" ref="D11:M11" si="1">D9-D10</f>
        <v>387022021.83816665</v>
      </c>
      <c r="E11" s="17">
        <f t="shared" si="1"/>
        <v>444358507.1773333</v>
      </c>
      <c r="F11" s="17">
        <f t="shared" si="1"/>
        <v>526802451.221371</v>
      </c>
      <c r="G11" s="17">
        <f t="shared" si="1"/>
        <v>625396370.56321251</v>
      </c>
      <c r="H11" s="17">
        <f t="shared" si="1"/>
        <v>743235040.80479634</v>
      </c>
      <c r="I11" s="17">
        <f t="shared" si="1"/>
        <v>884005568.29348278</v>
      </c>
      <c r="J11" s="17">
        <f t="shared" si="1"/>
        <v>1052101148.0901797</v>
      </c>
      <c r="K11" s="17">
        <f t="shared" si="1"/>
        <v>1252756762.6245084</v>
      </c>
      <c r="L11" s="17">
        <f t="shared" si="1"/>
        <v>1492211070.5906932</v>
      </c>
      <c r="M11" s="17">
        <f t="shared" si="1"/>
        <v>1775440805.9453652</v>
      </c>
    </row>
    <row r="12" spans="2:13" ht="15.75" thickTop="1" x14ac:dyDescent="0.25"/>
  </sheetData>
  <mergeCells count="1">
    <mergeCell ref="D3:M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Index</vt:lpstr>
      <vt:lpstr>Description</vt:lpstr>
      <vt:lpstr>Assumption</vt:lpstr>
      <vt:lpstr>Calculations</vt:lpstr>
      <vt:lpstr>Profit &amp; Loss Statement</vt:lpstr>
      <vt:lpstr>NOPAT</vt:lpstr>
      <vt:lpstr>Working Capital Change</vt:lpstr>
      <vt:lpstr>Free Cash 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iamGYAN</dc:creator>
  <cp:lastModifiedBy>Gyan Ranjan</cp:lastModifiedBy>
  <dcterms:created xsi:type="dcterms:W3CDTF">2015-06-05T18:17:20Z</dcterms:created>
  <dcterms:modified xsi:type="dcterms:W3CDTF">2024-05-11T11:28:32Z</dcterms:modified>
</cp:coreProperties>
</file>