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_data__withPlatformdata" sheetId="1" r:id="rId3"/>
  </sheets>
  <definedNames/>
  <calcPr/>
</workbook>
</file>

<file path=xl/sharedStrings.xml><?xml version="1.0" encoding="utf-8"?>
<sst xmlns="http://schemas.openxmlformats.org/spreadsheetml/2006/main" count="24262" uniqueCount="13297">
  <si>
    <t>Id</t>
  </si>
  <si>
    <t>Platform</t>
  </si>
  <si>
    <t>CreationDate</t>
  </si>
  <si>
    <t>Title</t>
  </si>
  <si>
    <t>PostTypeId</t>
  </si>
  <si>
    <t>AcceptedAnswerId</t>
  </si>
  <si>
    <t>ParentId</t>
  </si>
  <si>
    <t>DeletionDate</t>
  </si>
  <si>
    <t>Score</t>
  </si>
  <si>
    <t>ViewCount</t>
  </si>
  <si>
    <t>OwnerUserId</t>
  </si>
  <si>
    <t>OwnerDisplayName</t>
  </si>
  <si>
    <t>LastEditorUserId</t>
  </si>
  <si>
    <t>LastEditorDisplayName</t>
  </si>
  <si>
    <t>LastEditDate</t>
  </si>
  <si>
    <t>LastActivityDate</t>
  </si>
  <si>
    <t>Tags</t>
  </si>
  <si>
    <t>AnswerCount</t>
  </si>
  <si>
    <t>CommentCount</t>
  </si>
  <si>
    <t>FavoriteCount</t>
  </si>
  <si>
    <t>ClosedDate</t>
  </si>
  <si>
    <t>CommunityOwnedDate</t>
  </si>
  <si>
    <t>ContentLicense</t>
  </si>
  <si>
    <t>AcceptedAnswerCreationDate</t>
  </si>
  <si>
    <t>Appian</t>
  </si>
  <si>
    <t>2011-12-15T15:57:16.467</t>
  </si>
  <si>
    <t>Java Client Consuming .NET WCF over SSL (WS-Policy not supported)</t>
  </si>
  <si>
    <t>2017-12-13T22:26:24.900</t>
  </si>
  <si>
    <t>&lt;java&gt;&lt;c#&gt;&lt;wcf&gt;&lt;ssl&gt;&lt;appian&gt;</t>
  </si>
  <si>
    <t>CC BY-SA 3.0</t>
  </si>
  <si>
    <t>2012-02-28T12:24:08.753</t>
  </si>
  <si>
    <t>Create textbox (label) with click on link Javascript</t>
  </si>
  <si>
    <t>2016-12-08T05:11:10.593</t>
  </si>
  <si>
    <t>&lt;javascript&gt;&lt;hyperlink&gt;&lt;label&gt;&lt;appian&gt;</t>
  </si>
  <si>
    <t>2013-09-30T19:37:15.600</t>
  </si>
  <si>
    <t>How to hide or prevent from generating left navigation feature from an Appian Tempo form at runtime</t>
  </si>
  <si>
    <t>2016-12-08T05:09:57.383</t>
  </si>
  <si>
    <t>2019-03-10T15:32:15.900</t>
  </si>
  <si>
    <t>&lt;formbuilder&gt;&lt;appian&gt;</t>
  </si>
  <si>
    <t>2016-05-09T19:35:27.673</t>
  </si>
  <si>
    <t>Using Substitution on Text Field - Appian Expression Editor</t>
  </si>
  <si>
    <t>2016-12-08T05:07:30.340</t>
  </si>
  <si>
    <t>&lt;saas&gt;&lt;appian&gt;</t>
  </si>
  <si>
    <t>2016-09-13T13:26:26.807</t>
  </si>
  <si>
    <t>Check server before starting service</t>
  </si>
  <si>
    <t>2016-12-08T05:14:26.330</t>
  </si>
  <si>
    <t>&lt;windows&gt;&lt;powershell&gt;&lt;server&gt;&lt;windows-server-2008-r2&gt;&lt;appian&gt;</t>
  </si>
  <si>
    <t>2016-09-13T14:09:08.887</t>
  </si>
  <si>
    <t>2017-06-16T12:12:01.303</t>
  </si>
  <si>
    <t>Appian "Only Show when" Expression: when date value is not null</t>
  </si>
  <si>
    <t>2018-09-09T01:25:41.667</t>
  </si>
  <si>
    <t>&lt;excel&gt;&lt;date&gt;&lt;null&gt;&lt;appian&gt;</t>
  </si>
  <si>
    <t>2019-02-11T22:10:53.137</t>
  </si>
  <si>
    <t>How to prepare and execute multiple statements in MySQL?</t>
  </si>
  <si>
    <t>2019-02-11T22:22:41.517</t>
  </si>
  <si>
    <t>&lt;mysql&gt;&lt;stored-procedures&gt;&lt;appian&gt;</t>
  </si>
  <si>
    <t>CC BY-SA 4.0</t>
  </si>
  <si>
    <t>2019-10-08T06:37:34.380</t>
  </si>
  <si>
    <t>Attempting to access Appian documents using C# and web-api's</t>
  </si>
  <si>
    <t>2019-10-09T02:11:51.793</t>
  </si>
  <si>
    <t>&lt;c#&gt;&lt;appian&gt;</t>
  </si>
  <si>
    <t>2019-12-19T02:46:48.850</t>
  </si>
  <si>
    <t>Querying Information_Schema on MySQL (Azure) takes too long</t>
  </si>
  <si>
    <t>2019-12-20T05:12:41.000</t>
  </si>
  <si>
    <t>2020-01-01T23:48:34.047</t>
  </si>
  <si>
    <t>&lt;mysql&gt;&lt;amazon-web-services&gt;&lt;information-schema&gt;&lt;azure-mysql-database&gt;&lt;appian&gt;</t>
  </si>
  <si>
    <t>2020-01-29T03:30:47.203</t>
  </si>
  <si>
    <t>How to get a count of database rows in Appian web api</t>
  </si>
  <si>
    <t>2020-01-29T06:28:12.450</t>
  </si>
  <si>
    <t>2020-01-30T01:15:45.833</t>
  </si>
  <si>
    <t>&lt;appian&gt;</t>
  </si>
  <si>
    <t>2020-01-29T07:35:41.287</t>
  </si>
  <si>
    <t>2020-02-13T15:49:23.643</t>
  </si>
  <si>
    <t>How to use/code stored procedure to stop MYSQL currently running task?</t>
  </si>
  <si>
    <t>2020-02-13T19:12:02.127</t>
  </si>
  <si>
    <t>2020-05-08T17:48:28.470</t>
  </si>
  <si>
    <t>&lt;mysql&gt;&lt;sql&gt;&lt;database&gt;&lt;business-process-management&gt;&lt;appian&gt;</t>
  </si>
  <si>
    <t>2020-03-18T09:30:07.590</t>
  </si>
  <si>
    <t>Version management and continous deployment with Appian?</t>
  </si>
  <si>
    <t>2020-05-27T07:40:02.810</t>
  </si>
  <si>
    <t>&lt;git&gt;&lt;jenkins&gt;&lt;continuous-deployment&gt;&lt;appian&gt;</t>
  </si>
  <si>
    <t>2020-05-21T05:05:54.620</t>
  </si>
  <si>
    <t>2020-04-05T06:04:33.150</t>
  </si>
  <si>
    <t>find associated values in dictionary</t>
  </si>
  <si>
    <t>2020-04-22T15:30:46.323</t>
  </si>
  <si>
    <t>2020-04-28T00:25:24.647</t>
  </si>
  <si>
    <t>getting more than 1000 documents using folder() in appian</t>
  </si>
  <si>
    <t>2020-04-30T08:29:46.633</t>
  </si>
  <si>
    <t>Google AUTOML API integration issue using service account</t>
  </si>
  <si>
    <t>&lt;google-api&gt;&lt;google-oauth&gt;&lt;automl&gt;&lt;google-cloud-automl-nl&gt;&lt;appian&gt;</t>
  </si>
  <si>
    <t>2020-05-11T16:33:16.067</t>
  </si>
  <si>
    <t>How to set dynamic shapes in Google charts scatterplot</t>
  </si>
  <si>
    <t>&lt;react-google-charts&gt;&lt;appian&gt;</t>
  </si>
  <si>
    <t>AppMaker</t>
  </si>
  <si>
    <t>2016-12-02T15:25:40.483</t>
  </si>
  <si>
    <t>How can I restrict access to an App Maker application?</t>
  </si>
  <si>
    <t>2016-12-02T19:23:28.913</t>
  </si>
  <si>
    <t>&lt;google-app-maker&gt;</t>
  </si>
  <si>
    <t>2016-12-03T00:30:12.930</t>
  </si>
  <si>
    <t>How can I read a URL parameter in App Maker?</t>
  </si>
  <si>
    <t>2019-04-05T05:52:13.123</t>
  </si>
  <si>
    <t>2016-12-03T00:32:50.957</t>
  </si>
  <si>
    <t>2016-12-08T17:59:28.743</t>
  </si>
  <si>
    <t>Suggest Box not working for SQL</t>
  </si>
  <si>
    <t>2017-02-17T19:03:11.287</t>
  </si>
  <si>
    <t>2016-12-11T16:15:09.157</t>
  </si>
  <si>
    <t>Setting Data Transformer for $ also makes input $ required</t>
  </si>
  <si>
    <t>2016-12-12T22:10:54.797</t>
  </si>
  <si>
    <t>2016-12-12T09:31:51.087</t>
  </si>
  <si>
    <t>Appmaker EAP from TT whitelisting</t>
  </si>
  <si>
    <t>2016-12-13T01:48:19.540</t>
  </si>
  <si>
    <t>2016-12-15T22:22:55.467</t>
  </si>
  <si>
    <t>Using ES6/7 in AppMaker Scripts</t>
  </si>
  <si>
    <t>2016-12-15T22:33:51.720</t>
  </si>
  <si>
    <t>2016-12-16T00:23:38.030</t>
  </si>
  <si>
    <t>2016-12-17T00:37:43.690</t>
  </si>
  <si>
    <t>What's the easiest way to prevent closing a dialog if the input validation false</t>
  </si>
  <si>
    <t>2016-12-19T20:00:24.883</t>
  </si>
  <si>
    <t>2016-12-20T02:27:16.480</t>
  </si>
  <si>
    <t>Displaying server side validation errors</t>
  </si>
  <si>
    <t>2016-12-20T02:32:29.960</t>
  </si>
  <si>
    <t>2016-12-21T03:35:22.390</t>
  </si>
  <si>
    <t>2016-12-20T17:15:02.383</t>
  </si>
  <si>
    <t>2016-12-21T21:55:21.803</t>
  </si>
  <si>
    <t>Can I retrieve GPS location in App Maker</t>
  </si>
  <si>
    <t>2016-12-21T22:48:32.550</t>
  </si>
  <si>
    <t>2017-01-08T10:58:24.903</t>
  </si>
  <si>
    <t>2016-12-27T12:20:23.413</t>
  </si>
  <si>
    <t>Connect my app to a Google Cloud SQL</t>
  </si>
  <si>
    <t>2016-12-28T20:49:54.837</t>
  </si>
  <si>
    <t>&lt;google-cloud-sql&gt;&lt;google-app-maker&gt;</t>
  </si>
  <si>
    <t>2017-01-04T15:38:29.853</t>
  </si>
  <si>
    <t>Deploying AppMaker app on multiple domains</t>
  </si>
  <si>
    <t>2017-01-04T18:20:27.227</t>
  </si>
  <si>
    <t>2017-01-13T15:59:35.647</t>
  </si>
  <si>
    <t>How to attach a callback to a custom confirmation dialog in Google App Maker?</t>
  </si>
  <si>
    <t>2017-01-13T17:55:56.510</t>
  </si>
  <si>
    <t>2017-01-13T21:46:18.177</t>
  </si>
  <si>
    <t>2017-01-13T18:18:22.757</t>
  </si>
  <si>
    <t>2017-01-13T23:38:32.570</t>
  </si>
  <si>
    <t>Generating an email list from AppMaker Database</t>
  </si>
  <si>
    <t>2019-06-18T13:20:35.120</t>
  </si>
  <si>
    <t>2017-01-14T02:18:05.627</t>
  </si>
  <si>
    <t>2017-01-16T15:36:58.220</t>
  </si>
  <si>
    <t>Connect AppMaker to Google SQL</t>
  </si>
  <si>
    <t>2018-06-15T12:35:16.453</t>
  </si>
  <si>
    <t>2017-01-16T21:53:56.470</t>
  </si>
  <si>
    <t>2017-01-19T18:40:03.057</t>
  </si>
  <si>
    <t>Shadow on hover of Grid Cell in google Appmaker similar to Hangout call Profile Pic hover</t>
  </si>
  <si>
    <t>2017-01-19T22:12:04.397</t>
  </si>
  <si>
    <t>2017-01-23T10:18:34.537</t>
  </si>
  <si>
    <t>Query as Widget Datasource</t>
  </si>
  <si>
    <t>2017-02-01T19:48:42.463</t>
  </si>
  <si>
    <t>2017-01-23T18:25:39.257</t>
  </si>
  <si>
    <t>2017-01-24T20:42:16.850</t>
  </si>
  <si>
    <t>Can't do custom CSS Style on TextBox in Google App Maker</t>
  </si>
  <si>
    <t>2017-01-24T22:02:46.917</t>
  </si>
  <si>
    <t>2017-01-25T01:55:37.910</t>
  </si>
  <si>
    <t>Have Widget reload/refresh data every 2 minutes</t>
  </si>
  <si>
    <t>2019-05-06T08:51:41.813</t>
  </si>
  <si>
    <t>2017-01-25T19:45:34.367</t>
  </si>
  <si>
    <t>Trouble converting Google App Maker from draft record in datasource</t>
  </si>
  <si>
    <t>2017-01-26T16:54:31.637</t>
  </si>
  <si>
    <t>2017-01-26T05:15:24.670</t>
  </si>
  <si>
    <t>set default value for detail in master/detail relationship form widget dialog button</t>
  </si>
  <si>
    <t>2019-12-02T00:11:42.033</t>
  </si>
  <si>
    <t>2017-01-26T17:15:52.483</t>
  </si>
  <si>
    <t>2017-01-26T19:35:47.117</t>
  </si>
  <si>
    <t>Had trouble linking widget to a queried datasource</t>
  </si>
  <si>
    <t>2017-01-27T01:22:18.627</t>
  </si>
  <si>
    <t>2017-01-27T02:48:10.777</t>
  </si>
  <si>
    <t>Need To Show Directory Output as Full Name Instead of Email Address</t>
  </si>
  <si>
    <t>2018-09-27T13:29:50.313</t>
  </si>
  <si>
    <t>2017-01-27T23:07:26.733</t>
  </si>
  <si>
    <t>Integration between different Google Appmaker Apps</t>
  </si>
  <si>
    <t>2017-01-28T01:04:56.933</t>
  </si>
  <si>
    <t>2017-01-28T00:45:46.103</t>
  </si>
  <si>
    <t>Google Admin Directory API in Appmaker</t>
  </si>
  <si>
    <t>2017-01-29T03:09:33.467</t>
  </si>
  <si>
    <t>2017-01-30T20:31:50.193</t>
  </si>
  <si>
    <t>Print Friendly Page</t>
  </si>
  <si>
    <t>2017-01-31T10:40:40.333</t>
  </si>
  <si>
    <t>2017-01-30T21:20:39.270</t>
  </si>
  <si>
    <t>App Maker RadioGroup styling not working</t>
  </si>
  <si>
    <t>2017-02-06T21:56:31.300</t>
  </si>
  <si>
    <t>&lt;css&gt;&lt;google-app-maker&gt;</t>
  </si>
  <si>
    <t>2017-01-30T22:48:02.870</t>
  </si>
  <si>
    <t>2017-02-01T12:39:31.420</t>
  </si>
  <si>
    <t>How to use AdminDirectory in Google App Maker?</t>
  </si>
  <si>
    <t>2017-02-01T21:46:12.017</t>
  </si>
  <si>
    <t>&lt;google-apps-script&gt;&lt;google-app-maker&gt;</t>
  </si>
  <si>
    <t>2017-02-01T15:38:33.690</t>
  </si>
  <si>
    <t>Filter table data in Accordion Widget</t>
  </si>
  <si>
    <t>2017-02-01T22:07:23.600</t>
  </si>
  <si>
    <t>2017-02-01T19:20:25.320</t>
  </si>
  <si>
    <t>Is there a way to see/show user activity in an app?</t>
  </si>
  <si>
    <t>2017-02-02T01:35:21.680</t>
  </si>
  <si>
    <t>2017-02-02T15:55:29.983</t>
  </si>
  <si>
    <t>Why is select button in App Maker Drive Picker not enabled?</t>
  </si>
  <si>
    <t>2017-05-23T11:46:42.470</t>
  </si>
  <si>
    <t>2017-03-28T20:20:20.540</t>
  </si>
  <si>
    <t>2017-02-02T19:43:24.340</t>
  </si>
  <si>
    <t>How Can I Duplicate A Item/Record?</t>
  </si>
  <si>
    <t>2017-02-03T00:06:11.223</t>
  </si>
  <si>
    <t>2017-02-02T20:00:57.050</t>
  </si>
  <si>
    <t>2017-02-08T19:05:25.347</t>
  </si>
  <si>
    <t>Project Timeline in App Maker</t>
  </si>
  <si>
    <t>2017-02-08T22:27:23.683</t>
  </si>
  <si>
    <t>2018-05-16T10:51:24.783</t>
  </si>
  <si>
    <t>2017-02-09T19:17:17.170</t>
  </si>
  <si>
    <t>Autonumber in App Maker</t>
  </si>
  <si>
    <t>2017-02-09T19:29:23.810</t>
  </si>
  <si>
    <t>2017-02-11T00:29:11.457</t>
  </si>
  <si>
    <t>Applying Script Library for Timeline</t>
  </si>
  <si>
    <t>2017-02-11T02:13:12.833</t>
  </si>
  <si>
    <t>2017-02-13T23:56:37.600</t>
  </si>
  <si>
    <t>How to list separate parts of a date entry</t>
  </si>
  <si>
    <t>2017-05-23T12:08:56.267</t>
  </si>
  <si>
    <t>2017-02-14T01:41:08.177</t>
  </si>
  <si>
    <t>2017-02-14T13:20:04.700</t>
  </si>
  <si>
    <t>CreateItem() untreated error return</t>
  </si>
  <si>
    <t>2017-02-15T11:32:07.277</t>
  </si>
  <si>
    <t>2017-02-14T17:41:53.903</t>
  </si>
  <si>
    <t>2017-02-15T01:04:05.117</t>
  </si>
  <si>
    <t>Change Font Size In Table Chart Widget</t>
  </si>
  <si>
    <t>2017-02-15T01:34:46.257</t>
  </si>
  <si>
    <t>2017-02-15T16:12:15.733</t>
  </si>
  <si>
    <t>How can I get the URL in Google AppMaker?</t>
  </si>
  <si>
    <t>2018-05-17T12:52:30.587</t>
  </si>
  <si>
    <t>2017-02-15T17:17:53.870</t>
  </si>
  <si>
    <t>2017-02-17T18:41:23.087</t>
  </si>
  <si>
    <t>suggest box appmaker drive tables</t>
  </si>
  <si>
    <t>2017-05-23T12:17:07.007</t>
  </si>
  <si>
    <t>2017-02-17T19:11:52.713</t>
  </si>
  <si>
    <t>2017-02-21T22:58:18.820</t>
  </si>
  <si>
    <t>What is the best way to hide "Completed or Cancelled Items" in a table?</t>
  </si>
  <si>
    <t>2017-02-25T13:51:45.367</t>
  </si>
  <si>
    <t>2017-02-23T00:39:59.807</t>
  </si>
  <si>
    <t>How Can I Filter Multiple Variables In A Table?</t>
  </si>
  <si>
    <t>2017-02-23T01:58:02.453</t>
  </si>
  <si>
    <t>2017-02-26T15:16:49.417</t>
  </si>
  <si>
    <t>Control widget's width programmatically</t>
  </si>
  <si>
    <t>2017-02-27T22:31:56.977</t>
  </si>
  <si>
    <t>2017-02-27T14:11:56.750</t>
  </si>
  <si>
    <t>2017-02-28T11:00:25.827</t>
  </si>
  <si>
    <t>Google App Maker app not working after deploy</t>
  </si>
  <si>
    <t>2017-03-01T09:29:58.320</t>
  </si>
  <si>
    <t>2017-03-01T09:39:27.857</t>
  </si>
  <si>
    <t>2017-03-07T01:23:14.673</t>
  </si>
  <si>
    <t>Open Additional Fragment</t>
  </si>
  <si>
    <t>2017-03-07T23:55:18.107</t>
  </si>
  <si>
    <t>2017-03-17T19:02:59.250</t>
  </si>
  <si>
    <t>2017-03-07T11:24:06.450</t>
  </si>
  <si>
    <t>Google App Maker Many-to-Many relations</t>
  </si>
  <si>
    <t>2017-03-07T12:43:43.610</t>
  </si>
  <si>
    <t>2018-01-03T08:09:54.150</t>
  </si>
  <si>
    <t>2017-03-07T21:02:35.893</t>
  </si>
  <si>
    <t>2017-03-08T13:06:31.913</t>
  </si>
  <si>
    <t>How to change Dropdown to Search Box in Google App Maker</t>
  </si>
  <si>
    <t>2017-03-08T19:03:18.453</t>
  </si>
  <si>
    <t>2017-03-08T17:41:13.643</t>
  </si>
  <si>
    <t>2017-03-08T17:15:13.240</t>
  </si>
  <si>
    <t>How to center a block in Google AppMaker</t>
  </si>
  <si>
    <t>2017-03-08T19:48:23.210</t>
  </si>
  <si>
    <t>2017-03-09T21:05:08.450</t>
  </si>
  <si>
    <t>How to overwrite or clear data in a Drive Table in Google App Maker</t>
  </si>
  <si>
    <t>2017-11-09T19:23:10.563</t>
  </si>
  <si>
    <t>2017-04-20T13:46:35.580</t>
  </si>
  <si>
    <t>2017-03-11T02:21:03.393</t>
  </si>
  <si>
    <t>Backup App Maker Data Nightly</t>
  </si>
  <si>
    <t>2017-03-17T13:10:45.127</t>
  </si>
  <si>
    <t>2017-03-11T18:57:33.647</t>
  </si>
  <si>
    <t>Filter page datasource based on record selection</t>
  </si>
  <si>
    <t>2017-03-13T00:35:23.133</t>
  </si>
  <si>
    <t>2017-03-16T17:57:43.000</t>
  </si>
  <si>
    <t>Issues SQL connection with a specific account</t>
  </si>
  <si>
    <t>2017-03-23T11:25:43.163</t>
  </si>
  <si>
    <t>2017-03-22T01:30:17.903</t>
  </si>
  <si>
    <t>2017-03-17T13:44:02.607</t>
  </si>
  <si>
    <t>Why is RadioGroup so tall in Google AppMaker?</t>
  </si>
  <si>
    <t>2017-03-17T16:58:43.213</t>
  </si>
  <si>
    <t>2017-03-20T21:43:33.113</t>
  </si>
  <si>
    <t>Trouble moving from Drive to Cloud SQL in Google AppMaker</t>
  </si>
  <si>
    <t>2017-05-23T11:46:18.273</t>
  </si>
  <si>
    <t>2017-03-24T18:56:38.390</t>
  </si>
  <si>
    <t>&lt;postgresql&gt;&lt;google-cloud-platform&gt;&lt;google-cloud-sql&gt;&lt;google-app-maker&gt;</t>
  </si>
  <si>
    <t>2017-03-21T21:18:24.433</t>
  </si>
  <si>
    <t>Getting duplicate rows when querying Cloud SQL in AppMaker</t>
  </si>
  <si>
    <t>2017-03-22T18:56:45.707</t>
  </si>
  <si>
    <t>2017-03-29T19:52:14.683</t>
  </si>
  <si>
    <t>2017-03-22T14:46:31.907</t>
  </si>
  <si>
    <t>How do I limit the list of pages shown on a menu?</t>
  </si>
  <si>
    <t>2017-03-24T02:34:35.463</t>
  </si>
  <si>
    <t>2017-03-24T10:02:49.963</t>
  </si>
  <si>
    <t>Using BigQuery API with Google App Maker</t>
  </si>
  <si>
    <t>2017-03-24T16:59:45.720</t>
  </si>
  <si>
    <t>&lt;google-apps-script&gt;&lt;google-bigquery&gt;&lt;google-app-maker&gt;</t>
  </si>
  <si>
    <t>2017-03-24T18:53:16.043</t>
  </si>
  <si>
    <t>Google App Maker: Add a field with the current date/time</t>
  </si>
  <si>
    <t>2017-03-25T13:23:55.720</t>
  </si>
  <si>
    <t>2017-03-24T19:59:19.710</t>
  </si>
  <si>
    <t>What callback function do I use in the client script</t>
  </si>
  <si>
    <t>2017-03-25T21:36:50.833</t>
  </si>
  <si>
    <t>2017-03-27T21:00:09.567</t>
  </si>
  <si>
    <t>2017-03-26T19:42:26.510</t>
  </si>
  <si>
    <t>Best way to bulk delete records in Datasheet model?</t>
  </si>
  <si>
    <t>2017-03-27T16:49:22.327</t>
  </si>
  <si>
    <t>2017-03-27T12:02:49.357</t>
  </si>
  <si>
    <t>Including external developers in Google App Maker</t>
  </si>
  <si>
    <t>2017-03-28T17:00:42.710</t>
  </si>
  <si>
    <t>2017-03-27T15:44:58.113</t>
  </si>
  <si>
    <t>2017-03-28T20:18:32.220</t>
  </si>
  <si>
    <t>How do you scroll a list in AppMaker?</t>
  </si>
  <si>
    <t>2019-04-10T20:24:28.000</t>
  </si>
  <si>
    <t>2017-03-28T23:09:26.880</t>
  </si>
  <si>
    <t>2017-03-29T15:32:06.357</t>
  </si>
  <si>
    <t>How can I clear a specific filter without clearing all filters?</t>
  </si>
  <si>
    <t>2017-03-29T19:53:20.047</t>
  </si>
  <si>
    <t>2017-04-04T16:02:52.700</t>
  </si>
  <si>
    <t>How do I get a list of models in appmaker when running a server script?</t>
  </si>
  <si>
    <t>2017-04-04T17:54:36.160</t>
  </si>
  <si>
    <t>2017-04-04T17:15:34.203</t>
  </si>
  <si>
    <t>error in adding an updated timestamp with a button</t>
  </si>
  <si>
    <t>2017-04-05T06:57:48.840</t>
  </si>
  <si>
    <t>2019-02-22T14:05:47.300</t>
  </si>
  <si>
    <t>2017-04-05T17:01:53.337</t>
  </si>
  <si>
    <t>2017-04-05T20:37:05.830</t>
  </si>
  <si>
    <t>Dropdown property in AppMaker not working</t>
  </si>
  <si>
    <t>2017-04-07T16:56:46.057</t>
  </si>
  <si>
    <t>2017-04-06T02:37:54.680</t>
  </si>
  <si>
    <t>Password-protected page in AppMaker</t>
  </si>
  <si>
    <t>2017-04-06T22:16:58.300</t>
  </si>
  <si>
    <t>2017-04-17T15:27:25.883</t>
  </si>
  <si>
    <t>Adding a user-filled value as well as a pick value for google appmaker</t>
  </si>
  <si>
    <t>2017-04-18T22:29:47.857</t>
  </si>
  <si>
    <t>2017-04-19T15:52:31.697</t>
  </si>
  <si>
    <t>How do I find out a field's type information for a 'record' in appmaker in Server script?</t>
  </si>
  <si>
    <t>2017-04-20T18:34:51.973</t>
  </si>
  <si>
    <t>2017-04-21T18:48:27.023</t>
  </si>
  <si>
    <t>Fix Notification Email Content</t>
  </si>
  <si>
    <t>2017-04-23T18:10:50.003</t>
  </si>
  <si>
    <t>2017-04-25T13:34:30.970</t>
  </si>
  <si>
    <t>Can I used tableau to connect to the data saved by an application created using google appmaker?</t>
  </si>
  <si>
    <t>2017-04-25T17:48:37.490</t>
  </si>
  <si>
    <t>2017-04-25T18:32:55.007</t>
  </si>
  <si>
    <t>GoogleMap Widget is not loading the coordinates</t>
  </si>
  <si>
    <t>2018-03-06T18:22:14.717</t>
  </si>
  <si>
    <t>2017-04-26T18:55:38.833</t>
  </si>
  <si>
    <t>Exporting data out of Google AppMaker</t>
  </si>
  <si>
    <t>2018-03-01T16:33:10.670</t>
  </si>
  <si>
    <t>2017-04-26T23:59:36.757</t>
  </si>
  <si>
    <t>App Maker Relations Not A Datasource Option</t>
  </si>
  <si>
    <t>2017-04-27T00:22:14.747</t>
  </si>
  <si>
    <t>2017-04-27T20:53:55.853</t>
  </si>
  <si>
    <t>Display result of a query that calculates the total of a field as the value of a label in a list</t>
  </si>
  <si>
    <t>2020-04-20T11:47:04.283</t>
  </si>
  <si>
    <t>2017-05-04T17:38:59.873</t>
  </si>
  <si>
    <t>2017-05-03T15:51:21.433</t>
  </si>
  <si>
    <t>Error when running query against a calculated SQL model from server script in AppMaker</t>
  </si>
  <si>
    <t>2017-05-03T23:56:40.167</t>
  </si>
  <si>
    <t>2017-05-04T09:07:22.427</t>
  </si>
  <si>
    <t>How to check in both server-side and client-side scripts if we are in preview mode or deployed version</t>
  </si>
  <si>
    <t>2017-05-04T15:40:31.307</t>
  </si>
  <si>
    <t>2017-05-08T14:14:51.300</t>
  </si>
  <si>
    <t>WorkFlow Based in a Field - AppMaker</t>
  </si>
  <si>
    <t>2020-04-21T04:16:49.183</t>
  </si>
  <si>
    <t>2017-05-09T02:24:30.293</t>
  </si>
  <si>
    <t>Deploy an Appmaker app to a mobile device or tablet?</t>
  </si>
  <si>
    <t>2017-05-10T13:12:44.820</t>
  </si>
  <si>
    <t>2018-12-02T14:26:10.567</t>
  </si>
  <si>
    <t>2017-05-09T04:02:32.823</t>
  </si>
  <si>
    <t>Make table row behave like an accordion</t>
  </si>
  <si>
    <t>2019-03-31T19:52:56.017</t>
  </si>
  <si>
    <t>2019-07-05T05:34:47.667</t>
  </si>
  <si>
    <t>2017-05-11T03:59:56.567</t>
  </si>
  <si>
    <t>2017-05-11T15:29:48.217</t>
  </si>
  <si>
    <t>Continuously import data from the From responses spreadsheet into AppMaker data model</t>
  </si>
  <si>
    <t>2017-05-15T10:04:55.580</t>
  </si>
  <si>
    <t>2017-05-14T15:42:50.900</t>
  </si>
  <si>
    <t>Input data on Table OnCreate</t>
  </si>
  <si>
    <t>2017-06-06T11:21:08.643</t>
  </si>
  <si>
    <t>2017-05-16T08:00:13.760</t>
  </si>
  <si>
    <t>Gsuite App Maker File Upload Functionality</t>
  </si>
  <si>
    <t>2017-05-16T16:31:12.010</t>
  </si>
  <si>
    <t>2017-05-16T15:30:38.047</t>
  </si>
  <si>
    <t>Where can i see the google sheet in which app makers saves the data</t>
  </si>
  <si>
    <t>2017-09-09T00:49:07.370</t>
  </si>
  <si>
    <t>2017-05-16T16:20:10.230</t>
  </si>
  <si>
    <t>2017-05-17T01:18:48.820</t>
  </si>
  <si>
    <t>How to change the color of the arrow in the dropdown box</t>
  </si>
  <si>
    <t>2017-05-17T16:05:44.083</t>
  </si>
  <si>
    <t>2017-05-17T12:51:21.647</t>
  </si>
  <si>
    <t>How can I share my app made by Google App Maker with others?</t>
  </si>
  <si>
    <t>2017-05-17T19:13:03.570</t>
  </si>
  <si>
    <t>2017-05-17T17:32:46.953</t>
  </si>
  <si>
    <t>2017-05-19T15:04:35.267</t>
  </si>
  <si>
    <t>Datasource query limit is different of page size</t>
  </si>
  <si>
    <t>2017-05-19T16:01:54.903</t>
  </si>
  <si>
    <t>2017-05-19T17:42:27.900</t>
  </si>
  <si>
    <t>Appmaker - combine fields from two datasources</t>
  </si>
  <si>
    <t>2018-06-25T07:27:04.217</t>
  </si>
  <si>
    <t>2017-05-19T20:10:28.183</t>
  </si>
  <si>
    <t>2017-05-19T20:45:03.733</t>
  </si>
  <si>
    <t>Loading datastore based on boolean flag</t>
  </si>
  <si>
    <t>2017-05-22T07:35:13.423</t>
  </si>
  <si>
    <t>2017-05-23T16:14:29.413</t>
  </si>
  <si>
    <t>2017-05-20T00:09:11.990</t>
  </si>
  <si>
    <t>How To Change Button Color, But Keep Icon</t>
  </si>
  <si>
    <t>2017-05-22T21:06:44.970</t>
  </si>
  <si>
    <t>2017-05-22T17:31:39.700</t>
  </si>
  <si>
    <t>2017-05-20T22:08:55.080</t>
  </si>
  <si>
    <t>Best way to handle images in App Maker</t>
  </si>
  <si>
    <t>2017-05-22T17:19:14.877</t>
  </si>
  <si>
    <t>2017-05-22T07:25:33.517</t>
  </si>
  <si>
    <t>AppMaker strips CSS variables</t>
  </si>
  <si>
    <t>2018-03-06T18:56:11.913</t>
  </si>
  <si>
    <t>2017-05-23T13:32:20.820</t>
  </si>
  <si>
    <t>After publishing an app, how do you find the public URL to give to your end users?</t>
  </si>
  <si>
    <t>2017-05-23T15:21:11.393</t>
  </si>
  <si>
    <t>2017-05-23T16:28:34.267</t>
  </si>
  <si>
    <t>Can two people within the same organization work on the same project at the same time</t>
  </si>
  <si>
    <t>2017-05-25T17:58:32.987</t>
  </si>
  <si>
    <t>2017-05-24T20:54:30.943</t>
  </si>
  <si>
    <t>2017-05-23T21:30:38.057</t>
  </si>
  <si>
    <t>Google App Maker - Clickable Image Map</t>
  </si>
  <si>
    <t>2017-05-29T10:47:00.283</t>
  </si>
  <si>
    <t>2017-05-24T18:24:59.653</t>
  </si>
  <si>
    <t>Appmaker - Relation between local datasource and external datasource/Directory</t>
  </si>
  <si>
    <t>2019-05-23T19:28:24.807</t>
  </si>
  <si>
    <t>2017-05-24T18:54:44.753</t>
  </si>
  <si>
    <t>2017-05-25T10:55:14.277</t>
  </si>
  <si>
    <t>Stop AppMaker deleting email address onSend</t>
  </si>
  <si>
    <t>2020-05-10T09:28:26.287</t>
  </si>
  <si>
    <t>2017-05-25T15:08:59.940</t>
  </si>
  <si>
    <t>2017-05-26T04:39:24.930</t>
  </si>
  <si>
    <t>Submitting My Website's Contact Form to Google App Maker</t>
  </si>
  <si>
    <t>2018-07-06T10:47:57.707</t>
  </si>
  <si>
    <t>2017-05-29T10:51:45.257</t>
  </si>
  <si>
    <t>onCreate send email to self in AppMaker?</t>
  </si>
  <si>
    <t>2017-05-29T14:54:44.957</t>
  </si>
  <si>
    <t>2017-05-31T15:56:24.977</t>
  </si>
  <si>
    <t>2017-05-30T16:15:24.200</t>
  </si>
  <si>
    <t>Google AppMaker: Failed to load models for google cloud SQL</t>
  </si>
  <si>
    <t>2017-05-31T10:13:14.237</t>
  </si>
  <si>
    <t>2017-05-30T16:24:36.133</t>
  </si>
  <si>
    <t>Accessing imported data in google appmaker</t>
  </si>
  <si>
    <t>2017-05-31T16:06:43.533</t>
  </si>
  <si>
    <t>2017-05-30T21:18:43.293</t>
  </si>
  <si>
    <t>Variables in Queries - Server-side Scripts</t>
  </si>
  <si>
    <t>user8087816</t>
  </si>
  <si>
    <t>2017-05-31T12:42:29.377</t>
  </si>
  <si>
    <t>2017-05-31T17:27:23.870</t>
  </si>
  <si>
    <t>2017-05-31T16:20:16.547</t>
  </si>
  <si>
    <t>2017-05-31T13:14:54.520</t>
  </si>
  <si>
    <t>Updating relations using script overwrites relations for all but newest record</t>
  </si>
  <si>
    <t>2017-05-31T15:01:23.667</t>
  </si>
  <si>
    <t>2020-04-20T16:28:17.817</t>
  </si>
  <si>
    <t>2017-05-31T17:47:36.403</t>
  </si>
  <si>
    <t>2017-05-31T19:52:19.090</t>
  </si>
  <si>
    <t>Is there a way to copy a complete page from one App to another in AppMaker</t>
  </si>
  <si>
    <t>2017-05-31T21:15:57.430</t>
  </si>
  <si>
    <t>2017-06-05T00:08:53.733</t>
  </si>
  <si>
    <t>Google App Maker - Using properties in SQL data sources</t>
  </si>
  <si>
    <t>2020-04-26T07:50:28.477</t>
  </si>
  <si>
    <t>2017-06-05T19:01:43.547</t>
  </si>
  <si>
    <t>Google App Maker Query Builder</t>
  </si>
  <si>
    <t>2017-06-05T19:17:00.730</t>
  </si>
  <si>
    <t>2017-06-05T19:39:20.430</t>
  </si>
  <si>
    <t>Notification Email Entry Won't Work For Date Box Value</t>
  </si>
  <si>
    <t>2017-06-05T20:34:38.867</t>
  </si>
  <si>
    <t>2017-06-06T19:36:01.833</t>
  </si>
  <si>
    <t>Trying To Filter Only Rows That Meet Two Criteria</t>
  </si>
  <si>
    <t>2019-05-06T15:05:46.843</t>
  </si>
  <si>
    <t>2017-06-06T20:14:16.753</t>
  </si>
  <si>
    <t>2017-06-07T08:30:11.330</t>
  </si>
  <si>
    <t>Query script not run in suggest box</t>
  </si>
  <si>
    <t>2017-06-07T11:21:26.317</t>
  </si>
  <si>
    <t>&lt;suggestbox&gt;&lt;google-app-maker&gt;</t>
  </si>
  <si>
    <t>2017-06-07T17:10:33.477</t>
  </si>
  <si>
    <t>Can i call a server side script from a hyper link in system generated email?</t>
  </si>
  <si>
    <t>2017-06-08T11:35:00.907</t>
  </si>
  <si>
    <t>2017-06-07T19:57:20.577</t>
  </si>
  <si>
    <t>Can't Edit/Update Certain Items In Database (Table)</t>
  </si>
  <si>
    <t>2017-06-07T22:11:50.707</t>
  </si>
  <si>
    <t>2017-06-08T02:32:30.863</t>
  </si>
  <si>
    <t>In google appmaker, can't get requestAnimationFrame working</t>
  </si>
  <si>
    <t>2017-06-09T23:01:17.297</t>
  </si>
  <si>
    <t>&lt;javascript&gt;&lt;animation&gt;&lt;requestanimationframe&gt;&lt;google-app-maker&gt;</t>
  </si>
  <si>
    <t>2017-06-08T17:33:01.237</t>
  </si>
  <si>
    <t>Change data model to use google cloud SQL</t>
  </si>
  <si>
    <t>2017-06-09T11:10:17.377</t>
  </si>
  <si>
    <t>2017-06-09T12:15:46.697</t>
  </si>
  <si>
    <t>2017-06-08T21:50:39.167</t>
  </si>
  <si>
    <t>Google App Maker: Prevent Duplicate Entries</t>
  </si>
  <si>
    <t>2017-06-08T23:02:52.617</t>
  </si>
  <si>
    <t>2017-06-13T00:11:50.870</t>
  </si>
  <si>
    <t>Directory User Phone Numbers not displaying</t>
  </si>
  <si>
    <t>2017-06-13T23:39:18.720</t>
  </si>
  <si>
    <t>2017-06-13T15:58:44.773</t>
  </si>
  <si>
    <t>AppMaker Record save failed: 'id' field value is required, but found 'null'. (auto increment)</t>
  </si>
  <si>
    <t>2017-06-14T07:01:55.843</t>
  </si>
  <si>
    <t>2017-07-16T10:28:59.647</t>
  </si>
  <si>
    <t>&lt;mysql&gt;&lt;google-app-maker&gt;</t>
  </si>
  <si>
    <t>2017-06-13T17:47:21.693</t>
  </si>
  <si>
    <t>Creating an app open to the internet (no login needed)</t>
  </si>
  <si>
    <t>2017-06-13T17:59:20.903</t>
  </si>
  <si>
    <t>2017-06-13T22:29:16.457</t>
  </si>
  <si>
    <t>Can you use the relation when creating a new QueryBuilder expression for a datasource?</t>
  </si>
  <si>
    <t>2017-06-13T22:45:20.373</t>
  </si>
  <si>
    <t>2017-06-16T13:29:31.690</t>
  </si>
  <si>
    <t>How to sort by when doing server-side request on a datasource prefetch?</t>
  </si>
  <si>
    <t>2017-06-19T12:58:33.787</t>
  </si>
  <si>
    <t>2017-06-19T15:50:56.253</t>
  </si>
  <si>
    <t>Google AppMaker Expected Date for value of 'SearchText' parameter?</t>
  </si>
  <si>
    <t>2017-06-19T17:39:44.907</t>
  </si>
  <si>
    <t>2017-06-19T18:07:10.573</t>
  </si>
  <si>
    <t>&lt;javascript&gt;&lt;google-apps-script&gt;&lt;google-app-maker&gt;</t>
  </si>
  <si>
    <t>2017-06-19T19:07:36.237</t>
  </si>
  <si>
    <t>Google App Maker - how to open hyperlinks on button click</t>
  </si>
  <si>
    <t>2019-09-24T20:37:42.010</t>
  </si>
  <si>
    <t>&lt;javascript&gt;&lt;hyperlink&gt;&lt;google-app-maker&gt;</t>
  </si>
  <si>
    <t>2017-06-19T23:02:09.763</t>
  </si>
  <si>
    <t>App Maker Multi Select?</t>
  </si>
  <si>
    <t>2017-08-24T21:55:11.507</t>
  </si>
  <si>
    <t>2017-06-20T09:00:14.063</t>
  </si>
  <si>
    <t>2017-06-22T22:55:08.877</t>
  </si>
  <si>
    <t>Appmaker as Admin interface for Firebase</t>
  </si>
  <si>
    <t>2017-06-23T10:19:18.753</t>
  </si>
  <si>
    <t>&lt;firebase&gt;&lt;firebase-realtime-database&gt;&lt;google-app-maker&gt;</t>
  </si>
  <si>
    <t>2017-06-26T20:02:50.680</t>
  </si>
  <si>
    <t>Options for Archiving instead of deleting</t>
  </si>
  <si>
    <t>2017-06-27T15:17:42.227</t>
  </si>
  <si>
    <t>2017-06-27T20:20:40.027</t>
  </si>
  <si>
    <t>Get list of all google groups within the orgranization</t>
  </si>
  <si>
    <t>2017-06-27T20:38:05.660</t>
  </si>
  <si>
    <t>2017-06-28T10:51:42.973</t>
  </si>
  <si>
    <t>Suggest Box with Calculated tables</t>
  </si>
  <si>
    <t>2018-07-12T12:58:48.747</t>
  </si>
  <si>
    <t>2017-06-30T04:23:04.423</t>
  </si>
  <si>
    <t>In Google AppMaker, How to filter using a single DateBox?</t>
  </si>
  <si>
    <t>2017-07-05T02:52:02.667</t>
  </si>
  <si>
    <t>2017-07-02T02:53:38.440</t>
  </si>
  <si>
    <t>In Google App maker, How are Query Script parameters added?</t>
  </si>
  <si>
    <t>2017-07-05T06:12:51.807</t>
  </si>
  <si>
    <t>2018-02-15T21:03:43.913</t>
  </si>
  <si>
    <t>2017-07-03T06:39:04.583</t>
  </si>
  <si>
    <t>Get data from data source in client/server script</t>
  </si>
  <si>
    <t>2017-07-03T06:54:58.657</t>
  </si>
  <si>
    <t>2019-05-03T11:59:43.390</t>
  </si>
  <si>
    <t>&lt;google-apps-script&gt;&lt;google-apps&gt;&lt;google-app-maker&gt;</t>
  </si>
  <si>
    <t>2017-07-03T15:38:06.330</t>
  </si>
  <si>
    <t>How do I open a dialog or page to a specific record in Google App Maker?</t>
  </si>
  <si>
    <t>2019-04-24T14:49:08.510</t>
  </si>
  <si>
    <t>2017-07-04T10:33:42.740</t>
  </si>
  <si>
    <t>2017-07-04T10:11:45.350</t>
  </si>
  <si>
    <t>Where can I find all App Maker button icons?</t>
  </si>
  <si>
    <t>2017-07-04T13:50:42.560</t>
  </si>
  <si>
    <t>2019-12-20T07:20:21.693</t>
  </si>
  <si>
    <t>2017-07-04T13:43:28.680</t>
  </si>
  <si>
    <t>2017-07-04T18:59:46.997</t>
  </si>
  <si>
    <t>Call a Google App Maker App with a parameter</t>
  </si>
  <si>
    <t>2017-07-05T23:21:38.243</t>
  </si>
  <si>
    <t>2017-07-06T14:39:00.240</t>
  </si>
  <si>
    <t>window.scrollTo() not working</t>
  </si>
  <si>
    <t>2017-07-07T12:17:05.513</t>
  </si>
  <si>
    <t>2017-07-06T15:38:47.093</t>
  </si>
  <si>
    <t>2017-07-06T18:40:31.087</t>
  </si>
  <si>
    <t>Is it possible to use PostgreSQL with Google AppMaker?</t>
  </si>
  <si>
    <t>2017-07-06T22:31:07.907</t>
  </si>
  <si>
    <t>2017-07-06T19:32:54.787</t>
  </si>
  <si>
    <t>2017-07-07T15:20:41.190</t>
  </si>
  <si>
    <t>How to generate totals of fields from related model records</t>
  </si>
  <si>
    <t>2017-07-08T02:06:27.103</t>
  </si>
  <si>
    <t>2017-07-08T15:21:44.420</t>
  </si>
  <si>
    <t>2017-07-07T23:13:42.027</t>
  </si>
  <si>
    <t>Using existing Cloud SQL Table loads slow; Creating Table through AppMaker in Cloud SQL loads fast</t>
  </si>
  <si>
    <t>2018-03-06T18:03:13.560</t>
  </si>
  <si>
    <t>2017-07-10T05:32:03.690</t>
  </si>
  <si>
    <t>Presenting relational data as columns in table</t>
  </si>
  <si>
    <t>2017-07-12T06:04:00.720</t>
  </si>
  <si>
    <t>2017-07-10T18:31:08.867</t>
  </si>
  <si>
    <t>Are Media Queries Supported?</t>
  </si>
  <si>
    <t>2017-07-11T12:16:56.580</t>
  </si>
  <si>
    <t>2017-07-10T21:35:37.007</t>
  </si>
  <si>
    <t>2017-07-11T22:24:49.580</t>
  </si>
  <si>
    <t>I receive an error that a record is in use when using a checkbox widget</t>
  </si>
  <si>
    <t>2017-07-11T22:36:59.913</t>
  </si>
  <si>
    <t>2017-07-13T20:16:50.723</t>
  </si>
  <si>
    <t>2017-07-11T22:38:38.777</t>
  </si>
  <si>
    <t>2017-07-11T22:35:04.720</t>
  </si>
  <si>
    <t>How to view log of user actions</t>
  </si>
  <si>
    <t>2017-07-14T15:44:27.283</t>
  </si>
  <si>
    <t>2017-07-12T14:44:33.113</t>
  </si>
  <si>
    <t>2017-07-12T21:48:20.547</t>
  </si>
  <si>
    <t>Google App Maker - Emailing a completed form</t>
  </si>
  <si>
    <t>2017-09-09T15:58:05.343</t>
  </si>
  <si>
    <t>2017-07-13T22:32:58.090</t>
  </si>
  <si>
    <t>Cannot create new item in manual save mode database</t>
  </si>
  <si>
    <t>2017-07-13T22:41:26.953</t>
  </si>
  <si>
    <t>2017-07-13T23:21:18.223</t>
  </si>
  <si>
    <t>2017-07-14T11:29:41.373</t>
  </si>
  <si>
    <t>Google App Maker console</t>
  </si>
  <si>
    <t>2018-03-19T17:05:58.820</t>
  </si>
  <si>
    <t>2017-07-15T17:25:49.997</t>
  </si>
  <si>
    <t>Field enabled based on role</t>
  </si>
  <si>
    <t>2017-07-15T21:07:37.860</t>
  </si>
  <si>
    <t>2017-07-16T05:12:45.750</t>
  </si>
  <si>
    <t>2017-07-16T02:29:12.827</t>
  </si>
  <si>
    <t>2017-07-16T20:26:26.323</t>
  </si>
  <si>
    <t>How to make an element fixed on the viewport?</t>
  </si>
  <si>
    <t>2017-07-17T16:33:46.677</t>
  </si>
  <si>
    <t>2017-07-18T15:35:27.377</t>
  </si>
  <si>
    <t>Displaying form on first login</t>
  </si>
  <si>
    <t>2017-07-18T17:05:07.540</t>
  </si>
  <si>
    <t>2017-07-18T21:55:11.513</t>
  </si>
  <si>
    <t>Table Not Updating After Adding Entry</t>
  </si>
  <si>
    <t>2017-07-18T23:32:12.593</t>
  </si>
  <si>
    <t>2017-07-19T15:54:58.947</t>
  </si>
  <si>
    <t>App Maker: Public facing IP for UrlFetch?</t>
  </si>
  <si>
    <t>2017-07-19T16:31:04.773</t>
  </si>
  <si>
    <t>2017-07-19T17:23:25.047</t>
  </si>
  <si>
    <t>Use multiple App Maker fragment forms on the same page</t>
  </si>
  <si>
    <t>2017-07-19T18:58:06.287</t>
  </si>
  <si>
    <t>2017-07-19T18:34:56.303</t>
  </si>
  <si>
    <t>2017-07-20T20:25:47.053</t>
  </si>
  <si>
    <t>Trying To Send Creation Notification Email</t>
  </si>
  <si>
    <t>2017-07-21T09:23:16.607</t>
  </si>
  <si>
    <t>2017-07-20T21:06:59.310</t>
  </si>
  <si>
    <t>2017-07-21T08:38:24.127</t>
  </si>
  <si>
    <t>Cannot add new correlated record to new created record</t>
  </si>
  <si>
    <t>2020-02-20T14:07:15.203</t>
  </si>
  <si>
    <t>2017-07-21T12:54:59.403</t>
  </si>
  <si>
    <t>Having some trouble with getting an automatic import of a Sheet into a Data Table</t>
  </si>
  <si>
    <t>2017-07-25T12:07:00.097</t>
  </si>
  <si>
    <t>2017-07-21T19:52:31.183</t>
  </si>
  <si>
    <t>How to toggle a panel's visibility</t>
  </si>
  <si>
    <t>2017-07-21T22:28:03.820</t>
  </si>
  <si>
    <t>2017-07-24T05:09:53.630</t>
  </si>
  <si>
    <t>How to create dynamic form in google app maker?</t>
  </si>
  <si>
    <t>2017-07-24T19:05:05.913</t>
  </si>
  <si>
    <t>2017-07-24T19:48:48.200</t>
  </si>
  <si>
    <t>Table Not Updating With Manual Save Mode</t>
  </si>
  <si>
    <t>2017-08-15T21:28:27.753</t>
  </si>
  <si>
    <t>2017-07-24T20:56:05.540</t>
  </si>
  <si>
    <t>2017-07-25T17:36:55.497</t>
  </si>
  <si>
    <t>creating a link to the record in a completed form</t>
  </si>
  <si>
    <t>2017-07-25T20:19:47.443</t>
  </si>
  <si>
    <t>2017-07-25T20:05:52.660</t>
  </si>
  <si>
    <t>Error With Email Change Notifications Using Project Tracker Template</t>
  </si>
  <si>
    <t>2017-07-25T20:57:09.160</t>
  </si>
  <si>
    <t>2017-07-26T10:48:47.600</t>
  </si>
  <si>
    <t>How to create a (CSS) style variant for a dropdown widget, to target its list rows with it?</t>
  </si>
  <si>
    <t>2017-07-26T15:29:14.747</t>
  </si>
  <si>
    <t>2017-07-26T18:28:28.727</t>
  </si>
  <si>
    <t>Embedded map in Google App Maker not rendering in Chrome browser</t>
  </si>
  <si>
    <t>2018-03-29T16:11:01.927</t>
  </si>
  <si>
    <t>&lt;javascript&gt;&lt;google-chrome&gt;&lt;google-app-maker&gt;</t>
  </si>
  <si>
    <t>2017-07-26T19:59:41.557</t>
  </si>
  <si>
    <t>Trying To Include Email Address (or User's Name) In Notification Email</t>
  </si>
  <si>
    <t>2017-07-26T21:04:00.903</t>
  </si>
  <si>
    <t>2017-07-28T01:15:02.250</t>
  </si>
  <si>
    <t>Want To Copy Certain Fields From Previous Entry To New Fragment</t>
  </si>
  <si>
    <t>2017-07-28T23:19:02.900</t>
  </si>
  <si>
    <t>2017-07-31T14:30:09.653</t>
  </si>
  <si>
    <t>Possible to have radio buttons not required?</t>
  </si>
  <si>
    <t>2017-07-31T15:02:14.987</t>
  </si>
  <si>
    <t>2017-07-31T21:39:17.137</t>
  </si>
  <si>
    <t>No Longer Able to Access App Maker</t>
  </si>
  <si>
    <t>2017-08-10T01:37:30.653</t>
  </si>
  <si>
    <t>2017-07-31T22:00:25.217</t>
  </si>
  <si>
    <t>2017-08-03T09:49:17.460</t>
  </si>
  <si>
    <t>Publishing a public app</t>
  </si>
  <si>
    <t>2017-10-29T20:01:06.737</t>
  </si>
  <si>
    <t>2017-08-03T20:53:38.157</t>
  </si>
  <si>
    <t>Trying To Put Current User Name Into Notification Email</t>
  </si>
  <si>
    <t>2017-08-03T21:37:15.297</t>
  </si>
  <si>
    <t>2017-08-04T00:03:29.993</t>
  </si>
  <si>
    <t>2017-08-03T22:11:05.983</t>
  </si>
  <si>
    <t>2017-08-04T18:28:27.983</t>
  </si>
  <si>
    <t>Error With "null" Field In Email Notification Script</t>
  </si>
  <si>
    <t>2017-08-04T22:55:48.243</t>
  </si>
  <si>
    <t>2017-08-04T20:12:41.307</t>
  </si>
  <si>
    <t>2017-08-07T10:56:27.693</t>
  </si>
  <si>
    <t>Appmaker with BigQuery (Read/Write/Update/Delete)</t>
  </si>
  <si>
    <t>2017-12-06T08:53:15.850</t>
  </si>
  <si>
    <t>&lt;google-bigquery&gt;&lt;google-app-maker&gt;</t>
  </si>
  <si>
    <t>2017-08-07T20:48:36.360</t>
  </si>
  <si>
    <t>Recording Phone Number and Full Name in Project Datasource</t>
  </si>
  <si>
    <t>2017-08-07T21:24:27.683</t>
  </si>
  <si>
    <t>2017-08-07T21:28:07.663</t>
  </si>
  <si>
    <t>Unable to publish to a new deployment</t>
  </si>
  <si>
    <t>2017-08-08T11:20:25.533</t>
  </si>
  <si>
    <t>&lt;deployment&gt;&lt;google-app-maker&gt;</t>
  </si>
  <si>
    <t>2017-08-07T23:06:11.567</t>
  </si>
  <si>
    <t>Date.toLocaleTimeString does not show the proper time. It is 4 hours difference from the current time. Why?</t>
  </si>
  <si>
    <t>2018-08-09T14:41:23.883</t>
  </si>
  <si>
    <t>&lt;javascript&gt;&lt;google-app-maker&gt;</t>
  </si>
  <si>
    <t>2017-08-08T15:29:08.600</t>
  </si>
  <si>
    <t>Google App Maker using dropdowns as filters with a table widget drilling down into the results</t>
  </si>
  <si>
    <t>2017-09-25T18:42:59.963</t>
  </si>
  <si>
    <t>2017-08-10T00:10:44.463</t>
  </si>
  <si>
    <t>Linking PDFs (files) To Entries</t>
  </si>
  <si>
    <t>2017-08-10T08:27:18.040</t>
  </si>
  <si>
    <t>2017-08-14T15:59:43.530</t>
  </si>
  <si>
    <t>Drive picker upload to a team drive as opposed to personal google drive</t>
  </si>
  <si>
    <t>2018-04-16T14:33:47.293</t>
  </si>
  <si>
    <t>&lt;javascript&gt;&lt;google-chrome&gt;&lt;drive&gt;&lt;google-app-maker&gt;</t>
  </si>
  <si>
    <t>2017-08-15T04:15:00.193</t>
  </si>
  <si>
    <t>How to I revert to manual save mode</t>
  </si>
  <si>
    <t>2017-08-23T16:33:09.520</t>
  </si>
  <si>
    <t>2017-08-15T17:10:58.643</t>
  </si>
  <si>
    <t>Cannot query records on models with changes error message</t>
  </si>
  <si>
    <t>2017-08-15T18:46:13.713</t>
  </si>
  <si>
    <t>I have a table with records. No matter which View button I click, the bottom record is displayed</t>
  </si>
  <si>
    <t>2017-08-15T21:26:59.663</t>
  </si>
  <si>
    <t>2017-08-16T09:20:28.373</t>
  </si>
  <si>
    <t>Deleting data from Drive Tables and automatically re-importing new data</t>
  </si>
  <si>
    <t>2017-11-09T19:22:09.757</t>
  </si>
  <si>
    <t>2017-08-16T12:40:52.770</t>
  </si>
  <si>
    <t>2017-08-16T20:32:47.650</t>
  </si>
  <si>
    <t>How to create new records from the server script</t>
  </si>
  <si>
    <t>2017-08-16T21:44:37.110</t>
  </si>
  <si>
    <t>2017-08-16T21:18:59.027</t>
  </si>
  <si>
    <t>2017-08-16T22:08:37.117</t>
  </si>
  <si>
    <t>How do perform logging or debug output in a server script?</t>
  </si>
  <si>
    <t>2017-08-16T22:29:42.693</t>
  </si>
  <si>
    <t>2017-08-17T16:29:09.317</t>
  </si>
  <si>
    <t>appmaker data: connect to multiple Cloud SQL databases</t>
  </si>
  <si>
    <t>2017-08-17T17:27:37.070</t>
  </si>
  <si>
    <t>2017-08-18T05:17:25.243</t>
  </si>
  <si>
    <t>Excel/Sheets copy-compatible table widget</t>
  </si>
  <si>
    <t>2017-08-18T16:08:54.763</t>
  </si>
  <si>
    <t>2017-08-19T01:49:08.183</t>
  </si>
  <si>
    <t>Is it possible to implement custom transformers?</t>
  </si>
  <si>
    <t>2018-05-18T15:00:23.010</t>
  </si>
  <si>
    <t>2017-08-19T02:22:50.930</t>
  </si>
  <si>
    <t>How to apply transformers and/or binding expressions to the data in a table?</t>
  </si>
  <si>
    <t>2017-08-21T05:23:22.437</t>
  </si>
  <si>
    <t>2017-08-21T20:32:28.730</t>
  </si>
  <si>
    <t>Completely lost when it comes to using the DrivePicker widget</t>
  </si>
  <si>
    <t>2017-08-22T06:02:29.270</t>
  </si>
  <si>
    <t>2017-08-22T16:14:53.117</t>
  </si>
  <si>
    <t>Get custom fields from the directoy</t>
  </si>
  <si>
    <t>2017-08-22T20:29:39.953</t>
  </si>
  <si>
    <t>2017-08-22T21:35:20.613</t>
  </si>
  <si>
    <t>Insert form shifts to the left after running the AMU.loadRecordByKey function</t>
  </si>
  <si>
    <t>2017-08-22T22:21:03.670</t>
  </si>
  <si>
    <t>2017-08-23T03:42:30.387</t>
  </si>
  <si>
    <t>Google Appmaker selectedRow</t>
  </si>
  <si>
    <t>2017-08-23T03:50:32.543</t>
  </si>
  <si>
    <t>2018-04-20T23:50:01.403</t>
  </si>
  <si>
    <t>2017-08-23T14:46:05.920</t>
  </si>
  <si>
    <t>Images as buttons google app maker</t>
  </si>
  <si>
    <t>2017-08-23T16:47:33.907</t>
  </si>
  <si>
    <t>2017-08-25T06:12:00.003</t>
  </si>
  <si>
    <t>How to access page fragment custom properties programmatically?</t>
  </si>
  <si>
    <t>2017-08-25T15:19:00.717</t>
  </si>
  <si>
    <t>2017-08-27T02:48:35.710</t>
  </si>
  <si>
    <t>How to express "or" in a model Query?</t>
  </si>
  <si>
    <t>2017-08-28T16:37:54.323</t>
  </si>
  <si>
    <t>2017-08-27T21:05:15.047</t>
  </si>
  <si>
    <t>How to create a rest api in app maker?</t>
  </si>
  <si>
    <t>2017-08-30T17:31:25.820</t>
  </si>
  <si>
    <t>&lt;rest&gt;&lt;google-app-maker&gt;</t>
  </si>
  <si>
    <t>2017-08-28T14:21:14.473</t>
  </si>
  <si>
    <t>Have an extra required error validation I can't figure out where it comes from...can't submit</t>
  </si>
  <si>
    <t>2020-04-23T00:12:43.437</t>
  </si>
  <si>
    <t>2017-08-29T14:33:31.153</t>
  </si>
  <si>
    <t>Google App maker debugging</t>
  </si>
  <si>
    <t>2017-08-29T22:03:20.187</t>
  </si>
  <si>
    <t>2017-08-30T07:08:25.367</t>
  </si>
  <si>
    <t>Google App Maker how to save and update records?</t>
  </si>
  <si>
    <t>2019-04-29T13:15:56.860</t>
  </si>
  <si>
    <t>2017-08-30T15:44:18.200</t>
  </si>
  <si>
    <t>2017-08-30T14:41:28.447</t>
  </si>
  <si>
    <t>Google App maker Drive picker</t>
  </si>
  <si>
    <t>2017-08-30T16:01:11.923</t>
  </si>
  <si>
    <t>2017-08-31T07:36:34.373</t>
  </si>
  <si>
    <t>Google App maker grouping in list view</t>
  </si>
  <si>
    <t>&lt;sharepoint&gt;&lt;google-app-maker&gt;</t>
  </si>
  <si>
    <t>2017-08-31T09:34:08.690</t>
  </si>
  <si>
    <t>Google App maker drive picker attachments</t>
  </si>
  <si>
    <t>2017-08-31T11:58:43.677</t>
  </si>
  <si>
    <t>Google App Maker how to apply custom data validation</t>
  </si>
  <si>
    <t>2019-05-28T11:24:01.800</t>
  </si>
  <si>
    <t>2017-08-31T16:37:32.893</t>
  </si>
  <si>
    <t>2017-09-01T09:14:01.273</t>
  </si>
  <si>
    <t>Google app maker Side bar or menu bar</t>
  </si>
  <si>
    <t>2017-09-01T16:40:50.050</t>
  </si>
  <si>
    <t>2017-09-01T13:18:13.100</t>
  </si>
  <si>
    <t>Google App maker list view filtering</t>
  </si>
  <si>
    <t>2019-01-24T16:35:32.557</t>
  </si>
  <si>
    <t>2017-09-01T17:11:08.357</t>
  </si>
  <si>
    <t>2017-09-02T18:06:43.520</t>
  </si>
  <si>
    <t>Google App maker List view grouping</t>
  </si>
  <si>
    <t>2017-09-05T23:39:48.050</t>
  </si>
  <si>
    <t>2017-09-04T13:26:37.337</t>
  </si>
  <si>
    <t>Event Listener for App Maker Text Editor Widget</t>
  </si>
  <si>
    <t>2017-09-05T15:47:46.327</t>
  </si>
  <si>
    <t>2017-09-04T16:40:49.907</t>
  </si>
  <si>
    <t>Saving to specific folder with Drive Picker</t>
  </si>
  <si>
    <t>2017-09-05T14:31:41.217</t>
  </si>
  <si>
    <t>Google App maker user picker validation</t>
  </si>
  <si>
    <t>2017-09-05T16:48:55.983</t>
  </si>
  <si>
    <t>2017-09-05T15:44:11.487</t>
  </si>
  <si>
    <t>How do I just reference the Body field in a record?</t>
  </si>
  <si>
    <t>2017-09-05T16:00:17.083</t>
  </si>
  <si>
    <t>2017-09-05T17:30:26.860</t>
  </si>
  <si>
    <t>Google app maker Loading image</t>
  </si>
  <si>
    <t>2017-09-05T23:06:41.257</t>
  </si>
  <si>
    <t>2017-09-05T18:53:45.807</t>
  </si>
  <si>
    <t>Get a Google App Make application open to not only a specific page but also a specific record?</t>
  </si>
  <si>
    <t>2017-09-05T23:01:02.083</t>
  </si>
  <si>
    <t>2017-09-06T05:35:46.647</t>
  </si>
  <si>
    <t>Google App maker record key value</t>
  </si>
  <si>
    <t>2017-09-06T16:40:30.270</t>
  </si>
  <si>
    <t>2017-09-06T14:27:32.833</t>
  </si>
  <si>
    <t>Google App maker multiple transformers</t>
  </si>
  <si>
    <t>2017-09-07T05:28:12.197</t>
  </si>
  <si>
    <t>Google Appmaker: Update form based on selected dropdown option</t>
  </si>
  <si>
    <t>2018-05-24T13:38:43.163</t>
  </si>
  <si>
    <t>2017-10-19T03:13:18.537</t>
  </si>
  <si>
    <t>2017-09-08T20:33:34.653</t>
  </si>
  <si>
    <t>"Drive Table internal error. Request is too large" as loading data into an app maker deployment</t>
  </si>
  <si>
    <t>2017-09-10T19:28:00.800</t>
  </si>
  <si>
    <t>Google App maker date filtering</t>
  </si>
  <si>
    <t>2017-09-11T14:56:32.203</t>
  </si>
  <si>
    <t>Google App maker dropdown null item name</t>
  </si>
  <si>
    <t>2017-09-13T16:08:48.453</t>
  </si>
  <si>
    <t>2017-09-13T11:03:48.153</t>
  </si>
  <si>
    <t>Google App Maker driver picker files</t>
  </si>
  <si>
    <t>2017-09-13T16:24:15.913</t>
  </si>
  <si>
    <t>2017-09-13T16:51:33.590</t>
  </si>
  <si>
    <t>2017-09-13T20:20:12.097</t>
  </si>
  <si>
    <t>Move record from one data model to another with a button</t>
  </si>
  <si>
    <t>2020-04-23T05:14:33.877</t>
  </si>
  <si>
    <t>2017-09-13T20:20:32.890</t>
  </si>
  <si>
    <t>How to setup people viewer</t>
  </si>
  <si>
    <t>2017-09-13T20:42:59.007</t>
  </si>
  <si>
    <t>2017-09-14T18:54:30.020</t>
  </si>
  <si>
    <t>Pulling date data with onclick var</t>
  </si>
  <si>
    <t>2020-04-21T09:18:05.753</t>
  </si>
  <si>
    <t>2017-09-14T19:50:00.553</t>
  </si>
  <si>
    <t>Deleting all entered data in a datastore in AppMaker</t>
  </si>
  <si>
    <t>2019-06-05T15:34:45.103</t>
  </si>
  <si>
    <t>2017-09-14T20:12:13.770</t>
  </si>
  <si>
    <t>2017-09-15T09:36:00.097</t>
  </si>
  <si>
    <t>Performance server scripting</t>
  </si>
  <si>
    <t>2017-09-15T13:54:55.353</t>
  </si>
  <si>
    <t>2017-09-16T18:12:59.163</t>
  </si>
  <si>
    <t>How to do logic based on radio button in Google App Maker</t>
  </si>
  <si>
    <t>2020-04-23T20:30:31.317</t>
  </si>
  <si>
    <t>2017-09-18T05:12:51.320</t>
  </si>
  <si>
    <t>Getting error for import data from sheet in appmaker</t>
  </si>
  <si>
    <t>2017-09-18T08:51:00.893</t>
  </si>
  <si>
    <t>UserPicker changes not registered</t>
  </si>
  <si>
    <t>2017-09-21T07:25:29.133</t>
  </si>
  <si>
    <t>2017-09-20T06:34:59.363</t>
  </si>
  <si>
    <t>2017-09-19T08:19:34.057</t>
  </si>
  <si>
    <t>Google App maker drive picker folders</t>
  </si>
  <si>
    <t>2017-09-26T16:52:26.567</t>
  </si>
  <si>
    <t>2017-09-19T10:17:49.207</t>
  </si>
  <si>
    <t>Google App maker mobile and browser compatibility</t>
  </si>
  <si>
    <t>2017-09-19T16:34:13.253</t>
  </si>
  <si>
    <t>2017-09-20T12:15:51.727</t>
  </si>
  <si>
    <t>Google App maker User picker</t>
  </si>
  <si>
    <t>2017-09-22T03:18:23.197</t>
  </si>
  <si>
    <t>2017-09-20T19:26:32.973</t>
  </si>
  <si>
    <t>How to extra data from the app or file using google appmaker</t>
  </si>
  <si>
    <t>2017-09-26T16:56:35.313</t>
  </si>
  <si>
    <t>&lt;google-apps&gt;&lt;google-app-maker&gt;</t>
  </si>
  <si>
    <t>2017-09-22T03:06:25.930</t>
  </si>
  <si>
    <t>2017-09-21T10:51:42.273</t>
  </si>
  <si>
    <t>Google App maker Drive files collaboration</t>
  </si>
  <si>
    <t>2017-09-22T02:55:04.893</t>
  </si>
  <si>
    <t>2017-09-21T16:00:34.423</t>
  </si>
  <si>
    <t>Issues with losing all documents when going to deployment url</t>
  </si>
  <si>
    <t>2017-09-22T02:46:04.430</t>
  </si>
  <si>
    <t>2017-09-22T16:59:24.297</t>
  </si>
  <si>
    <t>Losing data after deployment - clarification</t>
  </si>
  <si>
    <t>2020-04-25T14:50:36.343</t>
  </si>
  <si>
    <t>2017-09-23T10:27:33.310</t>
  </si>
  <si>
    <t>Connect server script to page to add new data to spreadsheet</t>
  </si>
  <si>
    <t>2017-09-26T16:35:35.967</t>
  </si>
  <si>
    <t>&lt;spreadsheet&gt;&lt;serverside-javascript&gt;&lt;google-app-maker&gt;</t>
  </si>
  <si>
    <t>2017-09-23T16:49:06.273</t>
  </si>
  <si>
    <t>Is there a way to close the browser using googlescript or javascript, by just clicking a button for it?</t>
  </si>
  <si>
    <t>2018-07-28T21:17:57.327</t>
  </si>
  <si>
    <t>2017-09-24T06:19:36.463</t>
  </si>
  <si>
    <t>How to pass a value from one page to another with onclick event in AppMaker</t>
  </si>
  <si>
    <t>2017-09-24T11:53:25.930</t>
  </si>
  <si>
    <t>2017-09-26T15:00:07.867</t>
  </si>
  <si>
    <t>Menu button not working. Will not display Menu page fragment</t>
  </si>
  <si>
    <t>2017-09-27T12:09:17.087</t>
  </si>
  <si>
    <t>Export Drive file Id to spreadsheet</t>
  </si>
  <si>
    <t>2017-09-27T16:16:09.897</t>
  </si>
  <si>
    <t>2017-09-27T17:01:25.317</t>
  </si>
  <si>
    <t>Google App Maker Relations</t>
  </si>
  <si>
    <t>2017-09-28T17:10:59.643</t>
  </si>
  <si>
    <t>2017-09-29T16:45:12.867</t>
  </si>
  <si>
    <t>Different results for Visible formulas between Preview vs. Published app</t>
  </si>
  <si>
    <t>2017-09-29T17:59:16.283</t>
  </si>
  <si>
    <t>2017-09-29T18:33:20.163</t>
  </si>
  <si>
    <t>If a user is not an Admin, he can't access application</t>
  </si>
  <si>
    <t>2017-10-01T16:33:13.937</t>
  </si>
  <si>
    <t>Appmaker Preview works, but deployed webapp hangs</t>
  </si>
  <si>
    <t>2017-10-01T17:18:18.363</t>
  </si>
  <si>
    <t>2017-10-02T18:59:09.487</t>
  </si>
  <si>
    <t>&lt;drive&gt;&lt;google-app-maker&gt;</t>
  </si>
  <si>
    <t>2017-10-02T18:21:39.460</t>
  </si>
  <si>
    <t>2017-10-03T04:53:53.847</t>
  </si>
  <si>
    <t>How can I present customer data from spreadsheet into form in app maker for update?</t>
  </si>
  <si>
    <t>2017-10-03T14:35:54.170</t>
  </si>
  <si>
    <t>2017-10-03T15:29:06.057</t>
  </si>
  <si>
    <t>&lt;google-apps-script&gt;&lt;google-sheets&gt;&lt;client-server&gt;&lt;google-app-maker&gt;</t>
  </si>
  <si>
    <t>2017-10-03T18:15:54.367</t>
  </si>
  <si>
    <t>Query on Google App Maker data movement on premise</t>
  </si>
  <si>
    <t>2017-10-03T18:51:20.317</t>
  </si>
  <si>
    <t>2017-10-04T12:41:19.237</t>
  </si>
  <si>
    <t>Appmaker Cloud SQL PostgreSQL</t>
  </si>
  <si>
    <t>2017-10-09T22:40:25.580</t>
  </si>
  <si>
    <t>&lt;postgresql&gt;&lt;google-cloud-sql&gt;&lt;google-app-maker&gt;</t>
  </si>
  <si>
    <t>2017-10-04T22:05:06.990</t>
  </si>
  <si>
    <t>Create Agent Database for Google App Maker</t>
  </si>
  <si>
    <t>2020-04-27T12:59:46.790</t>
  </si>
  <si>
    <t>2017-10-05T22:55:21.513</t>
  </si>
  <si>
    <t>Create custom Insert Form</t>
  </si>
  <si>
    <t>2017-10-06T12:44:23.297</t>
  </si>
  <si>
    <t>Google App maker calculated model query</t>
  </si>
  <si>
    <t>2017-10-09T22:12:52.030</t>
  </si>
  <si>
    <t>2017-10-06T15:14:23.737</t>
  </si>
  <si>
    <t>Google Scripts adding viewers to a file, causes email sent</t>
  </si>
  <si>
    <t>2017-10-06T22:13:00.233</t>
  </si>
  <si>
    <t>&lt;google-apps-script&gt;&lt;google-drive-api&gt;&lt;google-app-maker&gt;</t>
  </si>
  <si>
    <t>2017-10-06T22:26:46.423</t>
  </si>
  <si>
    <t>2017-10-06T19:39:59.610</t>
  </si>
  <si>
    <t>Sharing a page with specific result shows no data</t>
  </si>
  <si>
    <t>2020-04-26T20:26:32.060</t>
  </si>
  <si>
    <t>2017-10-06T21:36:00.403</t>
  </si>
  <si>
    <t>Security measures between appmaker and Google Cloud SQL</t>
  </si>
  <si>
    <t>&lt;security&gt;&lt;google-app-maker&gt;</t>
  </si>
  <si>
    <t>2017-10-09T13:28:29.747</t>
  </si>
  <si>
    <t>Cannot have a dash in my database name for AppMaker</t>
  </si>
  <si>
    <t>2017-10-10T07:38:41.680</t>
  </si>
  <si>
    <t>2017-10-09T21:10:18.683</t>
  </si>
  <si>
    <t>Trying to use HTML5 file picker in AppMaker</t>
  </si>
  <si>
    <t>2017-10-09T21:24:05.133</t>
  </si>
  <si>
    <t>&lt;javascript&gt;&lt;html&gt;&lt;google-app-maker&gt;</t>
  </si>
  <si>
    <t>2017-10-10T14:47:40.163</t>
  </si>
  <si>
    <t>Google app maker testing approach</t>
  </si>
  <si>
    <t>2017-10-10T16:33:00.460</t>
  </si>
  <si>
    <t>2017-10-11T09:15:40.270</t>
  </si>
  <si>
    <t>Google App maker Architecture</t>
  </si>
  <si>
    <t>2018-02-17T00:58:05.890</t>
  </si>
  <si>
    <t>2017-10-13T14:33:54.383</t>
  </si>
  <si>
    <t>Google App Maker not recognizing an email as a group email for app restriction</t>
  </si>
  <si>
    <t>2019-03-21T17:20:34.280</t>
  </si>
  <si>
    <t>&lt;google-app-maker&gt;&lt;google-groups&gt;</t>
  </si>
  <si>
    <t>2017-10-14T01:17:36.043</t>
  </si>
  <si>
    <t>Google AppMaker: data import not working from sheet</t>
  </si>
  <si>
    <t>2017-10-14T01:43:43.823</t>
  </si>
  <si>
    <t>2017-10-19T01:23:39.330</t>
  </si>
  <si>
    <t>2017-10-16T09:30:19.760</t>
  </si>
  <si>
    <t>App Maker Exporting a useful output from Doc Approval Template</t>
  </si>
  <si>
    <t>2017-10-16T14:48:09.500</t>
  </si>
  <si>
    <t>2017-11-09T19:06:40.170</t>
  </si>
  <si>
    <t>2017-10-16T18:36:39.160</t>
  </si>
  <si>
    <t>Setting / Modifying record associations with client script</t>
  </si>
  <si>
    <t>2017-10-20T23:51:13.647</t>
  </si>
  <si>
    <t>2017-10-17T19:58:31.487</t>
  </si>
  <si>
    <t>Trying to understand sorting in the Table widget for a Page</t>
  </si>
  <si>
    <t>2017-11-03T16:04:17.443</t>
  </si>
  <si>
    <t>2017-10-18T01:16:13.127</t>
  </si>
  <si>
    <t>Trying to total columns for relation datasource</t>
  </si>
  <si>
    <t>2017-10-18T22:11:42.083</t>
  </si>
  <si>
    <t>2017-10-27T23:18:38.483</t>
  </si>
  <si>
    <t>2017-10-19T00:09:25.543</t>
  </si>
  <si>
    <t>2017-10-19T19:24:18.570</t>
  </si>
  <si>
    <t>Error when Creating New Item in datasource with relationship</t>
  </si>
  <si>
    <t>2017-10-21T19:01:04.843</t>
  </si>
  <si>
    <t>how to add relations for imported data besides server-side scripting in Google App Maker?</t>
  </si>
  <si>
    <t>2017-11-17T17:36:42.240</t>
  </si>
  <si>
    <t>2017-10-23T05:01:26.453</t>
  </si>
  <si>
    <t>App Maker Grid without datasource</t>
  </si>
  <si>
    <t>2017-10-23T05:08:48.777</t>
  </si>
  <si>
    <t>2017-10-24T17:54:10.483</t>
  </si>
  <si>
    <t>2017-10-23T16:53:04.210</t>
  </si>
  <si>
    <t>Text Editor widget - using enabled</t>
  </si>
  <si>
    <t>2017-10-24T17:21:20.043</t>
  </si>
  <si>
    <t>2017-10-24T22:30:36.500</t>
  </si>
  <si>
    <t>Limit Dropdown Options For Datasource Relationship</t>
  </si>
  <si>
    <t>2017-10-24T23:53:28.710</t>
  </si>
  <si>
    <t>2017-10-27T02:24:53.560</t>
  </si>
  <si>
    <t>Can I sell to the public apps I made through Google App Maker</t>
  </si>
  <si>
    <t>2018-03-08T13:50:31.203</t>
  </si>
  <si>
    <t>2018-03-08T14:45:11.507</t>
  </si>
  <si>
    <t>2017-10-27T11:58:05.067</t>
  </si>
  <si>
    <t>Appmaker Query on Calculated Records</t>
  </si>
  <si>
    <t>2017-10-27T17:37:07.150</t>
  </si>
  <si>
    <t>2017-10-29T14:56:05.483</t>
  </si>
  <si>
    <t>2017-10-27T13:26:47.873</t>
  </si>
  <si>
    <t>enabling full screen mode in youtube video</t>
  </si>
  <si>
    <t>2017-10-27T15:19:13.783</t>
  </si>
  <si>
    <t>2017-10-27T16:15:56.250</t>
  </si>
  <si>
    <t>&lt;youtube&gt;&lt;google-app-maker&gt;</t>
  </si>
  <si>
    <t>2017-10-27T13:41:32.737</t>
  </si>
  <si>
    <t>Can I use google groups to control who can access my Google AppMaker application?</t>
  </si>
  <si>
    <t>2017-10-27T15:13:34.327</t>
  </si>
  <si>
    <t>2017-10-27T15:23:20.580</t>
  </si>
  <si>
    <t>How to change window title from within Google App Maker?</t>
  </si>
  <si>
    <t>2017-10-27T15:38:21.157</t>
  </si>
  <si>
    <t>2017-10-27T15:42:52.363</t>
  </si>
  <si>
    <t>How do I pass a parameter to a query script from a dropdown widget?</t>
  </si>
  <si>
    <t>2019-12-30T08:29:30.443</t>
  </si>
  <si>
    <t>2017-10-30T10:34:10.823</t>
  </si>
  <si>
    <t>Appmaker Unexpected client error. EditorLauncher SEVERE: Unexpected error</t>
  </si>
  <si>
    <t>2017-10-30T17:52:36.017</t>
  </si>
  <si>
    <t>2017-10-30T11:05:45.690</t>
  </si>
  <si>
    <t>Where is spreadsheet with data</t>
  </si>
  <si>
    <t>2017-12-02T16:56:21.757</t>
  </si>
  <si>
    <t>2017-10-30T23:20:38.057</t>
  </si>
  <si>
    <t>List Items + Fields In Datasource</t>
  </si>
  <si>
    <t>2017-10-30T23:56:45.920</t>
  </si>
  <si>
    <t>2017-11-03T01:39:52.150</t>
  </si>
  <si>
    <t>Menu error - descendants</t>
  </si>
  <si>
    <t>2017-11-24T13:31:20.217</t>
  </si>
  <si>
    <t>2017-11-06T04:48:07.847</t>
  </si>
  <si>
    <t>2017-11-09T05:02:18.497</t>
  </si>
  <si>
    <t>How to make friendly custom URL for deployed app</t>
  </si>
  <si>
    <t>2019-05-31T11:17:36.523</t>
  </si>
  <si>
    <t>2019-09-29T15:52:03.280</t>
  </si>
  <si>
    <t>2017-11-14T22:28:15.670</t>
  </si>
  <si>
    <t>Google App Maker User Picker and how to return all values from the Directory model</t>
  </si>
  <si>
    <t>2017-11-15T00:46:30.713</t>
  </si>
  <si>
    <t>2017-11-15T10:58:11.367</t>
  </si>
  <si>
    <t>When using DrivePicker get the webcontent link</t>
  </si>
  <si>
    <t>2020-05-08T12:19:42.247</t>
  </si>
  <si>
    <t>2017-11-15T18:03:18.750</t>
  </si>
  <si>
    <t>2017-11-15T20:51:13.733</t>
  </si>
  <si>
    <t>Back Button for "Previous Page"</t>
  </si>
  <si>
    <t>2017-11-15T21:09:32.243</t>
  </si>
  <si>
    <t>2017-11-16T15:18:36.767</t>
  </si>
  <si>
    <t>What service to use to send text message to user's phone?</t>
  </si>
  <si>
    <t>2017-12-13T01:31:37.443</t>
  </si>
  <si>
    <t>2017-11-22T09:06:53.887</t>
  </si>
  <si>
    <t>Display images by url in google app maker</t>
  </si>
  <si>
    <t>2019-05-27T10:49:52.760</t>
  </si>
  <si>
    <t>&lt;google-drive-api&gt;&lt;google-app-maker&gt;</t>
  </si>
  <si>
    <t>2017-11-22T19:02:30.270</t>
  </si>
  <si>
    <t>Access Admin SDK with Google App Maker</t>
  </si>
  <si>
    <t>2019-10-24T07:29:50.850</t>
  </si>
  <si>
    <t>2017-11-22T19:29:55.077</t>
  </si>
  <si>
    <t>2017-11-23T09:03:54.800</t>
  </si>
  <si>
    <t>Change a widget's datasource from client side code</t>
  </si>
  <si>
    <t>2017-11-24T17:03:18.350</t>
  </si>
  <si>
    <t>2017-11-27T19:41:16.527</t>
  </si>
  <si>
    <t>Calculated Model Sum</t>
  </si>
  <si>
    <t>2017-11-27T19:56:44.680</t>
  </si>
  <si>
    <t>2017-11-28T23:28:17.207</t>
  </si>
  <si>
    <t>2017-11-27T21:35:54.570</t>
  </si>
  <si>
    <t>Update/Synchronize App Maker datasource fields after Cloud SQL Schema update?</t>
  </si>
  <si>
    <t>2017-12-01T21:17:12.557</t>
  </si>
  <si>
    <t>2017-11-28T00:54:20.267</t>
  </si>
  <si>
    <t>access datasource record's data in client side script</t>
  </si>
  <si>
    <t>2018-04-18T13:25:47.753</t>
  </si>
  <si>
    <t>2017-12-07T21:26:45.180</t>
  </si>
  <si>
    <t>How to connect the App Maker to Google Cloud apis</t>
  </si>
  <si>
    <t>2017-12-12T17:29:04.857</t>
  </si>
  <si>
    <t>&lt;google-cloud-platform&gt;&lt;google-app-maker&gt;</t>
  </si>
  <si>
    <t>2017-12-08T00:14:13.710</t>
  </si>
  <si>
    <t>2017-12-07T22:53:18.253</t>
  </si>
  <si>
    <t>Distinct list of Items after Query</t>
  </si>
  <si>
    <t>2017-12-08T19:45:01.770</t>
  </si>
  <si>
    <t>2017-12-08T00:54:28.110</t>
  </si>
  <si>
    <t>How to bind Dropdown widget to query filter?</t>
  </si>
  <si>
    <t>2017-12-08T21:32:12.807</t>
  </si>
  <si>
    <t>2017-12-09T17:12:12.363</t>
  </si>
  <si>
    <t>How do I change timezone in AppMaker Environment?</t>
  </si>
  <si>
    <t>2017-12-09T19:40:36.767</t>
  </si>
  <si>
    <t>2017-12-12T17:10:06.410</t>
  </si>
  <si>
    <t>2017-12-11T17:05:40.147</t>
  </si>
  <si>
    <t>2017-12-10T09:48:22.467</t>
  </si>
  <si>
    <t>How to add time widget/picker?</t>
  </si>
  <si>
    <t>2017-12-12T17:05:27.763</t>
  </si>
  <si>
    <t>2017-12-11T17:28:53.657</t>
  </si>
  <si>
    <t>2017-12-10T20:12:12.863</t>
  </si>
  <si>
    <t>Google App maker API</t>
  </si>
  <si>
    <t>2017-12-11T17:53:18.407</t>
  </si>
  <si>
    <t>2017-12-12T01:51:06.163</t>
  </si>
  <si>
    <t>How do I add an Apps Script Library to AppMaker?</t>
  </si>
  <si>
    <t>2017-12-12T01:57:02.893</t>
  </si>
  <si>
    <t>2017-12-12T17:00:35.443</t>
  </si>
  <si>
    <t>2017-12-12T16:55:24.340</t>
  </si>
  <si>
    <t>2017-12-13T14:39:29.210</t>
  </si>
  <si>
    <t>Is appmaker accessible to people from outside the organisation?</t>
  </si>
  <si>
    <t>2018-07-16T01:47:50.997</t>
  </si>
  <si>
    <t>2017-12-13T22:20:49.867</t>
  </si>
  <si>
    <t>Is it possible to load AppMaker DropDowns with an Option Text and and Value?</t>
  </si>
  <si>
    <t>2017-12-13T22:33:44.413</t>
  </si>
  <si>
    <t>2017-12-13T22:38:01.947</t>
  </si>
  <si>
    <t>2017-12-14T16:11:05.377</t>
  </si>
  <si>
    <t>Address Search for the Google Map widget on App Maker</t>
  </si>
  <si>
    <t>2017-12-15T18:43:04.160</t>
  </si>
  <si>
    <t>2019-07-12T15:16:57.103</t>
  </si>
  <si>
    <t>&lt;google-maps&gt;&lt;google-app-maker&gt;</t>
  </si>
  <si>
    <t>2017-12-14T18:33:08.883</t>
  </si>
  <si>
    <t>2017-12-14T18:45:26.920</t>
  </si>
  <si>
    <t>How to include a relation of a relation in an AppMaker table field?</t>
  </si>
  <si>
    <t>2017-12-14T19:07:56.343</t>
  </si>
  <si>
    <t>2017-12-14T19:06:42.900</t>
  </si>
  <si>
    <t>Load Data from API into App Maker</t>
  </si>
  <si>
    <t>2018-02-14T23:11:08.053</t>
  </si>
  <si>
    <t>2017-12-14T19:51:58.957</t>
  </si>
  <si>
    <t>2017-12-14T22:51:34.680</t>
  </si>
  <si>
    <t>How to import data with Relations from Sheets</t>
  </si>
  <si>
    <t>2018-08-24T15:21:45.720</t>
  </si>
  <si>
    <t>2017-12-14T23:54:21.173</t>
  </si>
  <si>
    <t>2017-12-15T10:14:43.900</t>
  </si>
  <si>
    <t>Google App Maker - Directory info based on email from other datasource</t>
  </si>
  <si>
    <t>2017-12-17T17:16:21.663</t>
  </si>
  <si>
    <t>2017-12-18T22:14:04.253</t>
  </si>
  <si>
    <t>&lt;google-directory-api&gt;&lt;google-app-maker&gt;</t>
  </si>
  <si>
    <t>2017-12-19T12:02:40.547</t>
  </si>
  <si>
    <t>Callback URL in Google App Maker</t>
  </si>
  <si>
    <t>2018-03-22T15:29:44.730</t>
  </si>
  <si>
    <t>2017-12-19T17:26:24.630</t>
  </si>
  <si>
    <t>2017-12-20T16:29:36.313</t>
  </si>
  <si>
    <t>Load Data from API Need to Use a Parameter Which is from a Calculated Model</t>
  </si>
  <si>
    <t>2017-12-20T21:47:44.927</t>
  </si>
  <si>
    <t>2017-12-22T14:52:52.660</t>
  </si>
  <si>
    <t>Filtering a Calculated Model in Google App Maker</t>
  </si>
  <si>
    <t>2017-12-23T00:12:30.877</t>
  </si>
  <si>
    <t>2018-01-02T01:08:43.827</t>
  </si>
  <si>
    <t>Relational Query - 2 degrees away</t>
  </si>
  <si>
    <t>2018-01-02T21:48:51.673</t>
  </si>
  <si>
    <t>2018-01-03T17:43:09.000</t>
  </si>
  <si>
    <t>Google App Maker form answer based on previous selection</t>
  </si>
  <si>
    <t>2018-01-03T17:45:38.493</t>
  </si>
  <si>
    <t>2018-01-03T18:27:15.950</t>
  </si>
  <si>
    <t>2018-01-10T15:12:10.947</t>
  </si>
  <si>
    <t>Drive Table Lock Timeout</t>
  </si>
  <si>
    <t>2018-01-10T15:20:45.127</t>
  </si>
  <si>
    <t>2018-01-15T16:40:20.380</t>
  </si>
  <si>
    <t>How to create complex user roles in Google App Maker</t>
  </si>
  <si>
    <t>2019-04-29T13:25:00.243</t>
  </si>
  <si>
    <t>2018-01-16T10:25:22.657</t>
  </si>
  <si>
    <t>Allow non Admin users to modify / edit table</t>
  </si>
  <si>
    <t>2018-02-15T15:19:07.930</t>
  </si>
  <si>
    <t>2018-01-16T14:39:08.907</t>
  </si>
  <si>
    <t>2018-01-16T18:49:46.160</t>
  </si>
  <si>
    <t>Google App Maker how to create Data Source from Google Contacts</t>
  </si>
  <si>
    <t>2018-01-16T19:18:15.213</t>
  </si>
  <si>
    <t>2018-01-24T22:22:32.373</t>
  </si>
  <si>
    <t>2018-01-17T00:22:07.603</t>
  </si>
  <si>
    <t>Use Widget Value in Server Script</t>
  </si>
  <si>
    <t>2018-02-22T16:26:03.107</t>
  </si>
  <si>
    <t>2018-01-18T15:16:09.530</t>
  </si>
  <si>
    <t>Connect AppMaker to Google SQL in Secure</t>
  </si>
  <si>
    <t>2018-01-18T19:32:14.523</t>
  </si>
  <si>
    <t>&lt;google-cloud-sql&gt;&lt;gcp&gt;&lt;google-app-maker&gt;</t>
  </si>
  <si>
    <t>2018-01-22T14:33:33.960</t>
  </si>
  <si>
    <t>To select an option in a dropdown and have other fields fill themselves in based on the selection</t>
  </si>
  <si>
    <t>2018-01-22T14:42:39.747</t>
  </si>
  <si>
    <t>2018-01-24T16:19:21.580</t>
  </si>
  <si>
    <t>2018-01-22T15:35:41.510</t>
  </si>
  <si>
    <t>How do I know which revisions have been deployed in AppMaker?</t>
  </si>
  <si>
    <t>2018-01-22T16:01:01.317</t>
  </si>
  <si>
    <t>2018-01-23T00:07:44.153</t>
  </si>
  <si>
    <t>Appmaker: Only render filtered results on table load</t>
  </si>
  <si>
    <t>2018-01-24T01:32:34.997</t>
  </si>
  <si>
    <t>2018-01-24T00:57:21.167</t>
  </si>
  <si>
    <t>Loader displays while DOM is updating</t>
  </si>
  <si>
    <t>2018-01-24T01:28:50.190</t>
  </si>
  <si>
    <t>2018-01-25T09:46:54.637</t>
  </si>
  <si>
    <t>Adding Days onto a date in a script</t>
  </si>
  <si>
    <t>2018-01-25T10:39:09.853</t>
  </si>
  <si>
    <t>2018-01-26T00:58:25.560</t>
  </si>
  <si>
    <t>2018-01-28T03:09:56.817</t>
  </si>
  <si>
    <t>Is it possible to create multiple draft items on createdatasource?</t>
  </si>
  <si>
    <t>2018-01-28T18:09:33.827</t>
  </si>
  <si>
    <t>2018-01-29T18:16:38.830</t>
  </si>
  <si>
    <t>2018-01-30T19:15:42.467</t>
  </si>
  <si>
    <t>Google App Maker: TextBox only accept Numbers</t>
  </si>
  <si>
    <t>2018-01-31T17:16:49.427</t>
  </si>
  <si>
    <t>2019-02-17T21:47:19.490</t>
  </si>
  <si>
    <t>2018-01-30T21:50:41.153</t>
  </si>
  <si>
    <t>2018-02-02T22:35:30.610</t>
  </si>
  <si>
    <t>Delete many-to-many relation of nested Appmaker list item (instead of the item itself)</t>
  </si>
  <si>
    <t>2018-03-10T03:43:08.537</t>
  </si>
  <si>
    <t>2018-02-03T00:32:40.863</t>
  </si>
  <si>
    <t>2018-02-03T21:38:31.633</t>
  </si>
  <si>
    <t>Specifying a join filter between two relations using date</t>
  </si>
  <si>
    <t>2018-02-06T17:55:02.273</t>
  </si>
  <si>
    <t>2018-02-06T11:42:43.837</t>
  </si>
  <si>
    <t>DTAP storing script variables in a simple and fast way</t>
  </si>
  <si>
    <t>2018-02-20T16:03:10.517</t>
  </si>
  <si>
    <t>2018-02-06T17:08:05.037</t>
  </si>
  <si>
    <t>2018-02-06T15:45:02.623</t>
  </si>
  <si>
    <t>How can I link my spread sheets to App Maker?</t>
  </si>
  <si>
    <t>2019-01-08T02:52:52.953</t>
  </si>
  <si>
    <t>2018-02-06T18:34:02.883</t>
  </si>
  <si>
    <t>2018-02-06T16:16:20.703</t>
  </si>
  <si>
    <t>User Picker is not returning thumbnail</t>
  </si>
  <si>
    <t>2018-02-07T15:05:33.463</t>
  </si>
  <si>
    <t>&lt;google-apps-script&gt;&lt;google-app-maker&gt;&lt;gsuite&gt;</t>
  </si>
  <si>
    <t>2018-02-06T21:01:44.807</t>
  </si>
  <si>
    <t>Attempting to change text of label in accordion row via item in accordion detail</t>
  </si>
  <si>
    <t>2018-02-06T23:46:34.077</t>
  </si>
  <si>
    <t>2018-02-06T23:07:11.723</t>
  </si>
  <si>
    <t>2018-02-11T21:33:12.070</t>
  </si>
  <si>
    <t>Associate data with widgets (not the other way around) - SQL data</t>
  </si>
  <si>
    <t>2018-02-12T00:15:39.080</t>
  </si>
  <si>
    <t>2018-02-12T19:35:11.597</t>
  </si>
  <si>
    <t>2018-02-12T17:43:24.350</t>
  </si>
  <si>
    <t>Force a page to detach in client script</t>
  </si>
  <si>
    <t>2018-02-20T16:10:30.170</t>
  </si>
  <si>
    <t>2018-02-14T16:07:10.933</t>
  </si>
  <si>
    <t>Use App Maker User Picker Return a List of Email Address</t>
  </si>
  <si>
    <t>2018-02-15T12:18:15.547</t>
  </si>
  <si>
    <t>2018-02-14T19:06:57.127</t>
  </si>
  <si>
    <t>Does MailApp.sendEmail only work for Gmail accounts?</t>
  </si>
  <si>
    <t>2018-02-14T22:27:15.077</t>
  </si>
  <si>
    <t>2018-02-15T11:13:37.287</t>
  </si>
  <si>
    <t>How can I sort a list by month in App Maker?</t>
  </si>
  <si>
    <t>2019-04-25T08:24:42.347</t>
  </si>
  <si>
    <t>2018-02-15T13:03:23.267</t>
  </si>
  <si>
    <t>2018-02-15T22:59:10.857</t>
  </si>
  <si>
    <t>Searching Date Fields</t>
  </si>
  <si>
    <t>2018-03-03T00:29:24.870</t>
  </si>
  <si>
    <t>2018-02-17T14:37:18.050</t>
  </si>
  <si>
    <t>Accessing data in Google Drive tables with Google App maker</t>
  </si>
  <si>
    <t>2018-02-17T18:46:18.260</t>
  </si>
  <si>
    <t>2018-02-21T21:42:15.620</t>
  </si>
  <si>
    <t>2018-02-19T23:18:05.873</t>
  </si>
  <si>
    <t>Label text binding with call function and no return value</t>
  </si>
  <si>
    <t>2018-02-20T06:48:21.583</t>
  </si>
  <si>
    <t>2018-02-20T14:03:13.333</t>
  </si>
  <si>
    <t>&lt;google-apps-script&gt;&lt;binding&gt;&lt;google-app-maker&gt;</t>
  </si>
  <si>
    <t>2018-02-20T08:17:21.387</t>
  </si>
  <si>
    <t>Datasource in create and "normal mode for the same form</t>
  </si>
  <si>
    <t>2018-02-21T22:07:00.827</t>
  </si>
  <si>
    <t>2018-02-20T09:30:47.407</t>
  </si>
  <si>
    <t>Google AppMaker: Fetch a MAX value</t>
  </si>
  <si>
    <t>2018-02-21T22:13:12.043</t>
  </si>
  <si>
    <t>2018-02-22T13:50:40.350</t>
  </si>
  <si>
    <t>&lt;max&gt;&lt;google-app-maker&gt;</t>
  </si>
  <si>
    <t>2018-02-20T18:07:19.047</t>
  </si>
  <si>
    <t>App-Maker How to Assign Roles to Users With Script (NO APP SETTINGS)?</t>
  </si>
  <si>
    <t>2019-10-14T21:25:55.290</t>
  </si>
  <si>
    <t>2018-02-22T00:36:22.187</t>
  </si>
  <si>
    <t>2018-02-22T11:59:17.557</t>
  </si>
  <si>
    <t>Dropdown from values of a database field</t>
  </si>
  <si>
    <t>2018-02-22T17:46:33.957</t>
  </si>
  <si>
    <t>2018-02-23T17:04:40.247</t>
  </si>
  <si>
    <t>Use favicon from resources on mobile device</t>
  </si>
  <si>
    <t>2020-04-28T05:18:19.203</t>
  </si>
  <si>
    <t>2018-02-26T21:44:03.217</t>
  </si>
  <si>
    <t>How do I force a refresh in google app maker</t>
  </si>
  <si>
    <t>2018-02-26T22:20:10.777</t>
  </si>
  <si>
    <t>2018-02-28T02:05:34.997</t>
  </si>
  <si>
    <t>google appmaker: update field in datasource</t>
  </si>
  <si>
    <t>2018-02-28T18:39:25.500</t>
  </si>
  <si>
    <t>&lt;field&gt;&lt;datasource&gt;&lt;google-app-maker&gt;</t>
  </si>
  <si>
    <t>2018-02-28T17:29:23.897</t>
  </si>
  <si>
    <t>Client cannot access G suit with deployed app</t>
  </si>
  <si>
    <t>2018-03-07T19:53:22.197</t>
  </si>
  <si>
    <t>&lt;javascript&gt;&lt;google-app-maker&gt;&lt;gsuite&gt;</t>
  </si>
  <si>
    <t>2018-03-01T03:39:58.843</t>
  </si>
  <si>
    <t>Export data from Google AppMaker Datasource automatically</t>
  </si>
  <si>
    <t>2018-03-02T12:37:20.413</t>
  </si>
  <si>
    <t>2018-03-01T14:13:38.890</t>
  </si>
  <si>
    <t>2018-03-05T05:17:22.983</t>
  </si>
  <si>
    <t>CSS for required fields in Google App Maker</t>
  </si>
  <si>
    <t>2018-03-05T18:41:33.160</t>
  </si>
  <si>
    <t>2018-03-06T18:54:41.010</t>
  </si>
  <si>
    <t>Change App Maker table based on date</t>
  </si>
  <si>
    <t>2018-03-06T23:06:20.983</t>
  </si>
  <si>
    <t>2018-03-07T03:31:59.970</t>
  </si>
  <si>
    <t>Best way to get timestamp in Google AppMaker</t>
  </si>
  <si>
    <t>2018-03-07T05:57:07.417</t>
  </si>
  <si>
    <t>2018-03-08T18:17:36.440</t>
  </si>
  <si>
    <t>&lt;javascript&gt;&lt;timestamp&gt;&lt;google-app-maker&gt;</t>
  </si>
  <si>
    <t>2018-03-07T07:07:05.743</t>
  </si>
  <si>
    <t>Document Merge with Google App Maker</t>
  </si>
  <si>
    <t>2019-08-18T06:49:58.273</t>
  </si>
  <si>
    <t>&lt;google-docs&gt;&lt;google-app-maker&gt;</t>
  </si>
  <si>
    <t>2018-03-07T21:17:23.687</t>
  </si>
  <si>
    <t>2018-03-07T09:31:12.217</t>
  </si>
  <si>
    <t>Play .mp3 or .gif file in Google AppMaker</t>
  </si>
  <si>
    <t>2018-03-09T12:01:59.363</t>
  </si>
  <si>
    <t>&lt;javascript&gt;&lt;mp3&gt;&lt;google-app-maker&gt;</t>
  </si>
  <si>
    <t>2018-03-08T03:29:16.393</t>
  </si>
  <si>
    <t>Create pivot table from Google App Maker datasource</t>
  </si>
  <si>
    <t>2020-04-24T14:33:27.550</t>
  </si>
  <si>
    <t>&lt;pivot-table&gt;&lt;spreadsheet&gt;&lt;google-app-maker&gt;</t>
  </si>
  <si>
    <t>2018-03-08T11:50:44.733</t>
  </si>
  <si>
    <t>How to filter a relational datasource of a widget</t>
  </si>
  <si>
    <t>2018-03-08T23:57:22.883</t>
  </si>
  <si>
    <t>2019-06-02T18:22:43.717</t>
  </si>
  <si>
    <t>2018-03-08T14:08:10.430</t>
  </si>
  <si>
    <t>Copy App Files and Install in a new domain using Google App Maker</t>
  </si>
  <si>
    <t>2018-03-08T19:43:51.610</t>
  </si>
  <si>
    <t>2018-03-11T18:46:07.173</t>
  </si>
  <si>
    <t>Bind boolean to a label based on user's selection</t>
  </si>
  <si>
    <t>2018-03-11T19:29:35.653</t>
  </si>
  <si>
    <t>2018-03-12T15:59:34.447</t>
  </si>
  <si>
    <t>2018-03-12T06:21:50.107</t>
  </si>
  <si>
    <t>How to Call HTML Id in App Maker</t>
  </si>
  <si>
    <t>2018-03-12T14:52:29.163</t>
  </si>
  <si>
    <t>2018-03-12T19:14:31.923</t>
  </si>
  <si>
    <t>App Maker delete items on table and update</t>
  </si>
  <si>
    <t>2018-03-13T17:12:24.787</t>
  </si>
  <si>
    <t>&lt;javascript&gt;&lt;import&gt;&lt;google-app-maker&gt;</t>
  </si>
  <si>
    <t>2018-03-12T21:40:41.510</t>
  </si>
  <si>
    <t>2018-03-13T06:49:12.757</t>
  </si>
  <si>
    <t>How to Save Customized Html widgets data in Drive data table</t>
  </si>
  <si>
    <t>2018-03-13T16:39:11.797</t>
  </si>
  <si>
    <t>2018-03-13T17:26:05.417</t>
  </si>
  <si>
    <t>2018-03-14T19:41:13.767</t>
  </si>
  <si>
    <t>Drive Table internal error. The developer of this script needs to provide additional authorizations before it can run</t>
  </si>
  <si>
    <t>2018-03-14T22:13:16.210</t>
  </si>
  <si>
    <t>MailApp specify mailbox sender</t>
  </si>
  <si>
    <t>2018-03-15T19:53:01.433</t>
  </si>
  <si>
    <t>2018-03-15T14:23:28.570</t>
  </si>
  <si>
    <t>Loop over cards in the UI</t>
  </si>
  <si>
    <t>2018-03-15T23:23:27.093</t>
  </si>
  <si>
    <t>2018-03-15T23:32:57.060</t>
  </si>
  <si>
    <t>2018-03-20T01:54:22.780</t>
  </si>
  <si>
    <t>Google App Maker not available on 16th March 2018</t>
  </si>
  <si>
    <t>2018-03-23T14:05:27.527</t>
  </si>
  <si>
    <t>2018-03-21T14:38:08.890</t>
  </si>
  <si>
    <t>How many levels deep can App Maker relationships be accessed?</t>
  </si>
  <si>
    <t>2018-03-21T16:17:28.053</t>
  </si>
  <si>
    <t>2018-03-22T02:04:51.213</t>
  </si>
  <si>
    <t>Export filtered result from Google Drive Table</t>
  </si>
  <si>
    <t>2018-03-22T04:20:03.890</t>
  </si>
  <si>
    <t>&lt;database&gt;&lt;google-drive-api&gt;&lt;export&gt;&lt;google-app-maker&gt;</t>
  </si>
  <si>
    <t>2018-03-22T17:27:14.377</t>
  </si>
  <si>
    <t>How to show icon buttons only on selection</t>
  </si>
  <si>
    <t>2018-03-22T19:09:03.810</t>
  </si>
  <si>
    <t>2018-03-22T19:59:12.813</t>
  </si>
  <si>
    <t>2018-03-22T22:55:13.710</t>
  </si>
  <si>
    <t>Beginner google app maker calendar sample</t>
  </si>
  <si>
    <t>2018-03-23T15:48:37.673</t>
  </si>
  <si>
    <t>&lt;google-calendar-api&gt;&lt;google-app-maker&gt;</t>
  </si>
  <si>
    <t>2018-03-23T10:24:52.777</t>
  </si>
  <si>
    <t>How to switch between tabs in App Maker</t>
  </si>
  <si>
    <t>2018-03-23T15:58:27.867</t>
  </si>
  <si>
    <t>2018-03-23T11:58:59.243</t>
  </si>
  <si>
    <t>How to save textbox value in the database</t>
  </si>
  <si>
    <t>2018-03-23T16:09:41.550</t>
  </si>
  <si>
    <t>2018-03-24T17:24:30.127</t>
  </si>
  <si>
    <t>Drive Folder in AppMaker</t>
  </si>
  <si>
    <t>2018-03-27T05:22:46.953</t>
  </si>
  <si>
    <t>2018-03-27T02:20:57.983</t>
  </si>
  <si>
    <t>Google AppMaker date validation</t>
  </si>
  <si>
    <t>2018-03-27T18:21:47.063</t>
  </si>
  <si>
    <t>&lt;validation&gt;&lt;date&gt;&lt;google-app-maker&gt;</t>
  </si>
  <si>
    <t>2018-03-27T05:10:36.390</t>
  </si>
  <si>
    <t>Appscript API for fetching access permissions of team drive</t>
  </si>
  <si>
    <t>2018-04-10T10:06:09.553</t>
  </si>
  <si>
    <t>2018-03-29T16:25:30.103</t>
  </si>
  <si>
    <t>2018-03-27T07:29:55.743</t>
  </si>
  <si>
    <t>Adaptive User Management</t>
  </si>
  <si>
    <t>2018-03-27T14:54:13.737</t>
  </si>
  <si>
    <t>2018-03-29T22:12:37.567</t>
  </si>
  <si>
    <t>2018-03-29T15:58:19.093</t>
  </si>
  <si>
    <t>2018-03-27T09:30:59.317</t>
  </si>
  <si>
    <t>Tool tip text in Google App Maker</t>
  </si>
  <si>
    <t>2019-10-29T16:31:46.150</t>
  </si>
  <si>
    <t>&lt;tooltip&gt;&lt;google-app-maker&gt;</t>
  </si>
  <si>
    <t>2018-03-27T14:04:53.490</t>
  </si>
  <si>
    <t>2018-03-28T07:38:42.223</t>
  </si>
  <si>
    <t>Translation model in App Maker</t>
  </si>
  <si>
    <t>2018-03-29T17:17:30.217</t>
  </si>
  <si>
    <t>&lt;google-app-maker&gt;&lt;language-translation&gt;</t>
  </si>
  <si>
    <t>2018-03-28T21:27:20.157</t>
  </si>
  <si>
    <t>Draggable, on Google AppMaker</t>
  </si>
  <si>
    <t>2018-03-29T18:53:16.033</t>
  </si>
  <si>
    <t>&lt;marker&gt;&lt;google-app-maker&gt;</t>
  </si>
  <si>
    <t>2018-03-29T18:51:03.110</t>
  </si>
  <si>
    <t>2018-03-28T21:48:30.197</t>
  </si>
  <si>
    <t>Return value of another field within model</t>
  </si>
  <si>
    <t>2018-03-29T23:33:47.320</t>
  </si>
  <si>
    <t>2018-03-29T21:29:21.033</t>
  </si>
  <si>
    <t>Using the Charts API to create a scatter chart in Google AppMaker</t>
  </si>
  <si>
    <t>2018-12-11T16:24:26.573</t>
  </si>
  <si>
    <t>2018-03-30T18:07:08.270</t>
  </si>
  <si>
    <t>2018-03-30T11:16:58.737</t>
  </si>
  <si>
    <t>Adding google groups to roles</t>
  </si>
  <si>
    <t>2018-03-30T19:29:51.210</t>
  </si>
  <si>
    <t>2018-07-19T20:04:17.427</t>
  </si>
  <si>
    <t>2018-03-30T15:40:22.370</t>
  </si>
  <si>
    <t>2018-03-30T19:40:21.650</t>
  </si>
  <si>
    <t>Changelog method based on project tracker template</t>
  </si>
  <si>
    <t>2018-04-03T15:56:08.153</t>
  </si>
  <si>
    <t>2018-04-02T16:51:31.537</t>
  </si>
  <si>
    <t>Change color of checkbox button</t>
  </si>
  <si>
    <t>2018-04-02T17:37:25.017</t>
  </si>
  <si>
    <t>2018-04-02T20:02:50.813</t>
  </si>
  <si>
    <t>&lt;css&gt;&lt;css-selectors&gt;&lt;google-app-maker&gt;</t>
  </si>
  <si>
    <t>2018-04-05T07:50:46.690</t>
  </si>
  <si>
    <t>Example or template on how to do file upload in Google AppMaker</t>
  </si>
  <si>
    <t>2018-07-26T18:40:28.013</t>
  </si>
  <si>
    <t>&lt;file-upload&gt;&lt;google-drive-api&gt;&lt;google-app-maker&gt;&lt;google-drive-team-drive&gt;</t>
  </si>
  <si>
    <t>2018-04-05T16:54:50.560</t>
  </si>
  <si>
    <t>2018-04-05T10:41:00.560</t>
  </si>
  <si>
    <t>Google Team Drive Move file between team drive folders using Apps Script</t>
  </si>
  <si>
    <t>2018-08-08T22:09:06.490</t>
  </si>
  <si>
    <t>2019-01-07T13:44:26.677</t>
  </si>
  <si>
    <t>&lt;google-apps-script&gt;&lt;google-app-maker&gt;&lt;google-drive-team-drive&gt;</t>
  </si>
  <si>
    <t>2018-04-05T11:24:38.673</t>
  </si>
  <si>
    <t>2018-04-06T09:10:59.553</t>
  </si>
  <si>
    <t>How to get date range between two date in Google AppMaker?</t>
  </si>
  <si>
    <t>2018-04-13T17:10:57.287</t>
  </si>
  <si>
    <t>&lt;date&gt;&lt;calendar&gt;&lt;google-app-maker&gt;</t>
  </si>
  <si>
    <t>2018-04-09T15:39:23.153</t>
  </si>
  <si>
    <t>2018-04-08T08:30:46.563</t>
  </si>
  <si>
    <t>Refreshing values on fields</t>
  </si>
  <si>
    <t>2018-04-09T14:52:46.023</t>
  </si>
  <si>
    <t>2018-04-11T21:32:13.377</t>
  </si>
  <si>
    <t>2018-04-09T14:59:23.237</t>
  </si>
  <si>
    <t>2018-04-08T10:45:27.753</t>
  </si>
  <si>
    <t>How to import a table existing in DB</t>
  </si>
  <si>
    <t>2018-04-26T08:48:22.767</t>
  </si>
  <si>
    <t>2018-04-10T14:16:47.130</t>
  </si>
  <si>
    <t>2018-04-09T18:02:21.877</t>
  </si>
  <si>
    <t>Google Appmaker - Search people by PrimaryOrganizationTitle in the PeopleViewer template</t>
  </si>
  <si>
    <t>2018-04-09T19:57:42.463</t>
  </si>
  <si>
    <t>2018-04-09T21:30:48.963</t>
  </si>
  <si>
    <t>2018-04-09T20:06:18.920</t>
  </si>
  <si>
    <t>A function to find or return a Google Calendar event Organizer?</t>
  </si>
  <si>
    <t>2018-04-10T07:24:09.013</t>
  </si>
  <si>
    <t>&lt;google-apps-script&gt;&lt;google-api&gt;&lt;google-app-maker&gt;&lt;google-calendar-api&gt;</t>
  </si>
  <si>
    <t>2018-04-10T22:05:14.500</t>
  </si>
  <si>
    <t>Connection from App Maker to Cloud SQL is locked</t>
  </si>
  <si>
    <t>2018-06-04T17:54:01.590</t>
  </si>
  <si>
    <t>2018-04-11T10:16:52.987</t>
  </si>
  <si>
    <t>Can't access to Google AppMaker template</t>
  </si>
  <si>
    <t>2018-08-09T21:31:44.253</t>
  </si>
  <si>
    <t>2018-04-13T04:00:37.500</t>
  </si>
  <si>
    <t>How to do binding for drop down and checkbox in App Maker?</t>
  </si>
  <si>
    <t>2018-04-13T16:06:24.937</t>
  </si>
  <si>
    <t>&lt;binding&gt;&lt;google-app-maker&gt;</t>
  </si>
  <si>
    <t>2018-04-18T05:32:38.860</t>
  </si>
  <si>
    <t>How to set visibility based on binding expression from two different datasources in Appmaker &amp; Google Cloud SQL?</t>
  </si>
  <si>
    <t>2018-04-18T15:09:27.823</t>
  </si>
  <si>
    <t>2018-04-18T08:42:18.170</t>
  </si>
  <si>
    <t>Trigger on calculated date on Google AppMaker</t>
  </si>
  <si>
    <t>2018-05-21T20:04:52.450</t>
  </si>
  <si>
    <t>&lt;google-apps-script&gt;&lt;gmail-api&gt;&lt;google-app-maker&gt;</t>
  </si>
  <si>
    <t>2018-04-18T16:26:47.093</t>
  </si>
  <si>
    <t>2018-04-18T10:52:46.157</t>
  </si>
  <si>
    <t>How to populate many to many relationship</t>
  </si>
  <si>
    <t>2018-04-19T18:01:11.940</t>
  </si>
  <si>
    <t>2018-04-19T05:55:00.797</t>
  </si>
  <si>
    <t>Can't preview the AppMaker</t>
  </si>
  <si>
    <t>2018-04-19T14:30:49.327</t>
  </si>
  <si>
    <t>2018-04-19T20:30:43.770</t>
  </si>
  <si>
    <t>2018-04-19T06:48:41.483</t>
  </si>
  <si>
    <t>Show/Hide columns in App Maker Table?</t>
  </si>
  <si>
    <t>2018-04-19T16:22:11.710</t>
  </si>
  <si>
    <t>2018-04-19T11:48:00.350</t>
  </si>
  <si>
    <t>Load Dropdown values dynamically in Appmaker</t>
  </si>
  <si>
    <t>2018-04-19T20:17:03.937</t>
  </si>
  <si>
    <t>2018-04-19T17:29:10.530</t>
  </si>
  <si>
    <t>2018-04-19T15:49:18.297</t>
  </si>
  <si>
    <t>app maker libraries/ ArrayLib</t>
  </si>
  <si>
    <t>2018-04-19T16:36:45.173</t>
  </si>
  <si>
    <t>&lt;google-apps-script&gt;&lt;libraries&gt;&lt;google-sheets-api&gt;&lt;google-app-maker&gt;</t>
  </si>
  <si>
    <t>2018-04-19T18:38:52.187</t>
  </si>
  <si>
    <t>How to access Appmaker Revision ID?</t>
  </si>
  <si>
    <t>2019-09-05T17:23:52.783</t>
  </si>
  <si>
    <t>2018-04-20T04:20:01.210</t>
  </si>
  <si>
    <t>Checkbox binding in Google AppMaker</t>
  </si>
  <si>
    <t>2018-04-26T17:47:02.293</t>
  </si>
  <si>
    <t>&lt;data-binding&gt;&lt;google-apps-script&gt;&lt;google-app-maker&gt;</t>
  </si>
  <si>
    <t>2018-04-20T14:42:49.607</t>
  </si>
  <si>
    <t>Issues DocumentMerge in Google AppMaker</t>
  </si>
  <si>
    <t>2018-04-20T20:26:25.963</t>
  </si>
  <si>
    <t>2018-04-20T16:46:28.880</t>
  </si>
  <si>
    <t>2018-04-21T14:38:47.560</t>
  </si>
  <si>
    <t>AppMaker - Google Drive Table not available</t>
  </si>
  <si>
    <t>2018-04-22T04:25:42.800</t>
  </si>
  <si>
    <t>2018-04-23T17:00:07.810</t>
  </si>
  <si>
    <t>2018-04-21T15:55:53.653</t>
  </si>
  <si>
    <t>How to display DropDown options using values from two fields</t>
  </si>
  <si>
    <t>2018-04-24T14:24:59.840</t>
  </si>
  <si>
    <t>2018-04-23T17:35:37.653</t>
  </si>
  <si>
    <t>2018-04-21T18:31:31.367</t>
  </si>
  <si>
    <t>How to handover item._key from a listPage to a first editPage and second editPage</t>
  </si>
  <si>
    <t>2018-04-22T15:13:40.627</t>
  </si>
  <si>
    <t>2018-04-23T16:54:04.137</t>
  </si>
  <si>
    <t>Multiple datasources for searchbox</t>
  </si>
  <si>
    <t>2018-04-23T19:06:46.127</t>
  </si>
  <si>
    <t>2018-04-23T20:01:10.167</t>
  </si>
  <si>
    <t>2018-04-23T19:51:00.323</t>
  </si>
  <si>
    <t>Query date range?</t>
  </si>
  <si>
    <t>2020-04-27T04:32:40.487</t>
  </si>
  <si>
    <t>2018-04-23T20:12:32.840</t>
  </si>
  <si>
    <t>2018-04-24T05:36:38.660</t>
  </si>
  <si>
    <t>Google Cloud SQL instance connection error</t>
  </si>
  <si>
    <t>2018-05-08T17:23:34.887</t>
  </si>
  <si>
    <t>&lt;mysql&gt;&lt;sql&gt;&lt;google-cloud-platform&gt;&lt;google-cloud-sql&gt;&lt;google-app-maker&gt;</t>
  </si>
  <si>
    <t>2018-04-24T08:53:56.160</t>
  </si>
  <si>
    <t>Download File in Appmaker</t>
  </si>
  <si>
    <t>2018-04-25T20:23:02.963</t>
  </si>
  <si>
    <t>2018-04-25T02:58:39.617</t>
  </si>
  <si>
    <t>How to sort a table for which its datasource is a relation</t>
  </si>
  <si>
    <t>2018-04-25T21:05:16.870</t>
  </si>
  <si>
    <t>2018-04-25T14:14:37.897</t>
  </si>
  <si>
    <t>Connect to custom SQL Database</t>
  </si>
  <si>
    <t>2018-04-26T00:28:54.863</t>
  </si>
  <si>
    <t>2018-04-26T08:25:58.107</t>
  </si>
  <si>
    <t>How to create unique row in Google App Maker's Cloud SQL</t>
  </si>
  <si>
    <t>2018-04-26T16:11:27.193</t>
  </si>
  <si>
    <t>2018-04-26T16:38:36.623</t>
  </si>
  <si>
    <t>&lt;mysql&gt;&lt;google-cloud-sql&gt;&lt;google-app-maker&gt;</t>
  </si>
  <si>
    <t>2018-04-26T08:51:01.083</t>
  </si>
  <si>
    <t>Generate an unique ID in Appmaker</t>
  </si>
  <si>
    <t>2018-04-26T09:29:27.167</t>
  </si>
  <si>
    <t>2018-04-30T14:06:45.653</t>
  </si>
  <si>
    <t>How to change user in the appmaker editor</t>
  </si>
  <si>
    <t>2018-04-30T16:45:47.237</t>
  </si>
  <si>
    <t>2018-04-30T16:53:33.473</t>
  </si>
  <si>
    <t>How to set current item in App Maker datasource?</t>
  </si>
  <si>
    <t>2018-04-30T21:46:00.030</t>
  </si>
  <si>
    <t>2018-05-01T11:40:28.987</t>
  </si>
  <si>
    <t>Maximize Page Value Syncing between Multiple Users in App Maker?</t>
  </si>
  <si>
    <t>2018-05-02T02:59:36.530</t>
  </si>
  <si>
    <t>2018-05-02T06:35:43.633</t>
  </si>
  <si>
    <t>On Hover event in Label in Appmaker</t>
  </si>
  <si>
    <t>user9663587</t>
  </si>
  <si>
    <t>2018-05-02T16:39:28.273</t>
  </si>
  <si>
    <t>2018-05-02T08:20:36.567</t>
  </si>
  <si>
    <t>Store Default date as Today's date column in Appmaker</t>
  </si>
  <si>
    <t>user9724193</t>
  </si>
  <si>
    <t>2018-05-02T08:26:03.597</t>
  </si>
  <si>
    <t>2018-05-02T16:52:22.730</t>
  </si>
  <si>
    <t>2018-05-02T08:21:42.450</t>
  </si>
  <si>
    <t>How can I generate the status values(count) in Dashboard</t>
  </si>
  <si>
    <t>2018-05-02T20:45:47.287</t>
  </si>
  <si>
    <t>2018-05-02T08:30:10.767</t>
  </si>
  <si>
    <t>2018-05-02T08:39:50.007</t>
  </si>
  <si>
    <t>Appmaker migration from Drive table to Cloud SQL queries</t>
  </si>
  <si>
    <t>2018-05-02T20:37:12.243</t>
  </si>
  <si>
    <t>2018-05-02T19:34:43.650</t>
  </si>
  <si>
    <t>How to email record as pdf to user with Google App Maker</t>
  </si>
  <si>
    <t>2018-05-02T20:31:42.683</t>
  </si>
  <si>
    <t>2018-05-03T21:28:06.580</t>
  </si>
  <si>
    <t>How to Increase the capacity of a textbox in google app maker?</t>
  </si>
  <si>
    <t>2018-05-03T22:12:34.997</t>
  </si>
  <si>
    <t>2018-05-04T06:09:40.647</t>
  </si>
  <si>
    <t>Google Appmaker MAP api draggable marker and save new coordinates</t>
  </si>
  <si>
    <t>2018-05-06T07:35:29.237</t>
  </si>
  <si>
    <t>2018-05-04T15:08:42.863</t>
  </si>
  <si>
    <t>2018-05-04T09:44:39.030</t>
  </si>
  <si>
    <t>Task Assignment System using AppMaker</t>
  </si>
  <si>
    <t>2018-05-04T23:53:30.990</t>
  </si>
  <si>
    <t>Google App maker not available to Education customers?</t>
  </si>
  <si>
    <t>2018-05-30T12:20:27.697</t>
  </si>
  <si>
    <t>2018-05-05T16:43:44.670</t>
  </si>
  <si>
    <t>How do I implement a goBack function in app script</t>
  </si>
  <si>
    <t>2018-12-11T22:58:05.153</t>
  </si>
  <si>
    <t>2018-05-05T21:55:28.907</t>
  </si>
  <si>
    <t>Why is Google AppMaker is not allowing me to add database connections?</t>
  </si>
  <si>
    <t>2018-05-05T22:58:25.853</t>
  </si>
  <si>
    <t>2018-05-07T12:49:57.370</t>
  </si>
  <si>
    <t>2018-05-05T22:41:39.093</t>
  </si>
  <si>
    <t>2018-05-06T07:35:30.967</t>
  </si>
  <si>
    <t>Multi-Select Suggest Box?</t>
  </si>
  <si>
    <t>2018-05-07T16:17:29.933</t>
  </si>
  <si>
    <t>Add IBAN check to widget validation</t>
  </si>
  <si>
    <t>2018-05-08T21:40:31.827</t>
  </si>
  <si>
    <t>2018-05-07T18:39:30.817</t>
  </si>
  <si>
    <t>2018-05-09T07:35:12.513</t>
  </si>
  <si>
    <t>(Error) : The function queryRecords must return an array of records</t>
  </si>
  <si>
    <t>2018-05-09T09:36:15.133</t>
  </si>
  <si>
    <t>2018-05-14T08:58:02.413</t>
  </si>
  <si>
    <t>How to make a button in appmaker perform some actions and open a URL after</t>
  </si>
  <si>
    <t>2018-06-14T17:12:56.300</t>
  </si>
  <si>
    <t>2018-05-21T04:05:38.257</t>
  </si>
  <si>
    <t>2018-05-14T09:12:09.660</t>
  </si>
  <si>
    <t>Create a PDF from appMaker page without using googleDocs</t>
  </si>
  <si>
    <t>2018-05-18T16:25:48.457</t>
  </si>
  <si>
    <t>&lt;google-apps-script&gt;&lt;google-sheets&gt;&lt;pdf-generation&gt;&lt;google-app-maker&gt;</t>
  </si>
  <si>
    <t>2018-05-21T04:40:07.997</t>
  </si>
  <si>
    <t>How to set the CSS from Javascript of a dynamic data</t>
  </si>
  <si>
    <t>2018-05-21T04:42:28.423</t>
  </si>
  <si>
    <t>2018-05-21T18:10:04.070</t>
  </si>
  <si>
    <t>&lt;javascript&gt;&lt;css&gt;&lt;google-app-maker&gt;</t>
  </si>
  <si>
    <t>2018-05-21T17:46:04.653</t>
  </si>
  <si>
    <t>Sorting Tables in Google AppMaker</t>
  </si>
  <si>
    <t>2018-05-22T15:14:59.040</t>
  </si>
  <si>
    <t>2018-05-22T07:44:13.790</t>
  </si>
  <si>
    <t>Send Email in Google AppMaker</t>
  </si>
  <si>
    <t>2018-05-22T15:03:06.213</t>
  </si>
  <si>
    <t>&lt;javascript&gt;&lt;gmail-api&gt;&lt;google-app-maker&gt;</t>
  </si>
  <si>
    <t>2018-05-23T04:46:21.410</t>
  </si>
  <si>
    <t>Error in sending Email in Google AppMaker</t>
  </si>
  <si>
    <t>2018-05-24T20:38:22.790</t>
  </si>
  <si>
    <t>2018-05-23T16:09:41.197</t>
  </si>
  <si>
    <t>2018-05-23T06:01:36.440</t>
  </si>
  <si>
    <t>Display only Team Drives in Drive Picker Widget</t>
  </si>
  <si>
    <t>2018-05-23T16:46:46.960</t>
  </si>
  <si>
    <t>2018-06-04T22:23:32.163</t>
  </si>
  <si>
    <t>&lt;google-app-maker&gt;&lt;google-picker&gt;&lt;google-drive-team-drive&gt;</t>
  </si>
  <si>
    <t>2018-05-24T09:57:31.273</t>
  </si>
  <si>
    <t>Binding options dropdown filtering with textbox value in Google App Maker</t>
  </si>
  <si>
    <t>2018-05-24T17:31:41.790</t>
  </si>
  <si>
    <t>2018-05-24T17:41:38.577</t>
  </si>
  <si>
    <t>&lt;dropdownbox&gt;&lt;google-app-maker&gt;</t>
  </si>
  <si>
    <t>2018-05-25T13:07:17.523</t>
  </si>
  <si>
    <t>Filter a table based on selection on related table which is connected to a different datasource</t>
  </si>
  <si>
    <t>2018-05-29T13:52:40.480</t>
  </si>
  <si>
    <t>2018-05-29T10:42:16.663</t>
  </si>
  <si>
    <t>Best way for displaying total Pages for a datasource in Appmaker</t>
  </si>
  <si>
    <t>2018-10-12T09:24:44.557</t>
  </si>
  <si>
    <t>2018-06-15T08:52:55.107</t>
  </si>
  <si>
    <t>2018-05-31T12:41:57.947</t>
  </si>
  <si>
    <t>Filter and Bind a Multiselect</t>
  </si>
  <si>
    <t>2018-05-31T19:24:13.050</t>
  </si>
  <si>
    <t>2018-05-31T15:07:56.103</t>
  </si>
  <si>
    <t>Dynamically Create Checkbox Lists Google App Maker</t>
  </si>
  <si>
    <t>2018-05-31T16:38:11.010</t>
  </si>
  <si>
    <t>2018-05-31T16:39:05.477</t>
  </si>
  <si>
    <t>How to move a record from one model to another in Google App Maker</t>
  </si>
  <si>
    <t>2018-05-31T19:37:41.500</t>
  </si>
  <si>
    <t>2018-06-07T20:40:51.230</t>
  </si>
  <si>
    <t>&lt;sql&gt;&lt;google-app-maker&gt;</t>
  </si>
  <si>
    <t>2018-05-31T21:20:45.990</t>
  </si>
  <si>
    <t>Filter items of relation on query</t>
  </si>
  <si>
    <t>2018-06-01T22:04:15.763</t>
  </si>
  <si>
    <t>2018-05-31T22:37:12.620</t>
  </si>
  <si>
    <t>2018-06-01T10:32:18.777</t>
  </si>
  <si>
    <t>App script/maker and Big Query</t>
  </si>
  <si>
    <t>2018-06-05T09:11:07.847</t>
  </si>
  <si>
    <t>&lt;arrays&gt;&lt;google-apps-script&gt;&lt;google-bigquery&gt;&lt;google-app-maker&gt;</t>
  </si>
  <si>
    <t>2018-06-02T21:17:06.117</t>
  </si>
  <si>
    <t>How do you drag a widget onto a page when editing an app from your phone?</t>
  </si>
  <si>
    <t>2018-06-04T21:22:30.217</t>
  </si>
  <si>
    <t>How to upload files logged in as a user to the app creator's drive?</t>
  </si>
  <si>
    <t>2018-06-05T02:24:28.433</t>
  </si>
  <si>
    <t>2018-06-05T13:46:33.343</t>
  </si>
  <si>
    <t>App maker: Show Big Query data in grid</t>
  </si>
  <si>
    <t>2018-06-05T14:44:08.497</t>
  </si>
  <si>
    <t>&lt;javascript&gt;&lt;google-apps-script&gt;&lt;google-bigquery&gt;&lt;google-app-maker&gt;</t>
  </si>
  <si>
    <t>2018-06-05T17:23:28.340</t>
  </si>
  <si>
    <t>How to upload files logged in as a different user to the app creator's drive such that only the most recently uploaded file is kept in the team drive?</t>
  </si>
  <si>
    <t>2018-06-06T00:05:37.957</t>
  </si>
  <si>
    <t>Exporting data to google sheet</t>
  </si>
  <si>
    <t>2019-09-03T09:41:22.920</t>
  </si>
  <si>
    <t>2018-06-06T17:02:01.883</t>
  </si>
  <si>
    <t>2018-06-06T06:06:26.760</t>
  </si>
  <si>
    <t>How to check whether the file belongs to My Drive or Team Drive</t>
  </si>
  <si>
    <t>2018-06-06T12:29:27.393</t>
  </si>
  <si>
    <t>2018-06-06T06:15:59.127</t>
  </si>
  <si>
    <t>2018-06-06T22:32:54.763</t>
  </si>
  <si>
    <t>G Suite API create groups</t>
  </si>
  <si>
    <t>2018-06-06T22:50:04.957</t>
  </si>
  <si>
    <t>2018-06-07T20:37:10.533</t>
  </si>
  <si>
    <t>Data within a published app maker deployment cant be seen by anyone and doesnt update</t>
  </si>
  <si>
    <t>2018-06-08T15:49:41.970</t>
  </si>
  <si>
    <t>Calculated_SQL Table - Search</t>
  </si>
  <si>
    <t>2018-06-29T16:43:46.323</t>
  </si>
  <si>
    <t>2018-06-08T18:17:23.227</t>
  </si>
  <si>
    <t>When a file is uploaded to the Google Drive, how do you handle that event (call scripts)?</t>
  </si>
  <si>
    <t>2018-06-11T16:36:28.603</t>
  </si>
  <si>
    <t>2018-06-12T17:29:29.880</t>
  </si>
  <si>
    <t>API errors on Google Apps Script</t>
  </si>
  <si>
    <t>2018-06-12T20:20:55.797</t>
  </si>
  <si>
    <t>2018-06-12T18:15:48.860</t>
  </si>
  <si>
    <t>ReferenceError: "Drive" is not defined</t>
  </si>
  <si>
    <t>2018-10-14T12:57:38.000</t>
  </si>
  <si>
    <t>2018-06-12T20:38:57.520</t>
  </si>
  <si>
    <t>Cannot Open Google App Maker samples</t>
  </si>
  <si>
    <t>2018-06-13T23:10:38.723</t>
  </si>
  <si>
    <t>&lt;google-cloud-platform&gt;&lt;google-cloud-sql&gt;&lt;google-app-maker&gt;</t>
  </si>
  <si>
    <t>2018-06-13T06:00:37.597</t>
  </si>
  <si>
    <t>Add watermark to PDF using Appscript</t>
  </si>
  <si>
    <t>2018-06-14T05:50:11.910</t>
  </si>
  <si>
    <t>&lt;google-apps-script&gt;&lt;pdf-generation&gt;&lt;google-app-maker&gt;</t>
  </si>
  <si>
    <t>2018-06-14T07:15:38.910</t>
  </si>
  <si>
    <t>Giving publishing rights to a deployment to another user</t>
  </si>
  <si>
    <t>2019-01-10T17:49:15.013</t>
  </si>
  <si>
    <t>2018-06-14T17:05:38.150</t>
  </si>
  <si>
    <t>Unable to access appmaker</t>
  </si>
  <si>
    <t>2018-06-14T17:11:08.117</t>
  </si>
  <si>
    <t>2018-06-14T20:22:49.783</t>
  </si>
  <si>
    <t>&lt;google-app-maker&gt;&lt;gsuite&gt;</t>
  </si>
  <si>
    <t>2018-06-14T20:53:07.930</t>
  </si>
  <si>
    <t>Copying several records from a Query</t>
  </si>
  <si>
    <t>2018-06-14T22:29:37.913</t>
  </si>
  <si>
    <t>2018-06-15T00:51:02.500</t>
  </si>
  <si>
    <t>database settings Google Appmaker</t>
  </si>
  <si>
    <t>2019-10-03T17:35:31.513</t>
  </si>
  <si>
    <t>2018-06-15T11:10:19.700</t>
  </si>
  <si>
    <t>Error when fetching data from spreadsheet</t>
  </si>
  <si>
    <t>2018-06-15T13:07:13.350</t>
  </si>
  <si>
    <t>Suggested UI flows for request -&gt; delay -&gt; response?</t>
  </si>
  <si>
    <t>user871274</t>
  </si>
  <si>
    <t>2019-04-09T22:38:10.463</t>
  </si>
  <si>
    <t>2018-06-15T14:47:45.653</t>
  </si>
  <si>
    <t>Google App Maker onClick event running asynchronously</t>
  </si>
  <si>
    <t>2018-06-15T16:01:59.357</t>
  </si>
  <si>
    <t>2018-06-15T16:14:25.880</t>
  </si>
  <si>
    <t>2018-06-15T14:50:13.120</t>
  </si>
  <si>
    <t>Ideas on getting data from external users?</t>
  </si>
  <si>
    <t>2018-06-15T16:35:18.260</t>
  </si>
  <si>
    <t>2018-06-15T21:34:09.493</t>
  </si>
  <si>
    <t>How do customize a popup like Snackbar or Notification dialog with a message?</t>
  </si>
  <si>
    <t>2018-06-18T10:13:53.887</t>
  </si>
  <si>
    <t>2018-06-15T23:22:10.823</t>
  </si>
  <si>
    <t>2018-06-18T05:14:36.270</t>
  </si>
  <si>
    <t>How do I add a user to collaborate on a google App Maker project</t>
  </si>
  <si>
    <t>2018-06-18T05:52:16.160</t>
  </si>
  <si>
    <t>2018-06-18T16:46:05.997</t>
  </si>
  <si>
    <t>2018-06-19T16:08:18.140</t>
  </si>
  <si>
    <t>Lists with relations as datasources</t>
  </si>
  <si>
    <t>2018-06-19T17:10:04.820</t>
  </si>
  <si>
    <t>2018-06-19T21:16:34.737</t>
  </si>
  <si>
    <t>2018-06-19T20:42:00.603</t>
  </si>
  <si>
    <t>Why am I getting an undefined value when calling these scripts in Google App Maker?</t>
  </si>
  <si>
    <t>2018-06-19T20:53:38.203</t>
  </si>
  <si>
    <t>2018-06-19T20:59:18.967</t>
  </si>
  <si>
    <t>2018-06-21T16:11:51.293</t>
  </si>
  <si>
    <t>How Can i expose my app maker apps to users from outside of my organization</t>
  </si>
  <si>
    <t>2018-06-25T03:59:11.657</t>
  </si>
  <si>
    <t>2018-06-21T20:46:22.467</t>
  </si>
  <si>
    <t>Is there any way to convert a a large Excel CSV file to Google Sheet in Google App Maker?</t>
  </si>
  <si>
    <t>2018-06-21T21:39:08.290</t>
  </si>
  <si>
    <t>2018-06-22T11:28:12.600</t>
  </si>
  <si>
    <t>Initiate Appmaker Document Approval from Google Drive</t>
  </si>
  <si>
    <t>2018-08-03T04:39:27.803</t>
  </si>
  <si>
    <t>2018-06-25T04:20:42.997</t>
  </si>
  <si>
    <t>How can I allow the Current User to have permissions/views tied to their Direct Reports and Manager relationships?</t>
  </si>
  <si>
    <t>2018-06-25T04:27:15.883</t>
  </si>
  <si>
    <t>2018-06-27T04:20:10.170</t>
  </si>
  <si>
    <t>2018-06-25T07:30:50.680</t>
  </si>
  <si>
    <t>Combine data from two datasources into a single table</t>
  </si>
  <si>
    <t>2020-04-29T08:21:08.503</t>
  </si>
  <si>
    <t>2018-06-25T13:21:56.463</t>
  </si>
  <si>
    <t>How can you gracefully handle a user attempting to access a page they don't have permissions for?</t>
  </si>
  <si>
    <t>2018-06-26T06:31:46.703</t>
  </si>
  <si>
    <t>2018-06-25T16:59:20.097</t>
  </si>
  <si>
    <t>Binding transformers to calculated expressions</t>
  </si>
  <si>
    <t>2018-06-27T04:17:03.307</t>
  </si>
  <si>
    <t>2018-06-25T20:27:38.120</t>
  </si>
  <si>
    <t>Does getBlob() OR getDataAsString() have a maximum file size in Google App Script?</t>
  </si>
  <si>
    <t>2018-06-25T22:10:21.963</t>
  </si>
  <si>
    <t>Workaround solutions to Google App Script "Exception: FILENAME.csv exceeds the maxmium file size"?</t>
  </si>
  <si>
    <t>2018-06-25T22:32:19.337</t>
  </si>
  <si>
    <t>2018-06-26T04:03:35.380</t>
  </si>
  <si>
    <t>&lt;google-apps-script&gt;&lt;google-app-maker&gt;&lt;import-from-csv&gt;</t>
  </si>
  <si>
    <t>2018-06-26T00:15:33.707</t>
  </si>
  <si>
    <t>How to efficiently send Batch Requests through JDBC into MySQL database in Google App Script?</t>
  </si>
  <si>
    <t>2019-05-10T17:16:13.923</t>
  </si>
  <si>
    <t>&lt;mysql&gt;&lt;google-apps-script&gt;&lt;google-app-maker&gt;</t>
  </si>
  <si>
    <t>2018-06-26T12:42:59.793</t>
  </si>
  <si>
    <t>Is it possible to securely enforce that a user can only access data through a relation?</t>
  </si>
  <si>
    <t>2018-06-28T15:08:43.547</t>
  </si>
  <si>
    <t>2018-06-26T13:55:16.240</t>
  </si>
  <si>
    <t>Appmaker data in column and row</t>
  </si>
  <si>
    <t>2018-06-26T18:48:42.290</t>
  </si>
  <si>
    <t>2018-06-28T07:50:26.920</t>
  </si>
  <si>
    <t>APPMAKER - Many to many relation is not working</t>
  </si>
  <si>
    <t>2018-07-04T07:14:59.683</t>
  </si>
  <si>
    <t>2018-06-28T15:36:41.913</t>
  </si>
  <si>
    <t>How can i import a son model with relation to a father model?</t>
  </si>
  <si>
    <t>2018-07-02T13:17:24.670</t>
  </si>
  <si>
    <t>&lt;import&gt;&lt;relation&gt;&lt;google-app-maker&gt;</t>
  </si>
  <si>
    <t>2018-06-29T15:49:54.473</t>
  </si>
  <si>
    <t>Removing one-to-many relations using splice</t>
  </si>
  <si>
    <t>2018-07-02T18:56:10.143</t>
  </si>
  <si>
    <t>2018-06-29T23:21:36.487</t>
  </si>
  <si>
    <t>Calculating SQL query on a string field</t>
  </si>
  <si>
    <t>2018-07-02T18:44:25.080</t>
  </si>
  <si>
    <t>Unwanted Output In Console</t>
  </si>
  <si>
    <t>2018-08-09T20:17:09.043</t>
  </si>
  <si>
    <t>2018-07-04T07:54:17.297</t>
  </si>
  <si>
    <t>can you use data tables across multiple apps?</t>
  </si>
  <si>
    <t>2018-07-04T09:43:43.333</t>
  </si>
  <si>
    <t>2018-07-06T03:02:01.170</t>
  </si>
  <si>
    <t>2018-07-04T13:38:29.593</t>
  </si>
  <si>
    <t>Capture a current value from dropdown widget based on a 'one relation end'</t>
  </si>
  <si>
    <t>2018-07-04T13:48:10.210</t>
  </si>
  <si>
    <t>2018-07-05T14:28:42.043</t>
  </si>
  <si>
    <t>2018-07-05T08:22:52.117</t>
  </si>
  <si>
    <t>App Maker Document approval template : How can I Add Default Approvers</t>
  </si>
  <si>
    <t>2020-05-09T10:05:48.043</t>
  </si>
  <si>
    <t>2018-07-24T08:15:54.393</t>
  </si>
  <si>
    <t>2018-07-05T15:06:56.383</t>
  </si>
  <si>
    <t>Is there a way to update a record after it's been created?</t>
  </si>
  <si>
    <t>2018-07-05T15:12:50.107</t>
  </si>
  <si>
    <t>2018-07-05T16:30:28.210</t>
  </si>
  <si>
    <t>2018-07-05T16:23:03.767</t>
  </si>
  <si>
    <t>Redirecting To External URL</t>
  </si>
  <si>
    <t>2018-07-06T10:21:22.283</t>
  </si>
  <si>
    <t>Pre-select dropdown in a popup</t>
  </si>
  <si>
    <t>2018-07-07T18:54:04.143</t>
  </si>
  <si>
    <t>2018-07-08T08:28:19.343</t>
  </si>
  <si>
    <t>Appmaker multiple filters on one page</t>
  </si>
  <si>
    <t>2018-07-09T10:10:42.440</t>
  </si>
  <si>
    <t>2018-07-11T09:46:23.153</t>
  </si>
  <si>
    <t>Accordion in appmaker</t>
  </si>
  <si>
    <t>2018-07-11T10:44:25.810</t>
  </si>
  <si>
    <t>2018-07-11T10:39:08.740</t>
  </si>
  <si>
    <t>2018-07-11T16:02:05.517</t>
  </si>
  <si>
    <t>Appmaker Thumbnail from Directory by Email</t>
  </si>
  <si>
    <t>2018-07-12T04:40:12.690</t>
  </si>
  <si>
    <t>2018-07-12T13:05:20.940</t>
  </si>
  <si>
    <t>Google App Maker - SuggestBox - Widget's datasource not in "loading" state</t>
  </si>
  <si>
    <t>2018-07-12T13:30:41.307</t>
  </si>
  <si>
    <t>2018-07-12T13:17:53.123</t>
  </si>
  <si>
    <t>Linking Google AppMaker to CloudSQL</t>
  </si>
  <si>
    <t>2020-04-28T16:21:37.853</t>
  </si>
  <si>
    <t>2018-07-12T15:00:08.090</t>
  </si>
  <si>
    <t>Script Delayed - Waiting For Quota</t>
  </si>
  <si>
    <t>2018-12-21T07:15:10.817</t>
  </si>
  <si>
    <t>2018-07-15T21:23:38.577</t>
  </si>
  <si>
    <t>Set OnDetach event handler programmatically</t>
  </si>
  <si>
    <t>2018-07-16T04:30:51.923</t>
  </si>
  <si>
    <t>2018-07-23T20:26:28.850</t>
  </si>
  <si>
    <t>2018-07-23T19:22:26.663</t>
  </si>
  <si>
    <t>2018-07-16T14:44:25.543</t>
  </si>
  <si>
    <t>Filter rows in Appmaker</t>
  </si>
  <si>
    <t>2018-07-16T14:49:15.260</t>
  </si>
  <si>
    <t>2018-07-16T14:50:44.427</t>
  </si>
  <si>
    <t>How to query relation not set</t>
  </si>
  <si>
    <t>2018-07-16T14:58:16.147</t>
  </si>
  <si>
    <t>2018-07-16T15:28:32.103</t>
  </si>
  <si>
    <t>2018-07-16T20:33:13.000</t>
  </si>
  <si>
    <t>In Google App Maker, how do you display the most recent date/time on a page each time a file is uploaded with the Drive Picker button?</t>
  </si>
  <si>
    <t>2018-07-17T04:29:54.583</t>
  </si>
  <si>
    <t>2018-07-17T12:26:51.850</t>
  </si>
  <si>
    <t>Change data type on AppMaker</t>
  </si>
  <si>
    <t>2018-07-18T01:28:48.100</t>
  </si>
  <si>
    <t>2018-07-17T14:26:49.977</t>
  </si>
  <si>
    <t>select default value for drop down list and radio group in app-maker</t>
  </si>
  <si>
    <t>2018-07-17T14:41:15.957</t>
  </si>
  <si>
    <t>2018-07-17T15:11:09.997</t>
  </si>
  <si>
    <t>2018-07-17T14:31:12.217</t>
  </si>
  <si>
    <t>App Maker - Drive Picker widget - Empty, white dialog if embedded in Google Site</t>
  </si>
  <si>
    <t>2019-05-31T14:11:52.907</t>
  </si>
  <si>
    <t>2019-05-31T14:12:38.853</t>
  </si>
  <si>
    <t>2018-07-18T23:00:29.987</t>
  </si>
  <si>
    <t>2018-07-18T21:11:21.513</t>
  </si>
  <si>
    <t>How to use suggest box for numbers</t>
  </si>
  <si>
    <t>2018-07-19T14:52:21.877</t>
  </si>
  <si>
    <t>2018-07-19T18:08:19.670</t>
  </si>
  <si>
    <t>Google App Maker returns "Cannot call method getRange of null" when calling createGroup()</t>
  </si>
  <si>
    <t>2018-07-19T19:56:21.010</t>
  </si>
  <si>
    <t>&lt;google-apps-script&gt;&lt;google-sheets&gt;&lt;google-app-maker&gt;</t>
  </si>
  <si>
    <t>2018-07-19T20:36:38.147</t>
  </si>
  <si>
    <t>Appmaker group access permissions for developer to add group to role</t>
  </si>
  <si>
    <t>&lt;google-app-maker&gt;&lt;google-groups-settings&gt;</t>
  </si>
  <si>
    <t>2018-07-22T19:14:30.537</t>
  </si>
  <si>
    <t>How to get the type of a field via Javascript : Google App Maker</t>
  </si>
  <si>
    <t>2018-08-03T20:05:04.323</t>
  </si>
  <si>
    <t>2018-07-22T20:47:28.577</t>
  </si>
  <si>
    <t>2018-07-23T05:24:07.813</t>
  </si>
  <si>
    <t>Understanding the Document Approval template by Google AppMaker</t>
  </si>
  <si>
    <t>2018-07-23T06:28:30.447</t>
  </si>
  <si>
    <t>2018-07-23T06:19:57.027</t>
  </si>
  <si>
    <t>2018-07-24T00:11:44.440</t>
  </si>
  <si>
    <t>In Google App Maker, how do you display a snackbar message?</t>
  </si>
  <si>
    <t>2018-07-24T04:48:48.893</t>
  </si>
  <si>
    <t>2018-07-24T10:58:02.957</t>
  </si>
  <si>
    <t>Google apps script UrlFetchApp error "Access not granted or expired"</t>
  </si>
  <si>
    <t>2018-07-24T13:40:04.047</t>
  </si>
  <si>
    <t>&lt;javascript&gt;&lt;google-apps-script&gt;&lt;google-drive-api&gt;&lt;google-app-maker&gt;</t>
  </si>
  <si>
    <t>2018-07-26T01:11:25.193</t>
  </si>
  <si>
    <t>google app maker link fields of related records</t>
  </si>
  <si>
    <t>2018-08-09T07:10:05.480</t>
  </si>
  <si>
    <t>&lt;scripting&gt;&lt;relational-database&gt;&lt;field&gt;&lt;google-app-maker&gt;&lt;datamodel&gt;</t>
  </si>
  <si>
    <t>2018-07-26T10:51:33.623</t>
  </si>
  <si>
    <t>Google Drive API "Insufficient permissions for this file" error with Service Account</t>
  </si>
  <si>
    <t>2018-07-27T11:49:17.783</t>
  </si>
  <si>
    <t>2018-07-26T15:46:51.443</t>
  </si>
  <si>
    <t>Filters in AppMaker</t>
  </si>
  <si>
    <t>2018-07-26T15:58:53.513</t>
  </si>
  <si>
    <t>2018-08-07T14:17:04.233</t>
  </si>
  <si>
    <t>2018-08-07T14:08:35.023</t>
  </si>
  <si>
    <t>2018-07-26T18:08:55.030</t>
  </si>
  <si>
    <t>AppMaker and picker widget - uploading to a specific folder</t>
  </si>
  <si>
    <t>2020-05-26T20:42:01.880</t>
  </si>
  <si>
    <t>&lt;upload&gt;&lt;directory&gt;&lt;picker&gt;&lt;google-app-maker&gt;</t>
  </si>
  <si>
    <t>2018-07-27T09:59:50.473</t>
  </si>
  <si>
    <t>Set email body content in google appmaker</t>
  </si>
  <si>
    <t>2018-07-27T10:19:28.470</t>
  </si>
  <si>
    <t>2018-07-27T10:09:35.123</t>
  </si>
  <si>
    <t>2018-07-28T15:14:43.183</t>
  </si>
  <si>
    <t>Two tables with relation --&gt; insert form --&gt; show multiple attributs but insert Id</t>
  </si>
  <si>
    <t>2018-07-30T14:03:48.833</t>
  </si>
  <si>
    <t>2018-07-30T10:20:57.610</t>
  </si>
  <si>
    <t>Appmaker reload value</t>
  </si>
  <si>
    <t>2018-07-30T10:59:30.110</t>
  </si>
  <si>
    <t>2018-07-30T14:15:23.847</t>
  </si>
  <si>
    <t>The default Google Cloud SQL instance is not owned by any organization</t>
  </si>
  <si>
    <t>2018-07-30T15:40:27.157</t>
  </si>
  <si>
    <t>2018-07-31T15:21:11.543</t>
  </si>
  <si>
    <t>&lt;sql&gt;&lt;cloud&gt;&lt;google-app-maker&gt;</t>
  </si>
  <si>
    <t>2018-07-31T23:24:55.753</t>
  </si>
  <si>
    <t>How do you restrict a Google App Maker application so that only users in a Google Group can access it?</t>
  </si>
  <si>
    <t>2018-08-01T04:24:45.760</t>
  </si>
  <si>
    <t>2018-08-01T02:54:28.847</t>
  </si>
  <si>
    <t>Conditional Search Results</t>
  </si>
  <si>
    <t>2018-08-01T10:35:35.423</t>
  </si>
  <si>
    <t>2018-08-01T07:28:54.927</t>
  </si>
  <si>
    <t>AppMaker: environment variables per deployment ? Get the deployment name?</t>
  </si>
  <si>
    <t>2018-08-07T15:34:40.403</t>
  </si>
  <si>
    <t>2018-08-01T18:10:33.760</t>
  </si>
  <si>
    <t>How do you set a Link so that it opens in a new tab or window in Google App Maker?</t>
  </si>
  <si>
    <t>2018-08-01T18:57:46.987</t>
  </si>
  <si>
    <t>2018-08-01T18:13:18.550</t>
  </si>
  <si>
    <t>2018-08-02T12:34:31.937</t>
  </si>
  <si>
    <t>Is it possible to set a drop down widget to be required?</t>
  </si>
  <si>
    <t>2018-08-02T12:56:52.723</t>
  </si>
  <si>
    <t>2018-08-02T12:49:17.737</t>
  </si>
  <si>
    <t>2018-08-02T13:38:49.420</t>
  </si>
  <si>
    <t>App Maker query multiple values and assign to another value</t>
  </si>
  <si>
    <t>2018-08-04T18:22:52.743</t>
  </si>
  <si>
    <t>2018-08-02T15:03:58.563</t>
  </si>
  <si>
    <t>Custom markers - Google App maker</t>
  </si>
  <si>
    <t>2018-08-03T19:45:39.583</t>
  </si>
  <si>
    <t>2018-08-02T15:22:57.950</t>
  </si>
  <si>
    <t>AppMaker: add role to user dynamically</t>
  </si>
  <si>
    <t>2018-08-03T11:40:31.967</t>
  </si>
  <si>
    <t>Cannot connect Google App Maker to external mysql database</t>
  </si>
  <si>
    <t>2018-08-03T13:13:38.467</t>
  </si>
  <si>
    <t>&lt;mysql&gt;&lt;jdbc&gt;&lt;google-app-maker&gt;</t>
  </si>
  <si>
    <t>2018-08-04T11:12:10.473</t>
  </si>
  <si>
    <t>Populate Multi-Select widget names from related values</t>
  </si>
  <si>
    <t>2018-08-14T19:33:03.657</t>
  </si>
  <si>
    <t>2018-08-07T16:28:48.767</t>
  </si>
  <si>
    <t>Calling App Maker server scripts from outside of App Maker UI</t>
  </si>
  <si>
    <t>2018-08-08T13:38:59.923</t>
  </si>
  <si>
    <t>Using a button to rotate images App Maker</t>
  </si>
  <si>
    <t>2018-08-09T05:49:04.490</t>
  </si>
  <si>
    <t>2018-08-08T15:46:17.587</t>
  </si>
  <si>
    <t>Can't find Google App Maker in list of Additional Google services</t>
  </si>
  <si>
    <t>2018-08-09T05:17:00.480</t>
  </si>
  <si>
    <t>2018-08-08T19:13:51.207</t>
  </si>
  <si>
    <t>2018-08-09T05:43:11.450</t>
  </si>
  <si>
    <t>Can I integrate SMS gateway in App Maker</t>
  </si>
  <si>
    <t>2018-08-09T14:19:40.283</t>
  </si>
  <si>
    <t>Error prevents application from opening</t>
  </si>
  <si>
    <t>2019-01-16T18:02:28.060</t>
  </si>
  <si>
    <t>2018-08-10T15:35:04.347</t>
  </si>
  <si>
    <t>How do I create this Character counter in Google App Maker?</t>
  </si>
  <si>
    <t>2018-08-10T15:37:50.520</t>
  </si>
  <si>
    <t>2018-08-10T17:09:27.977</t>
  </si>
  <si>
    <t>2018-08-13T22:54:20.240</t>
  </si>
  <si>
    <t>App Maker Export Database Table in an Email HTML Format</t>
  </si>
  <si>
    <t>2018-08-14T17:34:37.550</t>
  </si>
  <si>
    <t>2018-08-14T17:20:03.647</t>
  </si>
  <si>
    <t>2018-08-14T08:06:38.020</t>
  </si>
  <si>
    <t>How to share data between two app maker apps?</t>
  </si>
  <si>
    <t>2018-08-15T21:09:18.043</t>
  </si>
  <si>
    <t>2018-08-14T13:59:51.297</t>
  </si>
  <si>
    <t>2018-08-14T18:22:34.060</t>
  </si>
  <si>
    <t>Server side microsecond timing</t>
  </si>
  <si>
    <t>2018-08-14T19:11:51.157</t>
  </si>
  <si>
    <t>2018-08-15T05:15:42.087</t>
  </si>
  <si>
    <t>How can we publish the web app with custom domain?</t>
  </si>
  <si>
    <t>&lt;google-app-maker&gt;&lt;custom-domain&gt;</t>
  </si>
  <si>
    <t>2018-08-15T11:31:35.960</t>
  </si>
  <si>
    <t>Setting field value in AppMaker in validation script</t>
  </si>
  <si>
    <t>2018-08-15T12:25:19.677</t>
  </si>
  <si>
    <t>2018-08-15T13:09:44.943</t>
  </si>
  <si>
    <t>2018-08-15T19:19:43.600</t>
  </si>
  <si>
    <t>Google App Maker Total field</t>
  </si>
  <si>
    <t>2018-08-17T07:57:54.493</t>
  </si>
  <si>
    <t>2018-08-15T20:44:57.230</t>
  </si>
  <si>
    <t>2018-08-16T03:53:36.940</t>
  </si>
  <si>
    <t>Looping through current item values</t>
  </si>
  <si>
    <t>2018-08-16T19:30:08.073</t>
  </si>
  <si>
    <t>2018-08-16T04:08:52.257</t>
  </si>
  <si>
    <t>2018-08-16T16:05:01.067</t>
  </si>
  <si>
    <t>Getting App Maker to respect the order of a many-to-many relation</t>
  </si>
  <si>
    <t>2018-08-20T15:40:12.940</t>
  </si>
  <si>
    <t>2018-08-17T05:07:53.000</t>
  </si>
  <si>
    <t>Data truncation: Invalid use of NULL value when marking field as required</t>
  </si>
  <si>
    <t>2018-08-17T19:55:19.277</t>
  </si>
  <si>
    <t>2018-08-17T10:07:54.437</t>
  </si>
  <si>
    <t>How to navigate Google App Maker tabs which are out of panel range</t>
  </si>
  <si>
    <t>2020-04-30T00:27:37.443</t>
  </si>
  <si>
    <t>&lt;tabs&gt;&lt;google-app-maker&gt;</t>
  </si>
  <si>
    <t>2018-08-20T02:19:04.820</t>
  </si>
  <si>
    <t>Why is the AppMaker console not appearing in preview mode?</t>
  </si>
  <si>
    <t>2018-08-20T13:59:07.387</t>
  </si>
  <si>
    <t>2018-08-22T12:29:18.073</t>
  </si>
  <si>
    <t>Is it possible to watch Directory API changes from Google App Maker/Google Apps Script?</t>
  </si>
  <si>
    <t>2018-08-22T17:32:24.490</t>
  </si>
  <si>
    <t>2020-03-30T17:39:21.267</t>
  </si>
  <si>
    <t>2018-08-22T22:13:46.863</t>
  </si>
  <si>
    <t>2018-08-23T20:40:24.860</t>
  </si>
  <si>
    <t>How to Hide Server Scripts in Google App Maker</t>
  </si>
  <si>
    <t>2018-08-24T21:16:14.200</t>
  </si>
  <si>
    <t>2018-08-24T11:44:00.273</t>
  </si>
  <si>
    <t>Appmaker panel &amp; canvas height</t>
  </si>
  <si>
    <t>2018-08-31T18:33:36.850</t>
  </si>
  <si>
    <t>2018-08-25T10:13:09.067</t>
  </si>
  <si>
    <t>Google App Maker : How to update multiple row of a field ?</t>
  </si>
  <si>
    <t>2018-08-29T14:30:23.400</t>
  </si>
  <si>
    <t>2018-08-27T07:17:15.527</t>
  </si>
  <si>
    <t>How to get roles email address in AppMaker</t>
  </si>
  <si>
    <t>2019-09-25T16:27:09.653</t>
  </si>
  <si>
    <t>2018-08-27T18:43:49.497</t>
  </si>
  <si>
    <t>Google App Maker Table cannot select row</t>
  </si>
  <si>
    <t>2018-08-27T19:11:20.387</t>
  </si>
  <si>
    <t>2018-08-28T09:34:31.080</t>
  </si>
  <si>
    <t>Table alignment in Google AppMaker</t>
  </si>
  <si>
    <t>2019-01-10T06:27:40.423</t>
  </si>
  <si>
    <t>2018-08-28T11:52:15.600</t>
  </si>
  <si>
    <t>Using Google Admin SDK Reports API with Google App Maker</t>
  </si>
  <si>
    <t>2018-09-20T20:27:14.583</t>
  </si>
  <si>
    <t>2018-08-28T13:04:47.413</t>
  </si>
  <si>
    <t>Text Editor widget styling in Google App Maker</t>
  </si>
  <si>
    <t>2018-08-29T11:54:57.483</t>
  </si>
  <si>
    <t>2018-08-29T20:35:35.043</t>
  </si>
  <si>
    <t>Is continuously previewing Google App Maker apps the only way to update/debug them?</t>
  </si>
  <si>
    <t>2018-12-11T05:08:37.510</t>
  </si>
  <si>
    <t>2018-08-30T01:53:11.910</t>
  </si>
  <si>
    <t>Relation Filtering</t>
  </si>
  <si>
    <t>2018-09-05T21:12:01.253</t>
  </si>
  <si>
    <t>2018-08-30T14:08:23.607</t>
  </si>
  <si>
    <t>2018-08-30T03:28:58.220</t>
  </si>
  <si>
    <t>How to prepopulate entries for a SQL table, so that a first time user gets sample data?</t>
  </si>
  <si>
    <t>2018-08-31T18:26:54.973</t>
  </si>
  <si>
    <t>Display an image that's uploaded into app resources</t>
  </si>
  <si>
    <t>2018-09-04T13:49:12.973</t>
  </si>
  <si>
    <t>2018-09-01T08:19:11.610</t>
  </si>
  <si>
    <t>Conditional formatting in AppMaker table</t>
  </si>
  <si>
    <t>2018-09-06T16:58:29.160</t>
  </si>
  <si>
    <t>2018-09-04T14:23:11.523</t>
  </si>
  <si>
    <t>2018-09-02T02:31:15.830</t>
  </si>
  <si>
    <t>Table with rows of variable height</t>
  </si>
  <si>
    <t>2018-09-02T21:02:18.567</t>
  </si>
  <si>
    <t>2018-09-03T18:35:36.957</t>
  </si>
  <si>
    <t>Access value from a list row from a script in App Maker</t>
  </si>
  <si>
    <t>2018-09-05T14:36:25.777</t>
  </si>
  <si>
    <t>Select field from SQL Datasource in Google App Maker based on drop down value</t>
  </si>
  <si>
    <t>2020-02-24T02:01:52.743</t>
  </si>
  <si>
    <t>2018-09-05T22:40:43.847</t>
  </si>
  <si>
    <t>Google App Maker Table object only displays Date not DateTime</t>
  </si>
  <si>
    <t>2018-09-06T14:08:47.533</t>
  </si>
  <si>
    <t>2018-09-06T13:58:32.010</t>
  </si>
  <si>
    <t>How to export schema of a database in AppMaker</t>
  </si>
  <si>
    <t>2018-09-06T15:36:38.277</t>
  </si>
  <si>
    <t>2018-09-07T15:01:21.807</t>
  </si>
  <si>
    <t>2018-09-06T23:10:01.727</t>
  </si>
  <si>
    <t>Sharing source files between Client and Server side on AppMaker</t>
  </si>
  <si>
    <t>2018-09-06T23:59:37.093</t>
  </si>
  <si>
    <t>2018-09-07T00:52:36.867</t>
  </si>
  <si>
    <t>AppMaker: example of a transaction</t>
  </si>
  <si>
    <t>2018-09-07T04:21:07.933</t>
  </si>
  <si>
    <t>2018-09-07T04:54:15.947</t>
  </si>
  <si>
    <t>How can I get grid-cell-collections from grid object?</t>
  </si>
  <si>
    <t>2018-09-07T16:55:36.500</t>
  </si>
  <si>
    <t>2018-09-10T16:29:06.147</t>
  </si>
  <si>
    <t>Create records in AppMaker from email</t>
  </si>
  <si>
    <t>2018-09-24T19:30:21.950</t>
  </si>
  <si>
    <t>2018-09-10T19:17:34.880</t>
  </si>
  <si>
    <t>Rounding binding expressions appmaker</t>
  </si>
  <si>
    <t>2018-09-11T15:03:59.617</t>
  </si>
  <si>
    <t>2018-09-12T17:01:48.890</t>
  </si>
  <si>
    <t>Correct Usage Of Groups For Permissions</t>
  </si>
  <si>
    <t>2018-09-19T15:25:03.990</t>
  </si>
  <si>
    <t>2019-12-31T23:43:27.410</t>
  </si>
  <si>
    <t>2018-10-04T23:11:23.260</t>
  </si>
  <si>
    <t>2018-09-13T15:13:34.477</t>
  </si>
  <si>
    <t>Google App Maker How to Allow access to user to your App Instance who don't have Gsuite</t>
  </si>
  <si>
    <t>2019-10-10T11:37:59.963</t>
  </si>
  <si>
    <t>2018-09-16T12:00:39.133</t>
  </si>
  <si>
    <t>How to get Google UserId from active user session in App Maker?</t>
  </si>
  <si>
    <t>2018-11-05T11:18:59.567</t>
  </si>
  <si>
    <t>2018-09-19T10:56:02.720</t>
  </si>
  <si>
    <t>2018-09-17T14:52:43.607</t>
  </si>
  <si>
    <t>AppMaker table missing rows</t>
  </si>
  <si>
    <t>2018-09-19T13:15:30.127</t>
  </si>
  <si>
    <t>Create Table in Google Docs with App Maker</t>
  </si>
  <si>
    <t>2018-09-24T13:12:53.573</t>
  </si>
  <si>
    <t>2018-10-01T17:01:15.380</t>
  </si>
  <si>
    <t>2018-09-24T14:36:39.727</t>
  </si>
  <si>
    <t>2018-09-20T12:59:24.007</t>
  </si>
  <si>
    <t>Form is submitting empty values though it's required in the datasource (Google App Maker)</t>
  </si>
  <si>
    <t>2020-05-02T18:35:34.117</t>
  </si>
  <si>
    <t>2018-09-20T14:07:53.390</t>
  </si>
  <si>
    <t>Restrict access to page via script Appmaker</t>
  </si>
  <si>
    <t>2020-05-09T01:59:29.587</t>
  </si>
  <si>
    <t>&lt;security&gt;&lt;restriction&gt;&lt;google-app-maker&gt;</t>
  </si>
  <si>
    <t>2018-09-21T10:11:48.367</t>
  </si>
  <si>
    <t>Get email address from directory with Full name in appmaker</t>
  </si>
  <si>
    <t>2018-09-21T10:21:50.523</t>
  </si>
  <si>
    <t>2018-11-15T08:48:33.623</t>
  </si>
  <si>
    <t>2018-09-24T13:55:30.197</t>
  </si>
  <si>
    <t>AppMaker - Navigate to Last Page on Table</t>
  </si>
  <si>
    <t>2018-09-25T09:49:37.730</t>
  </si>
  <si>
    <t>2018-09-24T20:00:53.890</t>
  </si>
  <si>
    <t>2018-09-24T19:59:29.593</t>
  </si>
  <si>
    <t>How to populate user avatar image in App Maker project?</t>
  </si>
  <si>
    <t>&lt;google-apps-script&gt;&lt;google-app-maker&gt;&lt;google-directory-api&gt;</t>
  </si>
  <si>
    <t>2018-09-25T12:03:47.137</t>
  </si>
  <si>
    <t>Dynamically create widgets based on records in a datasource</t>
  </si>
  <si>
    <t>2018-09-25T12:30:04.267</t>
  </si>
  <si>
    <t>2018-09-25T13:59:12.593</t>
  </si>
  <si>
    <t>2018-09-26T13:29:17.530</t>
  </si>
  <si>
    <t>Is it possible to apply conditional formatting in Google App Maker?</t>
  </si>
  <si>
    <t>2018-09-26T14:25:37.053</t>
  </si>
  <si>
    <t>2018-09-26T13:48:49.163</t>
  </si>
  <si>
    <t>2018-09-27T19:39:20.053</t>
  </si>
  <si>
    <t>How to remember page in table when navigating back</t>
  </si>
  <si>
    <t>2018-09-27T19:59:44.277</t>
  </si>
  <si>
    <t>2018-09-27T20:08:23.440</t>
  </si>
  <si>
    <t>2018-09-28T16:41:25.263</t>
  </si>
  <si>
    <t>App Maker- Issues while trying to retrieve a list of all users in my department</t>
  </si>
  <si>
    <t>2018-09-29T14:30:06.217</t>
  </si>
  <si>
    <t>2018-10-01T14:12:17.917</t>
  </si>
  <si>
    <t>Gmail Quota Reached in AppMaker</t>
  </si>
  <si>
    <t>2018-10-02T09:39:38.360</t>
  </si>
  <si>
    <t>Return a value from Calculated Model Table in Google App Maker</t>
  </si>
  <si>
    <t>2018-10-02T15:19:11.500</t>
  </si>
  <si>
    <t>2018-10-04T08:49:33.473</t>
  </si>
  <si>
    <t>Date mismatch in form selection and table in App Maker</t>
  </si>
  <si>
    <t>2018-10-04T12:42:45.780</t>
  </si>
  <si>
    <t>2018-10-04T15:06:11.470</t>
  </si>
  <si>
    <t>&lt;java&gt;&lt;mysql&gt;&lt;google-apps-script&gt;&lt;google-app-maker&gt;</t>
  </si>
  <si>
    <t>2018-10-05T14:41:45.677</t>
  </si>
  <si>
    <t>Server Script calling an external source returns object error</t>
  </si>
  <si>
    <t>2018-10-05T15:08:44.110</t>
  </si>
  <si>
    <t>2018-10-05T16:30:20.203</t>
  </si>
  <si>
    <t>2018-10-08T16:48:17.310</t>
  </si>
  <si>
    <t>Creating folders using DriveApp.createFolder gives duplicates</t>
  </si>
  <si>
    <t>2018-10-08T20:42:53.240</t>
  </si>
  <si>
    <t>2018-10-08T23:52:31.700</t>
  </si>
  <si>
    <t>2018-10-09T11:14:04.123</t>
  </si>
  <si>
    <t>AppMaker - Display only Filtered Items in Tabs</t>
  </si>
  <si>
    <t>2018-10-11T23:30:50.613</t>
  </si>
  <si>
    <t>2018-10-10T05:57:56.120</t>
  </si>
  <si>
    <t>How to add and edit record directly on the table widget Google AppMaker?</t>
  </si>
  <si>
    <t>2018-10-10T13:40:27.903</t>
  </si>
  <si>
    <t>2018-10-10T10:06:01.490</t>
  </si>
  <si>
    <t>Embed a TradingView widget into google app maker</t>
  </si>
  <si>
    <t>2018-10-10T16:02:00.223</t>
  </si>
  <si>
    <t>2018-10-10T15:41:40.113</t>
  </si>
  <si>
    <t>Incorporating responsive design in Google App Maker</t>
  </si>
  <si>
    <t>2019-07-26T20:57:22.923</t>
  </si>
  <si>
    <t>&lt;responsive-design&gt;&lt;google-app-maker&gt;</t>
  </si>
  <si>
    <t>2018-10-11T06:51:39.620</t>
  </si>
  <si>
    <t>How do I get the correct datasource setup in app-maker?</t>
  </si>
  <si>
    <t>2018-10-11T06:59:07.820</t>
  </si>
  <si>
    <t>&lt;database-design&gt;&lt;google-app-maker&gt;</t>
  </si>
  <si>
    <t>2018-10-11T13:44:38.887</t>
  </si>
  <si>
    <t>Is possible to integrate Bootstrap in App Maker?</t>
  </si>
  <si>
    <t>2018-10-11T16:42:49.363</t>
  </si>
  <si>
    <t>&lt;html&gt;&lt;twitter-bootstrap&gt;&lt;google-app-maker&gt;</t>
  </si>
  <si>
    <t>2018-10-12T09:10:25.253</t>
  </si>
  <si>
    <t>Query datasource referencing other datasources</t>
  </si>
  <si>
    <t>2018-10-12T17:11:10.893</t>
  </si>
  <si>
    <t>2018-10-14T17:43:14.603</t>
  </si>
  <si>
    <t>google.script.run XX is not a function error</t>
  </si>
  <si>
    <t>2018-11-22T01:38:54.130</t>
  </si>
  <si>
    <t>2018-10-15T10:25:11.670</t>
  </si>
  <si>
    <t>google appmaker filter dropdown</t>
  </si>
  <si>
    <t>2018-10-15T22:59:43.270</t>
  </si>
  <si>
    <t>2018-10-15T12:25:41.527</t>
  </si>
  <si>
    <t>How to track when a relation value of a record has changed using onBeforeSave event?</t>
  </si>
  <si>
    <t>2018-10-15T22:31:09.393</t>
  </si>
  <si>
    <t>DriveApp.getFolderById :No item with the given ID could be found, or you do not have permission to access it</t>
  </si>
  <si>
    <t>2018-10-17T15:13:14.777</t>
  </si>
  <si>
    <t>2018-10-16T09:05:20.373</t>
  </si>
  <si>
    <t>Unable to build a calculated datasource from a user list request to AdminDirectory</t>
  </si>
  <si>
    <t>2018-10-17T05:41:42.397</t>
  </si>
  <si>
    <t>&lt;google-admin-sdk&gt;&lt;google-app-maker&gt;</t>
  </si>
  <si>
    <t>2018-10-16T14:18:39.753</t>
  </si>
  <si>
    <t>2018-10-16T14:58:31.617</t>
  </si>
  <si>
    <t>The onbeforeunload event does not occur when the browser tab of appmaker web app closes</t>
  </si>
  <si>
    <t>&lt;javascript&gt;&lt;html&gt;&lt;google-chrome&gt;&lt;google-app-maker&gt;</t>
  </si>
  <si>
    <t>2018-10-16T16:47:53.193</t>
  </si>
  <si>
    <t>Google app maker: How to list existent groups?</t>
  </si>
  <si>
    <t>2018-10-16T17:14:05.803</t>
  </si>
  <si>
    <t>2018-10-16T20:57:40.437</t>
  </si>
  <si>
    <t>Google App Maker: external javascript library</t>
  </si>
  <si>
    <t>2018-10-16T21:51:27.270</t>
  </si>
  <si>
    <t>2018-10-18T13:16:04.510</t>
  </si>
  <si>
    <t>I can't embed iframes to make courses in the Appmaker training hub template</t>
  </si>
  <si>
    <t>2018-10-18T15:10:20.093</t>
  </si>
  <si>
    <t>2018-10-19T14:59:46.650</t>
  </si>
  <si>
    <t>&lt;iframe&gt;&lt;google-app-maker&gt;&lt;gsuite&gt;</t>
  </si>
  <si>
    <t>2018-10-19T12:48:32.747</t>
  </si>
  <si>
    <t>error publishing application could not access deployment</t>
  </si>
  <si>
    <t>2018-10-19T19:25:58.207</t>
  </si>
  <si>
    <t>2018-10-19T17:40:13.483</t>
  </si>
  <si>
    <t>How to pause an appmaker deployment?</t>
  </si>
  <si>
    <t>2018-10-19T18:40:44.763</t>
  </si>
  <si>
    <t>2018-10-19T18:42:16.210</t>
  </si>
  <si>
    <t>2018-10-19T19:24:07.703</t>
  </si>
  <si>
    <t>Google App Maker: Enable app to make Admin SDK API calls</t>
  </si>
  <si>
    <t>2018-10-19T20:04:41.403</t>
  </si>
  <si>
    <t>2018-10-19T19:58:56.613</t>
  </si>
  <si>
    <t>2018-10-21T16:57:00.517</t>
  </si>
  <si>
    <t>TypeError: Cannot read property "data" from undefined</t>
  </si>
  <si>
    <t>2018-10-31T11:50:23.490</t>
  </si>
  <si>
    <t>2018-10-21T19:38:16.817</t>
  </si>
  <si>
    <t>Google App Maker - Creating a contract. Methods to use?</t>
  </si>
  <si>
    <t>2019-04-03T15:50:21.153</t>
  </si>
  <si>
    <t>2018-12-14T23:53:41.490</t>
  </si>
  <si>
    <t>2018-10-23T01:02:12.770</t>
  </si>
  <si>
    <t>How to detect an error in item creation on the client side (App Maker)</t>
  </si>
  <si>
    <t>2018-11-22T01:37:20.250</t>
  </si>
  <si>
    <t>2018-10-23T01:19:40.870</t>
  </si>
  <si>
    <t>2018-10-23T15:03:23.897</t>
  </si>
  <si>
    <t>application name and apps script version</t>
  </si>
  <si>
    <t>2018-10-31T10:55:57.503</t>
  </si>
  <si>
    <t>2018-10-24T03:53:37.270</t>
  </si>
  <si>
    <t>Send notification to Hangout from Google AppMaker</t>
  </si>
  <si>
    <t>2018-10-29T22:28:36.463</t>
  </si>
  <si>
    <t>&lt;google-app-maker&gt;&lt;hangout&gt;</t>
  </si>
  <si>
    <t>2018-10-24T05:03:42.573</t>
  </si>
  <si>
    <t>Google photos - no teamDriveId but API thinks it a team drive file</t>
  </si>
  <si>
    <t>&lt;google-app-maker&gt;&lt;google-drive-team-drive&gt;&lt;google-photos-api&gt;</t>
  </si>
  <si>
    <t>2018-10-26T11:53:11.767</t>
  </si>
  <si>
    <t>Adding records onAfterCreate</t>
  </si>
  <si>
    <t>2018-10-29T12:46:56.670</t>
  </si>
  <si>
    <t>2018-10-29T18:38:03.187</t>
  </si>
  <si>
    <t>Admins do not have the ability to edit the deployment permissions, only Owner does</t>
  </si>
  <si>
    <t>2018-10-29T18:59:33.723</t>
  </si>
  <si>
    <t>&lt;deployment&gt;&lt;admin&gt;&lt;google-app-maker&gt;</t>
  </si>
  <si>
    <t>2018-10-31T11:47:12.847</t>
  </si>
  <si>
    <t>How to catch an error on saveChanges - Google App Maker</t>
  </si>
  <si>
    <t>2018-10-31T12:21:40.647</t>
  </si>
  <si>
    <t>2018-10-31T13:45:48.990</t>
  </si>
  <si>
    <t>2018-11-01T22:27:52.900</t>
  </si>
  <si>
    <t>(appmaker) Correctly setting up a multiselect</t>
  </si>
  <si>
    <t>2018-11-02T13:47:43.547</t>
  </si>
  <si>
    <t>2018-11-01T23:59:02.253</t>
  </si>
  <si>
    <t>2018-11-02T08:52:54.473</t>
  </si>
  <si>
    <t>Dynamically Bind Data source to app maker popup</t>
  </si>
  <si>
    <t>2018-11-02T13:37:19.333</t>
  </si>
  <si>
    <t>2018-11-05T19:35:27.183</t>
  </si>
  <si>
    <t>Why do simultaneous Google web app users contaminate results</t>
  </si>
  <si>
    <t>&lt;google-apps-script&gt;&lt;google-sheets-api&gt;&lt;google-app-maker&gt;</t>
  </si>
  <si>
    <t>2018-11-06T07:07:56.540</t>
  </si>
  <si>
    <t>Google App Maker, how to create copy to clipboard function</t>
  </si>
  <si>
    <t>2018-11-06T07:56:08.887</t>
  </si>
  <si>
    <t>2018-11-06T14:09:06.383</t>
  </si>
  <si>
    <t>2018-11-06T09:27:54.430</t>
  </si>
  <si>
    <t>How to take photo with Google App Maker on iOS?</t>
  </si>
  <si>
    <t>2018-11-07T18:57:10.560</t>
  </si>
  <si>
    <t>&lt;ios&gt;&lt;google-app-maker&gt;</t>
  </si>
  <si>
    <t>2018-11-06T11:32:26.937</t>
  </si>
  <si>
    <t>Appmaker fill a textbox with a default value in a create form</t>
  </si>
  <si>
    <t>&lt;default-value&gt;&lt;google-app-maker&gt;</t>
  </si>
  <si>
    <t>2018-11-06T14:30:12.980</t>
  </si>
  <si>
    <t>Google App Maker: How to access properties of an item bound to widget?</t>
  </si>
  <si>
    <t>2018-11-06T14:41:49.620</t>
  </si>
  <si>
    <t>2018-11-06T14:43:52.763</t>
  </si>
  <si>
    <t>Appmaker: Opening a page where the record is pre-selected</t>
  </si>
  <si>
    <t>2018-11-06T14:49:13.950</t>
  </si>
  <si>
    <t>2018-11-07T18:12:23.380</t>
  </si>
  <si>
    <t>Google App Maker: how to hide spinner programatically?</t>
  </si>
  <si>
    <t>2018-11-07T18:26:41.390</t>
  </si>
  <si>
    <t>2018-11-07T18:57:41.193</t>
  </si>
  <si>
    <t>2018-11-07T18:48:02.573</t>
  </si>
  <si>
    <t>2018-11-07T23:58:54.873</t>
  </si>
  <si>
    <t>AppMaker Drive.Files.list query for properties</t>
  </si>
  <si>
    <t>2018-11-08T16:45:44.403</t>
  </si>
  <si>
    <t>2018-11-08T01:49:38.260</t>
  </si>
  <si>
    <t>2018-11-08T11:50:29.860</t>
  </si>
  <si>
    <t>Save calculated records on non-calculated datasource</t>
  </si>
  <si>
    <t>2018-11-08T12:21:57.160</t>
  </si>
  <si>
    <t>Can not import .zip files in appmaker</t>
  </si>
  <si>
    <t>2019-01-21T13:59:42.313</t>
  </si>
  <si>
    <t>2018-11-11T00:35:23.913</t>
  </si>
  <si>
    <t>Return created item key</t>
  </si>
  <si>
    <t>2018-11-11T02:14:22.450</t>
  </si>
  <si>
    <t>2018-11-12T08:08:27.250</t>
  </si>
  <si>
    <t>How to access another widget on the page in appmaker from an event</t>
  </si>
  <si>
    <t>2018-11-12T11:27:46.367</t>
  </si>
  <si>
    <t>&lt;widget&gt;&lt;google-app-maker&gt;</t>
  </si>
  <si>
    <t>2018-11-12T09:07:35.810</t>
  </si>
  <si>
    <t>2018-11-12T18:18:33.707</t>
  </si>
  <si>
    <t>How to browse to the next page in a datasource that is loaded into table in Google AppMaker</t>
  </si>
  <si>
    <t>2018-11-15T14:57:46.983</t>
  </si>
  <si>
    <t>2018-11-13T20:26:18.283</t>
  </si>
  <si>
    <t>2018-11-13T11:22:17.260</t>
  </si>
  <si>
    <t>Link to specific record on page in google app maker</t>
  </si>
  <si>
    <t>2018-11-13T18:40:44.760</t>
  </si>
  <si>
    <t>Google app maker: How to secure sensitive data in server scripts?</t>
  </si>
  <si>
    <t>2018-11-14T13:47:54.440</t>
  </si>
  <si>
    <t>2018-11-13T20:17:08.597</t>
  </si>
  <si>
    <t>How do I view the contents of my "default" type Cloud SQL database in AppMaker?</t>
  </si>
  <si>
    <t>2018-11-13T21:09:35.293</t>
  </si>
  <si>
    <t>2018-11-14T14:05:23.560</t>
  </si>
  <si>
    <t>2018-11-13T22:41:23.053</t>
  </si>
  <si>
    <t>Setting G Suite user properties with App Script and the Admin SDK</t>
  </si>
  <si>
    <t>2018-11-14T21:52:31.747</t>
  </si>
  <si>
    <t>&lt;google-apps-script&gt;&lt;google-admin-sdk&gt;&lt;google-app-maker&gt;</t>
  </si>
  <si>
    <t>2018-11-13T23:27:17.877</t>
  </si>
  <si>
    <t>2018-11-14T11:29:32.933</t>
  </si>
  <si>
    <t>Integrate Gmail api with Google app maker</t>
  </si>
  <si>
    <t>2018-11-14T11:51:21.667</t>
  </si>
  <si>
    <t>2018-11-14T12:43:56.063</t>
  </si>
  <si>
    <t>2018-11-14T17:23:49.037</t>
  </si>
  <si>
    <t>Google App Maker: How to add pagination and sorting to a table widget bound to a calculated datasource?</t>
  </si>
  <si>
    <t>2018-11-15T19:01:15.533</t>
  </si>
  <si>
    <t>Google App Maker: how to implement pagination on table bound to a calculated model</t>
  </si>
  <si>
    <t>2018-11-16T20:17:08.753</t>
  </si>
  <si>
    <t>Google App Maker: change calculated datasource Query page size programatically</t>
  </si>
  <si>
    <t>2018-11-16T20:36:53.150</t>
  </si>
  <si>
    <t>2018-11-22T14:53:00.190</t>
  </si>
  <si>
    <t>Google AppMaker Registration form with Photo Upload</t>
  </si>
  <si>
    <t>2018-12-05T00:03:52.067</t>
  </si>
  <si>
    <t>&lt;google-apps-script&gt;&lt;google-cloud-platform&gt;&lt;google-app-maker&gt;</t>
  </si>
  <si>
    <t>2018-11-23T00:40:16.543</t>
  </si>
  <si>
    <t>How to send a PDF via email with the contents displayed in table like format?</t>
  </si>
  <si>
    <t>2018-12-01T17:11:48.437</t>
  </si>
  <si>
    <t>2018-12-01T19:05:01.590</t>
  </si>
  <si>
    <t>2018-11-26T17:48:35.653</t>
  </si>
  <si>
    <t>Calculating age using date of birth stored in the database</t>
  </si>
  <si>
    <t>2018-11-26T19:40:33.907</t>
  </si>
  <si>
    <t>&lt;datediff&gt;&lt;google-app-maker&gt;</t>
  </si>
  <si>
    <t>2018-11-26T18:37:29.783</t>
  </si>
  <si>
    <t>How to update records in related data models in Google App Maker</t>
  </si>
  <si>
    <t>2020-05-09T01:58:18.303</t>
  </si>
  <si>
    <t>2018-11-27T12:20:37.123</t>
  </si>
  <si>
    <t>Add-on in Google docs or others to provide functionality in App Maker</t>
  </si>
  <si>
    <t>2018-11-28T06:56:07.647</t>
  </si>
  <si>
    <t>Remove selected user from User picker in Google App maker</t>
  </si>
  <si>
    <t>2019-10-18T15:07:56.903</t>
  </si>
  <si>
    <t>2018-11-28T11:13:58.543</t>
  </si>
  <si>
    <t>appmaker how to change the name in the browser history</t>
  </si>
  <si>
    <t>2018-11-28T14:14:15.627</t>
  </si>
  <si>
    <t>&lt;url&gt;&lt;browser-history&gt;&lt;google-app-maker&gt;</t>
  </si>
  <si>
    <t>2018-11-28T21:50:39.720</t>
  </si>
  <si>
    <t>appmaker : I get error com.google.web.bindery.event.shared.UmbrellaException: Exception caught: Path segment does not exist</t>
  </si>
  <si>
    <t>&lt;runtime-error&gt;&lt;google-app-maker&gt;</t>
  </si>
  <si>
    <t>2018-11-29T08:47:06.547</t>
  </si>
  <si>
    <t>Boolean search using Google AppMaker</t>
  </si>
  <si>
    <t>2018-11-29T15:15:09.217</t>
  </si>
  <si>
    <t>2018-12-01T13:24:36.663</t>
  </si>
  <si>
    <t>Passing value from datasource to onclick event</t>
  </si>
  <si>
    <t>2018-12-03T14:41:02.717</t>
  </si>
  <si>
    <t>2018-12-02T03:48:09.450</t>
  </si>
  <si>
    <t>appmaker datasource not updating quick enough</t>
  </si>
  <si>
    <t>2018-12-11T05:39:07.263</t>
  </si>
  <si>
    <t>&lt;load&gt;&lt;datasource&gt;&lt;google-app-maker&gt;</t>
  </si>
  <si>
    <t>2018-12-02T16:50:27.973</t>
  </si>
  <si>
    <t>How to show more than 100 items in dropdown options using projections list</t>
  </si>
  <si>
    <t>2018-12-04T17:28:56.060</t>
  </si>
  <si>
    <t>How to export AppMaker app as a zip file?</t>
  </si>
  <si>
    <t>2018-12-04T18:13:59.860</t>
  </si>
  <si>
    <t>2018-12-07T01:40:33.520</t>
  </si>
  <si>
    <t>Q. How to query a model, in a one-to-many relationship, return associated records?</t>
  </si>
  <si>
    <t>2018-12-07T02:47:14.643</t>
  </si>
  <si>
    <t>2018-12-07T22:09:33.117</t>
  </si>
  <si>
    <t>Login with different accounts</t>
  </si>
  <si>
    <t>2018-12-11T05:29:09.057</t>
  </si>
  <si>
    <t>2018-12-12T12:48:59.160</t>
  </si>
  <si>
    <t>Google App Maker: Accessing widget's kind (component's class name) programmatically</t>
  </si>
  <si>
    <t>2018-12-12T13:19:17.130</t>
  </si>
  <si>
    <t>2018-12-12T17:21:32.570</t>
  </si>
  <si>
    <t>Google App Maker: How to assign id to HTML widget based on datasource?</t>
  </si>
  <si>
    <t>2018-12-12T19:59:24.043</t>
  </si>
  <si>
    <t>2018-12-13T06:02:46.997</t>
  </si>
  <si>
    <t>Appmaker -How to populate options in dropdown from datasource based on the option selected from previous dropdown in Appmaker?</t>
  </si>
  <si>
    <t>user9638534</t>
  </si>
  <si>
    <t>2018-12-17T11:20:34.370</t>
  </si>
  <si>
    <t>2018-12-14T11:05:50.573</t>
  </si>
  <si>
    <t>2018-12-17T03:36:57.863</t>
  </si>
  <si>
    <t>Emailing incomplete PDF rather than PDF with written data</t>
  </si>
  <si>
    <t>2018-12-18T02:50:53.607</t>
  </si>
  <si>
    <t>2018-12-18T15:14:55.443</t>
  </si>
  <si>
    <t>2018-12-17T18:30:49.707</t>
  </si>
  <si>
    <t>Create keywords list WITHIN Create with MANY to MANY relation</t>
  </si>
  <si>
    <t>2018-12-18T09:10:12.617</t>
  </si>
  <si>
    <t>2018-12-29T11:33:07.883</t>
  </si>
  <si>
    <t>2018-12-18T05:30:42.617</t>
  </si>
  <si>
    <t>Multiple datasources for same SQL DB</t>
  </si>
  <si>
    <t>2018-12-18T05:47:39.790</t>
  </si>
  <si>
    <t>2018-12-19T02:33:33.233</t>
  </si>
  <si>
    <t>Appmaker onClick or onValidate</t>
  </si>
  <si>
    <t>2018-12-19T16:31:27.057</t>
  </si>
  <si>
    <t>2018-12-20T03:51:25.050</t>
  </si>
  <si>
    <t>How to pass a variable to SQL query on AppMaker?</t>
  </si>
  <si>
    <t>2018-12-20T05:28:40.270</t>
  </si>
  <si>
    <t>2018-12-20T18:17:12.657</t>
  </si>
  <si>
    <t>Google App Maker Calendar Sample. getCalendarByName instead of getDefaultCalendar</t>
  </si>
  <si>
    <t>2018-12-20T18:59:35.830</t>
  </si>
  <si>
    <t>2018-12-21T11:37:58.110</t>
  </si>
  <si>
    <t>How to Allow User Access to Published App Maker App?</t>
  </si>
  <si>
    <t>2018-12-28T14:30:18.460</t>
  </si>
  <si>
    <t>2018-12-21T23:16:52.447</t>
  </si>
  <si>
    <t>Retrieving UserPicker Widget emnail string using onValueChanged</t>
  </si>
  <si>
    <t>2018-12-22T01:10:48.207</t>
  </si>
  <si>
    <t>2018-12-24T17:48:26.527</t>
  </si>
  <si>
    <t>How do I reference a value in an App Maker query (like I do in Apps Script)</t>
  </si>
  <si>
    <t>2018-12-24T18:10:46.867</t>
  </si>
  <si>
    <t>2018-12-26T21:09:37.987</t>
  </si>
  <si>
    <t>Joining two large tables using a calculated model in AppMaker</t>
  </si>
  <si>
    <t>2018-12-26T21:24:58.237</t>
  </si>
  <si>
    <t>2018-12-26T21:20:55.347</t>
  </si>
  <si>
    <t>2018-12-27T09:20:36.497</t>
  </si>
  <si>
    <t>Showing confirmation popup on top of a dialog</t>
  </si>
  <si>
    <t>2018-12-28T15:59:34.700</t>
  </si>
  <si>
    <t>Google App Maker - Problems setting UI visibility by role</t>
  </si>
  <si>
    <t>2018-12-29T03:37:54.423</t>
  </si>
  <si>
    <t>Wrong name display on navigation menu - Google App Maker</t>
  </si>
  <si>
    <t>2018-12-31T19:34:48.340</t>
  </si>
  <si>
    <t>Buttons to load different Datasources to a Panel on a different Page</t>
  </si>
  <si>
    <t>2019-01-01T01:57:38.447</t>
  </si>
  <si>
    <t>2019-01-02T11:23:55.883</t>
  </si>
  <si>
    <t>How prevent duplicate records in appmaker?</t>
  </si>
  <si>
    <t>2019-01-02T12:28:40.713</t>
  </si>
  <si>
    <t>2019-01-02T18:58:25.357</t>
  </si>
  <si>
    <t>Google Appmaker createItem failing with could not select element</t>
  </si>
  <si>
    <t>2019-01-04T16:20:50.973</t>
  </si>
  <si>
    <t>2019-01-02T19:00:41.650</t>
  </si>
  <si>
    <t>How do I pass a current form field value to new popup?</t>
  </si>
  <si>
    <t>2019-01-04T20:45:39.137</t>
  </si>
  <si>
    <t>2019-01-04T16:28:25.123</t>
  </si>
  <si>
    <t>Google AppMaker Id (primary key) missing or null on Save</t>
  </si>
  <si>
    <t>2019-01-04T16:34:37.263</t>
  </si>
  <si>
    <t>2019-01-04T19:52:12.940</t>
  </si>
  <si>
    <t>Sorting a Calculated datasource in AppMaker</t>
  </si>
  <si>
    <t>2019-01-31T04:40:51.553</t>
  </si>
  <si>
    <t>2019-01-07T03:49:31.200</t>
  </si>
  <si>
    <t>Close the loading bar only after a widget had loaded on page</t>
  </si>
  <si>
    <t>2019-01-07T16:11:12.283</t>
  </si>
  <si>
    <t>How can I fix a "Sorry, you don't have access to this application" error when accessing app from link in email?</t>
  </si>
  <si>
    <t>2019-10-23T11:39:48.983</t>
  </si>
  <si>
    <t>2019-01-09T16:28:29.580</t>
  </si>
  <si>
    <t>Unable to pre-set Radio button tied to null value</t>
  </si>
  <si>
    <t>2019-01-09T21:50:54.753</t>
  </si>
  <si>
    <t>Converting the response of the Google Admin SDK with curly-brace strings with items into a multidimensional array</t>
  </si>
  <si>
    <t>2019-01-09T23:08:52.237</t>
  </si>
  <si>
    <t>2019-01-10T07:42:49.047</t>
  </si>
  <si>
    <t>send email with attachment in appscript using media upload method</t>
  </si>
  <si>
    <t>2019-01-11T00:32:49.113</t>
  </si>
  <si>
    <t>2019-01-11T07:05:57.943</t>
  </si>
  <si>
    <t>&lt;google-apps-script&gt;&lt;gmail-api&gt;&lt;google-app-maker&gt;&lt;google-apis-explorer&gt;</t>
  </si>
  <si>
    <t>2019-01-11T00:28:44.517</t>
  </si>
  <si>
    <t>2019-01-11T00:45:21.963</t>
  </si>
  <si>
    <t>How to display boolean value as an image in Google App Maker's table?</t>
  </si>
  <si>
    <t>2019-02-14T19:09:10.500</t>
  </si>
  <si>
    <t>2019-01-11T14:25:47.663</t>
  </si>
  <si>
    <t>2019-01-14T08:39:15.353</t>
  </si>
  <si>
    <t>Asynchronous functions in Google AppMaker</t>
  </si>
  <si>
    <t>2019-01-14T12:33:52.943</t>
  </si>
  <si>
    <t>&lt;asynchronous&gt;&lt;google-bigquery&gt;&lt;google-app-maker&gt;</t>
  </si>
  <si>
    <t>2019-01-14T17:56:50.577</t>
  </si>
  <si>
    <t>How to get rid of "Send email as you" permission in Appmaker</t>
  </si>
  <si>
    <t>2019-01-26T00:05:32.150</t>
  </si>
  <si>
    <t>2019-01-15T03:48:52.223</t>
  </si>
  <si>
    <t>Querying data from BigQuery and return a single data into Google AppMaker</t>
  </si>
  <si>
    <t>2019-01-15T08:07:34.353</t>
  </si>
  <si>
    <t>2019-01-15T13:41:54.480</t>
  </si>
  <si>
    <t>How do I seed a production database</t>
  </si>
  <si>
    <t>2019-01-16T18:50:38.583</t>
  </si>
  <si>
    <t>I show the grades to each of my students using Google sheets and publishing them with the scripts editor. Can I do the same with Google app maker?</t>
  </si>
  <si>
    <t>2019-01-16T19:47:28.180</t>
  </si>
  <si>
    <t>2019-01-17T12:15:31.810</t>
  </si>
  <si>
    <t>nextPage() method - not functioning</t>
  </si>
  <si>
    <t>2019-01-17T15:10:03.587</t>
  </si>
  <si>
    <t>2019-01-18T06:31:02.743</t>
  </si>
  <si>
    <t>Multiple sorting on tables</t>
  </si>
  <si>
    <t>2019-01-19T21:23:51.220</t>
  </si>
  <si>
    <t>Google App Maker - How to bind to a relation on a query datasource?</t>
  </si>
  <si>
    <t>2019-01-22T21:06:48.280</t>
  </si>
  <si>
    <t>&lt;database&gt;&lt;data-binding&gt;&lt;widget&gt;&lt;google-app-maker&gt;&lt;database-relations&gt;</t>
  </si>
  <si>
    <t>2019-01-21T08:12:03.947</t>
  </si>
  <si>
    <t>How do you update a Gmail draft relevant to a thread without it losing the link to the thread?</t>
  </si>
  <si>
    <t>2019-01-21T13:36:04.160</t>
  </si>
  <si>
    <t>2019-01-21T10:58:54.570</t>
  </si>
  <si>
    <t>Google AppMaker : Timeout for server-side script calls</t>
  </si>
  <si>
    <t>2019-05-29T18:48:09.020</t>
  </si>
  <si>
    <t>2019-01-21T13:51:27.707</t>
  </si>
  <si>
    <t>Is it possible to duplicate triggers in Google App Maker?</t>
  </si>
  <si>
    <t>2019-01-21T18:43:06.623</t>
  </si>
  <si>
    <t>2019-01-22T21:39:01.493</t>
  </si>
  <si>
    <t>Google App Maker: Can't associate draft record with record in draft datasource</t>
  </si>
  <si>
    <t>2019-05-06T12:46:27.980</t>
  </si>
  <si>
    <t>2019-05-31T07:06:20.703</t>
  </si>
  <si>
    <t>2019-01-23T06:15:31.573</t>
  </si>
  <si>
    <t>Display data by years in one page with each year in a separate table</t>
  </si>
  <si>
    <t>2019-01-23T13:27:02.313</t>
  </si>
  <si>
    <t>2019-01-24T16:09:34.780</t>
  </si>
  <si>
    <t>Suggest Box options for relation</t>
  </si>
  <si>
    <t>2019-01-25T05:49:33.763</t>
  </si>
  <si>
    <t>2019-08-28T12:26:08.133</t>
  </si>
  <si>
    <t>2019-01-25T12:49:17.310</t>
  </si>
  <si>
    <t>How to export table from google app maker using AMU code</t>
  </si>
  <si>
    <t>2019-08-20T05:58:42.647</t>
  </si>
  <si>
    <t>2019-01-25T22:45:19.837</t>
  </si>
  <si>
    <t>Getting selections from a list object</t>
  </si>
  <si>
    <t>2019-01-28T19:07:34.040</t>
  </si>
  <si>
    <t>2019-01-27T20:45:20.990</t>
  </si>
  <si>
    <t>How can I load the datasource for a relation in a table?</t>
  </si>
  <si>
    <t>2019-01-28T05:51:37.710</t>
  </si>
  <si>
    <t>How to create an advanced search/filter using Google App Maker's Query Script?</t>
  </si>
  <si>
    <t>2020-05-08T12:21:43.850</t>
  </si>
  <si>
    <t>2019-01-28T15:07:01.433</t>
  </si>
  <si>
    <t>2019-01-30T17:22:46.437</t>
  </si>
  <si>
    <t>How To Download a generated CSV file from App Maker?</t>
  </si>
  <si>
    <t>2019-01-30T20:31:04.460</t>
  </si>
  <si>
    <t>2019-01-30T17:41:39.227</t>
  </si>
  <si>
    <t>Google App Maker Widget Validate on Datasource select</t>
  </si>
  <si>
    <t>2019-02-01T04:28:34.017</t>
  </si>
  <si>
    <t>Relation API usage on Foreign key fields</t>
  </si>
  <si>
    <t>2019-06-03T09:11:39.480</t>
  </si>
  <si>
    <t>2019-02-01T05:07:34.857</t>
  </si>
  <si>
    <t>addEventListener on Panel</t>
  </si>
  <si>
    <t>2019-02-01T14:28:05.907</t>
  </si>
  <si>
    <t>2019-02-04T11:57:39.517</t>
  </si>
  <si>
    <t>Format Number in AppMaker Number Field</t>
  </si>
  <si>
    <t>2019-02-04T18:04:59.577</t>
  </si>
  <si>
    <t>2019-02-04T17:33:41.393</t>
  </si>
  <si>
    <t>Can a user who isn't admin use Teamdrives.list()</t>
  </si>
  <si>
    <t>2019-02-05T10:11:37.787</t>
  </si>
  <si>
    <t>2019-02-05T01:23:07.803</t>
  </si>
  <si>
    <t>How to implement Full-Text Search in Google App Maker?</t>
  </si>
  <si>
    <t>2019-05-28T21:09:51.700</t>
  </si>
  <si>
    <t>2019-02-05T10:15:45.150</t>
  </si>
  <si>
    <t>Is it possible to add values to table widget programmatically in Google Appmakers</t>
  </si>
  <si>
    <t>2019-02-05T11:26:57.280</t>
  </si>
  <si>
    <t>2019-02-06T14:33:20.460</t>
  </si>
  <si>
    <t>2019-02-06T13:15:16.253</t>
  </si>
  <si>
    <t>Google Cloud SQL On Demand activation</t>
  </si>
  <si>
    <t>2019-02-06T14:30:21.310</t>
  </si>
  <si>
    <t>2019-02-07T13:27:39.137</t>
  </si>
  <si>
    <t>Appmaker - How to open a particular record in a form using URL?</t>
  </si>
  <si>
    <t>2019-03-13T13:29:38.420</t>
  </si>
  <si>
    <t>&lt;javascript&gt;&lt;google-apps-script&gt;&lt;google-cloud-platform&gt;&lt;google-app-maker&gt;</t>
  </si>
  <si>
    <t>2019-02-07T13:44:14.313</t>
  </si>
  <si>
    <t>2019-02-07T14:11:44.197</t>
  </si>
  <si>
    <t>Filter Calculated Model</t>
  </si>
  <si>
    <t>2019-02-08T03:21:02.300</t>
  </si>
  <si>
    <t>2019-02-11T00:56:35.370</t>
  </si>
  <si>
    <t>appmaker developing environment drops window in chrome</t>
  </si>
  <si>
    <t>2019-02-17T14:12:09.937</t>
  </si>
  <si>
    <t>How to update record on another model (trigger) in google app maker sql?</t>
  </si>
  <si>
    <t>2019-02-18T00:59:26.093</t>
  </si>
  <si>
    <t>2019-02-18T12:28:12.337</t>
  </si>
  <si>
    <t>How to get record's primary key value on saving in manual mode?</t>
  </si>
  <si>
    <t>user7998880</t>
  </si>
  <si>
    <t>2019-02-21T05:56:01.183</t>
  </si>
  <si>
    <t>2019-02-21T19:09:00.687</t>
  </si>
  <si>
    <t>2019-02-18T20:23:18.570</t>
  </si>
  <si>
    <t>Efficiently get total count of all Google documents in a user's Google Drive</t>
  </si>
  <si>
    <t>&lt;google-apps-script&gt;&lt;google-drive-api&gt;&lt;google-docs-api&gt;&lt;google-app-maker&gt;</t>
  </si>
  <si>
    <t>2019-02-18T23:46:22.543</t>
  </si>
  <si>
    <t>Appmaker get all records of a model on serverside</t>
  </si>
  <si>
    <t>2019-02-18T23:52:12.350</t>
  </si>
  <si>
    <t>2019-02-19T18:47:04.183</t>
  </si>
  <si>
    <t>Appmaker how to stop a serverside script</t>
  </si>
  <si>
    <t>2019-02-20T17:32:04.720</t>
  </si>
  <si>
    <t>2019-02-20T16:04:23.517</t>
  </si>
  <si>
    <t>Using custom libraries from apps script in App Maker: Authorization problem</t>
  </si>
  <si>
    <t>2019-02-20T16:32:43.660</t>
  </si>
  <si>
    <t>2019-02-21T05:55:37.543</t>
  </si>
  <si>
    <t>Circumventing query page size limitations</t>
  </si>
  <si>
    <t>2019-02-22T08:56:30.813</t>
  </si>
  <si>
    <t>2019-02-21T09:45:01.650</t>
  </si>
  <si>
    <t>2019-02-22T13:26:45.427</t>
  </si>
  <si>
    <t>AdminDirectory not showing up on code completion in Appmaker</t>
  </si>
  <si>
    <t>2019-02-22T14:31:26.517</t>
  </si>
  <si>
    <t>Google App Maker - Add a button for timestamp collection in the onclick method</t>
  </si>
  <si>
    <t>2019-02-25T14:17:45.680</t>
  </si>
  <si>
    <t>&lt;timestamp&gt;&lt;google-app-maker&gt;&lt;error-messaging&gt;</t>
  </si>
  <si>
    <t>2019-02-22T22:58:16.583</t>
  </si>
  <si>
    <t>2019-02-23T11:28:21.177</t>
  </si>
  <si>
    <t>Where to Google app maker personal version</t>
  </si>
  <si>
    <t>2019-07-27T11:04:40.883</t>
  </si>
  <si>
    <t>2019-02-24T02:58:06.350</t>
  </si>
  <si>
    <t>Dynamically adding or deleting widgets in google-app-maker</t>
  </si>
  <si>
    <t>2019-02-26T02:30:05.453</t>
  </si>
  <si>
    <t>2019-02-26T08:19:01.813</t>
  </si>
  <si>
    <t>Connect app maker server script with cloud storage bucket</t>
  </si>
  <si>
    <t>2019-02-26T09:02:02.747</t>
  </si>
  <si>
    <t>&lt;javascript&gt;&lt;google-cloud-platform&gt;&lt;google-cloud-storage&gt;&lt;google-app-maker&gt;</t>
  </si>
  <si>
    <t>2019-02-27T07:56:43.997</t>
  </si>
  <si>
    <t>How to distinguish a function is client script or server script</t>
  </si>
  <si>
    <t>2019-02-27T08:27:03.623</t>
  </si>
  <si>
    <t>APP MAKER not available for all users of my organization</t>
  </si>
  <si>
    <t>2019-03-02T04:12:01.143</t>
  </si>
  <si>
    <t>2019-02-27T09:56:20.680</t>
  </si>
  <si>
    <t>Securing specific fields of a record in Google App Maker</t>
  </si>
  <si>
    <t>2019-03-12T13:51:12.743</t>
  </si>
  <si>
    <t>2019-02-27T16:46:40.827</t>
  </si>
  <si>
    <t>SQL date discrepancy with some dates</t>
  </si>
  <si>
    <t>2019-03-23T22:39:52.343</t>
  </si>
  <si>
    <t>&lt;javascript&gt;&lt;mysql&gt;&lt;google-cloud-sql&gt;&lt;google-app-maker&gt;</t>
  </si>
  <si>
    <t>2019-03-01T13:48:03.130</t>
  </si>
  <si>
    <t>appmaker mismatch error, how do i resolve?</t>
  </si>
  <si>
    <t>2019-03-02T03:56:09.023</t>
  </si>
  <si>
    <t>&lt;javascript&gt;&lt;google-app-maker&gt;&lt;type-mismatch&gt;</t>
  </si>
  <si>
    <t>2019-03-01T20:17:15.473</t>
  </si>
  <si>
    <t>How do I keep Google App Maker app from timing out</t>
  </si>
  <si>
    <t>2019-03-06T14:51:36.420</t>
  </si>
  <si>
    <t>&lt;javascript&gt;&lt;timeout&gt;&lt;google-app-maker&gt;</t>
  </si>
  <si>
    <t>2019-03-04T09:20:15.367</t>
  </si>
  <si>
    <t>Google Appmaker supported Drive API Version</t>
  </si>
  <si>
    <t>2019-03-04T18:53:52.500</t>
  </si>
  <si>
    <t>2019-03-04T16:56:51.970</t>
  </si>
  <si>
    <t>Google App Maker - autofill textbox depending on dropdown selected option from an external database</t>
  </si>
  <si>
    <t>2019-03-04T17:15:09.640</t>
  </si>
  <si>
    <t>2019-03-04T18:01:15.803</t>
  </si>
  <si>
    <t>&lt;mysql&gt;&lt;textbox&gt;&lt;dropdown&gt;&lt;autofill&gt;&lt;google-app-maker&gt;</t>
  </si>
  <si>
    <t>2019-03-05T14:46:35.563</t>
  </si>
  <si>
    <t>Google App Maker - Reference multiple tables from External MySql Database</t>
  </si>
  <si>
    <t>2019-03-05T19:55:16.547</t>
  </si>
  <si>
    <t>&lt;mysql&gt;&lt;database&gt;&lt;model&gt;&lt;datasource&gt;&lt;google-app-maker&gt;</t>
  </si>
  <si>
    <t>2019-03-05T15:19:47.087</t>
  </si>
  <si>
    <t>How to send Date Value from TextBox to Server Script in app maker?</t>
  </si>
  <si>
    <t>2019-03-05T16:56:57.017</t>
  </si>
  <si>
    <t>2019-03-05T19:24:41.410</t>
  </si>
  <si>
    <t>Accessing item from an other item in Google App Maker</t>
  </si>
  <si>
    <t>2019-03-06T15:31:36.797</t>
  </si>
  <si>
    <t>How to export a table as google sheet in Google app maker using a button</t>
  </si>
  <si>
    <t>2020-05-11T01:01:47.347</t>
  </si>
  <si>
    <t>&lt;button&gt;&lt;google-sheets&gt;&lt;export&gt;&lt;email-attachments&gt;&lt;google-app-maker&gt;</t>
  </si>
  <si>
    <t>2019-03-06T16:21:56.203</t>
  </si>
  <si>
    <t>2019-03-07T11:56:54.753</t>
  </si>
  <si>
    <t>Show records per user in table widget in App Maker</t>
  </si>
  <si>
    <t>2019-03-07T12:54:49.633</t>
  </si>
  <si>
    <t>2019-03-07T13:30:06.777</t>
  </si>
  <si>
    <t>&lt;user-interface&gt;&lt;widget&gt;&lt;report&gt;&lt;google-app-maker&gt;</t>
  </si>
  <si>
    <t>2019-03-07T16:04:38.300</t>
  </si>
  <si>
    <t>Create a new record in Google App Maker from spreadsheet</t>
  </si>
  <si>
    <t>2019-03-07T18:19:09.747</t>
  </si>
  <si>
    <t>&lt;google-sheets&gt;&lt;google-app-maker&gt;</t>
  </si>
  <si>
    <t>2019-03-08T17:29:39.027</t>
  </si>
  <si>
    <t>How to create an a virtual hostname or a simple url for appmaker</t>
  </si>
  <si>
    <t>2019-03-09T14:35:41.780</t>
  </si>
  <si>
    <t>2019-03-08T22:49:22.947</t>
  </si>
  <si>
    <t>How to allow Google App Maker app access with no sign-in required</t>
  </si>
  <si>
    <t>2019-03-08T23:02:19.293</t>
  </si>
  <si>
    <t>2019-03-09T09:34:02.517</t>
  </si>
  <si>
    <t>AppMaker: I got a TypeError while adding a variable link in a TableRow</t>
  </si>
  <si>
    <t>2019-03-09T11:06:21.300</t>
  </si>
  <si>
    <t>2019-03-11T13:41:01.013</t>
  </si>
  <si>
    <t>2019-03-10T17:57:07.773</t>
  </si>
  <si>
    <t>How do I create a record and have it relate to the parent in Google Apps Maker?</t>
  </si>
  <si>
    <t>2019-03-11T11:26:05.293</t>
  </si>
  <si>
    <t>2019-03-11T14:46:16.963</t>
  </si>
  <si>
    <t>How to change datasource of a widget with script in Google AppMaker?</t>
  </si>
  <si>
    <t>2019-03-12T10:00:13.737</t>
  </si>
  <si>
    <t>AppMaker - Better way to combine two fields from datasource per element of dropdown's names array?</t>
  </si>
  <si>
    <t>2019-03-12T13:36:10.763</t>
  </si>
  <si>
    <t>&lt;drop-down-menu&gt;&lt;google-app-maker&gt;</t>
  </si>
  <si>
    <t>2019-03-12T13:15:35.587</t>
  </si>
  <si>
    <t>2019-03-12T13:41:05.713</t>
  </si>
  <si>
    <t>AppMaker Return value from server side to client side</t>
  </si>
  <si>
    <t>2019-07-19T03:55:59.453</t>
  </si>
  <si>
    <t>2019-03-12T16:17:03.860</t>
  </si>
  <si>
    <t>App Script run basic queries using Cloud SQL</t>
  </si>
  <si>
    <t>2019-03-12T16:58:31.650</t>
  </si>
  <si>
    <t>2019-04-23T09:36:06.480</t>
  </si>
  <si>
    <t>&lt;sql&gt;&lt;google-apps-script&gt;&lt;google-cloud-platform&gt;&lt;google-cloud-sql&gt;&lt;google-app-maker&gt;</t>
  </si>
  <si>
    <t>2019-03-12T17:11:51.447</t>
  </si>
  <si>
    <t>2019-03-13T14:00:14.367</t>
  </si>
  <si>
    <t>SQL Query fron AppMaker datasource</t>
  </si>
  <si>
    <t>2019-03-13T14:32:31.050</t>
  </si>
  <si>
    <t>2019-03-13T19:47:51.053</t>
  </si>
  <si>
    <t>2019-03-15T06:40:09.783</t>
  </si>
  <si>
    <t>How to automatically log a users name in App Maker</t>
  </si>
  <si>
    <t>2019-03-15T12:35:29.117</t>
  </si>
  <si>
    <t>&lt;directory&gt;&lt;google-app-maker&gt;</t>
  </si>
  <si>
    <t>2019-03-15T08:40:04.130</t>
  </si>
  <si>
    <t>App maker trigger sends mail two times from my 2 different Email addresses</t>
  </si>
  <si>
    <t>2019-03-15T15:45:11.467</t>
  </si>
  <si>
    <t>2019-03-16T05:18:26.513</t>
  </si>
  <si>
    <t>I am not able to open my google appmaker project</t>
  </si>
  <si>
    <t>2019-03-16T05:40:09.637</t>
  </si>
  <si>
    <t>2019-03-16T11:59:14.840</t>
  </si>
  <si>
    <t>How to bind two distinct datasources to a common dropdown</t>
  </si>
  <si>
    <t>2019-04-03T10:59:18.773</t>
  </si>
  <si>
    <t>2019-03-17T13:25:51.633</t>
  </si>
  <si>
    <t>Google App Maker / sql instance location &amp; GDPR</t>
  </si>
  <si>
    <t>2019-03-17T14:48:57.603</t>
  </si>
  <si>
    <t>2019-06-20T08:38:33.350</t>
  </si>
  <si>
    <t>2019-03-18T11:38:38.180</t>
  </si>
  <si>
    <t>Can AppMaker be used with SQL Server</t>
  </si>
  <si>
    <t>2019-03-22T15:55:07.890</t>
  </si>
  <si>
    <t>&lt;sql-server&gt;&lt;google-app-maker&gt;</t>
  </si>
  <si>
    <t>2019-03-18T11:52:15.483</t>
  </si>
  <si>
    <t>Google Cloud SQL not updating with script</t>
  </si>
  <si>
    <t>2019-03-18T13:03:16.057</t>
  </si>
  <si>
    <t>2019-03-19T14:18:58.657</t>
  </si>
  <si>
    <t>&lt;javascript&gt;&lt;google-cloud-platform&gt;&lt;google-app-maker&gt;</t>
  </si>
  <si>
    <t>2019-03-18T15:25:11.367</t>
  </si>
  <si>
    <t>Save Url of email sent by google app maker</t>
  </si>
  <si>
    <t>2019-03-18T20:12:38.767</t>
  </si>
  <si>
    <t>2019-03-22T09:18:51.943</t>
  </si>
  <si>
    <t>2019-03-19T10:09:53.817</t>
  </si>
  <si>
    <t>Is App Maker hipaa compliant when is used with cloud sql</t>
  </si>
  <si>
    <t>2019-03-20T03:42:04.517</t>
  </si>
  <si>
    <t>&lt;google-app-maker&gt;&lt;hipaa&gt;</t>
  </si>
  <si>
    <t>2019-03-19T11:35:26.227</t>
  </si>
  <si>
    <t>Is it possible to persist Drive Picker widget settings across pages?</t>
  </si>
  <si>
    <t>2019-03-22T15:41:36.790</t>
  </si>
  <si>
    <t>2019-03-21T14:52:49.620</t>
  </si>
  <si>
    <t>google.script.run in App Maker: TypeError: Cannot read property 'withLogger' of undefined</t>
  </si>
  <si>
    <t>2019-03-22T12:10:30.633</t>
  </si>
  <si>
    <t>2019-06-10T21:31:44.350</t>
  </si>
  <si>
    <t>2019-03-21T15:29:48.150</t>
  </si>
  <si>
    <t>How I can to do a binding transformer with @expr data in google app maker?</t>
  </si>
  <si>
    <t>2019-03-21T17:10:53.807</t>
  </si>
  <si>
    <t>2019-03-21T17:33:47.900</t>
  </si>
  <si>
    <t>2019-03-21T17:25:55.193</t>
  </si>
  <si>
    <t>How to increment counter value inside an onClick event?</t>
  </si>
  <si>
    <t>2019-05-06T11:29:54.333</t>
  </si>
  <si>
    <t>&lt;javascript&gt;&lt;counter&gt;&lt;google-app-maker&gt;</t>
  </si>
  <si>
    <t>2019-03-21T18:02:56.927</t>
  </si>
  <si>
    <t>2019-03-22T10:09:04.527</t>
  </si>
  <si>
    <t>How to create multi items/records or save item/record array at one time in client script file</t>
  </si>
  <si>
    <t>2019-03-27T17:03:00.383</t>
  </si>
  <si>
    <t>2019-03-22T10:54:14.973</t>
  </si>
  <si>
    <t>2019-03-22T12:35:14.310</t>
  </si>
  <si>
    <t>Time Picker and Autocomplete for App Maker</t>
  </si>
  <si>
    <t>2019-03-28T18:56:56.550</t>
  </si>
  <si>
    <t>&lt;javascript&gt;&lt;jquery&gt;&lt;google-app-maker&gt;</t>
  </si>
  <si>
    <t>2019-03-22T12:50:14.730</t>
  </si>
  <si>
    <t>Google App Maker, importing and opening an existing web page onLoad</t>
  </si>
  <si>
    <t>2019-03-23T15:03:55.627</t>
  </si>
  <si>
    <t>&lt;hyperlink&gt;&lt;google-app-maker&gt;</t>
  </si>
  <si>
    <t>2019-03-22T17:03:37.627</t>
  </si>
  <si>
    <t>Looking for education materials about App Maker</t>
  </si>
  <si>
    <t>2019-03-22T17:05:45.563</t>
  </si>
  <si>
    <t>&lt;javascript&gt;&lt;google-app-maker&gt;&lt;rad&gt;</t>
  </si>
  <si>
    <t>2019-03-22T22:25:34.113</t>
  </si>
  <si>
    <t>Hoy to export @expr data table to sheets in google app maker?</t>
  </si>
  <si>
    <t>2019-03-29T13:45:01.163</t>
  </si>
  <si>
    <t>2019-03-28T08:49:20.530</t>
  </si>
  <si>
    <t>Using Google Groups for access rights - not working</t>
  </si>
  <si>
    <t>2019-03-28T11:35:26.857</t>
  </si>
  <si>
    <t>2019-03-28T19:04:17.863</t>
  </si>
  <si>
    <t>Is there a way to access the fields of a record, selected by a radio button widget in Google App Maker?</t>
  </si>
  <si>
    <t>2019-04-13T15:21:51.500</t>
  </si>
  <si>
    <t>2019-08-01T15:11:09.043</t>
  </si>
  <si>
    <t>&lt;radio-button&gt;&lt;hierarchy&gt;&lt;hierarchical-data&gt;&lt;google-app-maker&gt;</t>
  </si>
  <si>
    <t>2019-03-29T14:11:27.210</t>
  </si>
  <si>
    <t>Google App Maker saving records to DB is taking 240ms per record</t>
  </si>
  <si>
    <t>2019-03-29T14:22:31.877</t>
  </si>
  <si>
    <t>2019-03-29T14:36:09.853</t>
  </si>
  <si>
    <t>2019-03-30T00:07:10.060</t>
  </si>
  <si>
    <t>Dropdown Widget and Related Model</t>
  </si>
  <si>
    <t>2019-03-30T00:35:19.460</t>
  </si>
  <si>
    <t>2019-04-14T13:35:12.763</t>
  </si>
  <si>
    <t>2019-04-01T08:26:18.993</t>
  </si>
  <si>
    <t>DriveApp createFile add undefined to file</t>
  </si>
  <si>
    <t>2019-07-22T16:19:01.940</t>
  </si>
  <si>
    <t>&lt;javascript&gt;&lt;file&gt;&lt;google-apps-script&gt;&lt;google-app-maker&gt;</t>
  </si>
  <si>
    <t>2019-04-01T10:07:24.680</t>
  </si>
  <si>
    <t>2019-04-02T09:58:15.857</t>
  </si>
  <si>
    <t>How I can print all table's content in different pages?</t>
  </si>
  <si>
    <t>2019-04-03T07:19:53.933</t>
  </si>
  <si>
    <t>2019-04-03T07:24:02.903</t>
  </si>
  <si>
    <t>2019-04-02T13:34:39.627</t>
  </si>
  <si>
    <t>Appmaker - How to enforce validation for suggest box when value is not selected from the options?</t>
  </si>
  <si>
    <t>2019-04-02T13:42:07.493</t>
  </si>
  <si>
    <t>2019-04-03T07:03:08.307</t>
  </si>
  <si>
    <t>How to open page in new tab/window?</t>
  </si>
  <si>
    <t>2019-04-03T07:09:12.660</t>
  </si>
  <si>
    <t>2019-04-18T10:49:56.937</t>
  </si>
  <si>
    <t>2019-04-03T07:55:03.320</t>
  </si>
  <si>
    <t>Binding values to multiple labels in a List Widget; Using Dynamic Page Properties</t>
  </si>
  <si>
    <t>2019-04-03T14:42:43.810</t>
  </si>
  <si>
    <t>2019-04-03T23:45:12.027</t>
  </si>
  <si>
    <t>Methods to interface Google App maker and Google Docs template and make a PDF</t>
  </si>
  <si>
    <t>2019-04-08T22:01:09.620</t>
  </si>
  <si>
    <t>2019-04-10T15:05:16.420</t>
  </si>
  <si>
    <t>2019-04-06T14:12:18.953</t>
  </si>
  <si>
    <t>Using Pager to rotate through Page Fragments</t>
  </si>
  <si>
    <t>2019-04-08T11:01:54.493</t>
  </si>
  <si>
    <t>Syntax for an expression to calculate subtraction using variables</t>
  </si>
  <si>
    <t>2019-04-11T06:41:22.830</t>
  </si>
  <si>
    <t>2019-04-09T15:33:06.017</t>
  </si>
  <si>
    <t>Is it possible to change the Tab order in a Tab widget?</t>
  </si>
  <si>
    <t>2019-04-10T13:41:58.013</t>
  </si>
  <si>
    <t>2019-04-10T13:36:53.880</t>
  </si>
  <si>
    <t>Get a value from a string from a records in a server script</t>
  </si>
  <si>
    <t>2019-04-10T14:18:36.323</t>
  </si>
  <si>
    <t>Using popup to select correct relational field and pass value back to an entry form</t>
  </si>
  <si>
    <t>2020-05-09T10:01:53.543</t>
  </si>
  <si>
    <t>2019-04-10T15:01:12.583</t>
  </si>
  <si>
    <t>2019-04-10T19:09:32.027</t>
  </si>
  <si>
    <t>Client or Server Script to Print following Form or convert to PDF</t>
  </si>
  <si>
    <t>2019-04-11T00:10:06.363</t>
  </si>
  <si>
    <t>2019-04-12T06:49:05.110</t>
  </si>
  <si>
    <t>How to check if an email address other than that of the logged-in user has Admin role?</t>
  </si>
  <si>
    <t>2019-04-12T06:59:07.457</t>
  </si>
  <si>
    <t>2019-04-12T12:12:30.310</t>
  </si>
  <si>
    <t>2019-04-12T11:38:22.313</t>
  </si>
  <si>
    <t>2019-04-15T18:52:47.720</t>
  </si>
  <si>
    <t>Downloading a SQL database as a CSV instead of select rows</t>
  </si>
  <si>
    <t>2019-04-18T20:11:27.793</t>
  </si>
  <si>
    <t>2019-04-17T01:44:22.293</t>
  </si>
  <si>
    <t>Creating Parent Child Records</t>
  </si>
  <si>
    <t>2019-04-17T09:41:02.680</t>
  </si>
  <si>
    <t>2019-04-17T06:37:39.837</t>
  </si>
  <si>
    <t>How to create a view?</t>
  </si>
  <si>
    <t>2019-04-17T13:13:51.013</t>
  </si>
  <si>
    <t>2019-04-17T15:15:10.210</t>
  </si>
  <si>
    <t>&lt;mysql&gt;&lt;google-apps-script&gt;&lt;google-cloud-sql&gt;&lt;google-app-maker&gt;</t>
  </si>
  <si>
    <t>2019-04-17T11:08:26.923</t>
  </si>
  <si>
    <t>binding transformer #formatNumber cannot used for field in create/edit form</t>
  </si>
  <si>
    <t>2019-04-17T11:48:09.003</t>
  </si>
  <si>
    <t>2019-04-17T11:14:42.430</t>
  </si>
  <si>
    <t>Move file from Drive to TeamDrive folder appscript</t>
  </si>
  <si>
    <t>2019-04-18T09:11:49.670</t>
  </si>
  <si>
    <t>2019-04-18T06:32:35.370</t>
  </si>
  <si>
    <t>Client-side calculated model in Google App maker does not work for SuggestBox widget</t>
  </si>
  <si>
    <t>2019-04-18T14:56:29.297</t>
  </si>
  <si>
    <t>Data Event / Server Side Event in App Maker</t>
  </si>
  <si>
    <t>2019-04-19T18:39:46.813</t>
  </si>
  <si>
    <t>2019-04-19T15:48:36.323</t>
  </si>
  <si>
    <t>How to change a dropdown to a text box for barcode scanning into a field</t>
  </si>
  <si>
    <t>2019-06-06T20:06:11.017</t>
  </si>
  <si>
    <t>2019-04-20T23:21:10.723</t>
  </si>
  <si>
    <t>Retrieve the list of users in the "Only allow access to specific users" under DEPLOYMENTS</t>
  </si>
  <si>
    <t>2019-04-21T00:23:58.820</t>
  </si>
  <si>
    <t>2019-04-21T18:58:34.677</t>
  </si>
  <si>
    <t>2019-04-21T10:03:23.743</t>
  </si>
  <si>
    <t>Drive Picker file upload issue</t>
  </si>
  <si>
    <t>2019-05-05T19:49:31.573</t>
  </si>
  <si>
    <t>2019-04-22T14:40:34.817</t>
  </si>
  <si>
    <t>Cannot embed App Maker app in iframe on external website</t>
  </si>
  <si>
    <t>&lt;iframe&gt;&lt;google-app-maker&gt;</t>
  </si>
  <si>
    <t>2019-04-23T01:19:27.780</t>
  </si>
  <si>
    <t>Why does my deployment have no data but my preview has all the data?</t>
  </si>
  <si>
    <t>2019-10-03T23:25:53.520</t>
  </si>
  <si>
    <t>2019-04-23T09:44:41.397</t>
  </si>
  <si>
    <t>2019-04-23T07:09:41.283</t>
  </si>
  <si>
    <t>How can I fix 'Unchecked runtime.lastError: The message port closed before a response was received.' when linking to G-Cal events?</t>
  </si>
  <si>
    <t>2019-04-24T02:50:51.907</t>
  </si>
  <si>
    <t>&lt;google-chrome&gt;&lt;google-apps-script&gt;&lt;google-app-maker&gt;</t>
  </si>
  <si>
    <t>2019-04-25T10:41:07.417</t>
  </si>
  <si>
    <t>How to filter options in app maker's SuggestBox</t>
  </si>
  <si>
    <t>2019-05-30T21:05:55.660</t>
  </si>
  <si>
    <t>2019-04-25T15:55:36.790</t>
  </si>
  <si>
    <t>Client Reload Record after Server Side Change</t>
  </si>
  <si>
    <t>2019-04-25T19:04:31.513</t>
  </si>
  <si>
    <t>2019-04-26T11:45:35.143</t>
  </si>
  <si>
    <t>Table with a relation datasource opening first item in datasource</t>
  </si>
  <si>
    <t>2019-04-27T14:55:35.330</t>
  </si>
  <si>
    <t>Default Value for Dropdown</t>
  </si>
  <si>
    <t>2019-04-29T13:21:29.200</t>
  </si>
  <si>
    <t>2019-05-01T14:25:13.890</t>
  </si>
  <si>
    <t>2019-05-02T04:24:13.400</t>
  </si>
  <si>
    <t>Images on buttons? It must be easy</t>
  </si>
  <si>
    <t>2019-05-03T01:08:01.010</t>
  </si>
  <si>
    <t>2019-05-10T12:14:37.853</t>
  </si>
  <si>
    <t>2019-05-02T18:34:55.017</t>
  </si>
  <si>
    <t>How to populate a dropdown list based on a table field in Google AppMaker</t>
  </si>
  <si>
    <t>2019-05-02T18:47:25.480</t>
  </si>
  <si>
    <t>2019-05-03T14:02:33.067</t>
  </si>
  <si>
    <t>How to hide the Accordion widget detail?</t>
  </si>
  <si>
    <t>2019-05-27T13:14:38.743</t>
  </si>
  <si>
    <t>2019-05-27T13:16:29.480</t>
  </si>
  <si>
    <t>2019-05-06T06:24:18.610</t>
  </si>
  <si>
    <t>How to wrap text in Button and change Button color on click in Google App Maker?</t>
  </si>
  <si>
    <t>2019-05-07T22:59:38.127</t>
  </si>
  <si>
    <t>2019-12-03T20:30:52.860</t>
  </si>
  <si>
    <t>2019-05-06T23:19:31.123</t>
  </si>
  <si>
    <t>How to calculate a date difference in Google Cloud SQL?</t>
  </si>
  <si>
    <t>2019-05-07T20:29:50.680</t>
  </si>
  <si>
    <t>&lt;sql&gt;&lt;google-cloud-sql&gt;&lt;google-app-maker&gt;</t>
  </si>
  <si>
    <t>2019-05-07T14:23:51.693</t>
  </si>
  <si>
    <t>Filtering table via Query builder - null value not selecting all</t>
  </si>
  <si>
    <t>2019-05-08T04:58:36.000</t>
  </si>
  <si>
    <t>How to display just first few characters from a string</t>
  </si>
  <si>
    <t>2019-05-08T13:47:17.377</t>
  </si>
  <si>
    <t>2019-05-09T18:43:35.327</t>
  </si>
  <si>
    <t>Added spaces and LRs in JSON via Appmaker</t>
  </si>
  <si>
    <t>2019-05-09T20:49:03.257</t>
  </si>
  <si>
    <t>2019-05-09T21:02:08.210</t>
  </si>
  <si>
    <t>2019-05-09T20:56:24.127</t>
  </si>
  <si>
    <t>2019-05-10T02:12:40.037</t>
  </si>
  <si>
    <t>how to add meta tags to AppMaker head</t>
  </si>
  <si>
    <t>2019-05-30T18:03:05.860</t>
  </si>
  <si>
    <t>2019-05-10T07:15:02.253</t>
  </si>
  <si>
    <t>Get input data of Suggest Box in App Maker</t>
  </si>
  <si>
    <t>2019-05-10T18:34:02.400</t>
  </si>
  <si>
    <t>2019-05-10T08:02:06.977</t>
  </si>
  <si>
    <t>2019-05-13T20:19:03.787</t>
  </si>
  <si>
    <t>Display label based on, field on one data-source (singular) being within another data-source fields many</t>
  </si>
  <si>
    <t>2020-05-09T12:08:45.857</t>
  </si>
  <si>
    <t>2019-05-14T10:14:10.903</t>
  </si>
  <si>
    <t>Is there a way to append left-indented text in a doc using Google apps script?</t>
  </si>
  <si>
    <t>2019-05-14T18:14:48.663</t>
  </si>
  <si>
    <t>2019-05-15T14:57:02.883</t>
  </si>
  <si>
    <t>2019-05-14T16:31:45.657</t>
  </si>
  <si>
    <t>Handling browser refresh with query filters from page parameters</t>
  </si>
  <si>
    <t>2019-05-16T15:37:05.093</t>
  </si>
  <si>
    <t>2019-05-14T23:30:18.847</t>
  </si>
  <si>
    <t>Datasource Paging Issue</t>
  </si>
  <si>
    <t>2019-05-15T12:33:43.003</t>
  </si>
  <si>
    <t>2019-05-15T13:47:06.757</t>
  </si>
  <si>
    <t>2019-05-15T11:37:07.407</t>
  </si>
  <si>
    <t>How to add a wallpaper/image in the background page in google appmaker?</t>
  </si>
  <si>
    <t>2019-05-15T14:56:52.480</t>
  </si>
  <si>
    <t>2019-05-15T14:10:58.123</t>
  </si>
  <si>
    <t>2019-05-16T01:07:59.503</t>
  </si>
  <si>
    <t>Datasource Paging Issue (Revised)</t>
  </si>
  <si>
    <t>2019-05-16T09:09:43.533</t>
  </si>
  <si>
    <t>2019-05-16T18:07:26.473</t>
  </si>
  <si>
    <t>2019-05-16T22:32:42.497</t>
  </si>
  <si>
    <t>Stop App Maker creating duplicate relations</t>
  </si>
  <si>
    <t>2019-05-16T22:47:03.837</t>
  </si>
  <si>
    <t>2019-06-10T01:08:22.520</t>
  </si>
  <si>
    <t>&lt;duplicates&gt;&lt;relational-database&gt;&lt;google-app-maker&gt;</t>
  </si>
  <si>
    <t>2019-05-17T09:55:41.683</t>
  </si>
  <si>
    <t>How to fix Maximum call stack size exceeded error in appmaker</t>
  </si>
  <si>
    <t>2019-05-17T10:01:13.327</t>
  </si>
  <si>
    <t>2019-05-20T00:01:17.810</t>
  </si>
  <si>
    <t>2019-05-17T11:28:25.350</t>
  </si>
  <si>
    <t>2019-05-19T08:20:10.283</t>
  </si>
  <si>
    <t>Error in custom parameters in a Query Server Script</t>
  </si>
  <si>
    <t>2019-05-19T12:11:32.163</t>
  </si>
  <si>
    <t>2019-05-20T14:24:44.263</t>
  </si>
  <si>
    <t>2019-05-20T19:53:59.427</t>
  </si>
  <si>
    <t>How to manually set a value in MultiSelect widget in AppMaker?</t>
  </si>
  <si>
    <t>2019-10-09T06:23:51.277</t>
  </si>
  <si>
    <t>2019-05-29T19:29:50.473</t>
  </si>
  <si>
    <t>2019-05-20T20:11:53.367</t>
  </si>
  <si>
    <t>JDBC connection in Google Appmaker - do not want to store password in script</t>
  </si>
  <si>
    <t>2019-05-20T20:20:45.957</t>
  </si>
  <si>
    <t>2019-05-22T13:06:47.160</t>
  </si>
  <si>
    <t>How to disable all elements of a form in appmaker without writing code for each element?</t>
  </si>
  <si>
    <t>2019-05-22T14:17:29.160</t>
  </si>
  <si>
    <t>2019-05-22T20:28:47.940</t>
  </si>
  <si>
    <t>How to manually set a value in Dropdown widget in AppMaker?</t>
  </si>
  <si>
    <t>2019-05-22T20:46:08.197</t>
  </si>
  <si>
    <t>2019-05-23T09:07:09.937</t>
  </si>
  <si>
    <t>How to access enabled property of elements present inside a list row in appmaker?</t>
  </si>
  <si>
    <t>2019-05-23T13:17:32.930</t>
  </si>
  <si>
    <t>2019-05-23T13:37:24.767</t>
  </si>
  <si>
    <t>2019-05-23T17:36:27.300</t>
  </si>
  <si>
    <t>Is there a way to store non-datasource data in an array between a page load event and a later on click event?</t>
  </si>
  <si>
    <t>2019-05-23T19:22:23.240</t>
  </si>
  <si>
    <t>2019-05-23T23:39:28.293</t>
  </si>
  <si>
    <t>How can I use bluetooth in google app maker?</t>
  </si>
  <si>
    <t>2019-05-24T04:41:57.627</t>
  </si>
  <si>
    <t>2019-05-24T19:16:26.177</t>
  </si>
  <si>
    <t>Creating an Array of all patient's weight measures in different appointments</t>
  </si>
  <si>
    <t>2019-05-25T01:08:46.783</t>
  </si>
  <si>
    <t>2019-05-24T20:10:49.337</t>
  </si>
  <si>
    <t>Installing triggers on AppMaker deployment</t>
  </si>
  <si>
    <t>2019-05-24T20:48:53.043</t>
  </si>
  <si>
    <t>2019-05-25T01:05:59.900</t>
  </si>
  <si>
    <t>Create record via client script in a relation model in App Maker</t>
  </si>
  <si>
    <t>2019-05-29T13:08:12.957</t>
  </si>
  <si>
    <t>2019-05-27T07:17:47.827</t>
  </si>
  <si>
    <t>How to print a form in appmaker?</t>
  </si>
  <si>
    <t>2019-05-27T07:23:49.207</t>
  </si>
  <si>
    <t>2019-05-31T21:21:48.027</t>
  </si>
  <si>
    <t>2019-05-29T14:33:31.593</t>
  </si>
  <si>
    <t>Project time tracker</t>
  </si>
  <si>
    <t>2019-07-02T07:11:14.510</t>
  </si>
  <si>
    <t>2019-05-29T14:39:14.290</t>
  </si>
  <si>
    <t>How to access Google SQL tables outside App Maker</t>
  </si>
  <si>
    <t>2020-05-28T06:52:44.530</t>
  </si>
  <si>
    <t>2019-05-29T19:43:14.560</t>
  </si>
  <si>
    <t>Is there a way to make a specific item in a multiselect disabled?</t>
  </si>
  <si>
    <t>2019-05-30T17:01:53.153</t>
  </si>
  <si>
    <t>Table with self relation overwriting itself</t>
  </si>
  <si>
    <t>2019-05-30T17:52:29.387</t>
  </si>
  <si>
    <t>2019-05-31T05:49:51.230</t>
  </si>
  <si>
    <t>How to fetch certain column data from datasource?</t>
  </si>
  <si>
    <t>2019-05-31T06:10:25.277</t>
  </si>
  <si>
    <t>2019-06-01T01:59:51.287</t>
  </si>
  <si>
    <t>Display Confirmation of New Record</t>
  </si>
  <si>
    <t>2019-06-04T15:17:40.313</t>
  </si>
  <si>
    <t>How to validate uniqueness in autosave mode</t>
  </si>
  <si>
    <t>2019-06-05T08:58:29.620</t>
  </si>
  <si>
    <t>How to pass data to another widget in Google AppMaker?</t>
  </si>
  <si>
    <t>2019-06-05T20:32:19.367</t>
  </si>
  <si>
    <t>How to re-execute the query script of an App Maker Datasource</t>
  </si>
  <si>
    <t>2019-06-10T15:38:34.920</t>
  </si>
  <si>
    <t>2019-07-29T18:24:10.870</t>
  </si>
  <si>
    <t>&lt;google-apps-script&gt;&lt;google-cloud-platform&gt;&lt;google-cloud-sql&gt;&lt;google-app-maker&gt;</t>
  </si>
  <si>
    <t>2019-06-08T18:08:01.583</t>
  </si>
  <si>
    <t>Previewing failed, but deployment works</t>
  </si>
  <si>
    <t>2019-07-12T19:20:04.797</t>
  </si>
  <si>
    <t>2019-06-11T02:16:34.047</t>
  </si>
  <si>
    <t>Datasource Paging Issue (Revised Again)</t>
  </si>
  <si>
    <t>2019-06-11T02:33:40.890</t>
  </si>
  <si>
    <t>2019-06-18T13:44:54.580</t>
  </si>
  <si>
    <t>2019-06-11T07:05:12.473</t>
  </si>
  <si>
    <t>How does one import records from postgreSQL to CloudSQL via App Script inside App Maker?</t>
  </si>
  <si>
    <t>2019-07-24T15:37:20.210</t>
  </si>
  <si>
    <t>2019-06-12T14:36:26.597</t>
  </si>
  <si>
    <t>Foreign Key column missing</t>
  </si>
  <si>
    <t>2019-06-14T10:45:30.140</t>
  </si>
  <si>
    <t>2019-06-19T15:03:14.697</t>
  </si>
  <si>
    <t>&lt;mysql&gt;&lt;jdbc&gt;&lt;google-apps-script&gt;&lt;google-app-maker&gt;</t>
  </si>
  <si>
    <t>2019-06-13T09:41:41.110</t>
  </si>
  <si>
    <t>How to create several new records in another SQL table from one button-click</t>
  </si>
  <si>
    <t>2019-06-13T14:00:35.660</t>
  </si>
  <si>
    <t>2019-06-14T09:27:54.673</t>
  </si>
  <si>
    <t>How to create composite primary keys in Google Cloud SQL through App Maker</t>
  </si>
  <si>
    <t>2019-06-14T14:53:48.693</t>
  </si>
  <si>
    <t>Output groups in GSuite</t>
  </si>
  <si>
    <t>2019-06-14T18:22:11.797</t>
  </si>
  <si>
    <t>How can I set the page size for a PDF created (from HTML) and emailed using AppMaker?</t>
  </si>
  <si>
    <t>2019-06-17T14:22:54.270</t>
  </si>
  <si>
    <t>2019-06-14T18:39:52.383</t>
  </si>
  <si>
    <t>Google app maker - update itself from google sheet data</t>
  </si>
  <si>
    <t>2019-06-15T13:33:20.453</t>
  </si>
  <si>
    <t>2019-06-16T00:48:46.197</t>
  </si>
  <si>
    <t>How to programmatically link newly created records to a record from another table</t>
  </si>
  <si>
    <t>2019-06-25T10:28:34.017</t>
  </si>
  <si>
    <t>2019-06-17T14:35:50.830</t>
  </si>
  <si>
    <t>2019-06-17T19:20:17.287</t>
  </si>
  <si>
    <t>Can't link two tables correctly</t>
  </si>
  <si>
    <t>2019-06-18T09:41:07.720</t>
  </si>
  <si>
    <t>how to fix 'DocumentApp isn't defined' in googleappmaker</t>
  </si>
  <si>
    <t>2019-06-18T15:43:40.627</t>
  </si>
  <si>
    <t>2019-06-18T18:32:29.603</t>
  </si>
  <si>
    <t>2019-06-18T13:10:13.157</t>
  </si>
  <si>
    <t>Bug With CSS Animation</t>
  </si>
  <si>
    <t>2019-06-18T15:28:48.993</t>
  </si>
  <si>
    <t>2019-06-18T13:13:02.980</t>
  </si>
  <si>
    <t>How can i use a function from Apps Script bound to my docs, with my Google App Maker application?</t>
  </si>
  <si>
    <t>2019-06-26T01:51:45.283</t>
  </si>
  <si>
    <t>&lt;javascript&gt;&lt;google-docs&gt;&lt;google-app-maker&gt;</t>
  </si>
  <si>
    <t>2019-06-19T19:17:48.463</t>
  </si>
  <si>
    <t>How to let user to define LineChart limits in Google App Maker</t>
  </si>
  <si>
    <t>2019-06-20T12:47:06.597</t>
  </si>
  <si>
    <t>2019-06-24T19:20:37.507</t>
  </si>
  <si>
    <t>How to make radio group buttons display horizontally instead of vertically?</t>
  </si>
  <si>
    <t>2019-07-01T09:31:55.113</t>
  </si>
  <si>
    <t>&lt;google-app-maker&gt;&lt;radio-group&gt;</t>
  </si>
  <si>
    <t>2019-06-26T02:15:48.900</t>
  </si>
  <si>
    <t>2019-06-26T16:13:09.223</t>
  </si>
  <si>
    <t>Appmaker default Roles</t>
  </si>
  <si>
    <t>2019-06-26T16:33:37.447</t>
  </si>
  <si>
    <t>&lt;permissions&gt;&lt;google-app-maker&gt;</t>
  </si>
  <si>
    <t>2019-06-26T21:30:30.600</t>
  </si>
  <si>
    <t>Appmaker Input Form, change options based on earlier dropdown choices</t>
  </si>
  <si>
    <t>2019-06-30T17:53:31.430</t>
  </si>
  <si>
    <t>2019-06-26T21:53:58.760</t>
  </si>
  <si>
    <t>2019-07-02T14:12:47.460</t>
  </si>
  <si>
    <t>Calculated Server Script -- Sum of calculated product</t>
  </si>
  <si>
    <t>2019-07-02T21:20:51.523</t>
  </si>
  <si>
    <t>2019-07-02T20:05:56.303</t>
  </si>
  <si>
    <t>Writing JSDoc(-like) comments within an Apps Script library imported to App Maker causes it unable to be used?</t>
  </si>
  <si>
    <t>2019-07-03T15:52:11.300</t>
  </si>
  <si>
    <t>&lt;google-apps-script&gt;&lt;jsdoc&gt;&lt;google-app-maker&gt;</t>
  </si>
  <si>
    <t>2019-07-02T22:28:25.513</t>
  </si>
  <si>
    <t>More efficient way to add multiple records</t>
  </si>
  <si>
    <t>2019-08-19T14:32:24.267</t>
  </si>
  <si>
    <t>2019-07-03T01:22:42.453</t>
  </si>
  <si>
    <t>What would be the best way to create a link to a specific part of a page (widget) in Google App Maker?</t>
  </si>
  <si>
    <t>2019-07-03T02:08:45.843</t>
  </si>
  <si>
    <t>2019-07-04T16:13:37.090</t>
  </si>
  <si>
    <t>Does previewing/publishing an application created using App Maker need GCP account as well?</t>
  </si>
  <si>
    <t>2019-07-05T16:01:39.340</t>
  </si>
  <si>
    <t>&lt;google-cloud-platform&gt;&lt;google-app-maker&gt;&lt;gsuite&gt;</t>
  </si>
  <si>
    <t>2019-07-05T06:00:15.187</t>
  </si>
  <si>
    <t>Dependent dropdown in table columns / widget</t>
  </si>
  <si>
    <t>2019-07-05T06:18:41.573</t>
  </si>
  <si>
    <t>2019-07-05T07:52:30.463</t>
  </si>
  <si>
    <t>2019-07-08T22:59:19.413</t>
  </si>
  <si>
    <t>App Maker Document Approval Template : Add Default Approvers automatically</t>
  </si>
  <si>
    <t>2019-07-09T21:01:07.947</t>
  </si>
  <si>
    <t>2019-07-09T13:35:44.397</t>
  </si>
  <si>
    <t>How to filter records in Google App Maker?</t>
  </si>
  <si>
    <t>2020-05-09T11:44:27.820</t>
  </si>
  <si>
    <t>2019-07-10T13:37:58.740</t>
  </si>
  <si>
    <t>2019-07-09T17:48:52.963</t>
  </si>
  <si>
    <t>What is the User Picker behaviour for leaving people?</t>
  </si>
  <si>
    <t>2019-07-09T18:24:33.973</t>
  </si>
  <si>
    <t>Trying to filter a table datasource dynamically</t>
  </si>
  <si>
    <t>2019-07-09T20:32:33.363</t>
  </si>
  <si>
    <t>2019-07-09T22:24:09.527</t>
  </si>
  <si>
    <t>Getting User Activity Reports for a given list of users in G Suite</t>
  </si>
  <si>
    <t>2019-07-10T10:58:09.780</t>
  </si>
  <si>
    <t>&lt;javascript&gt;&lt;google-apps-script&gt;&lt;google-admin-sdk&gt;&lt;google-app-maker&gt;</t>
  </si>
  <si>
    <t>2019-07-11T14:47:51.067</t>
  </si>
  <si>
    <t>Bind Query in Datasource</t>
  </si>
  <si>
    <t>2019-07-11T17:06:24.787</t>
  </si>
  <si>
    <t>2019-07-11T15:57:01.087</t>
  </si>
  <si>
    <t>Building a query in appmaker with "or"</t>
  </si>
  <si>
    <t>2019-07-11T21:38:43.093</t>
  </si>
  <si>
    <t>2019-07-12T19:05:52.923</t>
  </si>
  <si>
    <t>How to use the widget fullpath to access widget's properties?</t>
  </si>
  <si>
    <t>2019-07-12T20:41:00.123</t>
  </si>
  <si>
    <t>2019-07-13T06:13:46.597</t>
  </si>
  <si>
    <t>2019-07-15T15:56:56.223</t>
  </si>
  <si>
    <t>Count records in already applied query</t>
  </si>
  <si>
    <t>2019-07-15T18:22:04.363</t>
  </si>
  <si>
    <t>2019-07-16T16:43:27.483</t>
  </si>
  <si>
    <t>2019-07-15T20:48:29.057</t>
  </si>
  <si>
    <t>Getting user information for a large number of G Suite users quickly with AppScript</t>
  </si>
  <si>
    <t>2019-07-15T21:01:25.513</t>
  </si>
  <si>
    <t>2019-07-30T15:47:10.807</t>
  </si>
  <si>
    <t>&lt;google-apps-script&gt;&lt;google-apps&gt;&lt;google-app-maker&gt;&lt;gsuite&gt;</t>
  </si>
  <si>
    <t>2019-07-16T16:08:58.290</t>
  </si>
  <si>
    <t>I'm trying to update value of a field from client script</t>
  </si>
  <si>
    <t>2019-07-16T17:18:36.667</t>
  </si>
  <si>
    <t>2019-07-16T18:44:27.507</t>
  </si>
  <si>
    <t>2019-07-16T16:48:55.603</t>
  </si>
  <si>
    <t>How to obtain the record ID of the selected item in a dropdown list in google app-maker</t>
  </si>
  <si>
    <t>2019-07-25T15:59:40.447</t>
  </si>
  <si>
    <t>2019-10-03T13:43:35.913</t>
  </si>
  <si>
    <t>&lt;dropdown&gt;&lt;google-app-maker&gt;&lt;dynamic-forms&gt;</t>
  </si>
  <si>
    <t>2019-07-17T23:00:37.110</t>
  </si>
  <si>
    <t>Delay changing pages</t>
  </si>
  <si>
    <t>2019-07-18T02:36:49.137</t>
  </si>
  <si>
    <t>2019-07-18T07:34:11.263</t>
  </si>
  <si>
    <t>How to color a row in table depending on time?</t>
  </si>
  <si>
    <t>2019-07-19T09:21:29.033</t>
  </si>
  <si>
    <t>2019-07-18T13:33:19.723</t>
  </si>
  <si>
    <t>2019-07-18T15:00:52.843</t>
  </si>
  <si>
    <t>how to update database fields by checking the success of sending email?</t>
  </si>
  <si>
    <t>2019-07-18T15:23:39.503</t>
  </si>
  <si>
    <t>2019-07-18T15:36:02.207</t>
  </si>
  <si>
    <t>2019-07-18T16:15:35.413</t>
  </si>
  <si>
    <t>Synchronise Google Sheets and default Google App Maker Cloud SQL database</t>
  </si>
  <si>
    <t>2019-07-19T04:49:00.410</t>
  </si>
  <si>
    <t>&lt;google-sheets&gt;&lt;triggers&gt;&lt;google-app-maker&gt;</t>
  </si>
  <si>
    <t>2019-07-20T12:42:30.570</t>
  </si>
  <si>
    <t>Database Design and comparing quantity ordered with quantities received</t>
  </si>
  <si>
    <t>2019-07-21T12:10:18.097</t>
  </si>
  <si>
    <t>2019-07-20T18:06:19.037</t>
  </si>
  <si>
    <t>In Google App Maker, how do I update a label to show the current time?</t>
  </si>
  <si>
    <t>2019-07-20T18:32:54.657</t>
  </si>
  <si>
    <t>2019-07-22T01:38:49.057</t>
  </si>
  <si>
    <t>2019-07-21T09:31:51.493</t>
  </si>
  <si>
    <t>how to install material icons in google app maker</t>
  </si>
  <si>
    <t>2020-01-13T02:50:16.127</t>
  </si>
  <si>
    <t>&lt;icons&gt;&lt;google-app-maker&gt;&lt;google-material-icons&gt;</t>
  </si>
  <si>
    <t>2019-07-23T19:42:08.870</t>
  </si>
  <si>
    <t>2019-07-21T13:21:25.257</t>
  </si>
  <si>
    <t>How to open a page to a new record (insert) vs existing (edit) using the same edit page</t>
  </si>
  <si>
    <t>2019-07-21T14:42:14.350</t>
  </si>
  <si>
    <t>&lt;insert&gt;&lt;edit&gt;&lt;google-app-maker&gt;</t>
  </si>
  <si>
    <t>2019-07-23T11:26:11.383</t>
  </si>
  <si>
    <t>How to avoid Limit Exceeded: Drive?</t>
  </si>
  <si>
    <t>2019-07-23T12:22:19.843</t>
  </si>
  <si>
    <t>2019-07-23T13:20:25.197</t>
  </si>
  <si>
    <t>2019-07-23T17:57:26.737</t>
  </si>
  <si>
    <t>Open Edit Page From History Page</t>
  </si>
  <si>
    <t>2019-07-23T19:24:05.573</t>
  </si>
  <si>
    <t>2019-07-23T18:18:37.243</t>
  </si>
  <si>
    <t>Change font size in Google App Maker code editor</t>
  </si>
  <si>
    <t>2019-07-23T18:23:38.063</t>
  </si>
  <si>
    <t>&lt;css&gt;&lt;font-size&gt;&lt;google-app-maker&gt;&lt;code-editor&gt;</t>
  </si>
  <si>
    <t>2019-07-23T19:52:02.107</t>
  </si>
  <si>
    <t>How do I correct the issue with AppMaker posting to Google Calendar</t>
  </si>
  <si>
    <t>2019-07-23T22:03:24.763</t>
  </si>
  <si>
    <t>2019-07-23T20:56:36.513</t>
  </si>
  <si>
    <t>How to access file binary with Google App Maker?</t>
  </si>
  <si>
    <t>2019-07-23T21:51:06.977</t>
  </si>
  <si>
    <t>How to get / use the name of 2 widgets and use them in a function?</t>
  </si>
  <si>
    <t>2019-07-24T06:18:33.943</t>
  </si>
  <si>
    <t>2019-07-24T21:28:54.810</t>
  </si>
  <si>
    <t>Bind to a list of unique items</t>
  </si>
  <si>
    <t>2019-07-24T21:58:51.420</t>
  </si>
  <si>
    <t>2019-07-25T03:12:03.520</t>
  </si>
  <si>
    <t>How to insert a record with 3 levels of relations by a server script in google app maker?</t>
  </si>
  <si>
    <t>2019-07-25T15:32:24.710</t>
  </si>
  <si>
    <t>Manually set the current item in a form</t>
  </si>
  <si>
    <t>2019-07-25T16:50:26.600</t>
  </si>
  <si>
    <t>2019-07-25T17:13:14.437</t>
  </si>
  <si>
    <t>Pulling cell data from Google Sheets to a text box or label in Google App Maker</t>
  </si>
  <si>
    <t>2019-07-25T22:00:01.483</t>
  </si>
  <si>
    <t>2019-07-26T03:07:08.730</t>
  </si>
  <si>
    <t>Conditional Row Color &amp; Maximum call stack size exceeded</t>
  </si>
  <si>
    <t>2019-07-30T09:22:26.470</t>
  </si>
  <si>
    <t>2019-07-26T18:47:20.680</t>
  </si>
  <si>
    <t>what version of mysql are datasources using?</t>
  </si>
  <si>
    <t>2019-07-29T20:55:21.693</t>
  </si>
  <si>
    <t>2019-07-27T02:04:46.513</t>
  </si>
  <si>
    <t>How can I set approvers from separate page in the Document Approval template on Google App Maker?</t>
  </si>
  <si>
    <t>2019-07-27T14:37:56.623</t>
  </si>
  <si>
    <t>How do you connect multiple apps together in Google App Maker</t>
  </si>
  <si>
    <t>2019-07-29T20:29:16.790</t>
  </si>
  <si>
    <t>2019-07-29T08:57:41.413</t>
  </si>
  <si>
    <t>Display data from several tables in one Data table</t>
  </si>
  <si>
    <t>2019-07-29T10:21:09.733</t>
  </si>
  <si>
    <t>2019-07-29T14:38:32.050</t>
  </si>
  <si>
    <t>How to send a notification email at 1 pm and 6 pm?</t>
  </si>
  <si>
    <t>2019-07-31T05:37:19.640</t>
  </si>
  <si>
    <t>&lt;triggers&gt;&lt;google-app-maker&gt;</t>
  </si>
  <si>
    <t>2019-07-29T21:01:19.457</t>
  </si>
  <si>
    <t>Keep getting "Server Rejected" when I try to upload a file to a Google Drive Folder</t>
  </si>
  <si>
    <t>2019-07-31T21:11:37.510</t>
  </si>
  <si>
    <t>&lt;google-app-maker&gt;&lt;google-drive-picker&gt;</t>
  </si>
  <si>
    <t>2019-07-29T23:22:58.380</t>
  </si>
  <si>
    <t>Stage vs Prod: Importing Spreadsheet Data into Production Deployment</t>
  </si>
  <si>
    <t>2019-07-30T05:14:09.017</t>
  </si>
  <si>
    <t>Sending data with email</t>
  </si>
  <si>
    <t>2019-07-30T12:56:28.717</t>
  </si>
  <si>
    <t>2019-07-30T12:25:43.317</t>
  </si>
  <si>
    <t>Adding a "New Tab" dynamically in the Tab widget in Google App Maker</t>
  </si>
  <si>
    <t>2019-07-31T11:28:56.073</t>
  </si>
  <si>
    <t>Is it possible to pass a variable from a client script to a server script?</t>
  </si>
  <si>
    <t>2019-07-31T11:34:54.197</t>
  </si>
  <si>
    <t>2019-07-31T15:00:33.573</t>
  </si>
  <si>
    <t>How to see saved data of Google cloud SQL without creating a table?</t>
  </si>
  <si>
    <t>2019-08-13T22:17:16.383</t>
  </si>
  <si>
    <t>2019-08-01T13:25:26.483</t>
  </si>
  <si>
    <t>How to refresh appmaker table on change in calendar event of a calendar(dynamic) on current day?</t>
  </si>
  <si>
    <t>2019-08-02T06:37:34.127</t>
  </si>
  <si>
    <t>&lt;google-apps-script&gt;&lt;google-calendar-api&gt;&lt;google-app-maker&gt;</t>
  </si>
  <si>
    <t>2019-08-01T15:56:10.043</t>
  </si>
  <si>
    <t>How to connect appmaker to a Google SQL over private IP?</t>
  </si>
  <si>
    <t>2019-08-01T18:27:52.937</t>
  </si>
  <si>
    <t>How can I edit data using a dynamically created radio-button based form in google-app-maker?</t>
  </si>
  <si>
    <t>2019-08-05T13:59:28.427</t>
  </si>
  <si>
    <t>&lt;radio-button&gt;&lt;google-app-maker&gt;&lt;dynamic-forms&gt;</t>
  </si>
  <si>
    <t>2019-08-01T20:08:41.120</t>
  </si>
  <si>
    <t>Selecting Item in Array</t>
  </si>
  <si>
    <t>2019-08-01T22:35:14.860</t>
  </si>
  <si>
    <t>2019-08-02T11:06:16.953</t>
  </si>
  <si>
    <t>Google App Maker not reocognising some of its own widgets</t>
  </si>
  <si>
    <t>2019-08-02T14:20:49.600</t>
  </si>
  <si>
    <t>2019-08-05T08:59:03.643</t>
  </si>
  <si>
    <t>Change Field STatus</t>
  </si>
  <si>
    <t>2019-08-07T19:40:43.580</t>
  </si>
  <si>
    <t>2019-08-05T13:41:41.460</t>
  </si>
  <si>
    <t>How add / edit / remove many to many relationships in google app maker using tables?</t>
  </si>
  <si>
    <t>2019-08-06T07:55:23.220</t>
  </si>
  <si>
    <t>&lt;many-to-many&gt;&lt;google-app-maker&gt;</t>
  </si>
  <si>
    <t>2019-08-05T14:02:41.990</t>
  </si>
  <si>
    <t>2019-08-05T17:17:35.817</t>
  </si>
  <si>
    <t>Duplicate entry unique key.... my error catching failed</t>
  </si>
  <si>
    <t>2019-08-05T21:46:43.207</t>
  </si>
  <si>
    <t>2019-08-05T23:00:32.500</t>
  </si>
  <si>
    <t>Relate calculated data model to Cloud SQL model</t>
  </si>
  <si>
    <t>2019-08-06T21:16:11.083</t>
  </si>
  <si>
    <t>2019-08-06T02:53:22.957</t>
  </si>
  <si>
    <t>2019-08-06T18:28:35.340</t>
  </si>
  <si>
    <t>How to show document icon after picking file</t>
  </si>
  <si>
    <t>2019-08-07T15:10:12.043</t>
  </si>
  <si>
    <t>&lt;google-docs&gt;&lt;google-app-maker&gt;&lt;google-drive-picker&gt;</t>
  </si>
  <si>
    <t>2019-08-07T16:34:55.760</t>
  </si>
  <si>
    <t>How do I bind the value from the Address suggest box to the customer's Address field?</t>
  </si>
  <si>
    <t>2019-08-07T17:42:36.443</t>
  </si>
  <si>
    <t>&lt;google-apps-script&gt;&lt;google-app-maker&gt;&lt;suggestbox&gt;</t>
  </si>
  <si>
    <t>2019-08-08T02:05:02.447</t>
  </si>
  <si>
    <t>App Maker Document approval template : Add Default Approvers and notify Owner the status automatically</t>
  </si>
  <si>
    <t>2019-08-11T03:14:35.930</t>
  </si>
  <si>
    <t>2019-08-16T16:54:25.180</t>
  </si>
  <si>
    <t>2019-08-08T15:57:58.050</t>
  </si>
  <si>
    <t>widget binding limit: Binding not work for data change from server side</t>
  </si>
  <si>
    <t>2019-08-09T10:43:43.103</t>
  </si>
  <si>
    <t>2019-08-08T17:25:17.143</t>
  </si>
  <si>
    <t>Save spreadsheet ID to model using Drive Picker</t>
  </si>
  <si>
    <t>2019-08-08T17:28:11.293</t>
  </si>
  <si>
    <t>2019-08-08T19:00:43.987</t>
  </si>
  <si>
    <t>How to set value from data model as parameter value in function</t>
  </si>
  <si>
    <t>2019-08-08T21:26:25.980</t>
  </si>
  <si>
    <t>Setting a value on load of a table</t>
  </si>
  <si>
    <t>2019-08-09T01:59:29.363</t>
  </si>
  <si>
    <t>Close an app created in app maker and distributed thru my organization playstore</t>
  </si>
  <si>
    <t>2019-08-09T07:36:42.457</t>
  </si>
  <si>
    <t>Save values from multi select Field</t>
  </si>
  <si>
    <t>2020-05-10T09:23:03.877</t>
  </si>
  <si>
    <t>2019-08-13T13:34:16.540</t>
  </si>
  <si>
    <t>2019-08-09T12:30:06.187</t>
  </si>
  <si>
    <t>Google AppMaker filterable columns on table that is based on calculated CloudSQL model</t>
  </si>
  <si>
    <t>2019-08-12T07:44:12.770</t>
  </si>
  <si>
    <t>2019-08-09T19:26:28.700</t>
  </si>
  <si>
    <t>Join Cloud SQL data models with aggregated field</t>
  </si>
  <si>
    <t>2019-08-12T17:40:30.440</t>
  </si>
  <si>
    <t>2019-08-12T17:26:55.240</t>
  </si>
  <si>
    <t>2019-08-12T12:53:29.897</t>
  </si>
  <si>
    <t>How to save data to REST API using a calculated model</t>
  </si>
  <si>
    <t>2019-08-13T22:08:02.497</t>
  </si>
  <si>
    <t>2019-08-13T12:04:21.833</t>
  </si>
  <si>
    <t>Changing Appmaker deployment owner</t>
  </si>
  <si>
    <t>2019-08-15T10:51:27.253</t>
  </si>
  <si>
    <t>2019-08-13T17:34:55.330</t>
  </si>
  <si>
    <t>Questions about AutoComplete in Google App Maker</t>
  </si>
  <si>
    <t>2019-08-13T18:04:48.960</t>
  </si>
  <si>
    <t>How to achieve callback functionality on saving a record when in auto save mode in google appmaker?</t>
  </si>
  <si>
    <t>2019-08-13T23:21:19.060</t>
  </si>
  <si>
    <t>2019-08-14T12:25:00.677</t>
  </si>
  <si>
    <t>Grant Google App Maker Full Google Drive API Scope / Server Rejected Error</t>
  </si>
  <si>
    <t>2019-08-14T12:33:11.053</t>
  </si>
  <si>
    <t>2019-08-14T15:43:28.970</t>
  </si>
  <si>
    <t>&lt;google-api&gt;&lt;google-drive-api&gt;&lt;google-oauth&gt;&lt;google-oauth2&gt;&lt;google-app-maker&gt;</t>
  </si>
  <si>
    <t>2019-08-14T14:35:38.530</t>
  </si>
  <si>
    <t>Is there a way to schedule mail messages using the API?</t>
  </si>
  <si>
    <t>2019-08-20T20:27:58.180</t>
  </si>
  <si>
    <t>2019-08-14T21:12:00.997</t>
  </si>
  <si>
    <t>How to get default gmail alias for e-mail sending</t>
  </si>
  <si>
    <t>2019-08-19T21:57:19.630</t>
  </si>
  <si>
    <t>Should I use App Maker's Server Script, Calculated Client, or Relations to filter data for display</t>
  </si>
  <si>
    <t>2019-08-20T00:46:00.177</t>
  </si>
  <si>
    <t>2019-09-18T15:15:19.043</t>
  </si>
  <si>
    <t>2019-08-20T17:52:28.863</t>
  </si>
  <si>
    <t>Clear filter query before running next script</t>
  </si>
  <si>
    <t>2019-08-20T18:18:05.850</t>
  </si>
  <si>
    <t>2019-08-20T18:19:56.363</t>
  </si>
  <si>
    <t>2019-08-21T04:23:07.583</t>
  </si>
  <si>
    <t>How to connect relation between 2 google cloud sql table</t>
  </si>
  <si>
    <t>2019-08-21T09:44:31.283</t>
  </si>
  <si>
    <t>2019-08-22T05:25:37.800</t>
  </si>
  <si>
    <t>App maker resetting drop down values after page load</t>
  </si>
  <si>
    <t>2019-08-22T05:55:29.403</t>
  </si>
  <si>
    <t>2019-08-22T12:12:29.210</t>
  </si>
  <si>
    <t>How to document merge a parent record and all of its child records</t>
  </si>
  <si>
    <t>2019-08-22T12:23:47.710</t>
  </si>
  <si>
    <t>2019-08-22T14:29:23.293</t>
  </si>
  <si>
    <t>&lt;javascript&gt;&lt;sql&gt;&lt;google-apps-script&gt;&lt;merge&gt;&lt;google-app-maker&gt;</t>
  </si>
  <si>
    <t>2019-08-22T16:32:31.627</t>
  </si>
  <si>
    <t>Unable to make connections from a deployed App Maker app to Cloud SQL</t>
  </si>
  <si>
    <t>2019-08-22T16:38:33.943</t>
  </si>
  <si>
    <t>2019-08-22T21:59:59.013</t>
  </si>
  <si>
    <t>How to retrieve N levels of many-to-many relations?</t>
  </si>
  <si>
    <t>2019-08-23T10:30:53.927</t>
  </si>
  <si>
    <t>Create record to another table on Google App Maker</t>
  </si>
  <si>
    <t>2020-02-24T08:52:00.857</t>
  </si>
  <si>
    <t>2019-08-27T14:38:01.693</t>
  </si>
  <si>
    <t>How to make pop-up data reflect selected record?</t>
  </si>
  <si>
    <t>2019-09-06T16:10:12.170</t>
  </si>
  <si>
    <t>&lt;google-app-maker&gt;&lt;modalpopup&gt;</t>
  </si>
  <si>
    <t>2019-08-28T13:42:01.500</t>
  </si>
  <si>
    <t>2019-08-29T13:01:47.303</t>
  </si>
  <si>
    <t>AppMaker Error: "SEVERE: Failed due to circular reference." when I try to run server script for "query.sorting" a table</t>
  </si>
  <si>
    <t>2019-08-30T04:30:44.817</t>
  </si>
  <si>
    <t>2019-08-29T16:19:57.807</t>
  </si>
  <si>
    <t>Any way to find out the fields in a datasource?</t>
  </si>
  <si>
    <t>2019-08-29T16:42:38.307</t>
  </si>
  <si>
    <t>2019-09-02T08:57:27.813</t>
  </si>
  <si>
    <t>export data with relations in excel</t>
  </si>
  <si>
    <t>2019-09-03T13:46:22.340</t>
  </si>
  <si>
    <t>2019-09-04T21:45:56.030</t>
  </si>
  <si>
    <t>Using a DatePicker as a parameter in datasource script builder,</t>
  </si>
  <si>
    <t>2019-09-05T09:51:58.150</t>
  </si>
  <si>
    <t>InternalError: Cannot convert Array to number[][] - Error in App Maker</t>
  </si>
  <si>
    <t>2019-09-05T11:26:47.053</t>
  </si>
  <si>
    <t>&lt;google-app-maker&gt;&lt;converters&gt;</t>
  </si>
  <si>
    <t>2019-09-05T17:32:22.360</t>
  </si>
  <si>
    <t>How to get User Email who is submitting the form and save it</t>
  </si>
  <si>
    <t>2019-10-30T20:06:17.647</t>
  </si>
  <si>
    <t>2019-09-05T17:58:09.530</t>
  </si>
  <si>
    <t>Query Script Datasource not updating on change</t>
  </si>
  <si>
    <t>2019-09-06T10:45:21.777</t>
  </si>
  <si>
    <t>How to fix the connection error between Google App Maker and Cloud SQL: "Communications link failure"?</t>
  </si>
  <si>
    <t>2019-09-06T10:51:47.150</t>
  </si>
  <si>
    <t>2019-09-06T15:44:52.740</t>
  </si>
  <si>
    <t>Records and multithreading, converting to pass through the wall</t>
  </si>
  <si>
    <t>2019-09-06T15:49:54.457</t>
  </si>
  <si>
    <t>2019-09-06T19:24:51.253</t>
  </si>
  <si>
    <t>How can I change the icon of the checkbox widget?</t>
  </si>
  <si>
    <t>2019-09-06T20:32:30.803</t>
  </si>
  <si>
    <t>&lt;checkbox&gt;&lt;google-app-maker&gt;</t>
  </si>
  <si>
    <t>2019-09-07T10:07:16.327</t>
  </si>
  <si>
    <t>Distinguish between Preview/Publish or get Database Name</t>
  </si>
  <si>
    <t>2019-09-07T12:49:22.720</t>
  </si>
  <si>
    <t>How to force load and item by key in form?</t>
  </si>
  <si>
    <t>2019-09-07T13:30:50.767</t>
  </si>
  <si>
    <t>&lt;datasource&gt;&lt;google-app-maker&gt;</t>
  </si>
  <si>
    <t>2019-09-07T13:03:20.127</t>
  </si>
  <si>
    <t>2019-09-09T18:16:48.057</t>
  </si>
  <si>
    <t>How to generate Kanban with lists based on relationship between Item A, Item B and yet another sub-relationship with Item A?</t>
  </si>
  <si>
    <t>2019-09-10T06:54:26.970</t>
  </si>
  <si>
    <t>2019-09-10T22:16:45.257</t>
  </si>
  <si>
    <t>&lt;google-app-maker&gt;&lt;kanban&gt;</t>
  </si>
  <si>
    <t>2019-09-09T21:51:28.343</t>
  </si>
  <si>
    <t>What is the proper to handle relations in a popup when _fk item is depreciated</t>
  </si>
  <si>
    <t>2019-09-10T09:33:15.240</t>
  </si>
  <si>
    <t>Update table based on currentYear value from dropdown (external data)</t>
  </si>
  <si>
    <t>2019-09-11T08:41:15.077</t>
  </si>
  <si>
    <t>Null on Foreign Key</t>
  </si>
  <si>
    <t>2019-09-16T10:22:35.650</t>
  </si>
  <si>
    <t>2019-09-11T09:16:47.410</t>
  </si>
  <si>
    <t>Select a record and change the value</t>
  </si>
  <si>
    <t>2019-09-11T09:37:18.850</t>
  </si>
  <si>
    <t>2019-09-11T16:01:46.833</t>
  </si>
  <si>
    <t>Integrate url parameters</t>
  </si>
  <si>
    <t>2019-09-11T16:05:16.847</t>
  </si>
  <si>
    <t>2019-09-11T19:02:03.267</t>
  </si>
  <si>
    <t>Update 2 fields onValueChange?</t>
  </si>
  <si>
    <t>2019-09-11T21:53:43.230</t>
  </si>
  <si>
    <t>2019-09-11T19:04:49.827</t>
  </si>
  <si>
    <t>2019-09-11T22:02:19.997</t>
  </si>
  <si>
    <t>How to connect two datasources to a related third datasource in client script?</t>
  </si>
  <si>
    <t>2019-09-13T17:55:40.653</t>
  </si>
  <si>
    <t>Removing focus from first record in table widget?</t>
  </si>
  <si>
    <t>2019-09-13T19:10:45.920</t>
  </si>
  <si>
    <t>2019-09-13T18:13:25.190</t>
  </si>
  <si>
    <t>2019-09-15T05:00:41.070</t>
  </si>
  <si>
    <t>How to get users first and last name?</t>
  </si>
  <si>
    <t>2019-09-15T09:25:40.050</t>
  </si>
  <si>
    <t>2019-09-15T13:54:04.067</t>
  </si>
  <si>
    <t>Finding the Size of a Model in Google App Maker</t>
  </si>
  <si>
    <t>2019-09-15T14:43:10.410</t>
  </si>
  <si>
    <t>2019-09-16T14:28:41.923</t>
  </si>
  <si>
    <t>convert date from DateBox to simpleDate and get year in app maker</t>
  </si>
  <si>
    <t>2019-09-18T15:20:24.170</t>
  </si>
  <si>
    <t>How do you use query.filters.FulllName._contains on the Directory Model</t>
  </si>
  <si>
    <t>2019-09-18T20:58:19.843</t>
  </si>
  <si>
    <t>2019-09-18T15:36:43.373</t>
  </si>
  <si>
    <t>Delete data in table row?</t>
  </si>
  <si>
    <t>2019-09-19T05:12:58.870</t>
  </si>
  <si>
    <t>Unable to import date data into App Maker</t>
  </si>
  <si>
    <t>2019-09-30T21:41:33.713</t>
  </si>
  <si>
    <t>2019-09-20T09:41:52.417</t>
  </si>
  <si>
    <t>app maker: bind dropdown value to two datasource properties</t>
  </si>
  <si>
    <t>2019-09-20T13:12:05.900</t>
  </si>
  <si>
    <t>2019-09-20T16:13:36.833</t>
  </si>
  <si>
    <t>How to update a field based on the success of email sending</t>
  </si>
  <si>
    <t>2019-09-21T09:39:00.747</t>
  </si>
  <si>
    <t>Adding multiple owners for Google App Maker records</t>
  </si>
  <si>
    <t>2019-09-23T17:03:41.003</t>
  </si>
  <si>
    <t>2020-01-09T17:53:13.770</t>
  </si>
  <si>
    <t>&lt;database&gt;&lt;google-apps-script&gt;&lt;google-cloud-sql&gt;&lt;google-app-maker&gt;</t>
  </si>
  <si>
    <t>2019-09-23T16:40:49.577</t>
  </si>
  <si>
    <t>2019-09-22T23:11:24.463</t>
  </si>
  <si>
    <t>How to pass external rest api data to a model as an Array of records?</t>
  </si>
  <si>
    <t>2019-09-22T23:31:14.030</t>
  </si>
  <si>
    <t>2019-09-22T23:29:34.127</t>
  </si>
  <si>
    <t>2019-09-25T15:18:36.253</t>
  </si>
  <si>
    <t>Appmaker: How can I create and access global variables?</t>
  </si>
  <si>
    <t>2019-09-25T15:30:58.697</t>
  </si>
  <si>
    <t>2019-09-25T15:57:30.170</t>
  </si>
  <si>
    <t>Call app maker server script from Google Sheets</t>
  </si>
  <si>
    <t>2019-09-25T20:10:45.780</t>
  </si>
  <si>
    <t>2019-09-26T03:18:46.877</t>
  </si>
  <si>
    <t>Exception: Authorization Failed. More information: Unable to fetch tokens for CloudSql connection</t>
  </si>
  <si>
    <t>2019-09-26T03:38:08.993</t>
  </si>
  <si>
    <t>2019-09-26T20:23:16.907</t>
  </si>
  <si>
    <t>Google App Maker navigate to page while getting page name from data model</t>
  </si>
  <si>
    <t>2019-09-26T20:32:13.263</t>
  </si>
  <si>
    <t>2019-09-26T20:27:15.097</t>
  </si>
  <si>
    <t>2019-09-28T17:28:33.160</t>
  </si>
  <si>
    <t>Add widget to a layout when button was clicked (Google App Maker)</t>
  </si>
  <si>
    <t>2019-09-28T23:55:27.833</t>
  </si>
  <si>
    <t>Set up a domain name for Google app maker</t>
  </si>
  <si>
    <t>2019-10-03T14:44:12.780</t>
  </si>
  <si>
    <t>&lt;dns&gt;&lt;google-app-maker&gt;&lt;gsuite&gt;</t>
  </si>
  <si>
    <t>2019-09-29T12:58:51.647</t>
  </si>
  <si>
    <t>2019-09-29T00:41:40.067</t>
  </si>
  <si>
    <t>2019-09-30T19:50:16.257</t>
  </si>
  <si>
    <t>Many-to-Many Relation Table Reference in Calculated SQL Query - App Maker</t>
  </si>
  <si>
    <t>2019-09-30T20:40:07.907</t>
  </si>
  <si>
    <t>2019-10-31T08:30:40.740</t>
  </si>
  <si>
    <t>2019-10-01T14:37:57.767</t>
  </si>
  <si>
    <t>2019-10-01T02:37:11.790</t>
  </si>
  <si>
    <t>Filter only data associated to my Email address in the table (Google App Maker)</t>
  </si>
  <si>
    <t>2019-10-01T08:40:30.803</t>
  </si>
  <si>
    <t>Appmaker: How to validate my data on the server-side before creating a record?</t>
  </si>
  <si>
    <t>&lt;validation&gt;&lt;server&gt;&lt;client&gt;&lt;google-app-maker&gt;</t>
  </si>
  <si>
    <t>2019-10-01T10:16:19.043</t>
  </si>
  <si>
    <t>How to send data from table to popup</t>
  </si>
  <si>
    <t>2019-10-02T11:34:59.827</t>
  </si>
  <si>
    <t>Appmaker Reloading datasource on onInputChange event issue</t>
  </si>
  <si>
    <t>2019-10-02T13:19:11.977</t>
  </si>
  <si>
    <t>2019-10-02T16:35:13.247</t>
  </si>
  <si>
    <t>Only able to access first record in a query</t>
  </si>
  <si>
    <t>2019-10-02T16:38:13.960</t>
  </si>
  <si>
    <t>2019-10-02T19:13:37.040</t>
  </si>
  <si>
    <t>2019-10-03T11:41:48.667</t>
  </si>
  <si>
    <t>How to apply query / filter on a datasource related to the currently selected datasource?</t>
  </si>
  <si>
    <t>2019-10-04T09:27:50.100</t>
  </si>
  <si>
    <t>&lt;filtering&gt;&lt;relationship&gt;&lt;google-app-maker&gt;</t>
  </si>
  <si>
    <t>2019-10-03T14:37:15.537</t>
  </si>
  <si>
    <t>App maker override server side error message</t>
  </si>
  <si>
    <t>2019-10-03T17:27:35.677</t>
  </si>
  <si>
    <t>2019-10-03T17:47:34.320</t>
  </si>
  <si>
    <t>AppMaker error say "The instance must be a 2nd generation SQL database" but it is a 2nd gen</t>
  </si>
  <si>
    <t>2019-10-03T22:29:50.183</t>
  </si>
  <si>
    <t>Preview mode show data byt publish shows no data</t>
  </si>
  <si>
    <t>2019-10-03T22:32:48.407</t>
  </si>
  <si>
    <t>2019-10-04T07:53:43.970</t>
  </si>
  <si>
    <t>How to input data to foreign field?</t>
  </si>
  <si>
    <t>2019-10-05T19:13:48.670</t>
  </si>
  <si>
    <t>com.google.apps.appmaker.shared.json.JsonException: JSON is not an object</t>
  </si>
  <si>
    <t>2019-10-08T14:12:04.343</t>
  </si>
  <si>
    <t>&lt;json&gt;&lt;google-app-maker&gt;</t>
  </si>
  <si>
    <t>2019-10-07T16:51:07.687</t>
  </si>
  <si>
    <t>How to incorporate Html in client script code?</t>
  </si>
  <si>
    <t>2019-10-07T17:06:22.073</t>
  </si>
  <si>
    <t>2019-10-09T04:27:26.600</t>
  </si>
  <si>
    <t>Issue with relation when creating record</t>
  </si>
  <si>
    <t>2019-10-09T13:23:41.127</t>
  </si>
  <si>
    <t>2019-10-09T13:45:48.157</t>
  </si>
  <si>
    <t>2019-10-10T07:17:29.310</t>
  </si>
  <si>
    <t>How to make tables in Google App Maker flow horizontally</t>
  </si>
  <si>
    <t>2019-10-10T07:26:13.793</t>
  </si>
  <si>
    <t>2019-10-10T13:10:40.283</t>
  </si>
  <si>
    <t>Appmaker: App does not saves record to database?</t>
  </si>
  <si>
    <t>&lt;javascript&gt;&lt;save&gt;&lt;google-app-maker&gt;</t>
  </si>
  <si>
    <t>2019-10-10T14:41:20.697</t>
  </si>
  <si>
    <t>Appmaker: How can I get the ID of an item i just created, on client side?</t>
  </si>
  <si>
    <t>2019-10-10T15:09:21.080</t>
  </si>
  <si>
    <t>&lt;javascript&gt;&lt;server&gt;&lt;client&gt;&lt;google-app-maker&gt;</t>
  </si>
  <si>
    <t>2019-10-11T03:46:30.570</t>
  </si>
  <si>
    <t>Google App Maker performance issue when working with multiple people</t>
  </si>
  <si>
    <t>2019-10-11T06:27:29.120</t>
  </si>
  <si>
    <t>2019-10-14T13:43:31.463</t>
  </si>
  <si>
    <t>How to hide the null item option in appmaker radio group when allowNull=true and field is boolean?</t>
  </si>
  <si>
    <t>2019-10-14T19:31:49.383</t>
  </si>
  <si>
    <t>2019-10-14T14:21:28.567</t>
  </si>
  <si>
    <t>2019-10-14T15:23:26.760</t>
  </si>
  <si>
    <t>Google App Maker : from api to wigets, no database</t>
  </si>
  <si>
    <t>2019-10-15T19:22:43.493</t>
  </si>
  <si>
    <t>Google App Maker Server side scripting, the basics</t>
  </si>
  <si>
    <t>2019-10-16T17:44:24.893</t>
  </si>
  <si>
    <t>Is there any formal documentation for Google App Maker syntax?</t>
  </si>
  <si>
    <t>2019-10-16T17:51:09.920</t>
  </si>
  <si>
    <t>2019-10-16T17:59:37.493</t>
  </si>
  <si>
    <t>&lt;javascript&gt;&lt;data-binding&gt;&lt;syntax&gt;&lt;google-app-maker&gt;</t>
  </si>
  <si>
    <t>2019-10-17T14:59:20.950</t>
  </si>
  <si>
    <t>User Picker to field values</t>
  </si>
  <si>
    <t>2019-10-17T20:03:53.437</t>
  </si>
  <si>
    <t>2019-10-18T09:25:11.317</t>
  </si>
  <si>
    <t>Appmaker: Multiple filters from a search bar on a table?</t>
  </si>
  <si>
    <t>2019-10-18T16:19:09.780</t>
  </si>
  <si>
    <t>&lt;javascript&gt;&lt;binding&gt;&lt;google-app-maker&gt;</t>
  </si>
  <si>
    <t>2019-10-18T11:56:36.343</t>
  </si>
  <si>
    <t>2019-10-19T19:04:29.940</t>
  </si>
  <si>
    <t>How can I connect to Google Cloud SQL database as an external mysql database from Google App Maker?</t>
  </si>
  <si>
    <t>2019-10-22T16:44:22.157</t>
  </si>
  <si>
    <t>2019-10-19T21:29:12.920</t>
  </si>
  <si>
    <t>Google Appmaker calculated fields Dates , calculated sql usage</t>
  </si>
  <si>
    <t>&lt;google-apps-script&gt;&lt;google-cloud-sql&gt;&lt;google-app-maker&gt;&lt;google-data-studio&gt;</t>
  </si>
  <si>
    <t>2019-10-21T14:11:52.340</t>
  </si>
  <si>
    <t>Select start page based on button clicked in Google app maker</t>
  </si>
  <si>
    <t>2019-10-21T14:56:07.150</t>
  </si>
  <si>
    <t>Grid cell is collecting data before start searching</t>
  </si>
  <si>
    <t>2019-10-21T18:38:16.780</t>
  </si>
  <si>
    <t>Appmaker Navigate to a dynamic page</t>
  </si>
  <si>
    <t>2019-10-21T18:41:09.920</t>
  </si>
  <si>
    <t>2019-10-22T01:55:38.410</t>
  </si>
  <si>
    <t>Showing related data in a list</t>
  </si>
  <si>
    <t>2019-10-24T07:50:24.813</t>
  </si>
  <si>
    <t>2019-10-22T03:38:27.147</t>
  </si>
  <si>
    <t>Google APP MAKER, Changing a TRUE/FALSE statement in an image</t>
  </si>
  <si>
    <t>2019-10-22T13:13:05.670</t>
  </si>
  <si>
    <t>2019-10-22T19:45:37.307</t>
  </si>
  <si>
    <t>dropdown only shows a single "page" of data</t>
  </si>
  <si>
    <t>2019-10-24T04:12:18.787</t>
  </si>
  <si>
    <t>&lt;google-app-maker&gt;&lt;dropdownbox&gt;</t>
  </si>
  <si>
    <t>2019-10-22T20:30:43.630</t>
  </si>
  <si>
    <t>2019-10-22T20:47:17.287</t>
  </si>
  <si>
    <t>App Maker: Sending Email, client script to server script function not working. Failed due to illegal value in property: a</t>
  </si>
  <si>
    <t>2019-10-22T21:01:31.643</t>
  </si>
  <si>
    <t>2019-10-22T21:06:18.743</t>
  </si>
  <si>
    <t>2019-10-23T17:49:36.347</t>
  </si>
  <si>
    <t>Freeze/float cell while keeping other cell scrollable</t>
  </si>
  <si>
    <t>2019-10-24T07:28:52.910</t>
  </si>
  <si>
    <t>2019-10-24T07:11:23.880</t>
  </si>
  <si>
    <t>2019-10-24T17:34:14.763</t>
  </si>
  <si>
    <t>In app maker, how can I clear a column sort?</t>
  </si>
  <si>
    <t>2019-10-24T18:27:40.930</t>
  </si>
  <si>
    <t>2019-10-27T14:57:48.607</t>
  </si>
  <si>
    <t>Google App Maker - Filtering Tables on load</t>
  </si>
  <si>
    <t>2019-10-28T15:42:10.250</t>
  </si>
  <si>
    <t>Appmaker Typeerror suggests _equals method is a property I cannot call</t>
  </si>
  <si>
    <t>2019-10-31T17:46:02.317</t>
  </si>
  <si>
    <t>&lt;javascript&gt;&lt;backend&gt;&lt;google-app-maker&gt;</t>
  </si>
  <si>
    <t>2019-10-28T16:22:52.137</t>
  </si>
  <si>
    <t>How do you use a variable in a regular expression and manipulate the variable?</t>
  </si>
  <si>
    <t>2019-10-28T16:25:29.437</t>
  </si>
  <si>
    <t>2019-10-28T21:21:37.307</t>
  </si>
  <si>
    <t>2019-10-28T18:35:54.520</t>
  </si>
  <si>
    <t>Concurrent users and variables</t>
  </si>
  <si>
    <t>2019-10-29T06:43:27.050</t>
  </si>
  <si>
    <t>Dropdown menu can not save to datasource</t>
  </si>
  <si>
    <t>2020-02-24T07:49:16.153</t>
  </si>
  <si>
    <t>2019-10-29T14:52:01.547</t>
  </si>
  <si>
    <t>Is there a script or binding that I can use to make a text box read only?</t>
  </si>
  <si>
    <t>2019-11-08T19:41:11.513</t>
  </si>
  <si>
    <t>2019-10-30T15:22:33.707</t>
  </si>
  <si>
    <t>On a simple Appmaker page - how can we retrieve data from the directory based on input with the userpicker and display it in an other field?</t>
  </si>
  <si>
    <t>2019-10-31T19:36:58.737</t>
  </si>
  <si>
    <t>2019-10-30T15:54:31.833</t>
  </si>
  <si>
    <t>In App Maker, can you fake valueIsRecord with a dropdown field?</t>
  </si>
  <si>
    <t>2019-10-30T16:03:37.307</t>
  </si>
  <si>
    <t>2019-10-30T19:37:30.400</t>
  </si>
  <si>
    <t>what's the way to get Timestamp in Google App maker?</t>
  </si>
  <si>
    <t>2019-10-30T20:51:42.943</t>
  </si>
  <si>
    <t>2019-10-30T20:59:21.897</t>
  </si>
  <si>
    <t>2019-10-30T19:56:53.850</t>
  </si>
  <si>
    <t>GSuite Appmaker - how to set default value in table using button</t>
  </si>
  <si>
    <t>2019-10-31T13:32:26.377</t>
  </si>
  <si>
    <t>2019-10-30T22:04:02.997</t>
  </si>
  <si>
    <t>2019-10-31T15:48:43.680</t>
  </si>
  <si>
    <t>In App Maker, how do you make dynamic table cell text?</t>
  </si>
  <si>
    <t>2020-02-25T06:23:06.220</t>
  </si>
  <si>
    <t>2019-11-01T13:27:13.783</t>
  </si>
  <si>
    <t>2019-10-31T16:00:43.700</t>
  </si>
  <si>
    <t>Is it possible to create an input widget in app maker? Or how to make a multiselect with numbers?</t>
  </si>
  <si>
    <t>2019-11-04T09:16:14.953</t>
  </si>
  <si>
    <t>2019-10-31T18:35:39.047</t>
  </si>
  <si>
    <t>Using a checkbox to filter a Boolean on table view. Inherited (relation) datasource</t>
  </si>
  <si>
    <t>2019-11-04T15:01:53.837</t>
  </si>
  <si>
    <t>Google App Make: Unable to choose Cloud SQL option for deployment</t>
  </si>
  <si>
    <t>2019-11-18T21:25:56.300</t>
  </si>
  <si>
    <t>2019-11-04T18:00:07.210</t>
  </si>
  <si>
    <t>Can Google App Maker connect to MS SqlServer Database in Azure?</t>
  </si>
  <si>
    <t>2019-11-05T01:56:38.510</t>
  </si>
  <si>
    <t>&lt;sql-server&gt;&lt;jdbc&gt;&lt;azure-sql-database&gt;&lt;google-app-maker&gt;</t>
  </si>
  <si>
    <t>2019-11-04T21:18:14.847</t>
  </si>
  <si>
    <t>onValueChange not being activated by a script change on load</t>
  </si>
  <si>
    <t>2019-11-05T21:52:34.873</t>
  </si>
  <si>
    <t>2019-11-05T21:35:47.473</t>
  </si>
  <si>
    <t>Programmatic way to change page size</t>
  </si>
  <si>
    <t>2019-11-05T23:15:23.650</t>
  </si>
  <si>
    <t>2019-11-05T22:16:03.057</t>
  </si>
  <si>
    <t>Query multiple datasources in Google AppMaker from single search box</t>
  </si>
  <si>
    <t>2019-11-06T12:46:13.223</t>
  </si>
  <si>
    <t>Drive picker in Google App Maker stopped working</t>
  </si>
  <si>
    <t>2019-11-06T19:13:53.060</t>
  </si>
  <si>
    <t>2019-11-06T18:41:22.637</t>
  </si>
  <si>
    <t>How to fix the position of the label of textbox In Google app maker?</t>
  </si>
  <si>
    <t>2019-11-07T10:36:24.390</t>
  </si>
  <si>
    <t>can you Close a google appmaker app with code?</t>
  </si>
  <si>
    <t>2019-11-07T13:11:11.593</t>
  </si>
  <si>
    <t>2019-11-07T12:36:47.083</t>
  </si>
  <si>
    <t>How can I add a Text Area widget that the users can paste clickable URL's into?</t>
  </si>
  <si>
    <t>2019-11-07T14:51:42.187</t>
  </si>
  <si>
    <t>2019-11-08T01:10:20.607</t>
  </si>
  <si>
    <t>How do I call a REST Google Cloud API from AppMaker?</t>
  </si>
  <si>
    <t>2019-11-08T18:32:50.183</t>
  </si>
  <si>
    <t>&lt;google-cloud-platform&gt;&lt;google-app-maker&gt;&lt;google-cloud-ml&gt;&lt;google-cloud-automl&gt;</t>
  </si>
  <si>
    <t>2019-11-08T15:39:54.830</t>
  </si>
  <si>
    <t>GSuite App Maker - how to pivot datasources</t>
  </si>
  <si>
    <t>2019-11-11T22:16:37.517</t>
  </si>
  <si>
    <t>&lt;pivot&gt;&lt;google-app-maker&gt;&lt;gsuite&gt;</t>
  </si>
  <si>
    <t>2019-11-08T15:47:34.120</t>
  </si>
  <si>
    <t>How do I fix this? Relation Error - TypeError: Cannot read property - Creating new record: (Error)</t>
  </si>
  <si>
    <t>2019-11-08T19:03:41.457</t>
  </si>
  <si>
    <t>2019-11-18T21:45:55.510</t>
  </si>
  <si>
    <t>2019-11-08T17:28:25.763</t>
  </si>
  <si>
    <t>GSuite AppMaker - Populate datasource with distinct values from another table</t>
  </si>
  <si>
    <t>2019-11-14T13:51:50.533</t>
  </si>
  <si>
    <t>2019-11-10T16:58:13.993</t>
  </si>
  <si>
    <t>Appmaker: Handle several copies of a page fragment as one?</t>
  </si>
  <si>
    <t>2019-11-11T02:32:13.673</t>
  </si>
  <si>
    <t>2019-11-11T13:30:13.073</t>
  </si>
  <si>
    <t>Appmaker create pop up to choose an object</t>
  </si>
  <si>
    <t>2019-11-11T14:04:21.723</t>
  </si>
  <si>
    <t>&lt;popup&gt;&lt;google-app-maker&gt;</t>
  </si>
  <si>
    <t>2019-11-11T15:42:22.473</t>
  </si>
  <si>
    <t>Filtering unique records of a table widget datasource based on a single column in Google AppMaker</t>
  </si>
  <si>
    <t>2019-11-12T16:12:23.680</t>
  </si>
  <si>
    <t>Google AppMaker how to define page level variables</t>
  </si>
  <si>
    <t>2019-11-12T18:25:48.007</t>
  </si>
  <si>
    <t>How to get Google Chat ID in Apps Script</t>
  </si>
  <si>
    <t>2019-11-13T09:12:11.293</t>
  </si>
  <si>
    <t>&lt;google-apps-script&gt;&lt;google-app-maker&gt;&lt;google-chat&gt;</t>
  </si>
  <si>
    <t>2019-11-13T15:33:09.723</t>
  </si>
  <si>
    <t>Appmaker: Get ID of created item?</t>
  </si>
  <si>
    <t>&lt;client-side&gt;&lt;google-app-maker&gt;&lt;id&gt;</t>
  </si>
  <si>
    <t>2019-11-13T22:33:21.087</t>
  </si>
  <si>
    <t>Console preview panel - how to reset size?</t>
  </si>
  <si>
    <t>2019-11-14T00:13:05.490</t>
  </si>
  <si>
    <t>2019-11-14T21:58:37.057</t>
  </si>
  <si>
    <t>How to 'Add / Sum / Total / Calculate' dynamic tables in google app maker</t>
  </si>
  <si>
    <t>2020-02-25T08:53:56.667</t>
  </si>
  <si>
    <t>2019-11-18T22:53:16.367</t>
  </si>
  <si>
    <t>2019-11-14T22:07:43.567</t>
  </si>
  <si>
    <t>Limiting drop-down options based on lookup table</t>
  </si>
  <si>
    <t>2019-11-14T22:27:52.137</t>
  </si>
  <si>
    <t>2019-11-15T03:25:04.143</t>
  </si>
  <si>
    <t>Textbox with recomendations as you type</t>
  </si>
  <si>
    <t>2019-11-20T07:58:06.373</t>
  </si>
  <si>
    <t>2019-11-15T21:57:06.600</t>
  </si>
  <si>
    <t>Join of 3 datasources with a calculated datasource failing with deadlock</t>
  </si>
  <si>
    <t>2019-11-19T20:57:54.333</t>
  </si>
  <si>
    <t>2019-11-28T10:19:42.340</t>
  </si>
  <si>
    <t>2019-11-17T19:43:57.603</t>
  </si>
  <si>
    <t>Open hyperlink on button click, when hyperlink is in datasource</t>
  </si>
  <si>
    <t>2019-11-17T23:36:38.703</t>
  </si>
  <si>
    <t>2019-11-19T00:16:52.067</t>
  </si>
  <si>
    <t>Sub total of list based on relations</t>
  </si>
  <si>
    <t>2019-11-19T14:40:26.530</t>
  </si>
  <si>
    <t>2019-11-19T16:44:27.437</t>
  </si>
  <si>
    <t>2019-11-19T14:47:28.120</t>
  </si>
  <si>
    <t>2019-11-19T13:35:06.813</t>
  </si>
  <si>
    <t>google-app-maker - App Maker will soon deprecate the foreign key field. We recommend you use relations instead</t>
  </si>
  <si>
    <t>2019-11-19T13:44:24.233</t>
  </si>
  <si>
    <t>2019-11-19T15:26:44.070</t>
  </si>
  <si>
    <t>How do I create a data source query to display a list of certain records?</t>
  </si>
  <si>
    <t>2019-11-19T18:16:14.187</t>
  </si>
  <si>
    <t>Can onClick refresh the page?</t>
  </si>
  <si>
    <t>2019-11-19T18:59:47.903</t>
  </si>
  <si>
    <t>What is an acceptable way to print from app maker?</t>
  </si>
  <si>
    <t>2019-11-20T07:50:10.523</t>
  </si>
  <si>
    <t>2019-11-20T02:05:09.860</t>
  </si>
  <si>
    <t>How to display data for a specific month in a table？</t>
  </si>
  <si>
    <t>2019-11-26T00:33:56.643</t>
  </si>
  <si>
    <t>2019-11-20T14:40:52.523</t>
  </si>
  <si>
    <t>Call function for newly created item</t>
  </si>
  <si>
    <t>2019-11-20T23:40:01.050</t>
  </si>
  <si>
    <t>Server side script to update the page every 10 seconds</t>
  </si>
  <si>
    <t>2019-11-21T13:38:41.800</t>
  </si>
  <si>
    <t>Google App Maker - How to keep constant space between the label and input of a dropdown/textbox widget?</t>
  </si>
  <si>
    <t>2019-11-25T09:54:04.687</t>
  </si>
  <si>
    <t>2019-11-26T02:42:38.857</t>
  </si>
  <si>
    <t>2019-11-24T14:55:00.930</t>
  </si>
  <si>
    <t>Appmaker: how to set the current item to be the lastly created?</t>
  </si>
  <si>
    <t>&lt;google-app-maker&gt;&lt;currentitem&gt;</t>
  </si>
  <si>
    <t>2019-11-25T07:29:08.650</t>
  </si>
  <si>
    <t>What do I have to do to set up Google Cloud SQL with App Maker?</t>
  </si>
  <si>
    <t>2019-11-25T09:26:33.470</t>
  </si>
  <si>
    <t>2019-12-05T14:59:17.167</t>
  </si>
  <si>
    <t>2019-11-26T12:02:24.733</t>
  </si>
  <si>
    <t>Google App Maker - Button onClick read and sum up from textbox to a label</t>
  </si>
  <si>
    <t>2019-11-26T19:00:37.567</t>
  </si>
  <si>
    <t>&lt;java&gt;&lt;button&gt;&lt;textbox&gt;&lt;label&gt;&lt;google-app-maker&gt;</t>
  </si>
  <si>
    <t>2019-11-26T13:59:08.743</t>
  </si>
  <si>
    <t>2019-11-27T01:50:52.683</t>
  </si>
  <si>
    <t>Google Scope Authorizations Loop Endlessly When Previewing or Publishing Apps with Cloud SQL Database</t>
  </si>
  <si>
    <t>2019-12-15T12:23:41.077</t>
  </si>
  <si>
    <t>2019-11-27T16:11:24.323</t>
  </si>
  <si>
    <t>What is my App Maker database key/name for published apps</t>
  </si>
  <si>
    <t>2019-11-27T16:45:46.593</t>
  </si>
  <si>
    <t>2019-11-28T09:26:41.070</t>
  </si>
  <si>
    <t>I want to combine two tables and display them as one table</t>
  </si>
  <si>
    <t>2019-11-29T04:57:34.957</t>
  </si>
  <si>
    <t>How can I add all models from a Google Sql database to app maker?</t>
  </si>
  <si>
    <t>2019-12-17T13:29:01.190</t>
  </si>
  <si>
    <t>2019-11-30T17:32:12.927</t>
  </si>
  <si>
    <t>Google App Maker table query _notContains doesn't work</t>
  </si>
  <si>
    <t>2019-12-02T00:24:31.763</t>
  </si>
  <si>
    <t>2019-12-04T22:45:28.493</t>
  </si>
  <si>
    <t>2019-12-02T20:37:16.433</t>
  </si>
  <si>
    <t>How to automatically send emails through google app maker?</t>
  </si>
  <si>
    <t>2019-12-13T17:32:05.237</t>
  </si>
  <si>
    <t>2019-12-03T14:17:47.697</t>
  </si>
  <si>
    <t>2019-12-03T02:40:32.037</t>
  </si>
  <si>
    <t>How to style options in Appmaker MultiSelect Widget</t>
  </si>
  <si>
    <t>2019-12-11T21:00:30.303</t>
  </si>
  <si>
    <t>2019-12-14T11:22:57.967</t>
  </si>
  <si>
    <t>2019-12-06T15:31:08.797</t>
  </si>
  <si>
    <t>2019-12-03T19:43:44.103</t>
  </si>
  <si>
    <t>Google AppMaker how to define App level variables</t>
  </si>
  <si>
    <t>2019-12-05T12:47:29.037</t>
  </si>
  <si>
    <t>2019-12-05T13:52:13.913</t>
  </si>
  <si>
    <t>2019-12-04T23:33:51.760</t>
  </si>
  <si>
    <t>Can we use Clasp with Google App Maker to code locally and push to AM?</t>
  </si>
  <si>
    <t>&lt;google-app-maker&gt;&lt;clasp&gt;</t>
  </si>
  <si>
    <t>2019-12-05T09:55:02.777</t>
  </si>
  <si>
    <t>App Maker, How can I display each month of the year?</t>
  </si>
  <si>
    <t>&lt;charts&gt;&lt;google-app-maker&gt;</t>
  </si>
  <si>
    <t>2019-12-05T16:53:34.600</t>
  </si>
  <si>
    <t>Filtering a datasource using multi select wild character</t>
  </si>
  <si>
    <t>2019-12-05T17:26:43.513</t>
  </si>
  <si>
    <t>&lt;filtering&gt;&lt;multi-select&gt;&lt;google-app-maker&gt;</t>
  </si>
  <si>
    <t>2019-12-05T19:59:25.483</t>
  </si>
  <si>
    <t>How to get LatLng from firebase in Arraylist to build markers in Google map?</t>
  </si>
  <si>
    <t>2019-12-08T13:19:53.230</t>
  </si>
  <si>
    <t>&lt;java&gt;&lt;firebase&gt;&lt;google-maps&gt;&lt;arraylist&gt;&lt;google-app-maker&gt;</t>
  </si>
  <si>
    <t>2019-12-06T11:49:31.923</t>
  </si>
  <si>
    <t>Appmaker retrieving records upon user role</t>
  </si>
  <si>
    <t>2019-12-06T15:22:57.287</t>
  </si>
  <si>
    <t>2019-12-06T22:10:33.140</t>
  </si>
  <si>
    <t>How to clone a record and create a new records in app maker?</t>
  </si>
  <si>
    <t>2019-12-09T16:26:39.183</t>
  </si>
  <si>
    <t>2019-12-07T23:23:15.263</t>
  </si>
  <si>
    <t>Appmaker: Home Page "AppStart" upon user role</t>
  </si>
  <si>
    <t>2019-12-08T01:19:58.320</t>
  </si>
  <si>
    <t>2019-12-08T01:35:44.550</t>
  </si>
  <si>
    <t>2019-12-08T15:04:12.823</t>
  </si>
  <si>
    <t>Appmaker: send email on submit button when a specific field changes</t>
  </si>
  <si>
    <t>2019-12-10T09:05:03.807</t>
  </si>
  <si>
    <t>Create new record based on Old record on app maker</t>
  </si>
  <si>
    <t>2020-02-24T10:38:03.633</t>
  </si>
  <si>
    <t>2019-12-11T10:14:03.090</t>
  </si>
  <si>
    <t>Appmaker: Date returned from Google sheets is wrong</t>
  </si>
  <si>
    <t>2019-12-12T14:57:09.487</t>
  </si>
  <si>
    <t>2019-12-11T21:25:10.420</t>
  </si>
  <si>
    <t>Very simple if else check in Google App Maker</t>
  </si>
  <si>
    <t>2020-02-25T06:31:24.810</t>
  </si>
  <si>
    <t>2019-12-11T22:38:12.713</t>
  </si>
  <si>
    <t>2019-12-12T12:58:26.800</t>
  </si>
  <si>
    <t>Popup scrolling Issue in Google AppMaker</t>
  </si>
  <si>
    <t>2019-12-12T13:12:27.347</t>
  </si>
  <si>
    <t>&lt;scroll&gt;&lt;popup&gt;&lt;google-app-maker&gt;</t>
  </si>
  <si>
    <t>2019-12-12T13:10:30.610</t>
  </si>
  <si>
    <t>2019-12-13T10:08:44.553</t>
  </si>
  <si>
    <t>Checking a comma separated string for a value within an binding</t>
  </si>
  <si>
    <t>2019-12-13T13:03:18.493</t>
  </si>
  <si>
    <t>2019-12-13T12:28:10.923</t>
  </si>
  <si>
    <t>Google appmaker how to have a password type input (hidden text)?</t>
  </si>
  <si>
    <t>2019-12-13T14:43:40.417</t>
  </si>
  <si>
    <t>2019-12-13T17:31:32.083</t>
  </si>
  <si>
    <t>How to get an even amount of grid cells</t>
  </si>
  <si>
    <t>2019-12-15T23:32:06.160</t>
  </si>
  <si>
    <t>Google appmaker making a confirmation dialog</t>
  </si>
  <si>
    <t>2019-12-16T01:27:42.033</t>
  </si>
  <si>
    <t>2019-12-17T08:09:22.380</t>
  </si>
  <si>
    <t>Is it possible to create a custom event for calendar similar to tasks add on in calendar</t>
  </si>
  <si>
    <t>&lt;google-calendar-api&gt;&lt;google-app-maker&gt;&lt;custom-events&gt;&lt;google-tasks&gt;</t>
  </si>
  <si>
    <t>2019-12-17T10:06:50.723</t>
  </si>
  <si>
    <t>Preloading (load before attach) pages and CheckBox styling</t>
  </si>
  <si>
    <t>2020-02-26T07:25:59.430</t>
  </si>
  <si>
    <t>2019-12-17T18:50:20.530</t>
  </si>
  <si>
    <t>2019-12-17T18:01:09.840</t>
  </si>
  <si>
    <t>Google Cloud SQL setup &amp; connecting to App Maker</t>
  </si>
  <si>
    <t>2019-12-19T09:49:04.400</t>
  </si>
  <si>
    <t>2019-12-18T21:02:34.300</t>
  </si>
  <si>
    <t>How do I make a static Radio Group in Google App Maker?</t>
  </si>
  <si>
    <t>2019-12-18T21:20:09.630</t>
  </si>
  <si>
    <t>2019-12-20T06:03:15.893</t>
  </si>
  <si>
    <t>How can I call a stored procedure in Google app maker</t>
  </si>
  <si>
    <t>2019-12-20T14:42:26.933</t>
  </si>
  <si>
    <t>top 10 list display from database field</t>
  </si>
  <si>
    <t>2019-12-21T18:25:42.400</t>
  </si>
  <si>
    <t>Google AppMaker app not loading for users</t>
  </si>
  <si>
    <t>2019-12-23T11:27:12.433</t>
  </si>
  <si>
    <t>How to get all the page descendants in App Maker?</t>
  </si>
  <si>
    <t>2019-12-23T23:26:09.983</t>
  </si>
  <si>
    <t>Has anyone tried getting this signature pad to work in Google App Maker</t>
  </si>
  <si>
    <t>2019-12-27T16:15:48.810</t>
  </si>
  <si>
    <t>Is there a widget or code that will allow ios camera access?</t>
  </si>
  <si>
    <t>&lt;ios&gt;&lt;google-chrome&gt;&lt;google-app-maker&gt;</t>
  </si>
  <si>
    <t>2019-12-28T12:26:44.623</t>
  </si>
  <si>
    <t>How to make a data studio chart on projected data based on who opens the report from the appmaker app</t>
  </si>
  <si>
    <t>&lt;google-app-maker&gt;&lt;google-data-studio&gt;</t>
  </si>
  <si>
    <t>2019-12-31T19:57:02.980</t>
  </si>
  <si>
    <t>add string to app maker dropdown menu options in addition to datasource items</t>
  </si>
  <si>
    <t>2020-02-25T06:50:07.117</t>
  </si>
  <si>
    <t>&lt;dropdown&gt;&lt;options&gt;&lt;google-app-maker&gt;&lt;gsuite&gt;</t>
  </si>
  <si>
    <t>2020-01-02T21:38:44.010</t>
  </si>
  <si>
    <t>Can't access the device camera from appmaker?</t>
  </si>
  <si>
    <t>2020-01-02T23:38:35.093</t>
  </si>
  <si>
    <t>2020-01-10T08:06:07.710</t>
  </si>
  <si>
    <t>Two level dropdown</t>
  </si>
  <si>
    <t>2020-01-10T18:25:02.817</t>
  </si>
  <si>
    <t>Google App Maker: date-driven email notifications</t>
  </si>
  <si>
    <t>2020-01-15T02:12:09.097</t>
  </si>
  <si>
    <t>&lt;google-apps-script&gt;&lt;triggers&gt;&lt;google-app-maker&gt;</t>
  </si>
  <si>
    <t>2020-01-10T20:51:12.067</t>
  </si>
  <si>
    <t>Why doesn't AppMaker image widget accept camera snapshot when HTML image element will?</t>
  </si>
  <si>
    <t>2020-01-14T16:38:54.803</t>
  </si>
  <si>
    <t>Google appmaker checkbox style broken</t>
  </si>
  <si>
    <t>2020-01-15T11:04:28.193</t>
  </si>
  <si>
    <t>2020-01-16T06:51:26.583</t>
  </si>
  <si>
    <t>Relation between two tables</t>
  </si>
  <si>
    <t>2020-02-24T06:54:19.607</t>
  </si>
  <si>
    <t>2020-01-17T08:43:43.217</t>
  </si>
  <si>
    <t>Set default value for Relations table</t>
  </si>
  <si>
    <t>2020-01-17T18:47:32.163</t>
  </si>
  <si>
    <t>How can I read a zip file from Google Drive using Google App Maker?</t>
  </si>
  <si>
    <t>2020-01-21T05:07:33.340</t>
  </si>
  <si>
    <t>Put key on wrong record</t>
  </si>
  <si>
    <t>2020-02-23T20:35:56.633</t>
  </si>
  <si>
    <t>2020-01-21T16:47:57.843</t>
  </si>
  <si>
    <t>select date field from SQL datasource in appmaker based on drop down value</t>
  </si>
  <si>
    <t>2020-01-21T19:20:51.800</t>
  </si>
  <si>
    <t>2020-01-22T09:09:01.910</t>
  </si>
  <si>
    <t>Can we integrate Twilio in Google App Maker?</t>
  </si>
  <si>
    <t>2020-01-22T12:20:24.877</t>
  </si>
  <si>
    <t>2020-01-22T13:38:07.037</t>
  </si>
  <si>
    <t>Google Seach Console API authorization issue with service account</t>
  </si>
  <si>
    <t>2020-01-24T10:43:02.823</t>
  </si>
  <si>
    <t>&lt;javascript&gt;&lt;api&gt;&lt;oauth-2.0&gt;&lt;google-app-maker&gt;</t>
  </si>
  <si>
    <t>2020-01-22T18:04:46.110</t>
  </si>
  <si>
    <t>Google appmaker line chart with client-side caluclated database causes "crash"</t>
  </si>
  <si>
    <t>2020-01-22T18:22:02.340</t>
  </si>
  <si>
    <t>2020-01-22T19:59:04.193</t>
  </si>
  <si>
    <t>How to move Google App Maker app to own server?</t>
  </si>
  <si>
    <t>2020-01-22T23:21:50.250</t>
  </si>
  <si>
    <t>App maker: Return from the Drive Picker multiple selected files</t>
  </si>
  <si>
    <t>2020-01-25T14:27:28.003</t>
  </si>
  <si>
    <t>2020-01-23T08:01:29.767</t>
  </si>
  <si>
    <t>Able to delete, but no confirmation</t>
  </si>
  <si>
    <t>2020-01-27T08:51:43.217</t>
  </si>
  <si>
    <t>2020-01-24T15:20:25.470</t>
  </si>
  <si>
    <t>Saving data over time, like time series in google cloud SQL?</t>
  </si>
  <si>
    <t>2020-02-24T04:55:03.930</t>
  </si>
  <si>
    <t>&lt;sql&gt;&lt;database&gt;&lt;timestamp&gt;&lt;time-series&gt;&lt;google-app-maker&gt;</t>
  </si>
  <si>
    <t>2020-01-24T21:58:06.200</t>
  </si>
  <si>
    <t>Why is this Server side script not getting the Spreadsheet values?</t>
  </si>
  <si>
    <t>2020-01-25T00:10:43.103</t>
  </si>
  <si>
    <t>2020-01-28T11:25:34.807</t>
  </si>
  <si>
    <t>Will Google App Maker decommissioned on 2021?</t>
  </si>
  <si>
    <t>2020-01-28T14:55:44.957</t>
  </si>
  <si>
    <t>2020-01-28T14:32:54.797</t>
  </si>
  <si>
    <t>2020-01-30T12:10:22.733</t>
  </si>
  <si>
    <t>Google App Maker will soon be deprecated. What alternative will App Maker experts like Markus Malessa move to?</t>
  </si>
  <si>
    <t>2020-05-04T23:37:59.513</t>
  </si>
  <si>
    <t>2020-05-05T10:58:51.087</t>
  </si>
  <si>
    <t>2020-01-30T13:00:54.170</t>
  </si>
  <si>
    <t>2020-01-31T20:11:40.100</t>
  </si>
  <si>
    <t>How do I increase query page size of widget from the default of 100</t>
  </si>
  <si>
    <t>2020-01-31T20:17:54.970</t>
  </si>
  <si>
    <t>&lt;widget&gt;&lt;google-app-maker&gt;&lt;suggestbox&gt;</t>
  </si>
  <si>
    <t>2020-02-11T21:34:06.500</t>
  </si>
  <si>
    <t>Can this query be changed to add an or?</t>
  </si>
  <si>
    <t>2020-03-06T02:53:40.580</t>
  </si>
  <si>
    <t>I want to keep the common header or table header row from moving</t>
  </si>
  <si>
    <t>2020-03-11T20:34:08.997</t>
  </si>
  <si>
    <t>How to append a datasource in Google App Maker in realtime and on clientside?</t>
  </si>
  <si>
    <t>2020-03-11T20:44:24.180</t>
  </si>
  <si>
    <t>&lt;google-app-engine&gt;&lt;google-apps-script&gt;&lt;google-app-maker&gt;&lt;gsuite&gt;</t>
  </si>
  <si>
    <t>2020-03-13T14:58:12.213</t>
  </si>
  <si>
    <t>Can I import pictures into google app maker?</t>
  </si>
  <si>
    <t>2020-03-18T11:27:43.687</t>
  </si>
  <si>
    <t>Upload CSV file from App Maker to Big Query</t>
  </si>
  <si>
    <t>2020-03-20T11:34:37.430</t>
  </si>
  <si>
    <t>2020-04-14T12:32:23.107</t>
  </si>
  <si>
    <t>google play console ad section blank</t>
  </si>
  <si>
    <t>2020-04-14T17:57:31.743</t>
  </si>
  <si>
    <t>2020-05-10T02:58:49.140</t>
  </si>
  <si>
    <t>How to query a datasource of type DateTime MY SQL in App Maker?</t>
  </si>
  <si>
    <t>&lt;javascript&gt;&lt;mysql&gt;&lt;datetime&gt;&lt;google-apps-script&gt;&lt;google-app-maker&gt;</t>
  </si>
  <si>
    <t>2020-05-11T12:09:01.147</t>
  </si>
  <si>
    <t>Use path/slug after Web App's base url in Google Apps Script</t>
  </si>
  <si>
    <t>2020-05-11T16:06:48.817</t>
  </si>
  <si>
    <t>2020-05-11T22:26:50.530</t>
  </si>
  <si>
    <t>&lt;google-app-engine&gt;&lt;google-apps-script&gt;&lt;google-api&gt;&lt;google-app-maker&gt;</t>
  </si>
  <si>
    <t>2020-05-11T14:19:15.453</t>
  </si>
  <si>
    <t>App Maker- Records appear in multiple pages (Pagging issue)</t>
  </si>
  <si>
    <t>2020-05-12T08:05:59.343</t>
  </si>
  <si>
    <t>2020-05-23T22:02:30.660</t>
  </si>
  <si>
    <t>How to make an AppSheet report template add columns as required, depending on a list</t>
  </si>
  <si>
    <t>&lt;report&gt;&lt;google-apps&gt;&lt;google-app-maker&gt;</t>
  </si>
  <si>
    <t>2020-05-24T08:51:29.733</t>
  </si>
  <si>
    <t>In Google App Maker, how do you cause a Multi Select Widget to select all options by default?</t>
  </si>
  <si>
    <t>Mendix</t>
  </si>
  <si>
    <t>2014-08-22T15:56:00.203</t>
  </si>
  <si>
    <t>24H Dateformat Not working</t>
  </si>
  <si>
    <t>2015-03-28T14:46:04.793</t>
  </si>
  <si>
    <t>&lt;fullcalendar&gt;&lt;mendix&gt;</t>
  </si>
  <si>
    <t>2015-03-27T18:50:36.643</t>
  </si>
  <si>
    <t>Caching and AOP in Mendix: is there a uniform or standardized approach for server-side caching within a Mendix application?</t>
  </si>
  <si>
    <t>2015-03-30T15:53:33.083</t>
  </si>
  <si>
    <t>&lt;caching&gt;&lt;aop&gt;&lt;model-driven-development&gt;&lt;mendix&gt;</t>
  </si>
  <si>
    <t>2015-03-30T13:18:11.037</t>
  </si>
  <si>
    <t>2015-04-01T15:51:17.157</t>
  </si>
  <si>
    <t>Mendix: The FileManager widget and uploaded file extensions</t>
  </si>
  <si>
    <t>2015-04-02T14:19:50.883</t>
  </si>
  <si>
    <t>&lt;mendix&gt;</t>
  </si>
  <si>
    <t>2016-01-16T05:23:39.523</t>
  </si>
  <si>
    <t>How to connect Mendix to SQL Server?</t>
  </si>
  <si>
    <t>2016-01-16T08:16:26.867</t>
  </si>
  <si>
    <t>2016-02-12T08:49:53.397</t>
  </si>
  <si>
    <t>&lt;sql-server&gt;&lt;mendix&gt;</t>
  </si>
  <si>
    <t>2016-01-28T16:12:42.893</t>
  </si>
  <si>
    <t>How to determine if accessing application through mobile browser or with a PhoneGap app using Java</t>
  </si>
  <si>
    <t>2016-01-28T17:29:11.340</t>
  </si>
  <si>
    <t>&lt;java&gt;&lt;cordova&gt;&lt;mendix&gt;</t>
  </si>
  <si>
    <t>2016-11-16T21:31:33.903</t>
  </si>
  <si>
    <t>XSD getting error: 'Any' element not supported</t>
  </si>
  <si>
    <t>2016-11-17T02:55:34.583</t>
  </si>
  <si>
    <t>&lt;xml&gt;&lt;xsd&gt;&lt;schema&gt;&lt;mendix&gt;</t>
  </si>
  <si>
    <t>2016-11-17T02:49:35.910</t>
  </si>
  <si>
    <t>2017-03-28T09:41:19.047</t>
  </si>
  <si>
    <t>Dijit buttons don't work when I move to a different page</t>
  </si>
  <si>
    <t>2017-04-03T10:16:38.957</t>
  </si>
  <si>
    <t>&lt;javascript&gt;&lt;dojo&gt;&lt;mendix&gt;</t>
  </si>
  <si>
    <t>2017-04-04T12:37:05.080</t>
  </si>
  <si>
    <t>Error bar in Mendix</t>
  </si>
  <si>
    <t>2019-07-22T11:10:13.123</t>
  </si>
  <si>
    <t>2018-02-04T17:50:28.037</t>
  </si>
  <si>
    <t>iFrame block not showing up in the iPhone</t>
  </si>
  <si>
    <t>2018-02-05T15:21:16.467</t>
  </si>
  <si>
    <t>&lt;ios&gt;&lt;css&gt;&lt;iframe&gt;&lt;sass&gt;&lt;mendix&gt;</t>
  </si>
  <si>
    <t>2018-05-01T23:30:23.083</t>
  </si>
  <si>
    <t>Mendix Error Handling for Custom Error</t>
  </si>
  <si>
    <t>2018-05-08T17:52:11.603</t>
  </si>
  <si>
    <t>&lt;error-handling&gt;&lt;mendix&gt;</t>
  </si>
  <si>
    <t>2018-10-29T10:19:58.457</t>
  </si>
  <si>
    <t>Does Mendix generates a source code in any particular language, which can be edited and reused?</t>
  </si>
  <si>
    <t>2018-12-18T09:22:20.393</t>
  </si>
  <si>
    <t>&lt;development-environment&gt;&lt;mendix&gt;</t>
  </si>
  <si>
    <t>2019-02-05T10:03:27.327</t>
  </si>
  <si>
    <t>Map response data to required structure of domain model</t>
  </si>
  <si>
    <t>2019-02-06T04:07:11.453</t>
  </si>
  <si>
    <t>2019-02-07T08:07:58.583</t>
  </si>
  <si>
    <t>2019-03-13T09:02:24.387</t>
  </si>
  <si>
    <t>How to align items with background regardless of the screen size?</t>
  </si>
  <si>
    <t>2019-03-13T16:47:55.497</t>
  </si>
  <si>
    <t>&lt;android&gt;&lt;ios&gt;&lt;css&gt;&lt;sass&gt;&lt;mendix&gt;</t>
  </si>
  <si>
    <t>2019-03-26T22:14:35.430</t>
  </si>
  <si>
    <t>How to dynamically switch color themes using SASS?</t>
  </si>
  <si>
    <t>2020-04-20T23:22:42.890</t>
  </si>
  <si>
    <t>&lt;javascript&gt;&lt;html&gt;&lt;css&gt;&lt;sass&gt;&lt;mendix&gt;</t>
  </si>
  <si>
    <t>2019-03-28T23:17:39.833</t>
  </si>
  <si>
    <t>Mendix setup problem - suggested code not working</t>
  </si>
  <si>
    <t>2019-03-28T23:45:48.047</t>
  </si>
  <si>
    <t>2019-03-29T12:12:53.847</t>
  </si>
  <si>
    <t>&lt;node.js&gt;&lt;mendix&gt;</t>
  </si>
  <si>
    <t>2019-03-30T20:52:50.247</t>
  </si>
  <si>
    <t>How to solve argument for parameter assistant (WatsonServicesAssistant)?</t>
  </si>
  <si>
    <t>2019-04-01T10:05:12.503</t>
  </si>
  <si>
    <t>&lt;python&gt;&lt;curl&gt;&lt;ibm-watson&gt;&lt;mendix&gt;</t>
  </si>
  <si>
    <t>2019-04-15T08:07:20.070</t>
  </si>
  <si>
    <t>How to subscribe for device events in Mendix?</t>
  </si>
  <si>
    <t>2019-04-15T11:01:22.097</t>
  </si>
  <si>
    <t>2019-04-15T17:32:34.500</t>
  </si>
  <si>
    <t>&lt;ibm-cloud&gt;&lt;mqtt&gt;&lt;iot&gt;&lt;mendix&gt;</t>
  </si>
  <si>
    <t>2019-04-15T08:40:07.560</t>
  </si>
  <si>
    <t>2019-04-22T12:33:51.897</t>
  </si>
  <si>
    <t>How to declare a global variable in mendix?</t>
  </si>
  <si>
    <t>2019-04-24T19:59:47.877</t>
  </si>
  <si>
    <t>2019-04-26T13:41:22.327</t>
  </si>
  <si>
    <t>Data-view is not updating when entity is updated in Mendix</t>
  </si>
  <si>
    <t>2019-04-26T13:50:29.163</t>
  </si>
  <si>
    <t>2019-04-26T14:13:04.060</t>
  </si>
  <si>
    <t>2019-04-26T15:38:44.870</t>
  </si>
  <si>
    <t>How to import a widget package in Mendix?</t>
  </si>
  <si>
    <t>2019-04-26T15:46:03.247</t>
  </si>
  <si>
    <t>2019-04-26T15:40:48.007</t>
  </si>
  <si>
    <t>2019-05-01T15:42:22.690</t>
  </si>
  <si>
    <t>What does find list operation return if not found?</t>
  </si>
  <si>
    <t>user11437623</t>
  </si>
  <si>
    <t>2019-05-01T15:45:37.293</t>
  </si>
  <si>
    <t>2019-05-03T10:30:16.440</t>
  </si>
  <si>
    <t>Trying to trigger Enter programmatically in Mendix with a JavaScript Snippet Widget</t>
  </si>
  <si>
    <t>2019-07-22T15:36:28.600</t>
  </si>
  <si>
    <t>&lt;javascript&gt;&lt;jquery&gt;&lt;mendix&gt;</t>
  </si>
  <si>
    <t>2019-06-12T07:07:11.817</t>
  </si>
  <si>
    <t>Issue running MxBuild on Debian : ERROR: System.TypeLoadException: Could not load type 'Mendix.Modeler.Utility.AssemblyResolver'</t>
  </si>
  <si>
    <t>2019-08-23T13:20:42.733</t>
  </si>
  <si>
    <t>&lt;c#&gt;&lt;mono&gt;&lt;debian&gt;&lt;mendix&gt;</t>
  </si>
  <si>
    <t>2019-07-23T12:20:43.663</t>
  </si>
  <si>
    <t>How to include resources in a Mendix Pluggable Widget?</t>
  </si>
  <si>
    <t>2019-07-23T12:35:31.793</t>
  </si>
  <si>
    <t>2019-07-25T17:50:20.830</t>
  </si>
  <si>
    <t>&lt;javascript&gt;&lt;reactjs&gt;&lt;widget&gt;&lt;mendix&gt;</t>
  </si>
  <si>
    <t>2019-07-29T13:49:34.517</t>
  </si>
  <si>
    <t>Camera streaming service works only with localhost but not with IP address</t>
  </si>
  <si>
    <t>2019-07-29T14:21:46.293</t>
  </si>
  <si>
    <t>&lt;angularjs&gt;&lt;camera&gt;&lt;ip-camera&gt;&lt;mendix&gt;</t>
  </si>
  <si>
    <t>2019-09-12T05:05:12.537</t>
  </si>
  <si>
    <t>Mendix iFrame - Page not found</t>
  </si>
  <si>
    <t>2019-09-12T05:17:47.083</t>
  </si>
  <si>
    <t>&lt;iframe&gt;&lt;mendix&gt;</t>
  </si>
  <si>
    <t>2019-11-23T08:44:49.317</t>
  </si>
  <si>
    <t>PDF Tron Path error for Hybrid Android App</t>
  </si>
  <si>
    <t>2019-11-26T02:21:53.177</t>
  </si>
  <si>
    <t>&lt;android&gt;&lt;cordova&gt;&lt;phonegap&gt;&lt;pdftron&gt;&lt;mendix&gt;</t>
  </si>
  <si>
    <t>2019-11-26T05:46:05.377</t>
  </si>
  <si>
    <t>What is the difference that we are making by using Docker for Mendix?</t>
  </si>
  <si>
    <t>2019-11-26T08:26:33.920</t>
  </si>
  <si>
    <t>2020-02-10T23:08:56.723</t>
  </si>
  <si>
    <t>&lt;java&gt;&lt;docker&gt;&lt;continuous-integration&gt;&lt;mendix&gt;</t>
  </si>
  <si>
    <t>2020-02-04T18:59:03.193</t>
  </si>
  <si>
    <t>How to show two Pie Charts on the same Mendix page?</t>
  </si>
  <si>
    <t>2020-02-04T20:10:42.593</t>
  </si>
  <si>
    <t>2020-02-10T23:13:01.497</t>
  </si>
  <si>
    <t>&lt;charts&gt;&lt;entity&gt;&lt;pie-chart&gt;&lt;diagram&gt;&lt;mendix&gt;</t>
  </si>
  <si>
    <t>2020-02-13T15:01:05.740</t>
  </si>
  <si>
    <t>Error while applying context TypeError: Cannot read property 'getReferences' of null Error</t>
  </si>
  <si>
    <t>2020-02-13T15:06:25.510</t>
  </si>
  <si>
    <t>&lt;javascript&gt;&lt;java&gt;&lt;null&gt;&lt;widget&gt;&lt;mendix&gt;</t>
  </si>
  <si>
    <t>2020-02-18T16:30:25.470</t>
  </si>
  <si>
    <t>How can I use REST API authentication in Mendix?</t>
  </si>
  <si>
    <t>2020-02-19T10:54:26.960</t>
  </si>
  <si>
    <t>&lt;rest&gt;&lt;authentication&gt;&lt;bonita&gt;&lt;mendix&gt;</t>
  </si>
  <si>
    <t>2020-03-08T15:52:18.333</t>
  </si>
  <si>
    <t>XPath error - Trying to get user by name from the database (Mendix)</t>
  </si>
  <si>
    <t>2020-03-08T17:22:24.237</t>
  </si>
  <si>
    <t>&lt;database&gt;&lt;list&gt;&lt;listview&gt;&lt;xpath&gt;&lt;mendix&gt;</t>
  </si>
  <si>
    <t>2020-03-23T14:21:25.500</t>
  </si>
  <si>
    <t>I encounter a 401 unauthorized in my JMeter scripts response each time when I try to send an xas-request to a Mendix application</t>
  </si>
  <si>
    <t>2020-03-23T14:54:15.530</t>
  </si>
  <si>
    <t>2020-04-22T13:57:49.413</t>
  </si>
  <si>
    <t>&lt;jmeter&gt;&lt;fiddler&gt;&lt;mendix&gt;</t>
  </si>
  <si>
    <t>2020-05-01T18:43:39.823</t>
  </si>
  <si>
    <t>Need to Customize PhoneGap Build for Andriod ver. 6 &amp; 7</t>
  </si>
  <si>
    <t>2020-05-02T11:55:48.073</t>
  </si>
  <si>
    <t>&lt;android&gt;&lt;phonegap&gt;&lt;phonegap-cli&gt;&lt;mendix&gt;</t>
  </si>
  <si>
    <t>2020-05-13T18:55:16.150</t>
  </si>
  <si>
    <t>Mendix - Generate PDF with charts</t>
  </si>
  <si>
    <t>2020-05-18T17:55:58.517</t>
  </si>
  <si>
    <t>&lt;templates&gt;&lt;pdf&gt;&lt;pdf-generation&gt;&lt;mendix&gt;</t>
  </si>
  <si>
    <t>2020-05-18T07:07:09.900</t>
  </si>
  <si>
    <t>Outsystems</t>
  </si>
  <si>
    <t>2008-12-11T15:30:30.840</t>
  </si>
  <si>
    <t>What's the best free resource to learn about Ms IIS?</t>
  </si>
  <si>
    <t>2008-12-11T15:39:08.560</t>
  </si>
  <si>
    <t>2009-11-09T03:53:18.740</t>
  </si>
  <si>
    <t>&lt;iis&gt;&lt;outsystems&gt;</t>
  </si>
  <si>
    <t>CC BY-SA 2.5</t>
  </si>
  <si>
    <t>2008-12-11T15:32:59.553</t>
  </si>
  <si>
    <t>2009-08-06T00:38:58.153</t>
  </si>
  <si>
    <t>How do generate screen elements dynamically in the OutSystems platform?</t>
  </si>
  <si>
    <t>2013-09-17T13:14:34.833</t>
  </si>
  <si>
    <t>&lt;dynamic&gt;&lt;user-interface&gt;&lt;outsystems&gt;</t>
  </si>
  <si>
    <t>2009-08-06T09:01:43.890</t>
  </si>
  <si>
    <t>2010-06-10T15:46:56.037</t>
  </si>
  <si>
    <t>Are there any serious pitfalls to Outsystems Agile Platform?</t>
  </si>
  <si>
    <t>2010-06-10T15:52:04.923</t>
  </si>
  <si>
    <t>2015-12-18T02:13:01.803</t>
  </si>
  <si>
    <t>&lt;outsystems&gt;</t>
  </si>
  <si>
    <t>2015-01-20T16:13:32.897</t>
  </si>
  <si>
    <t>2010-06-12T01:04:39.473</t>
  </si>
  <si>
    <t>2010-10-21T18:35:31.660</t>
  </si>
  <si>
    <t>Reviews on these RAD tools</t>
  </si>
  <si>
    <t>2010-10-22T14:37:21.480</t>
  </si>
  <si>
    <t>2018-02-10T15:36:33.783</t>
  </si>
  <si>
    <t>&lt;outsystems&gt;&lt;alpha-five&gt;</t>
  </si>
  <si>
    <t>2012-09-03T04:55:51.817</t>
  </si>
  <si>
    <t>Lock any action on a page using JavaScript</t>
  </si>
  <si>
    <t>2012-09-03T05:29:39.017</t>
  </si>
  <si>
    <t>&lt;javascript&gt;&lt;html&gt;&lt;popup&gt;&lt;webpage&gt;&lt;outsystems&gt;</t>
  </si>
  <si>
    <t>2012-09-03T21:53:30.143</t>
  </si>
  <si>
    <t>2012-09-03T05:01:26.857</t>
  </si>
  <si>
    <t>2012-09-12T06:32:02.393</t>
  </si>
  <si>
    <t>CKEditor - throws 404 page not found error</t>
  </si>
  <si>
    <t>2012-09-17T10:13:13.870</t>
  </si>
  <si>
    <t>&lt;jquery&gt;&lt;ckeditor&gt;&lt;http-status-code-404&gt;&lt;outsystems&gt;</t>
  </si>
  <si>
    <t>2012-09-20T06:30:21.297</t>
  </si>
  <si>
    <t>Outsystems - tab issue</t>
  </si>
  <si>
    <t>2013-04-26T14:51:44.980</t>
  </si>
  <si>
    <t>&lt;tabs&gt;&lt;outsystems&gt;</t>
  </si>
  <si>
    <t>2012-09-24T10:13:06.313</t>
  </si>
  <si>
    <t>2012-09-24T04:55:01.320</t>
  </si>
  <si>
    <t>Fix up the column headers - Outsystems</t>
  </si>
  <si>
    <t>2012-09-24T10:36:58.637</t>
  </si>
  <si>
    <t>&lt;columnheader&gt;&lt;outsystems&gt;</t>
  </si>
  <si>
    <t>2012-10-15T09:02:41.483</t>
  </si>
  <si>
    <t>CKEditor - change availabe options</t>
  </si>
  <si>
    <t>2012-10-15T10:29:12.123</t>
  </si>
  <si>
    <t>&lt;ckeditor&gt;&lt;outsystems&gt;</t>
  </si>
  <si>
    <t>2012-10-25T07:20:08.153</t>
  </si>
  <si>
    <t>CK Editor - data loss</t>
  </si>
  <si>
    <t>2012-11-09T15:39:26.680</t>
  </si>
  <si>
    <t>2012-10-26T10:26:23.120</t>
  </si>
  <si>
    <t>Textbox default value - OutSystems</t>
  </si>
  <si>
    <t>2016-03-10T11:46:50.390</t>
  </si>
  <si>
    <t>2012-11-07T14:29:16.833</t>
  </si>
  <si>
    <t>2012-11-07T10:06:15.880</t>
  </si>
  <si>
    <t>HTML to PDF Converter issue - Outsystems</t>
  </si>
  <si>
    <t>2016-07-09T09:45:21.810</t>
  </si>
  <si>
    <t>&lt;html-to-pdf&gt;&lt;outsystems&gt;</t>
  </si>
  <si>
    <t>2012-11-26T09:30:40.227</t>
  </si>
  <si>
    <t>Slider for outsystems using jquery, javascript</t>
  </si>
  <si>
    <t>2012-11-26T10:15:38.267</t>
  </si>
  <si>
    <t>&lt;javascript&gt;&lt;jquery&gt;&lt;outsystems&gt;</t>
  </si>
  <si>
    <t>2012-11-27T04:22:54.917</t>
  </si>
  <si>
    <t>2012-11-26T09:49:55.510</t>
  </si>
  <si>
    <t>2013-01-30T06:36:54.397</t>
  </si>
  <si>
    <t>Javascript tooltip help and color change</t>
  </si>
  <si>
    <t>2013-01-30T06:40:58.673</t>
  </si>
  <si>
    <t>2013-01-30T09:50:39.450</t>
  </si>
  <si>
    <t>&lt;javascript&gt;&lt;tooltip&gt;&lt;mouseover&gt;&lt;outsystems&gt;</t>
  </si>
  <si>
    <t>2013-04-22T17:06:59.470</t>
  </si>
  <si>
    <t>Find first occurrence of pattern in regex</t>
  </si>
  <si>
    <t>user559633</t>
  </si>
  <si>
    <t>2013-04-22T17:17:52.667</t>
  </si>
  <si>
    <t>2013-04-23T08:42:45.610</t>
  </si>
  <si>
    <t>&lt;regex&gt;&lt;web-applications&gt;&lt;outsystems&gt;</t>
  </si>
  <si>
    <t>2013-04-23T07:05:46.607</t>
  </si>
  <si>
    <t>Need a component for the Column grouping - Outsystems</t>
  </si>
  <si>
    <t>2013-04-25T09:21:42.617</t>
  </si>
  <si>
    <t>2013-08-06T15:01:20.390</t>
  </si>
  <si>
    <t>2013-04-24T12:43:48.063</t>
  </si>
  <si>
    <t>2014-02-20T11:58:15.033</t>
  </si>
  <si>
    <t>How to get Service Studio to automatically add a menu item when a new page is created by intelliwarp</t>
  </si>
  <si>
    <t>2014-02-21T09:59:08.030</t>
  </si>
  <si>
    <t>2014-02-21T09:39:06.757</t>
  </si>
  <si>
    <t>2014-06-27T11:20:59.543</t>
  </si>
  <si>
    <t>Using URL Rewrite on IIS to set response's Location header</t>
  </si>
  <si>
    <t>2014-07-05T08:28:42.533</t>
  </si>
  <si>
    <t>2017-09-06T22:54:27.737</t>
  </si>
  <si>
    <t>&lt;.net&gt;&lt;iis-7&gt;&lt;nat&gt;&lt;url-rewrite-module&gt;&lt;outsystems&gt;</t>
  </si>
  <si>
    <t>2015-01-21T17:48:17.123</t>
  </si>
  <si>
    <t>Building OutsystemsNow for android on Android Studio getting dexException</t>
  </si>
  <si>
    <t>2015-01-21T20:31:55.177</t>
  </si>
  <si>
    <t>&lt;android&gt;&lt;android-gradle-plugin&gt;&lt;outsystems&gt;</t>
  </si>
  <si>
    <t>2015-03-10T11:51:55.543</t>
  </si>
  <si>
    <t>SQL-Server Query Calculating Ocupation Rate Per Month</t>
  </si>
  <si>
    <t>2015-03-10T14:12:07.787</t>
  </si>
  <si>
    <t>2015-03-10T16:34:42.933</t>
  </si>
  <si>
    <t>&lt;sql&gt;&lt;sql-server&gt;&lt;outsystems&gt;</t>
  </si>
  <si>
    <t>2015-03-10T14:21:21.753</t>
  </si>
  <si>
    <t>2015-03-13T15:18:05.430</t>
  </si>
  <si>
    <t>SQL-Server Unpivot/Pivot Example</t>
  </si>
  <si>
    <t>2015-03-13T17:04:56.093</t>
  </si>
  <si>
    <t>2015-03-13T15:58:34.847</t>
  </si>
  <si>
    <t>2015-04-22T14:12:53.820</t>
  </si>
  <si>
    <t>Advanced SQL query, need to add another table and employee ID</t>
  </si>
  <si>
    <t>2015-04-22T16:18:10.333</t>
  </si>
  <si>
    <t>2015-04-23T09:45:01.773</t>
  </si>
  <si>
    <t>&lt;sql&gt;&lt;join&gt;&lt;inner-join&gt;&lt;outer-join&gt;&lt;outsystems&gt;</t>
  </si>
  <si>
    <t>2015-04-23T08:39:07.783</t>
  </si>
  <si>
    <t>2015-06-25T14:16:02.937</t>
  </si>
  <si>
    <t>Advanced SQL Queries in Outsystems</t>
  </si>
  <si>
    <t>2015-06-25T14:25:36.347</t>
  </si>
  <si>
    <t>&lt;mysql&gt;&lt;outsystems&gt;</t>
  </si>
  <si>
    <t>2015-06-28T15:41:11.670</t>
  </si>
  <si>
    <t>Select the fields from different tables</t>
  </si>
  <si>
    <t>2015-06-30T12:52:36.817</t>
  </si>
  <si>
    <t>2015-06-30T19:27:00.390</t>
  </si>
  <si>
    <t>2015-06-29T14:21:11.373</t>
  </si>
  <si>
    <t>2015-06-29T13:01:14.643</t>
  </si>
  <si>
    <t>Select the maximum of field from different tables</t>
  </si>
  <si>
    <t>2015-06-30T18:13:30.807</t>
  </si>
  <si>
    <t>2015-06-29T13:41:02.907</t>
  </si>
  <si>
    <t>2015-06-30T18:38:42.353</t>
  </si>
  <si>
    <t>Issue in opening a module</t>
  </si>
  <si>
    <t>2015-07-01T09:26:24.583</t>
  </si>
  <si>
    <t>2015-07-14T17:42:29.423</t>
  </si>
  <si>
    <t>Active directory user log in</t>
  </si>
  <si>
    <t>2015-07-15T15:27:05.203</t>
  </si>
  <si>
    <t>2015-08-03T18:17:02.957</t>
  </si>
  <si>
    <t>Issue with Advanced Query not returning desired results</t>
  </si>
  <si>
    <t>2017-04-04T20:59:21.740</t>
  </si>
  <si>
    <t>2015-08-03T23:42:08.710</t>
  </si>
  <si>
    <t>2015-08-05T16:53:21.310</t>
  </si>
  <si>
    <t>Default value of the entity attribute</t>
  </si>
  <si>
    <t>2015-08-05T23:22:25.587</t>
  </si>
  <si>
    <t>2015-08-05T16:54:59.517</t>
  </si>
  <si>
    <t>Set the combo box special list value to other variable</t>
  </si>
  <si>
    <t>2015-08-05T18:12:23.477</t>
  </si>
  <si>
    <t>2015-08-06T23:20:57.077</t>
  </si>
  <si>
    <t>&lt;list&gt;&lt;combobox&gt;&lt;outsystems&gt;</t>
  </si>
  <si>
    <t>2015-08-06T17:32:22.520</t>
  </si>
  <si>
    <t>2015-09-03T16:28:44.687</t>
  </si>
  <si>
    <t>How to search item in outsystems input box dynamically</t>
  </si>
  <si>
    <t>2015-09-03T17:09:30.570</t>
  </si>
  <si>
    <t>2017-12-30T19:31:21.910</t>
  </si>
  <si>
    <t>2015-09-04T09:39:34.330</t>
  </si>
  <si>
    <t>2015-09-18T23:15:09.380</t>
  </si>
  <si>
    <t>store values of structure in entity using outsystems</t>
  </si>
  <si>
    <t>2015-09-20T12:44:15.290</t>
  </si>
  <si>
    <t>2015-09-21T15:13:17.727</t>
  </si>
  <si>
    <t>How to create text file in outsystems</t>
  </si>
  <si>
    <t>2015-09-21T17:16:47.473</t>
  </si>
  <si>
    <t>2015-09-22T12:59:31.730</t>
  </si>
  <si>
    <t>2015-09-22T12:49:40.830</t>
  </si>
  <si>
    <t>2015-09-22T17:55:04.230</t>
  </si>
  <si>
    <t>BPT Process Task Box</t>
  </si>
  <si>
    <t>2019-10-24T17:47:57.057</t>
  </si>
  <si>
    <t>2015-09-23T10:05:04.623</t>
  </si>
  <si>
    <t>2015-09-23T19:14:17.787</t>
  </si>
  <si>
    <t>Export data into text file in OutSystems</t>
  </si>
  <si>
    <t>2017-04-13T14:38:28.783</t>
  </si>
  <si>
    <t>2015-09-23T22:16:43.407</t>
  </si>
  <si>
    <t>How to assign structure to file content in download widget</t>
  </si>
  <si>
    <t>2015-09-24T12:06:31.840</t>
  </si>
  <si>
    <t>2015-09-24T13:55:50.417</t>
  </si>
  <si>
    <t>2015-09-24T23:13:46.920</t>
  </si>
  <si>
    <t>How to publish application in my environment that created in other environment</t>
  </si>
  <si>
    <t>2015-09-24T23:22:59.143</t>
  </si>
  <si>
    <t>2015-09-25T15:25:59.723</t>
  </si>
  <si>
    <t>2015-09-25T07:39:20.140</t>
  </si>
  <si>
    <t>2015-09-25T23:20:27.110</t>
  </si>
  <si>
    <t>how to write delete query in advance query in outsystems</t>
  </si>
  <si>
    <t>2015-09-25T23:30:10.653</t>
  </si>
  <si>
    <t>2015-09-28T07:48:00.947</t>
  </si>
  <si>
    <t>2015-09-27T21:09:23.797</t>
  </si>
  <si>
    <t>2015-09-28T22:52:34.013</t>
  </si>
  <si>
    <t>Error in advanced SQL in outsystems</t>
  </si>
  <si>
    <t>2015-09-28T22:56:44.113</t>
  </si>
  <si>
    <t>2015-10-09T23:57:29.417</t>
  </si>
  <si>
    <t>Generate PDF file of page content in OutSystems</t>
  </si>
  <si>
    <t>user4728368</t>
  </si>
  <si>
    <t>2016-05-18T15:54:07.593</t>
  </si>
  <si>
    <t>2017-04-27T14:32:45.910</t>
  </si>
  <si>
    <t>2015-12-15T14:52:52.650</t>
  </si>
  <si>
    <t>Validate mobile and phone number - outsystems</t>
  </si>
  <si>
    <t>2015-12-15T15:06:16.647</t>
  </si>
  <si>
    <t>2015-12-15T15:35:36.420</t>
  </si>
  <si>
    <t>&lt;regex&gt;&lt;outsystems&gt;</t>
  </si>
  <si>
    <t>2015-12-15T15:22:45.330</t>
  </si>
  <si>
    <t>2015-12-17T18:41:31.780</t>
  </si>
  <si>
    <t>Cannot insert duplicate key row in object with unique index . The duplicate key value. The statement has been terminated</t>
  </si>
  <si>
    <t>2015-12-17T19:06:07.023</t>
  </si>
  <si>
    <t>2015-12-18T03:06:12.447</t>
  </si>
  <si>
    <t>&lt;sql-server&gt;&lt;outsystems&gt;</t>
  </si>
  <si>
    <t>2015-12-17T19:14:26.263</t>
  </si>
  <si>
    <t>2015-12-29T12:17:39.567</t>
  </si>
  <si>
    <t>Html2PdfConverter Sample Conversion</t>
  </si>
  <si>
    <t>2015-12-29T12:22:36.763</t>
  </si>
  <si>
    <t>2017-05-23T05:35:17.243</t>
  </si>
  <si>
    <t>2016-06-03T20:59:06.987</t>
  </si>
  <si>
    <t>2015-12-29T17:24:26.337</t>
  </si>
  <si>
    <t>Print a Page in Outsystems</t>
  </si>
  <si>
    <t>2017-04-13T12:31:44.263</t>
  </si>
  <si>
    <t>2016-02-09T10:02:16.160</t>
  </si>
  <si>
    <t>2015-12-29T20:19:03.530</t>
  </si>
  <si>
    <t>Destination Action is not excecuted</t>
  </si>
  <si>
    <t>2016-02-26T19:56:54.567</t>
  </si>
  <si>
    <t>2016-01-04T17:14:59.530</t>
  </si>
  <si>
    <t>Using Dates - OutSystems</t>
  </si>
  <si>
    <t>2016-01-04T17:59:24.133</t>
  </si>
  <si>
    <t>&lt;date&gt;&lt;outsystems&gt;</t>
  </si>
  <si>
    <t>2016-01-06T11:23:14.917</t>
  </si>
  <si>
    <t>Cordova: How can I pass actions from webview page to the cordova framework (and native)</t>
  </si>
  <si>
    <t>2016-01-08T20:50:11.367</t>
  </si>
  <si>
    <t>&lt;cordova&gt;&lt;phonegap-plugins&gt;&lt;outsystems&gt;</t>
  </si>
  <si>
    <t>2016-01-07T13:34:00.787</t>
  </si>
  <si>
    <t>Email Process to send email on every other thursday(biweekly)</t>
  </si>
  <si>
    <t>2016-04-05T10:09:05.723</t>
  </si>
  <si>
    <t>2016-01-08T17:54:08.720</t>
  </si>
  <si>
    <t>2016-01-13T03:26:22.763</t>
  </si>
  <si>
    <t>Issue with the EnabledDays in the Calendar widget</t>
  </si>
  <si>
    <t>2016-03-18T16:03:30.907</t>
  </si>
  <si>
    <t>&lt;json&gt;&lt;outsystems&gt;</t>
  </si>
  <si>
    <t>2016-03-18T15:49:34.043</t>
  </si>
  <si>
    <t>2016-01-13T20:11:31.477</t>
  </si>
  <si>
    <t>How to remove specific data along with the angle brackets</t>
  </si>
  <si>
    <t>2016-01-13T20:28:57.587</t>
  </si>
  <si>
    <t>2016-01-14T20:07:17.217</t>
  </si>
  <si>
    <t>2016-01-15T15:29:33.903</t>
  </si>
  <si>
    <t>Issue with the DropDown list</t>
  </si>
  <si>
    <t>2016-02-06T15:06:24.520</t>
  </si>
  <si>
    <t>2016-01-18T17:49:48.633</t>
  </si>
  <si>
    <t>SiteRules in SEO URLs</t>
  </si>
  <si>
    <t>2016-03-05T17:25:04.373</t>
  </si>
  <si>
    <t>2016-03-05T17:17:35.230</t>
  </si>
  <si>
    <t>2016-01-29T19:22:23.103</t>
  </si>
  <si>
    <t>Get of all dates in calendar that are not in the List</t>
  </si>
  <si>
    <t>2016-01-29T19:30:40.943</t>
  </si>
  <si>
    <t>2016-02-18T08:54:32.760</t>
  </si>
  <si>
    <t>Adding folders to the eSpace Tree</t>
  </si>
  <si>
    <t>2016-02-18T09:51:54.153</t>
  </si>
  <si>
    <t>2016-02-18T13:36:21.200</t>
  </si>
  <si>
    <t>Add meta tag in &lt;head&gt;</t>
  </si>
  <si>
    <t>2016-02-18T13:43:05.660</t>
  </si>
  <si>
    <t>2016-02-18T14:37:30.393</t>
  </si>
  <si>
    <t>2016-02-18T14:10:01.907</t>
  </si>
  <si>
    <t>2016-02-24T18:01:38.910</t>
  </si>
  <si>
    <t>OutSystems TimeZone Conversion</t>
  </si>
  <si>
    <t>2016-03-05T21:26:30.713</t>
  </si>
  <si>
    <t>&lt;time&gt;&lt;timezone&gt;&lt;zone&gt;&lt;outsystems&gt;</t>
  </si>
  <si>
    <t>2016-03-03T15:24:07.437</t>
  </si>
  <si>
    <t>Select all the dates in a year</t>
  </si>
  <si>
    <t>2016-03-03T15:38:10.880</t>
  </si>
  <si>
    <t>2016-03-05T10:37:36.733</t>
  </si>
  <si>
    <t>2016-03-03T16:51:08.170</t>
  </si>
  <si>
    <t>2016-03-08T10:38:22.010</t>
  </si>
  <si>
    <t>Sending email when using Site Rules</t>
  </si>
  <si>
    <t>2016-03-09T17:14:56.653</t>
  </si>
  <si>
    <t>2016-04-04T12:20:27.073</t>
  </si>
  <si>
    <t>Use Site Property in eSpace Javascript</t>
  </si>
  <si>
    <t>2016-06-03T21:33:35.780</t>
  </si>
  <si>
    <t>&lt;javascript&gt;&lt;outsystems&gt;</t>
  </si>
  <si>
    <t>2016-05-11T17:43:17.370</t>
  </si>
  <si>
    <t>Outsystems platform: getting FullContact details for a person</t>
  </si>
  <si>
    <t>2017-04-04T22:11:03.023</t>
  </si>
  <si>
    <t>&lt;social-networking&gt;&lt;outsystems&gt;</t>
  </si>
  <si>
    <t>2017-01-26T18:33:40.747</t>
  </si>
  <si>
    <t>2016-05-23T22:16:24.037</t>
  </si>
  <si>
    <t>2016-06-08T16:11:42.363</t>
  </si>
  <si>
    <t>Issue understanding the Inner Join Or Left join</t>
  </si>
  <si>
    <t>2016-06-08T16:16:25.177</t>
  </si>
  <si>
    <t>2016-12-09T01:34:53.923</t>
  </si>
  <si>
    <t>2016-06-08T16:22:01.903</t>
  </si>
  <si>
    <t>2016-06-24T13:00:46.107</t>
  </si>
  <si>
    <t>Inserting a DropDown Menu</t>
  </si>
  <si>
    <t>2016-06-26T21:22:43.673</t>
  </si>
  <si>
    <t>2016-08-04T06:29:14.850</t>
  </si>
  <si>
    <t>Date Input field default value in Outsystems</t>
  </si>
  <si>
    <t>2016-08-04T06:41:36.730</t>
  </si>
  <si>
    <t>2016-09-08T08:58:33.100</t>
  </si>
  <si>
    <t>Request fails with HTTP 400 - Bad Request in Chrome browser</t>
  </si>
  <si>
    <t>2017-04-04T10:27:33.447</t>
  </si>
  <si>
    <t>2019-01-03T07:54:29.220</t>
  </si>
  <si>
    <t>&lt;asp.net&gt;&lt;ajax&gt;&lt;google-chrome&gt;&lt;outsystems&gt;</t>
  </si>
  <si>
    <t>2016-10-07T14:01:31.203</t>
  </si>
  <si>
    <t>OutSystems 5 - How to get values from web block</t>
  </si>
  <si>
    <t>2019-11-05T14:10:51.477</t>
  </si>
  <si>
    <t>2016-10-09T20:58:20.873</t>
  </si>
  <si>
    <t>2016-10-27T06:14:13.420</t>
  </si>
  <si>
    <t>How to return time from Date Time data type?</t>
  </si>
  <si>
    <t>2016-10-27T06:18:11.887</t>
  </si>
  <si>
    <t>2016-11-29T17:23:52.863</t>
  </si>
  <si>
    <t>GetEntryURL in the Destination of a link</t>
  </si>
  <si>
    <t>2016-12-05T16:21:24.423</t>
  </si>
  <si>
    <t>&lt;asp.net&gt;&lt;outsystems&gt;</t>
  </si>
  <si>
    <t>2016-12-05T00:00:13.123</t>
  </si>
  <si>
    <t>2016-12-15T21:49:37.870</t>
  </si>
  <si>
    <t>Is there a drag and drop Bootstrap UI editor like SilkUI for Visual Studio?</t>
  </si>
  <si>
    <t>2016-12-28T15:38:52.203</t>
  </si>
  <si>
    <t>&lt;user-interface&gt;&lt;editor&gt;&lt;bootstrapping&gt;&lt;outsystems&gt;</t>
  </si>
  <si>
    <t>2016-12-15T22:24:32.453</t>
  </si>
  <si>
    <t>2016-12-27T19:41:34.093</t>
  </si>
  <si>
    <t>Trying to use a composite unique index instead of a composite unique identifier</t>
  </si>
  <si>
    <t>2016-12-27T19:50:03.457</t>
  </si>
  <si>
    <t>2016-12-28T16:42:57.793</t>
  </si>
  <si>
    <t>2017-01-04T17:31:43.163</t>
  </si>
  <si>
    <t>How to access site or session variable value in java script out systems?</t>
  </si>
  <si>
    <t>2018-03-30T12:53:17.850</t>
  </si>
  <si>
    <t>2017-01-23T18:28:11.053</t>
  </si>
  <si>
    <t>Outsystems: configuring a connection to access a MySQL database</t>
  </si>
  <si>
    <t>2017-03-12T13:56:31.830</t>
  </si>
  <si>
    <t>&lt;mysql&gt;&lt;database&gt;&lt;database-connection&gt;&lt;connection-string&gt;&lt;outsystems&gt;</t>
  </si>
  <si>
    <t>2017-01-24T09:17:55.797</t>
  </si>
  <si>
    <t>2017-02-01T16:19:34.993</t>
  </si>
  <si>
    <t>Could not create foreign key constraint. There are 'NIF' values of entity x (new table) with no corresponding value in entity y</t>
  </si>
  <si>
    <t>2017-02-01T19:13:53.003</t>
  </si>
  <si>
    <t>2017-02-02T17:31:15.530</t>
  </si>
  <si>
    <t>2017-02-03T09:00:59.700</t>
  </si>
  <si>
    <t>How to fix invalid 'Invalid column name' after adding a column in the table</t>
  </si>
  <si>
    <t>2017-02-03T09:18:53.530</t>
  </si>
  <si>
    <t>2017-02-06T01:26:43.267</t>
  </si>
  <si>
    <t>2017-03-06T07:15:10.490</t>
  </si>
  <si>
    <t>Why does right-click-&gt;View Data on Entity not show all fields</t>
  </si>
  <si>
    <t>2017-03-06T10:01:36.020</t>
  </si>
  <si>
    <t>2017-03-06T11:06:00.257</t>
  </si>
  <si>
    <t>System.ServiceModel.FaultException: Server was unable to process request. ---&gt; ... with key 0 was not found</t>
  </si>
  <si>
    <t>2017-03-07T06:23:57.810</t>
  </si>
  <si>
    <t>&lt;web-services&gt;&lt;outsystems&gt;</t>
  </si>
  <si>
    <t>2017-03-14T22:06:13.200</t>
  </si>
  <si>
    <t>count word pages from byte array</t>
  </si>
  <si>
    <t>2017-03-15T16:30:54.850</t>
  </si>
  <si>
    <t>2017-03-22T16:39:26.270</t>
  </si>
  <si>
    <t>&lt;c#&gt;&lt;.net&gt;&lt;visual-studio&gt;&lt;outsystems&gt;</t>
  </si>
  <si>
    <t>2017-03-16T13:21:21.597</t>
  </si>
  <si>
    <t>2017-03-16T13:40:03.413</t>
  </si>
  <si>
    <t>Why does the IDE break aggregates after recovery of modules?</t>
  </si>
  <si>
    <t>2018-01-17T14:44:46.607</t>
  </si>
  <si>
    <t>2017-03-17T06:42:36.863</t>
  </si>
  <si>
    <t>2017-04-19T12:55:24.000</t>
  </si>
  <si>
    <t>Outsystems common menu</t>
  </si>
  <si>
    <t>2018-01-17T14:39:05.910</t>
  </si>
  <si>
    <t>2017-04-20T09:58:29.523</t>
  </si>
  <si>
    <t>2017-04-25T12:48:01.260</t>
  </si>
  <si>
    <t>Logout functionality in OutSystems</t>
  </si>
  <si>
    <t>2017-04-26T19:44:20.170</t>
  </si>
  <si>
    <t>2017-09-07T13:37:13.117</t>
  </si>
  <si>
    <t>&lt;logout&gt;&lt;outsystems&gt;</t>
  </si>
  <si>
    <t>2017-05-12T23:25:32.560</t>
  </si>
  <si>
    <t>How to obtain list in sql query</t>
  </si>
  <si>
    <t>2017-05-12T23:32:12.190</t>
  </si>
  <si>
    <t>2017-05-13T02:37:32.177</t>
  </si>
  <si>
    <t>&lt;sql&gt;&lt;count&gt;&lt;outsystems&gt;</t>
  </si>
  <si>
    <t>2017-05-18T14:38:47.480</t>
  </si>
  <si>
    <t>Outsystems - binary data to image widget</t>
  </si>
  <si>
    <t>2020-02-24T16:01:57.950</t>
  </si>
  <si>
    <t>2017-05-22T11:42:43.353</t>
  </si>
  <si>
    <t>Outsystems: How to pass JSON object/string as HTTP header in consuming REST API</t>
  </si>
  <si>
    <t>2020-04-26T17:20:09.760</t>
  </si>
  <si>
    <t>2017-06-15T06:32:52.373</t>
  </si>
  <si>
    <t>How to retrieve a value from an external page?</t>
  </si>
  <si>
    <t>&lt;javascript&gt;&lt;integration&gt;&lt;outsystems&gt;</t>
  </si>
  <si>
    <t>2017-06-21T15:14:25.217</t>
  </si>
  <si>
    <t>OutSystems e-mail fails after 100s</t>
  </si>
  <si>
    <t>2017-06-22T04:34:07.983</t>
  </si>
  <si>
    <t>&lt;email&gt;&lt;timeout&gt;&lt;outsystems&gt;</t>
  </si>
  <si>
    <t>2017-06-22T00:57:48.243</t>
  </si>
  <si>
    <t>2017-07-20T08:48:19.507</t>
  </si>
  <si>
    <t>Do I have the latest version of an OutSystems forge component?</t>
  </si>
  <si>
    <t>2017-07-22T19:53:22.980</t>
  </si>
  <si>
    <t>2017-07-21T19:34:47.203</t>
  </si>
  <si>
    <t>2017-07-24T13:20:52.057</t>
  </si>
  <si>
    <t>How can I reduce the file size of my forge extension (.xif)?</t>
  </si>
  <si>
    <t>2017-07-25T09:03:43.297</t>
  </si>
  <si>
    <t>2017-08-30T08:28:58.500</t>
  </si>
  <si>
    <t>Workaround for CSS variables in IE?</t>
  </si>
  <si>
    <t>2018-09-20T07:03:21.817</t>
  </si>
  <si>
    <t>2020-02-21T04:25:27.763</t>
  </si>
  <si>
    <t>&lt;css&gt;&lt;internet-explorer&gt;&lt;outsystems&gt;</t>
  </si>
  <si>
    <t>2017-09-05T15:31:28.037</t>
  </si>
  <si>
    <t>Validate Structure Mandatory Attributes in OutSystems</t>
  </si>
  <si>
    <t>2018-03-30T12:39:53.477</t>
  </si>
  <si>
    <t>&lt;validation&gt;&lt;outsystems&gt;</t>
  </si>
  <si>
    <t>2017-09-07T07:14:18.533</t>
  </si>
  <si>
    <t>Refresh UI component on DB update</t>
  </si>
  <si>
    <t>2017-09-07T17:05:21.963</t>
  </si>
  <si>
    <t>2017-09-13T09:25:56.727</t>
  </si>
  <si>
    <t>Using JSignature to return strokes</t>
  </si>
  <si>
    <t>2017-09-14T11:22:49.230</t>
  </si>
  <si>
    <t>&lt;canvas&gt;&lt;outsystems&gt;&lt;jsignature&gt;</t>
  </si>
  <si>
    <t>2017-09-14T05:53:03.197</t>
  </si>
  <si>
    <t>Integrating Cordova plugin in Outsystems</t>
  </si>
  <si>
    <t>2017-09-20T15:30:26.743</t>
  </si>
  <si>
    <t>&lt;cordova&gt;&lt;cordova-plugins&gt;&lt;tesseract&gt;&lt;outsystems&gt;</t>
  </si>
  <si>
    <t>2017-09-15T11:42:52.760</t>
  </si>
  <si>
    <t>Convert Postman call into normal API call</t>
  </si>
  <si>
    <t>&lt;rest&gt;&lt;postman&gt;&lt;outsystems&gt;</t>
  </si>
  <si>
    <t>2017-10-03T09:47:19.120</t>
  </si>
  <si>
    <t>Yammer authentication issues</t>
  </si>
  <si>
    <t>2017-10-04T09:09:42.957</t>
  </si>
  <si>
    <t>&lt;json&gt;&lt;api&gt;&lt;yammer&gt;&lt;outsystems&gt;</t>
  </si>
  <si>
    <t>2017-10-11T07:11:50.523</t>
  </si>
  <si>
    <t>How to Integrate OutSystems to MuleSoft?</t>
  </si>
  <si>
    <t>2018-08-09T14:43:23.563</t>
  </si>
  <si>
    <t>&lt;mule&gt;&lt;middleware&gt;&lt;outsystems&gt;&lt;eai&gt;</t>
  </si>
  <si>
    <t>2017-10-13T15:15:27.790</t>
  </si>
  <si>
    <t>How do I set the z-index of a specific select2</t>
  </si>
  <si>
    <t>2017-10-13T15:20:08.483</t>
  </si>
  <si>
    <t>2018-01-22T15:58:34.200</t>
  </si>
  <si>
    <t>&lt;css&gt;&lt;jquery-select2&gt;&lt;outsystems&gt;</t>
  </si>
  <si>
    <t>2017-11-27T16:02:02.263</t>
  </si>
  <si>
    <t>Extract Data from Google trends</t>
  </si>
  <si>
    <t>2018-04-02T18:12:40.480</t>
  </si>
  <si>
    <t>&lt;javascript&gt;&lt;jquery&gt;&lt;google-trends&gt;&lt;outsystems&gt;</t>
  </si>
  <si>
    <t>2017-12-07T06:34:23.353</t>
  </si>
  <si>
    <t>Creating .NET extension on Integration Studio</t>
  </si>
  <si>
    <t>2017-12-11T11:04:07.957</t>
  </si>
  <si>
    <t>&lt;c#&gt;&lt;yammer&gt;&lt;outsystems&gt;</t>
  </si>
  <si>
    <t>2018-01-16T15:27:44.493</t>
  </si>
  <si>
    <t>Use R code in outsystems application</t>
  </si>
  <si>
    <t>2018-01-17T17:54:43.760</t>
  </si>
  <si>
    <t>&lt;r&gt;&lt;connect&gt;&lt;integrate&gt;&lt;outsystems&gt;</t>
  </si>
  <si>
    <t>2018-02-04T18:24:18.123</t>
  </si>
  <si>
    <t>Outsystems - How to use ExternalSite with header block</t>
  </si>
  <si>
    <t>2018-04-04T04:34:15.777</t>
  </si>
  <si>
    <t>Connect Firebase with OutSystems</t>
  </si>
  <si>
    <t>2018-04-04T04:40:15.390</t>
  </si>
  <si>
    <t>2019-01-09T00:38:56.270</t>
  </si>
  <si>
    <t>&lt;database&gt;&lt;firebase&gt;&lt;firebase-realtime-database&gt;&lt;nosql&gt;&lt;outsystems&gt;</t>
  </si>
  <si>
    <t>2018-04-29T06:50:15.693</t>
  </si>
  <si>
    <t>If we developed website in Outsystems, Then how can we deploy it under our personal domain like example.com</t>
  </si>
  <si>
    <t>2018-05-16T10:51:24.990</t>
  </si>
  <si>
    <t>2018-05-22T14:36:20.010</t>
  </si>
  <si>
    <t>Dealing with Null values oustystems</t>
  </si>
  <si>
    <t>2018-05-23T10:17:56.687</t>
  </si>
  <si>
    <t>2018-06-14T07:42:52.287</t>
  </si>
  <si>
    <t>Outsystems:Is it possible to have same user in different tenants in a Multi-tenant application</t>
  </si>
  <si>
    <t>2018-09-13T14:00:48.747</t>
  </si>
  <si>
    <t>&lt;multi-tenant&gt;&lt;outsystems&gt;</t>
  </si>
  <si>
    <t>2018-06-27T15:32:24.290</t>
  </si>
  <si>
    <t>Outsystem .doc file- Error Wrong Local header signature: 0xE011CFD0</t>
  </si>
  <si>
    <t>2018-11-29T10:54:26.147</t>
  </si>
  <si>
    <t>2018-07-09T10:05:52.183</t>
  </si>
  <si>
    <t>Get list/multiset from informix to C#</t>
  </si>
  <si>
    <t>2018-07-10T09:49:32.443</t>
  </si>
  <si>
    <t>2018-07-13T09:34:13.290</t>
  </si>
  <si>
    <t>&lt;c#&gt;&lt;informix&gt;&lt;outsystems&gt;</t>
  </si>
  <si>
    <t>2018-07-10T05:13:31.623</t>
  </si>
  <si>
    <t>Drag and drop of an image in a web page using Jquery</t>
  </si>
  <si>
    <t>2018-07-11T13:02:50.900</t>
  </si>
  <si>
    <t>&lt;jquery&gt;&lt;jquery-ui-draggable&gt;&lt;outsystems&gt;</t>
  </si>
  <si>
    <t>2018-07-23T16:09:44.557</t>
  </si>
  <si>
    <t>How to write in a database a text with " in OutSystems</t>
  </si>
  <si>
    <t>2018-08-01T09:01:18.890</t>
  </si>
  <si>
    <t>2018-07-26T11:38:41.617</t>
  </si>
  <si>
    <t>2018-08-16T19:17:51.857</t>
  </si>
  <si>
    <t>How outsystems manage to develop a iOS mobile application in its P10 version without Mac and Xcode</t>
  </si>
  <si>
    <t>2018-08-29T18:54:58.563</t>
  </si>
  <si>
    <t>2018-08-22T19:23:31.617</t>
  </si>
  <si>
    <t>Convert a project from OutSystems to C# Visual Studio solution</t>
  </si>
  <si>
    <t>2018-08-22T21:32:51.693</t>
  </si>
  <si>
    <t>&lt;c#&gt;&lt;outsystems&gt;</t>
  </si>
  <si>
    <t>2018-08-23T02:02:07.650</t>
  </si>
  <si>
    <t>How do i create a timer in Outsystem?</t>
  </si>
  <si>
    <t>2018-08-23T08:49:26.247</t>
  </si>
  <si>
    <t>&lt;timer&gt;&lt;outsystems&gt;</t>
  </si>
  <si>
    <t>2018-09-26T13:43:16.153</t>
  </si>
  <si>
    <t>Create Dynamic UI (Input Form) from API Response in a Mobile App Developed Using OutSystems Platform</t>
  </si>
  <si>
    <t>2018-11-30T05:56:47.340</t>
  </si>
  <si>
    <t>2018-10-04T14:14:48.637</t>
  </si>
  <si>
    <t>How to Make a Timer App Using Outsystems?</t>
  </si>
  <si>
    <t>2018-11-14T17:27:45.317</t>
  </si>
  <si>
    <t>2018-10-05T16:51:26.620</t>
  </si>
  <si>
    <t>HERE map is blank in outsystems</t>
  </si>
  <si>
    <t>2018-10-08T16:22:44.967</t>
  </si>
  <si>
    <t>&lt;here-api&gt;&lt;outsystems&gt;</t>
  </si>
  <si>
    <t>2018-10-19T08:05:26.467</t>
  </si>
  <si>
    <t>Life Time Api Authorization - OutSystems</t>
  </si>
  <si>
    <t>2018-10-25T05:48:50.133</t>
  </si>
  <si>
    <t>&lt;api&gt;&lt;authorization&gt;&lt;outsystems&gt;</t>
  </si>
  <si>
    <t>2018-10-29T05:13:51.147</t>
  </si>
  <si>
    <t>Display contact list images in Outsystems Mobile</t>
  </si>
  <si>
    <t>2018-10-30T04:06:47.220</t>
  </si>
  <si>
    <t>2018-11-30T09:26:40.407</t>
  </si>
  <si>
    <t>&lt;image&gt;&lt;listview&gt;&lt;contacts&gt;&lt;outsystems&gt;</t>
  </si>
  <si>
    <t>2018-11-14T15:34:03.510</t>
  </si>
  <si>
    <t>How to use a bit data type in OutSystems</t>
  </si>
  <si>
    <t>2019-02-13T23:49:13.560</t>
  </si>
  <si>
    <t>2018-11-14T17:24:25.913</t>
  </si>
  <si>
    <t>2018-11-29T11:31:18.300</t>
  </si>
  <si>
    <t>Implement AES/RES encryption decryption in OutSystems app</t>
  </si>
  <si>
    <t>2018-12-20T12:40:07.447</t>
  </si>
  <si>
    <t>&lt;encryption&gt;&lt;aes&gt;&lt;outsystems&gt;</t>
  </si>
  <si>
    <t>2018-12-12T11:46:22.740</t>
  </si>
  <si>
    <t>Isolate the Count that comes from a LEFT JOIN independent of the WHERE clause filters</t>
  </si>
  <si>
    <t>2018-12-13T09:19:00.500</t>
  </si>
  <si>
    <t>2018-12-13T23:37:50.070</t>
  </si>
  <si>
    <t>&lt;mysql&gt;&lt;sql&gt;&lt;outsystems&gt;</t>
  </si>
  <si>
    <t>2019-01-28T09:19:47.340</t>
  </si>
  <si>
    <t>Multiples Markers Google Maps</t>
  </si>
  <si>
    <t>&lt;javascript&gt;&lt;google-maps&gt;&lt;outsystems&gt;</t>
  </si>
  <si>
    <t>2019-02-13T04:57:22.880</t>
  </si>
  <si>
    <t>MisFit API inegration not supporting in Outsystem InAppBrowser</t>
  </si>
  <si>
    <t>2019-02-13T14:34:32.767</t>
  </si>
  <si>
    <t>2019-02-27T12:53:35.810</t>
  </si>
  <si>
    <t>&lt;cordova&gt;&lt;google-authentication&gt;&lt;inappbrowser&gt;&lt;outsystems&gt;&lt;misfit&gt;</t>
  </si>
  <si>
    <t>2019-03-14T11:41:23.043</t>
  </si>
  <si>
    <t>Why could an extra back-slash appears in javascript in outsystems?</t>
  </si>
  <si>
    <t>2019-03-14T11:58:01.423</t>
  </si>
  <si>
    <t>2019-04-11T12:37:39.580</t>
  </si>
  <si>
    <t>How to get last transaction of every account using aggregates Or Queries in Outsystems?</t>
  </si>
  <si>
    <t>2019-04-11T16:10:11.617</t>
  </si>
  <si>
    <t>&lt;sql&gt;&lt;outsystems&gt;&lt;aggregates&gt;</t>
  </si>
  <si>
    <t>2019-04-18T15:59:55.117</t>
  </si>
  <si>
    <t>403 Forbidden for SharePoint version APIs BUT they work at design time AND all other REST calls work</t>
  </si>
  <si>
    <t>2019-07-03T10:50:13.380</t>
  </si>
  <si>
    <t>&lt;rest&gt;&lt;sharepoint&gt;&lt;sharepoint-online&gt;&lt;outsystems&gt;</t>
  </si>
  <si>
    <t>2019-05-16T08:45:04.867</t>
  </si>
  <si>
    <t>Why the details of my list is not showing in Details screen in outsystems</t>
  </si>
  <si>
    <t>2019-05-17T09:56:06.737</t>
  </si>
  <si>
    <t>2019-05-28T06:19:00.567</t>
  </si>
  <si>
    <t>Outsystems - Add another environment</t>
  </si>
  <si>
    <t>2019-05-28T21:23:45.180</t>
  </si>
  <si>
    <t>&lt;development-environment&gt;&lt;outsystems&gt;</t>
  </si>
  <si>
    <t>2019-06-04T13:09:46.567</t>
  </si>
  <si>
    <t>Launch to specific screen of OutSystem mobile app from native iOS and Android app</t>
  </si>
  <si>
    <t>2019-07-04T08:47:30.507</t>
  </si>
  <si>
    <t>2019-10-18T11:19:49.527</t>
  </si>
  <si>
    <t>&lt;android&gt;&lt;ios&gt;&lt;outsystems&gt;</t>
  </si>
  <si>
    <t>2019-06-04T18:07:57.137</t>
  </si>
  <si>
    <t>2019-07-06T12:59:23.427</t>
  </si>
  <si>
    <t>JMeter does not record nor execute javascript code, the "buttons" will not be rendered in JMeter</t>
  </si>
  <si>
    <t>2019-07-06T13:06:34.630</t>
  </si>
  <si>
    <t>2019-07-06T14:47:44.937</t>
  </si>
  <si>
    <t>&lt;javascript&gt;&lt;ajax&gt;&lt;jmeter&gt;&lt;load-testing&gt;&lt;outsystems&gt;</t>
  </si>
  <si>
    <t>2019-07-10T12:03:05.447</t>
  </si>
  <si>
    <t>Dynamically return entity attribute</t>
  </si>
  <si>
    <t>2019-07-10T12:06:33.400</t>
  </si>
  <si>
    <t>2019-07-10T12:24:44.973</t>
  </si>
  <si>
    <t>2019-07-12T04:25:24.600</t>
  </si>
  <si>
    <t>Web Blocks in Outsystems</t>
  </si>
  <si>
    <t>2019-07-24T08:11:26.420</t>
  </si>
  <si>
    <t>2019-07-12T09:16:13.210</t>
  </si>
  <si>
    <t>2019-07-15T06:36:05.053</t>
  </si>
  <si>
    <t>Open in New Tab - Outsystems Web</t>
  </si>
  <si>
    <t>2019-10-03T05:37:14.957</t>
  </si>
  <si>
    <t>&lt;target&gt;&lt;outsystems&gt;</t>
  </si>
  <si>
    <t>2019-08-01T09:45:13.450</t>
  </si>
  <si>
    <t>Populate Combo Box in Outsystems</t>
  </si>
  <si>
    <t>2019-08-02T11:25:43.947</t>
  </si>
  <si>
    <t>2019-08-27T14:29:47.283</t>
  </si>
  <si>
    <t>How to debug multiple modules at the same time in OutSystems</t>
  </si>
  <si>
    <t>2019-09-17T11:30:32.017</t>
  </si>
  <si>
    <t>&lt;debugging&gt;&lt;outsystems&gt;</t>
  </si>
  <si>
    <t>2019-09-05T13:23:51.023</t>
  </si>
  <si>
    <t>What is the similarity between outsystem and Red hat fuse?</t>
  </si>
  <si>
    <t>&lt;jbossfuse&gt;&lt;outsystems&gt;</t>
  </si>
  <si>
    <t>2019-09-09T05:53:11.947</t>
  </si>
  <si>
    <t>Connection String test failed: Outsystems</t>
  </si>
  <si>
    <t>2019-09-09T06:03:15.273</t>
  </si>
  <si>
    <t>2019-09-09T10:27:29.310</t>
  </si>
  <si>
    <t>&lt;sql&gt;&lt;outsystems&gt;</t>
  </si>
  <si>
    <t>2019-09-10T04:40:52.060</t>
  </si>
  <si>
    <t>Getting exception while try to do a ajax call</t>
  </si>
  <si>
    <t>2020-05-09T11:52:43.100</t>
  </si>
  <si>
    <t>2019-09-13T07:03:39.590</t>
  </si>
  <si>
    <t>How to authenticate indeed request using X-Indeed-Signature?</t>
  </si>
  <si>
    <t>2019-09-13T07:14:54.090</t>
  </si>
  <si>
    <t>&lt;hmacsha1&gt;&lt;outsystems&gt;</t>
  </si>
  <si>
    <t>2019-10-10T06:28:55.947</t>
  </si>
  <si>
    <t>Customize (OutSystems App Feedback) in Feedback Screen in Outsystems mobile</t>
  </si>
  <si>
    <t>2019-12-10T16:44:03.080</t>
  </si>
  <si>
    <t>My navigation link isn't connecting OutSystems</t>
  </si>
  <si>
    <t>2019-12-10T16:54:50.657</t>
  </si>
  <si>
    <t>2019-12-10T17:10:44.183</t>
  </si>
  <si>
    <t>2020-01-13T15:37:48.503</t>
  </si>
  <si>
    <t>Move to a specific tab index when leaving another input with jquery</t>
  </si>
  <si>
    <t>2020-01-13T20:19:32.523</t>
  </si>
  <si>
    <t>2020-01-13T18:56:53.877</t>
  </si>
  <si>
    <t>2020-01-22T18:09:34.163</t>
  </si>
  <si>
    <t>Plotting radar/polar charts in Outsystems</t>
  </si>
  <si>
    <t>&lt;javascript&gt;&lt;highcharts&gt;&lt;outsystems&gt;</t>
  </si>
  <si>
    <t>2020-02-06T14:55:03.690</t>
  </si>
  <si>
    <t>Service center login do not work with outsystem credentials</t>
  </si>
  <si>
    <t>2020-04-26T17:15:09.230</t>
  </si>
  <si>
    <t>2020-02-12T16:58:09.413</t>
  </si>
  <si>
    <t>How can I parse Outsystems OSVSTATE token to subsequent requests in Jmeter?</t>
  </si>
  <si>
    <t>2020-02-13T09:20:18.423</t>
  </si>
  <si>
    <t>&lt;javascript&gt;&lt;jmeter&gt;&lt;jmeter-plugins&gt;&lt;outsystems&gt;</t>
  </si>
  <si>
    <t>2020-03-11T10:00:07.427</t>
  </si>
  <si>
    <t>Integrate Application Insights in Outsystems</t>
  </si>
  <si>
    <t>2020-04-26T17:10:34.833</t>
  </si>
  <si>
    <t>&lt;azure-application-insights&gt;&lt;outsystems&gt;</t>
  </si>
  <si>
    <t>2020-04-07T09:26:40.447</t>
  </si>
  <si>
    <t>Mapping data types of consumed SOAP Web Service to Outsystems data types</t>
  </si>
  <si>
    <t>&lt;soap&gt;&lt;types&gt;&lt;webservice-client&gt;&lt;outsystems&gt;</t>
  </si>
  <si>
    <t>2020-05-05T21:33:55.277</t>
  </si>
  <si>
    <t>Unable to install pods in outsystems environment using cordova plugin</t>
  </si>
  <si>
    <t>2020-05-06T08:23:29.850</t>
  </si>
  <si>
    <t>2020-05-22T15:50:21.743</t>
  </si>
  <si>
    <t>&lt;ios&gt;&lt;cordova&gt;&lt;cordova-plugins&gt;&lt;outsystems&gt;</t>
  </si>
  <si>
    <t>2020-05-06T06:01:09.690</t>
  </si>
  <si>
    <t>How do I get PptxGenJS to work in OutSystems Reactive Web App?</t>
  </si>
  <si>
    <t>&lt;reactive&gt;&lt;outsystems&gt;&lt;pptxgenjs&gt;</t>
  </si>
  <si>
    <t>2020-05-10T14:27:28.023</t>
  </si>
  <si>
    <t>How to programmatically add a SOAP header based on a generated proxy class</t>
  </si>
  <si>
    <t>2020-05-10T19:36:24.440</t>
  </si>
  <si>
    <t>2020-05-15T02:06:33.717</t>
  </si>
  <si>
    <t>&lt;c#&gt;&lt;web-services&gt;&lt;wcf&gt;&lt;soap&gt;&lt;outsystems&gt;</t>
  </si>
  <si>
    <t>PowerApps</t>
  </si>
  <si>
    <t>2016-05-09T20:39:34.030</t>
  </si>
  <si>
    <t>PowerApps to call Azure API App</t>
  </si>
  <si>
    <t>2016-05-10T00:26:31.383</t>
  </si>
  <si>
    <t>2019-07-21T17:54:43.423</t>
  </si>
  <si>
    <t>&lt;api&gt;&lt;azure&gt;&lt;powerapps&gt;</t>
  </si>
  <si>
    <t>2016-05-10T00:22:22.413</t>
  </si>
  <si>
    <t>2016-05-12T19:54:38.100</t>
  </si>
  <si>
    <t>Rest API calls with PowerApps</t>
  </si>
  <si>
    <t>2019-07-21T18:20:34.970</t>
  </si>
  <si>
    <t>&lt;api&gt;&lt;httpresponse&gt;&lt;powerapps&gt;</t>
  </si>
  <si>
    <t>2016-06-04T17:33:05.383</t>
  </si>
  <si>
    <t>2016-05-27T10:30:52.987</t>
  </si>
  <si>
    <t>How to get gallery item index in PowerApps?</t>
  </si>
  <si>
    <t>2016-05-30T17:21:42.873</t>
  </si>
  <si>
    <t>2016-09-01T05:16:19.457</t>
  </si>
  <si>
    <t>&lt;powerapps&gt;</t>
  </si>
  <si>
    <t>2016-05-27T13:15:40.920</t>
  </si>
  <si>
    <t>How to set auto height for Html text control in PowerApps?</t>
  </si>
  <si>
    <t>2019-12-18T18:17:13.457</t>
  </si>
  <si>
    <t>2016-05-27T17:58:29.533</t>
  </si>
  <si>
    <t>How to determine that user reached the end of a list in PowerApps Gallery control?</t>
  </si>
  <si>
    <t>2016-05-31T08:46:17.483</t>
  </si>
  <si>
    <t>2016-09-01T04:41:30.627</t>
  </si>
  <si>
    <t>2016-05-30T08:41:46.343</t>
  </si>
  <si>
    <t>Navigate to a screen by it's name in PowerApps</t>
  </si>
  <si>
    <t>2016-05-31T08:24:11.170</t>
  </si>
  <si>
    <t>2016-06-10T16:41:54.747</t>
  </si>
  <si>
    <t>2016-06-14T15:50:59.257</t>
  </si>
  <si>
    <t>Microsoft PowerApps | How to get calendar events from o365 connection?</t>
  </si>
  <si>
    <t>2016-06-14T18:23:12.373</t>
  </si>
  <si>
    <t>2018-06-20T18:05:22.197</t>
  </si>
  <si>
    <t>&lt;outlook&gt;&lt;office365&gt;&lt;powerapps&gt;</t>
  </si>
  <si>
    <t>2016-06-20T07:20:22.077</t>
  </si>
  <si>
    <t>Connect PowerApps to Firebird</t>
  </si>
  <si>
    <t>2017-10-06T07:48:21.240</t>
  </si>
  <si>
    <t>&lt;sql&gt;&lt;firebird&gt;&lt;powerapps&gt;&lt;data-gateway&gt;</t>
  </si>
  <si>
    <t>2016-08-01T13:18:38.400</t>
  </si>
  <si>
    <t>Powerapps Collection Limited To 5 Entries</t>
  </si>
  <si>
    <t>2018-10-11T11:08:09.117</t>
  </si>
  <si>
    <t>&lt;ms-office&gt;&lt;powerapps&gt;</t>
  </si>
  <si>
    <t>2016-08-01T14:19:22.170</t>
  </si>
  <si>
    <t>2016-08-30T16:23:13.493</t>
  </si>
  <si>
    <t>Pass a value to another screen</t>
  </si>
  <si>
    <t>2018-12-11T08:11:35.220</t>
  </si>
  <si>
    <t>2016-09-01T04:54:08.600</t>
  </si>
  <si>
    <t>2016-09-04T19:41:35.800</t>
  </si>
  <si>
    <t>How to store action result and pass as http header</t>
  </si>
  <si>
    <t>2016-09-15T13:04:56.983</t>
  </si>
  <si>
    <t>&lt;json&gt;&lt;asp.net-web-api2&gt;&lt;swashbuckle&gt;&lt;powerapps&gt;</t>
  </si>
  <si>
    <t>2016-09-14T10:44:18.447</t>
  </si>
  <si>
    <t>How to bind a datasource to a dropdown in PowerApps</t>
  </si>
  <si>
    <t>2016-09-14T10:55:56.887</t>
  </si>
  <si>
    <t>2019-03-21T18:30:01.077</t>
  </si>
  <si>
    <t>2016-09-14T11:27:49.630</t>
  </si>
  <si>
    <t>2016-09-14T12:14:24.250</t>
  </si>
  <si>
    <t>How to set the default value of a dropdown in powerapps</t>
  </si>
  <si>
    <t>2016-09-14T15:02:19.980</t>
  </si>
  <si>
    <t>2016-09-14T14:58:30.067</t>
  </si>
  <si>
    <t>Dropdown OnSelect and OnChange Actions not firing</t>
  </si>
  <si>
    <t>2016-09-14T16:09:38.707</t>
  </si>
  <si>
    <t>2016-10-20T16:22:10.287</t>
  </si>
  <si>
    <t>powerapps: populate drop down list from another datasource</t>
  </si>
  <si>
    <t>2018-08-22T14:06:16.760</t>
  </si>
  <si>
    <t>2016-10-21T14:34:39.463</t>
  </si>
  <si>
    <t>2016-12-06T18:38:23.983</t>
  </si>
  <si>
    <t>Filter records for Dropdown control</t>
  </si>
  <si>
    <t>2018-11-07T23:20:11.627</t>
  </si>
  <si>
    <t>&lt;dropdown&gt;&lt;powerapps&gt;</t>
  </si>
  <si>
    <t>2016-12-08T09:59:24.990</t>
  </si>
  <si>
    <t>Cant store data locally using microsoft powerapps</t>
  </si>
  <si>
    <t>2017-06-17T17:57:06.937</t>
  </si>
  <si>
    <t>2016-12-22T20:21:11.917</t>
  </si>
  <si>
    <t>How use OData $filter query dynamic date</t>
  </si>
  <si>
    <t>2017-06-24T06:29:08.510</t>
  </si>
  <si>
    <t>&lt;outlook&gt;&lt;odata&gt;&lt;powerapps&gt;&lt;power-automate&gt;</t>
  </si>
  <si>
    <t>2016-12-28T10:40:20.703</t>
  </si>
  <si>
    <t>Not getting 'Flows' option for Buttons in PowerApps Studio for Web</t>
  </si>
  <si>
    <t>2016-12-29T22:43:02.530</t>
  </si>
  <si>
    <t>&lt;dynamics-crm&gt;&lt;microsoft-dynamics&gt;&lt;flow&gt;&lt;powerapps&gt;&lt;power-automate&gt;</t>
  </si>
  <si>
    <t>2017-01-05T11:35:50.110</t>
  </si>
  <si>
    <t>How do I allow users to only view/edit/delete records they created themselves?</t>
  </si>
  <si>
    <t>2018-03-12T23:10:52.383</t>
  </si>
  <si>
    <t>2017-01-10T20:02:44.570</t>
  </si>
  <si>
    <t>Sending Images from PowerApps to Microsoft Flow</t>
  </si>
  <si>
    <t>2019-01-24T12:25:41.243</t>
  </si>
  <si>
    <t>&lt;powerapps&gt;&lt;power-automate&gt;</t>
  </si>
  <si>
    <t>2017-01-10T23:35:38.420</t>
  </si>
  <si>
    <t>How Can I Collect Data from a Button in PowerApps</t>
  </si>
  <si>
    <t>2017-01-10T23:56:59.343</t>
  </si>
  <si>
    <t>&lt;office365&gt;&lt;powerapps&gt;</t>
  </si>
  <si>
    <t>2017-01-14T17:36:53.627</t>
  </si>
  <si>
    <t>MS Power APPS - Add timestamp to a Record</t>
  </si>
  <si>
    <t>2017-01-23T20:31:14.500</t>
  </si>
  <si>
    <t>&lt;timestamp&gt;&lt;powerapps&gt;</t>
  </si>
  <si>
    <t>2017-01-19T04:41:11.920</t>
  </si>
  <si>
    <t>How to connect Azure AD with PowerApps forms</t>
  </si>
  <si>
    <t>2017-08-09T15:21:31.417</t>
  </si>
  <si>
    <t>&lt;azure&gt;&lt;azure-active-directory&gt;&lt;powerapps&gt;</t>
  </si>
  <si>
    <t>2017-01-20T03:55:46.593</t>
  </si>
  <si>
    <t>How to get user information for records created in Common Data Service entity table by Created by column?</t>
  </si>
  <si>
    <t>2017-03-03T00:10:04.710</t>
  </si>
  <si>
    <t>2017-01-23T12:37:05.070</t>
  </si>
  <si>
    <t>Power apps drop down</t>
  </si>
  <si>
    <t>2019-07-31T03:32:13.597</t>
  </si>
  <si>
    <t>2017-01-26T21:44:43.240</t>
  </si>
  <si>
    <t>PowerApps datasource to overcome 500 visible or searchable items limit</t>
  </si>
  <si>
    <t>2017-03-16T16:54:35.683</t>
  </si>
  <si>
    <t>&lt;powershell&gt;&lt;powerapps&gt;</t>
  </si>
  <si>
    <t>2017-01-29T11:52:27.477</t>
  </si>
  <si>
    <t>Connect Powerapps to Firebird SQL</t>
  </si>
  <si>
    <t>&lt;firebird&gt;&lt;powerapps&gt;</t>
  </si>
  <si>
    <t>2017-09-23T16:26:31.670</t>
  </si>
  <si>
    <t>2017-01-30T11:57:56.657</t>
  </si>
  <si>
    <t>In Powerapps how can you filter on a gallery with a radiobutton?</t>
  </si>
  <si>
    <t>2017-09-03T16:55:04.083</t>
  </si>
  <si>
    <t>&lt;syntax&gt;&lt;office365&gt;&lt;powerapps&gt;</t>
  </si>
  <si>
    <t>2017-01-30T12:08:21.323</t>
  </si>
  <si>
    <t>2017-02-06T17:09:55.243</t>
  </si>
  <si>
    <t>Powerapps basic styling</t>
  </si>
  <si>
    <t>2017-02-09T12:54:03.280</t>
  </si>
  <si>
    <t>2017-02-22T10:43:19.773</t>
  </si>
  <si>
    <t>Make ID field automatic in Sharepoint/Powerapp</t>
  </si>
  <si>
    <t>2019-05-23T08:02:06.460</t>
  </si>
  <si>
    <t>&lt;sharepoint&gt;&lt;sharepoint-online&gt;&lt;powerapps&gt;</t>
  </si>
  <si>
    <t>2017-02-27T10:41:37.070</t>
  </si>
  <si>
    <t>Microsoft Flow Custom API Authentication</t>
  </si>
  <si>
    <t>2019-07-12T06:00:34.643</t>
  </si>
  <si>
    <t>2017-03-01T11:35:08.850</t>
  </si>
  <si>
    <t>Power App - generate PDF</t>
  </si>
  <si>
    <t>2017-03-03T09:40:17.200</t>
  </si>
  <si>
    <t>&lt;pdf&gt;&lt;azure-functions&gt;&lt;powerapps&gt;</t>
  </si>
  <si>
    <t>2017-03-17T14:17:24.320</t>
  </si>
  <si>
    <t>How to put all the TextInput value from a BrowserGallery into a Collection in PowerApps?</t>
  </si>
  <si>
    <t>2017-03-17T14:22:38.440</t>
  </si>
  <si>
    <t>2017-05-12T21:53:21.987</t>
  </si>
  <si>
    <t>2017-03-18T03:01:37.897</t>
  </si>
  <si>
    <t>2017-03-20T09:58:14.333</t>
  </si>
  <si>
    <t>How to patch an entire collection to a Db</t>
  </si>
  <si>
    <t>2017-03-20T14:46:30.777</t>
  </si>
  <si>
    <t>2017-05-12T21:44:29.293</t>
  </si>
  <si>
    <t>2017-03-20T19:41:02.007</t>
  </si>
  <si>
    <t>Powerapps: button selection on a previous screen prefill a field in a form</t>
  </si>
  <si>
    <t>2017-03-21T21:22:56.453</t>
  </si>
  <si>
    <t>&lt;excel&gt;&lt;forms&gt;&lt;dataform&gt;&lt;powerapps&gt;</t>
  </si>
  <si>
    <t>2017-03-22T08:56:02.113</t>
  </si>
  <si>
    <t>PowerApps - Saving Mic Audio into Playable format</t>
  </si>
  <si>
    <t>2017-03-27T22:02:01.813</t>
  </si>
  <si>
    <t>&lt;android&gt;&lt;ios&gt;&lt;audio&gt;&lt;sharepoint&gt;&lt;powerapps&gt;</t>
  </si>
  <si>
    <t>2017-04-06T17:13:29.550</t>
  </si>
  <si>
    <t>Filter Gallery based on Screen1 dropdown selection and then allow search</t>
  </si>
  <si>
    <t>2017-04-06T23:27:12.773</t>
  </si>
  <si>
    <t>2017-04-18T19:23:28.340</t>
  </si>
  <si>
    <t>PowerApp Using SharePoint List is not Showing New Columns/Fields</t>
  </si>
  <si>
    <t>2018-12-05T10:43:13.603</t>
  </si>
  <si>
    <t>&lt;sharepoint&gt;&lt;powerapps&gt;</t>
  </si>
  <si>
    <t>2017-04-19T20:36:20.063</t>
  </si>
  <si>
    <t>2017-04-20T20:48:50.987</t>
  </si>
  <si>
    <t>Using a locally stored Excel file as data source, with updates from remote</t>
  </si>
  <si>
    <t>2017-10-06T07:47:35.513</t>
  </si>
  <si>
    <t>&lt;powerapps&gt;&lt;data-gateway&gt;</t>
  </si>
  <si>
    <t>2017-05-01T19:15:14.340</t>
  </si>
  <si>
    <t>Filter a dropdown based on the content of another dropdown in PowerApps</t>
  </si>
  <si>
    <t>2017-05-01T19:56:03.840</t>
  </si>
  <si>
    <t>2017-05-09T04:15:31.750</t>
  </si>
  <si>
    <t>How to pass values or reference objects between the sceen powerapps</t>
  </si>
  <si>
    <t>2017-05-09T18:08:06.787</t>
  </si>
  <si>
    <t>&lt;windows&gt;&lt;powerapps&gt;</t>
  </si>
  <si>
    <t>2017-05-09T17:32:26.260</t>
  </si>
  <si>
    <t>PowerApps formula for matching records from a drop down</t>
  </si>
  <si>
    <t>2017-05-09T19:38:00.187</t>
  </si>
  <si>
    <t>2017-05-09T18:56:35.903</t>
  </si>
  <si>
    <t>Not able to connect Bing Maps API with Power Apps</t>
  </si>
  <si>
    <t>2017-05-09T19:05:09.780</t>
  </si>
  <si>
    <t>2017-05-09T19:15:29.717</t>
  </si>
  <si>
    <t>&lt;swagger&gt;&lt;bing-maps&gt;&lt;powerapps&gt;</t>
  </si>
  <si>
    <t>2017-05-11T20:11:26.263</t>
  </si>
  <si>
    <t>Powerapps SQL limitations</t>
  </si>
  <si>
    <t>2019-07-21T18:43:53.607</t>
  </si>
  <si>
    <t>2017-09-18T08:59:54.727</t>
  </si>
  <si>
    <t>2017-05-12T12:15:47.753</t>
  </si>
  <si>
    <t>Custom API in PowerApps showing error</t>
  </si>
  <si>
    <t>&lt;azure&gt;&lt;powerapps&gt;</t>
  </si>
  <si>
    <t>2017-05-16T08:01:38.487</t>
  </si>
  <si>
    <t>Inserting picture from user field into table in powerapps</t>
  </si>
  <si>
    <t>2017-06-07T17:37:24.893</t>
  </si>
  <si>
    <t>2017-05-19T15:10:41.113</t>
  </si>
  <si>
    <t>PowerApps - Excel connecivity issue</t>
  </si>
  <si>
    <t>2017-05-19T15:11:33.133</t>
  </si>
  <si>
    <t>2017-05-21T23:54:21.240</t>
  </si>
  <si>
    <t>Registering PowerApps Runtime Service API within Azure AD</t>
  </si>
  <si>
    <t>2017-10-24T06:50:21.880</t>
  </si>
  <si>
    <t>&lt;azure&gt;&lt;azure-active-directory&gt;&lt;azure-functions&gt;&lt;powerapps&gt;</t>
  </si>
  <si>
    <t>2017-05-25T10:31:34.640</t>
  </si>
  <si>
    <t>Display collections data in powerapps listbox</t>
  </si>
  <si>
    <t>2017-05-25T11:43:15.053</t>
  </si>
  <si>
    <t>2017-05-29T12:21:25.320</t>
  </si>
  <si>
    <t>Powerapps: Filter table with another table</t>
  </si>
  <si>
    <t>2017-09-21T13:07:53.290</t>
  </si>
  <si>
    <t>&lt;excel&gt;&lt;powerapps&gt;</t>
  </si>
  <si>
    <t>2017-05-31T14:01:58.650</t>
  </si>
  <si>
    <t>2017-06-24T05:46:01.180</t>
  </si>
  <si>
    <t>Creating a separate web portal which manages custom entities inside dynamics365</t>
  </si>
  <si>
    <t>2017-10-10T14:44:53.960</t>
  </si>
  <si>
    <t>&lt;dynamics-crm&gt;&lt;powerapps&gt;&lt;dynamics-crm-365&gt;&lt;dynamics-365-sales&gt;&lt;dynamics-crm-portals&gt;</t>
  </si>
  <si>
    <t>2017-06-28T15:34:30.823</t>
  </si>
  <si>
    <t>PowerApps, Using Gallery to Display Collection + an Additional Variable</t>
  </si>
  <si>
    <t>2017-06-28T20:49:21.077</t>
  </si>
  <si>
    <t>&lt;excel&gt;&lt;office365&gt;&lt;gallery&gt;&lt;mobile-application&gt;&lt;powerapps&gt;</t>
  </si>
  <si>
    <t>2017-07-05T07:48:06.277</t>
  </si>
  <si>
    <t>Most PowerApps users getting error "you don't have permission to view this data"</t>
  </si>
  <si>
    <t>2017-07-05T07:52:36.030</t>
  </si>
  <si>
    <t>2017-07-11T19:59:31.140</t>
  </si>
  <si>
    <t>&lt;authentication&gt;&lt;powerapps&gt;</t>
  </si>
  <si>
    <t>2017-07-07T06:10:35.057</t>
  </si>
  <si>
    <t>PowerApps :- Failed to load resource</t>
  </si>
  <si>
    <t>2017-07-13T11:43:05.407</t>
  </si>
  <si>
    <t>2017-07-17T13:16:26.437</t>
  </si>
  <si>
    <t>Can I use Master Data Services to import data via Excel add-in ? Mainly Measures! (Numbers/Values)</t>
  </si>
  <si>
    <t>2017-07-19T06:55:22.887</t>
  </si>
  <si>
    <t>&lt;sql-server&gt;&lt;excel&gt;&lt;ssis&gt;&lt;master-data-services&gt;&lt;powerapps&gt;</t>
  </si>
  <si>
    <t>2017-07-26T05:17:42.200</t>
  </si>
  <si>
    <t>Using Microsoft Common data services SDK in asp.net web api</t>
  </si>
  <si>
    <t>2018-03-08T20:53:28.783</t>
  </si>
  <si>
    <t>2017-07-28T19:06:07.473</t>
  </si>
  <si>
    <t>Microsoft Flow - How to run an activity "When a record is created", until manually stop/more than 30 days</t>
  </si>
  <si>
    <t>2017-08-01T23:32:15.523</t>
  </si>
  <si>
    <t>2017-08-02T20:18:38.543</t>
  </si>
  <si>
    <t>Client unable to access shared SQL Server (on-Premise) connection</t>
  </si>
  <si>
    <t>2017-10-06T07:46:39.373</t>
  </si>
  <si>
    <t>&lt;sql-server&gt;&lt;powerapps&gt;&lt;data-gateway&gt;</t>
  </si>
  <si>
    <t>2017-08-03T11:58:48.390</t>
  </si>
  <si>
    <t>Powerapps Filter records in browse gallery based on value in dropdown</t>
  </si>
  <si>
    <t>2017-08-03T20:50:55.193</t>
  </si>
  <si>
    <t>2017-08-04T16:09:25.257</t>
  </si>
  <si>
    <t>Can Microsoft PowerApps create public facing apps</t>
  </si>
  <si>
    <t>2018-05-12T06:44:52.907</t>
  </si>
  <si>
    <t>2017-08-04T17:14:04.030</t>
  </si>
  <si>
    <t>2017-08-09T10:30:11.990</t>
  </si>
  <si>
    <t>Using Microsoft Flow to send notification to powerapps</t>
  </si>
  <si>
    <t>2019-12-20T05:06:39.490</t>
  </si>
  <si>
    <t>&lt;sharepoint&gt;&lt;flow&gt;&lt;powerapps&gt;</t>
  </si>
  <si>
    <t>2017-08-13T16:25:52.427</t>
  </si>
  <si>
    <t>In Powerapps how to filter the gallery including an All option?</t>
  </si>
  <si>
    <t>2017-08-13T17:00:09.183</t>
  </si>
  <si>
    <t>2017-08-14T10:55:03.877</t>
  </si>
  <si>
    <t>pass information and display in label control in another screen in power apps</t>
  </si>
  <si>
    <t>2017-08-14T15:14:30.033</t>
  </si>
  <si>
    <t>2018-07-01T14:57:15.820</t>
  </si>
  <si>
    <t>2017-08-15T07:14:43.993</t>
  </si>
  <si>
    <t>Powerapps - get stuck with UpdateContext</t>
  </si>
  <si>
    <t>2017-08-15T08:13:02.957</t>
  </si>
  <si>
    <t>2018-02-25T03:21:14.940</t>
  </si>
  <si>
    <t>&lt;datetime&gt;&lt;powerapps&gt;</t>
  </si>
  <si>
    <t>2017-08-15T13:08:23.987</t>
  </si>
  <si>
    <t>Outlook 'Flow' AppBuilder issues - Branching Condition Not Satisfied</t>
  </si>
  <si>
    <t>2017-08-17T05:49:58.373</t>
  </si>
  <si>
    <t>2019-08-19T13:05:59.157</t>
  </si>
  <si>
    <t>&lt;outlook&gt;&lt;mailmerge&gt;&lt;powerapps&gt;</t>
  </si>
  <si>
    <t>2017-08-16T10:32:06.123</t>
  </si>
  <si>
    <t>Customization of BrowserGallery in PowerApps</t>
  </si>
  <si>
    <t>2017-08-16T21:09:07.593</t>
  </si>
  <si>
    <t>2017-08-16T13:45:01.357</t>
  </si>
  <si>
    <t>2017-08-17T00:21:48.777</t>
  </si>
  <si>
    <t>Powerapps import unsuccesfull</t>
  </si>
  <si>
    <t>2017-09-19T21:30:58.103</t>
  </si>
  <si>
    <t>2017-08-17T09:25:01.400</t>
  </si>
  <si>
    <t>How to access views in powerapps</t>
  </si>
  <si>
    <t>2019-10-16T14:29:42.817</t>
  </si>
  <si>
    <t>2017-08-17T12:29:15.000</t>
  </si>
  <si>
    <t>2017-08-21T17:37:48.140</t>
  </si>
  <si>
    <t>Setting PowerApps CustomConnector to OAuth2/AzureAD</t>
  </si>
  <si>
    <t>2017-08-22T03:26:23.177</t>
  </si>
  <si>
    <t>&lt;asp.net-web-api&gt;&lt;oauth&gt;&lt;oauth-2.0&gt;&lt;azure-active-directory&gt;&lt;powerapps&gt;</t>
  </si>
  <si>
    <t>2017-08-22T12:03:03.300</t>
  </si>
  <si>
    <t>Sharepoint / Intranet access to database</t>
  </si>
  <si>
    <t>2017-08-22T19:43:01.710</t>
  </si>
  <si>
    <t>&lt;ms-access&gt;&lt;sharepoint&gt;&lt;database-connection&gt;&lt;intranet&gt;&lt;powerapps&gt;</t>
  </si>
  <si>
    <t>2017-08-29T07:36:37.077</t>
  </si>
  <si>
    <t>How to connect PowerApps with AzureAD</t>
  </si>
  <si>
    <t>2017-08-30T05:23:54.737</t>
  </si>
  <si>
    <t>&lt;office365&gt;&lt;azure-active-directory&gt;&lt;powerapps&gt;</t>
  </si>
  <si>
    <t>2017-09-16T04:21:40.187</t>
  </si>
  <si>
    <t>Login to PowerApps using Sharepoint Credentials</t>
  </si>
  <si>
    <t>2017-09-18T18:22:23.943</t>
  </si>
  <si>
    <t>&lt;sharepoint-online&gt;&lt;powerapps&gt;</t>
  </si>
  <si>
    <t>2017-09-18T23:15:23.053</t>
  </si>
  <si>
    <t>I am trying to create my first power apps application with 2 sql server connected tables</t>
  </si>
  <si>
    <t>2017-09-18T23:33:21.410</t>
  </si>
  <si>
    <t>2017-09-18T23:49:04.103</t>
  </si>
  <si>
    <t>2017-09-19T14:42:01.463</t>
  </si>
  <si>
    <t>How to use if condition in powerapp for populating dropdown which depends on selection of a control</t>
  </si>
  <si>
    <t>2017-09-20T15:41:39.053</t>
  </si>
  <si>
    <t>&lt;if-statement&gt;&lt;dropdown&gt;&lt;powerapps&gt;</t>
  </si>
  <si>
    <t>2017-09-20T06:41:36.520</t>
  </si>
  <si>
    <t>Powerapps : how to use submit button to store values of form controls into excel online</t>
  </si>
  <si>
    <t>2018-04-04T07:15:34.730</t>
  </si>
  <si>
    <t>&lt;excel&gt;&lt;submit&gt;&lt;office365&gt;&lt;powerapps&gt;</t>
  </si>
  <si>
    <t>2017-09-21T05:47:38.617</t>
  </si>
  <si>
    <t>Create/authenticate a connector on a button click?</t>
  </si>
  <si>
    <t>&lt;authentication&gt;&lt;connector&gt;&lt;powerapps&gt;&lt;power-automate&gt;</t>
  </si>
  <si>
    <t>2017-09-21T09:51:08.187</t>
  </si>
  <si>
    <t>The custom connector property 'capabilities' cannot be updated - PowerApps</t>
  </si>
  <si>
    <t>2017-09-25T14:50:51.457</t>
  </si>
  <si>
    <t>2017-09-26T09:00:34.673</t>
  </si>
  <si>
    <t>Microsoft Powerapps - How to connect to different datasource in one form</t>
  </si>
  <si>
    <t>2017-09-26T16:05:08.407</t>
  </si>
  <si>
    <t>&lt;sharepoint&gt;&lt;office365&gt;&lt;powerapps&gt;</t>
  </si>
  <si>
    <t>2017-09-28T07:25:09.453</t>
  </si>
  <si>
    <t>Powerapps temporary data storage</t>
  </si>
  <si>
    <t>2018-05-12T07:26:26.983</t>
  </si>
  <si>
    <t>&lt;office365-apps&gt;&lt;powerapps&gt;</t>
  </si>
  <si>
    <t>2017-09-28T14:36:26.957</t>
  </si>
  <si>
    <t>2017-09-29T15:40:09.560</t>
  </si>
  <si>
    <t>Filter a list using User().FullName?</t>
  </si>
  <si>
    <t>2017-10-02T08:04:29.140</t>
  </si>
  <si>
    <t>&lt;sharepoint&gt;&lt;filtering&gt;&lt;powerapps&gt;</t>
  </si>
  <si>
    <t>2017-10-06T07:42:26.207</t>
  </si>
  <si>
    <t>Integrate ADO.NET provider on On-premise Data Gateway with PowerApps</t>
  </si>
  <si>
    <t>2017-10-19T20:22:10.660</t>
  </si>
  <si>
    <t>&lt;powerapps&gt;&lt;exact-online&gt;&lt;nmbrs&gt;&lt;data-gateway&gt;</t>
  </si>
  <si>
    <t>2017-10-06T18:57:54.153</t>
  </si>
  <si>
    <t>PowerApps - Filtering SQL table on Collection Column</t>
  </si>
  <si>
    <t>2017-10-06T19:14:26.807</t>
  </si>
  <si>
    <t>&lt;sql-server&gt;&lt;powerapps&gt;</t>
  </si>
  <si>
    <t>2017-10-08T02:30:52.320</t>
  </si>
  <si>
    <t>Power Apps - Checked toggles reset after Submitform</t>
  </si>
  <si>
    <t>2017-10-22T22:43:24.167</t>
  </si>
  <si>
    <t>&lt;ms-office&gt;&lt;submit&gt;&lt;toggle&gt;&lt;powerapps&gt;</t>
  </si>
  <si>
    <t>2017-10-08T21:25:32.060</t>
  </si>
  <si>
    <t>Saving data from PowerApps text field into SQL Server table</t>
  </si>
  <si>
    <t>2017-10-09T07:26:08.823</t>
  </si>
  <si>
    <t>&lt;sql&gt;&lt;sql-server&gt;&lt;sharepoint&gt;&lt;powerapps&gt;</t>
  </si>
  <si>
    <t>2017-10-12T06:39:50.110</t>
  </si>
  <si>
    <t>SubmitForm is not working in power apps</t>
  </si>
  <si>
    <t>2017-10-12T08:18:27.883</t>
  </si>
  <si>
    <t>2019-01-17T12:16:31.960</t>
  </si>
  <si>
    <t>2017-11-01T04:18:31.667</t>
  </si>
  <si>
    <t>Filter records based on current user in PowerApps</t>
  </si>
  <si>
    <t>2017-11-01T12:49:15.753</t>
  </si>
  <si>
    <t>2017-11-08T17:06:10.480</t>
  </si>
  <si>
    <t>&lt;dynamics-crm&gt;&lt;powerapps&gt;</t>
  </si>
  <si>
    <t>2017-11-01T14:31:06.883</t>
  </si>
  <si>
    <t>Is there a way to execute C# script in sharepoint online?</t>
  </si>
  <si>
    <t>2017-11-01T16:14:21.147</t>
  </si>
  <si>
    <t>2018-12-04T19:15:56.913</t>
  </si>
  <si>
    <t>&lt;c#&gt;&lt;.net&gt;&lt;sharepoint&gt;&lt;aspose&gt;&lt;powerapps&gt;</t>
  </si>
  <si>
    <t>2017-11-01T17:12:39.487</t>
  </si>
  <si>
    <t>Create a new form by pressing a button - PowerApps</t>
  </si>
  <si>
    <t>2017-11-08T09:36:28.570</t>
  </si>
  <si>
    <t>&lt;forms&gt;&lt;sharepoint&gt;&lt;powerapps&gt;</t>
  </si>
  <si>
    <t>2017-11-02T21:22:17.780</t>
  </si>
  <si>
    <t>Uploading Image to SharePoint from PowerApps via Flow</t>
  </si>
  <si>
    <t>2019-12-13T14:33:14.630</t>
  </si>
  <si>
    <t>&lt;sharepoint&gt;&lt;powerapps&gt;&lt;power-automate&gt;</t>
  </si>
  <si>
    <t>2017-11-08T07:37:51.290</t>
  </si>
  <si>
    <t>Getting the response of a post web api call</t>
  </si>
  <si>
    <t>2017-11-08T11:40:22.077</t>
  </si>
  <si>
    <t>Blank() causes an error in an if() - PowerApps</t>
  </si>
  <si>
    <t>2017-11-08T12:10:41.003</t>
  </si>
  <si>
    <t>2017-11-08T12:11:18.083</t>
  </si>
  <si>
    <t>&lt;if-statement&gt;&lt;filter&gt;&lt;powerapps&gt;</t>
  </si>
  <si>
    <t>2017-11-08T11:49:42.300</t>
  </si>
  <si>
    <t>How to post images to Azure storage in powerapps?</t>
  </si>
  <si>
    <t>2017-12-05T17:20:00.593</t>
  </si>
  <si>
    <t>&lt;azure&gt;&lt;azure-storage&gt;&lt;azure-blob-storage&gt;&lt;powerapps&gt;</t>
  </si>
  <si>
    <t>2017-12-01T18:50:15.560</t>
  </si>
  <si>
    <t>2017-11-08T21:03:52.447</t>
  </si>
  <si>
    <t>Power apps how to display time in an hours:minutes:seconds format</t>
  </si>
  <si>
    <t>user8868975</t>
  </si>
  <si>
    <t>2017-11-11T10:39:30.527</t>
  </si>
  <si>
    <t>&lt;function&gt;&lt;time&gt;&lt;powerapps&gt;</t>
  </si>
  <si>
    <t>2017-11-08T21:31:33.057</t>
  </si>
  <si>
    <t>2017-11-09T05:53:57.277</t>
  </si>
  <si>
    <t>Azure function not working properly ?</t>
  </si>
  <si>
    <t>2017-11-10T05:44:09.997</t>
  </si>
  <si>
    <t>&lt;c#&gt;&lt;azure&gt;&lt;http&gt;&lt;powerapps&gt;</t>
  </si>
  <si>
    <t>2017-11-11T09:41:39.017</t>
  </si>
  <si>
    <t>Resource not found in PowerApps when connecting to API?</t>
  </si>
  <si>
    <t>2017-11-11T22:40:05.393</t>
  </si>
  <si>
    <t>&lt;azure&gt;&lt;swagger&gt;&lt;azure-functions&gt;&lt;powerapps&gt;</t>
  </si>
  <si>
    <t>2017-11-16T17:44:46.800</t>
  </si>
  <si>
    <t>PowerApps: Lock dropdown options</t>
  </si>
  <si>
    <t>2018-05-12T06:49:32.853</t>
  </si>
  <si>
    <t>&lt;sharepoint&gt;&lt;dropdown&gt;&lt;powerapps&gt;</t>
  </si>
  <si>
    <t>2017-11-22T10:31:56.797</t>
  </si>
  <si>
    <t>PowerApps merge related tables</t>
  </si>
  <si>
    <t>2017-11-22T10:51:58.287</t>
  </si>
  <si>
    <t>2019-07-12T18:29:08.283</t>
  </si>
  <si>
    <t>&lt;relational-database&gt;&lt;powerapps&gt;</t>
  </si>
  <si>
    <t>2017-12-07T14:17:24.087</t>
  </si>
  <si>
    <t>2017-11-22T15:04:57.727</t>
  </si>
  <si>
    <t>MS PowerApps Deep Linking</t>
  </si>
  <si>
    <t>2017-11-24T08:37:55.260</t>
  </si>
  <si>
    <t>&lt;sharepoint&gt;&lt;deep-linking&gt;&lt;powerapps&gt;&lt;navigateurl&gt;</t>
  </si>
  <si>
    <t>2017-12-12T12:36:26.877</t>
  </si>
  <si>
    <t>Save column value based on the item in combobox</t>
  </si>
  <si>
    <t>2019-05-16T05:02:01.823</t>
  </si>
  <si>
    <t>2017-12-13T23:32:08.873</t>
  </si>
  <si>
    <t>Patch - Update SharePoint List in Powerapps</t>
  </si>
  <si>
    <t>2017-12-13T23:51:05.410</t>
  </si>
  <si>
    <t>2017-12-14T00:11:03.567</t>
  </si>
  <si>
    <t>2017-12-29T18:28:25.313</t>
  </si>
  <si>
    <t>Update row in excel when list control has filtered and distinct data</t>
  </si>
  <si>
    <t>2017-12-29T18:51:51.560</t>
  </si>
  <si>
    <t>2018-01-05T18:18:05.240</t>
  </si>
  <si>
    <t>PowerApp Rules to return boolean if collection contains a string value</t>
  </si>
  <si>
    <t>2019-10-04T07:00:13.267</t>
  </si>
  <si>
    <t>2018-01-08T19:10:43.263</t>
  </si>
  <si>
    <t>2018-01-08T22:26:50.370</t>
  </si>
  <si>
    <t>Hoe do you update a Control property from another Control's action</t>
  </si>
  <si>
    <t>2019-02-15T17:04:25.597</t>
  </si>
  <si>
    <t>&lt;powerapps&gt;&lt;powerapps-formula&gt;</t>
  </si>
  <si>
    <t>2018-01-24T15:26:36.647</t>
  </si>
  <si>
    <t>Event Handling and Thread Safety in PowerApps</t>
  </si>
  <si>
    <t>2018-02-01T04:11:16.377</t>
  </si>
  <si>
    <t>2018-01-25T09:01:05.387</t>
  </si>
  <si>
    <t>How to clear a Text Input in Powerapp?</t>
  </si>
  <si>
    <t>2018-01-25T16:27:48.533</t>
  </si>
  <si>
    <t>2018-01-25T23:22:00.680</t>
  </si>
  <si>
    <t>&lt;clear&gt;&lt;textinput&gt;&lt;powerapps&gt;</t>
  </si>
  <si>
    <t>2018-01-25T12:48:06.063</t>
  </si>
  <si>
    <t>How to get Microsoft Teams Channel posts from powerapps?</t>
  </si>
  <si>
    <t>2018-01-25T17:23:34.397</t>
  </si>
  <si>
    <t>&lt;microsoft-teams&gt;&lt;powerapps&gt;</t>
  </si>
  <si>
    <t>2018-01-25T21:41:24.027</t>
  </si>
  <si>
    <t>Possible to consume AAD authenticated Azure functions from Power Bi and Power Apps?</t>
  </si>
  <si>
    <t>2018-01-26T11:55:36.630</t>
  </si>
  <si>
    <t>2018-02-01T16:23:17.607</t>
  </si>
  <si>
    <t>&lt;authentication&gt;&lt;azure-active-directory&gt;&lt;powerbi&gt;&lt;azure-functions&gt;&lt;powerapps&gt;</t>
  </si>
  <si>
    <t>2018-01-26T17:18:16.570</t>
  </si>
  <si>
    <t>PowerApps SharePoint Online - call JavaScript code</t>
  </si>
  <si>
    <t>2018-12-04T19:12:13.973</t>
  </si>
  <si>
    <t>&lt;javascript&gt;&lt;azure&gt;&lt;sharepoint&gt;&lt;powerapps&gt;</t>
  </si>
  <si>
    <t>2018-02-01T20:35:07.420</t>
  </si>
  <si>
    <t>2018-02-03T19:35:11.723</t>
  </si>
  <si>
    <t>Insert data into SQL Server from form using Power app</t>
  </si>
  <si>
    <t>2018-02-03T20:06:01.087</t>
  </si>
  <si>
    <t>2018-02-06T18:30:32.820</t>
  </si>
  <si>
    <t>PowerApps error message for users</t>
  </si>
  <si>
    <t>2018-11-14T10:44:32.450</t>
  </si>
  <si>
    <t>&lt;office365&gt;&lt;onedrive&gt;&lt;powerapps&gt;&lt;excel-tables&gt;</t>
  </si>
  <si>
    <t>2018-02-13T01:00:26.247</t>
  </si>
  <si>
    <t>Filter gallery to show all items of a category and all sub categories</t>
  </si>
  <si>
    <t>2018-02-14T11:38:52.187</t>
  </si>
  <si>
    <t>&lt;google-sheets&gt;&lt;powerapps&gt;</t>
  </si>
  <si>
    <t>2018-02-14T11:16:23.873</t>
  </si>
  <si>
    <t>2018-02-19T16:05:40.787</t>
  </si>
  <si>
    <t>Powerapp: Submit form if column value is true</t>
  </si>
  <si>
    <t>2018-02-19T19:31:50.053</t>
  </si>
  <si>
    <t>&lt;form-submit&gt;&lt;powerapps&gt;</t>
  </si>
  <si>
    <t>2018-02-19T17:06:26.003</t>
  </si>
  <si>
    <t>Powerapps: An error occurred on the server, Office 365 Dynamics entity data source</t>
  </si>
  <si>
    <t>2018-02-22T19:14:22.117</t>
  </si>
  <si>
    <t>&lt;microsoft-dynamics&gt;&lt;powerapps&gt;</t>
  </si>
  <si>
    <t>2018-02-21T13:11:14.860</t>
  </si>
  <si>
    <t>PowerApps - Office365Users.Manager failed:</t>
  </si>
  <si>
    <t>2018-02-23T15:08:41.763</t>
  </si>
  <si>
    <t>Azure postgres connection to powerApps</t>
  </si>
  <si>
    <t>2018-02-23T17:14:36.783</t>
  </si>
  <si>
    <t>2018-03-19T21:52:33.327</t>
  </si>
  <si>
    <t>&lt;postgresql&gt;&lt;azure&gt;&lt;powerapps&gt;</t>
  </si>
  <si>
    <t>2018-02-27T10:17:11.007</t>
  </si>
  <si>
    <t>Power Apps - Click button and update/change dropdown value</t>
  </si>
  <si>
    <t>2018-02-27T14:23:00.290</t>
  </si>
  <si>
    <t>2018-02-27T13:39:57.330</t>
  </si>
  <si>
    <t>2018-02-28T16:11:56.893</t>
  </si>
  <si>
    <t>PowerApps How can I change the text in a textbox on the click of a button</t>
  </si>
  <si>
    <t>2018-08-29T14:19:16.607</t>
  </si>
  <si>
    <t>2018-03-09T10:54:01.987</t>
  </si>
  <si>
    <t>PowerApp Collection error due to the letter 'y' in Data Source</t>
  </si>
  <si>
    <t>2018-03-09T11:44:37.200</t>
  </si>
  <si>
    <t>&lt;collections&gt;&lt;datasource&gt;&lt;powerapps&gt;</t>
  </si>
  <si>
    <t>2018-03-16T12:35:58.440</t>
  </si>
  <si>
    <t>Delete/Unable/ Mark combo box answers on PowerApps</t>
  </si>
  <si>
    <t>2018-03-19T11:07:52.100</t>
  </si>
  <si>
    <t>&lt;combobox&gt;&lt;powerapps&gt;</t>
  </si>
  <si>
    <t>2018-03-19T20:40:47.017</t>
  </si>
  <si>
    <t>"a value must be provided for item" error in sharepoint cascading dropdowns in powerapps</t>
  </si>
  <si>
    <t>&lt;sharepoint&gt;&lt;cascadingdropdown&gt;&lt;powerapps&gt;</t>
  </si>
  <si>
    <t>2018-03-20T08:31:08.370</t>
  </si>
  <si>
    <t>IsBlank function not delegable?</t>
  </si>
  <si>
    <t>2018-03-22T08:24:29.243</t>
  </si>
  <si>
    <t>2018-03-22T08:43:08.597</t>
  </si>
  <si>
    <t>Filter User email - no delegation</t>
  </si>
  <si>
    <t>2018-03-22T09:08:56.527</t>
  </si>
  <si>
    <t>2018-03-22T08:55:03.533</t>
  </si>
  <si>
    <t>2018-03-22T12:15:02.310</t>
  </si>
  <si>
    <t>Onselect formula</t>
  </si>
  <si>
    <t>2018-03-22T18:20:42.143</t>
  </si>
  <si>
    <t>&lt;formula&gt;&lt;powerapps&gt;</t>
  </si>
  <si>
    <t>2018-03-23T07:44:24.183</t>
  </si>
  <si>
    <t>Powerapps - Wrong time displayed after saving into Sharepoint List</t>
  </si>
  <si>
    <t>2018-04-10T06:20:52.807</t>
  </si>
  <si>
    <t>2018-03-26T10:03:16.767</t>
  </si>
  <si>
    <t>PowerApps DropDown list connection to Azure</t>
  </si>
  <si>
    <t>2018-03-26T11:00:04.800</t>
  </si>
  <si>
    <t>2018-03-26T11:02:20.430</t>
  </si>
  <si>
    <t>2018-03-26T17:11:02.713</t>
  </si>
  <si>
    <t>List box - On Change formula</t>
  </si>
  <si>
    <t>2018-03-29T04:53:16.047</t>
  </si>
  <si>
    <t>2018-03-27T15:44:48.937</t>
  </si>
  <si>
    <t>Getting error when null value received in PowerApps calling the User Profile service</t>
  </si>
  <si>
    <t>2018-03-28T08:47:45.527</t>
  </si>
  <si>
    <t>2018-04-04T19:42:15.917</t>
  </si>
  <si>
    <t>PowerApps - Change Border Color of Form</t>
  </si>
  <si>
    <t>2018-04-04T23:54:09.443</t>
  </si>
  <si>
    <t>2018-04-04T21:33:45.723</t>
  </si>
  <si>
    <t>Difficulty Integrating Powerapps, Flow, and SharePoint</t>
  </si>
  <si>
    <t>&lt;sharepoint-2013&gt;&lt;powerapps&gt;</t>
  </si>
  <si>
    <t>2018-04-05T10:07:13.777</t>
  </si>
  <si>
    <t>Powerapps difficulty accessing JSON in collection</t>
  </si>
  <si>
    <t>2018-04-05T15:25:37.850</t>
  </si>
  <si>
    <t>2018-04-05T16:23:48.860</t>
  </si>
  <si>
    <t>&lt;swagger&gt;&lt;powerapps&gt;</t>
  </si>
  <si>
    <t>2018-04-05T14:55:25.963</t>
  </si>
  <si>
    <t>Decode Base64 string as image and Display using .image property in Powerapps</t>
  </si>
  <si>
    <t>2018-04-05T16:24:39.080</t>
  </si>
  <si>
    <t>2019-12-09T06:13:27.843</t>
  </si>
  <si>
    <t>&lt;base64&gt;&lt;powerapps&gt;</t>
  </si>
  <si>
    <t>2018-04-06T11:51:37.863</t>
  </si>
  <si>
    <t>PowerApps: getting most recent record having a condition</t>
  </si>
  <si>
    <t>2018-04-06T12:09:12.697</t>
  </si>
  <si>
    <t>2019-06-24T08:55:47.010</t>
  </si>
  <si>
    <t>2018-04-06T12:42:58.990</t>
  </si>
  <si>
    <t>2018-04-08T14:32:10.973</t>
  </si>
  <si>
    <t>PowerApp - image not showing when stored in SQL Server</t>
  </si>
  <si>
    <t>2018-04-12T22:15:28.193</t>
  </si>
  <si>
    <t>&lt;sql-server&gt;&lt;azure&gt;&lt;office365&gt;&lt;powerapps&gt;</t>
  </si>
  <si>
    <t>2018-04-10T07:21:14.493</t>
  </si>
  <si>
    <t>How to deploy Microsoft PowerApps using Intune?</t>
  </si>
  <si>
    <t>2018-04-12T20:15:03.990</t>
  </si>
  <si>
    <t>&lt;sharepoint&gt;&lt;powerapps&gt;&lt;intune&gt;</t>
  </si>
  <si>
    <t>2018-04-12T18:25:29.377</t>
  </si>
  <si>
    <t>PowerApps failure starting on April 7th after Upgrade of App on IOS/Android</t>
  </si>
  <si>
    <t>2018-04-12T18:45:59.290</t>
  </si>
  <si>
    <t>&lt;android&gt;&lt;ios&gt;&lt;sharepoint-online&gt;&lt;powerapps&gt;</t>
  </si>
  <si>
    <t>2018-04-16T20:48:58.320</t>
  </si>
  <si>
    <t>Query a range in an Excel table linked to PowerApps Text Search box</t>
  </si>
  <si>
    <t>2018-04-16T21:22:08.810</t>
  </si>
  <si>
    <t>&lt;search&gt;&lt;range&gt;&lt;user-input&gt;&lt;powerapps&gt;</t>
  </si>
  <si>
    <t>2018-04-21T09:54:12.307</t>
  </si>
  <si>
    <t>PowerApps: Filter by user no delegation</t>
  </si>
  <si>
    <t>2018-04-24T11:06:47.663</t>
  </si>
  <si>
    <t>&lt;delegation&gt;&lt;powerapps&gt;</t>
  </si>
  <si>
    <t>2018-04-22T18:07:16.630</t>
  </si>
  <si>
    <t>Remove items from 'LeftMenuCollect' collection in Leave Request template?</t>
  </si>
  <si>
    <t>2018-04-22T18:23:47.323</t>
  </si>
  <si>
    <t>2018-08-23T04:35:15.760</t>
  </si>
  <si>
    <t>2018-04-24T15:45:48.460</t>
  </si>
  <si>
    <t>PowerApps - Filtering drop down based on DatePicker selection</t>
  </si>
  <si>
    <t>2018-04-24T15:54:40.483</t>
  </si>
  <si>
    <t>2018-04-25T20:29:10.133</t>
  </si>
  <si>
    <t>2018-04-25T09:05:44.317</t>
  </si>
  <si>
    <t>Always facing below error when trying to connect PowerApps with Microsoft Navision 2016</t>
  </si>
  <si>
    <t>2018-04-26T09:52:32.523</t>
  </si>
  <si>
    <t>&lt;navision&gt;&lt;powerapps&gt;</t>
  </si>
  <si>
    <t>2018-04-25T20:51:42.440</t>
  </si>
  <si>
    <t>Azure SQL - creating an autogenerating id with a constraint causing issues for powerapps</t>
  </si>
  <si>
    <t>2018-04-25T21:21:04.587</t>
  </si>
  <si>
    <t>&lt;sql&gt;&lt;azure&gt;&lt;azure-sql-database&gt;&lt;powerapps&gt;</t>
  </si>
  <si>
    <t>2018-05-03T13:33:00.613</t>
  </si>
  <si>
    <t>Eval() function for Microsoft PowerApps</t>
  </si>
  <si>
    <t>2018-05-03T15:13:25.530</t>
  </si>
  <si>
    <t>&lt;eval&gt;&lt;powerapps&gt;</t>
  </si>
  <si>
    <t>2018-05-04T08:09:25.370</t>
  </si>
  <si>
    <t>Creating a Sharepoint workflow to gather data for a custom list</t>
  </si>
  <si>
    <t>2018-05-04T10:17:32.923</t>
  </si>
  <si>
    <t>&lt;sharepoint&gt;&lt;sharepoint-workflow&gt;&lt;sharepoint-list&gt;&lt;powerapps&gt;</t>
  </si>
  <si>
    <t>2018-05-07T09:40:37.117</t>
  </si>
  <si>
    <t>An Outlook Tasks ToDo list in PowerApps (or something else)</t>
  </si>
  <si>
    <t>2018-05-15T11:52:42.643</t>
  </si>
  <si>
    <t>2020-01-22T20:38:49.730</t>
  </si>
  <si>
    <t>&lt;outlook&gt;&lt;task&gt;&lt;microsoft-teams&gt;&lt;powerapps&gt;</t>
  </si>
  <si>
    <t>2018-05-15T11:15:04.080</t>
  </si>
  <si>
    <t>2018-05-07T14:29:38.023</t>
  </si>
  <si>
    <t>Attach File Sharepoint Online List</t>
  </si>
  <si>
    <t>2018-05-08T00:50:52.310</t>
  </si>
  <si>
    <t>2018-05-09T07:20:51.787</t>
  </si>
  <si>
    <t>Thousands separator in PowerApps Form</t>
  </si>
  <si>
    <t>2018-05-14T21:49:37.283</t>
  </si>
  <si>
    <t>2018-05-13T12:58:52.877</t>
  </si>
  <si>
    <t>Powerapps - How to Audit Trail?</t>
  </si>
  <si>
    <t>2018-05-13T13:18:13.847</t>
  </si>
  <si>
    <t>2018-05-14T04:50:39.043</t>
  </si>
  <si>
    <t>&lt;archive&gt;&lt;audit&gt;&lt;audit-trail&gt;&lt;powerapps&gt;</t>
  </si>
  <si>
    <t>2018-05-14T01:45:35.813</t>
  </si>
  <si>
    <t>Using a search text box on a sharepoint list &gt;500 items</t>
  </si>
  <si>
    <t>2018-05-14T05:00:02.367</t>
  </si>
  <si>
    <t>2018-05-14T22:23:32.437</t>
  </si>
  <si>
    <t>How to retrieve Planner task comments for use in PowerApps</t>
  </si>
  <si>
    <t>2018-05-14T22:37:42.113</t>
  </si>
  <si>
    <t>&lt;api&gt;&lt;office365&gt;&lt;microsoft-graph&gt;&lt;powerapps&gt;</t>
  </si>
  <si>
    <t>2018-05-18T06:51:22.770</t>
  </si>
  <si>
    <t>Chatbot connection in PowerApps</t>
  </si>
  <si>
    <t>2018-05-18T06:58:23.260</t>
  </si>
  <si>
    <t>&lt;chatbot&gt;&lt;powerapps&gt;</t>
  </si>
  <si>
    <t>2018-05-18T15:50:01.440</t>
  </si>
  <si>
    <t>Dynamic SQL Server query in Powerapps</t>
  </si>
  <si>
    <t>2018-05-18T16:02:17.863</t>
  </si>
  <si>
    <t>2018-05-24T15:34:38.780</t>
  </si>
  <si>
    <t>&lt;sql&gt;&lt;sql-server&gt;&lt;powerapps&gt;</t>
  </si>
  <si>
    <t>2018-05-19T01:20:52.690</t>
  </si>
  <si>
    <t>trim and trimends in powerapps not working</t>
  </si>
  <si>
    <t>2018-07-11T10:34:58.143</t>
  </si>
  <si>
    <t>&lt;trim&gt;&lt;powerapps&gt;&lt;blank-line&gt;</t>
  </si>
  <si>
    <t>2018-05-21T08:30:19.423</t>
  </si>
  <si>
    <t>Power Apps - Reset Form Fields</t>
  </si>
  <si>
    <t>2019-05-16T05:06:24.527</t>
  </si>
  <si>
    <t>2018-05-21T18:57:22.330</t>
  </si>
  <si>
    <t>2018-05-21T11:11:10.267</t>
  </si>
  <si>
    <t>How to run a SQL Server stored procedure in PowerApps</t>
  </si>
  <si>
    <t>2019-03-05T15:43:25.570</t>
  </si>
  <si>
    <t>&lt;sql-server&gt;&lt;stored-procedures&gt;&lt;powerapps&gt;</t>
  </si>
  <si>
    <t>2018-05-22T11:26:49.500</t>
  </si>
  <si>
    <t>Power Apps, Pen Input to Sharepoint List</t>
  </si>
  <si>
    <t>2019-10-12T15:55:01.873</t>
  </si>
  <si>
    <t>2018-05-23T11:47:17.740</t>
  </si>
  <si>
    <t>MS PowerApps: Can't save a new record to SharePoint online</t>
  </si>
  <si>
    <t>2018-05-23T12:56:44.590</t>
  </si>
  <si>
    <t>2018-05-23T12:57:54.737</t>
  </si>
  <si>
    <t>2018-05-24T06:59:11.697</t>
  </si>
  <si>
    <t>PowerApps and paging with large data amounts</t>
  </si>
  <si>
    <t>2018-05-24T13:07:22.117</t>
  </si>
  <si>
    <t>2018-05-29T12:11:23.137</t>
  </si>
  <si>
    <t>Environment discovery failed. No matching environments matched the given Id - PowerApps</t>
  </si>
  <si>
    <t>2018-06-07T09:56:49.853</t>
  </si>
  <si>
    <t>&lt;powerapps&gt;&lt;cds&gt;&lt;common-data-service&gt;</t>
  </si>
  <si>
    <t>2018-05-30T05:57:14.597</t>
  </si>
  <si>
    <t>Credentials for the SQL Server Agent are invalid [2018]</t>
  </si>
  <si>
    <t>2018-10-22T16:23:41.187</t>
  </si>
  <si>
    <t>&lt;sql-server&gt;&lt;gateway&gt;&lt;powerapps&gt;</t>
  </si>
  <si>
    <t>2018-05-30T19:02:55.650</t>
  </si>
  <si>
    <t>How to use values from two datacardvalue fields to disable an "action" button in powerapps</t>
  </si>
  <si>
    <t>2019-12-19T18:27:29.753</t>
  </si>
  <si>
    <t>2018-05-31T16:23:49.800</t>
  </si>
  <si>
    <t>Parse email subject office 365 flows</t>
  </si>
  <si>
    <t>2018-05-31T17:53:19.767</t>
  </si>
  <si>
    <t>2018-05-31T22:45:41.897</t>
  </si>
  <si>
    <t>&lt;expression&gt;&lt;office365&gt;&lt;powerapps&gt;&lt;power-automate&gt;</t>
  </si>
  <si>
    <t>2018-05-31T22:47:27.127</t>
  </si>
  <si>
    <t>PowerApps login issues on Chrome</t>
  </si>
  <si>
    <t>2018-07-26T04:25:09.203</t>
  </si>
  <si>
    <t>&lt;google-chrome&gt;&lt;microsoft-edge&gt;&lt;powerapps&gt;</t>
  </si>
  <si>
    <t>2018-06-01T06:59:30.883</t>
  </si>
  <si>
    <t>PowerApps - Display Image received by custom connector via ASP.NET API</t>
  </si>
  <si>
    <t>2018-10-30T18:22:24.303</t>
  </si>
  <si>
    <t>&lt;asp.net&gt;&lt;azure-web-sites&gt;&lt;azure-active-directory&gt;&lt;powerapps&gt;</t>
  </si>
  <si>
    <t>2018-06-09T15:04:50.233</t>
  </si>
  <si>
    <t>Form validation before submit data to SharePoint list (PowerApps)</t>
  </si>
  <si>
    <t>2018-06-10T06:37:10.847</t>
  </si>
  <si>
    <t>2018-06-12T14:12:45.463</t>
  </si>
  <si>
    <t>PowerApps collection not cleared after closing app</t>
  </si>
  <si>
    <t>2018-07-05T09:11:55.697</t>
  </si>
  <si>
    <t>2018-06-27T07:15:29.963</t>
  </si>
  <si>
    <t>PowerApp - Common Data Service Boolean Missing</t>
  </si>
  <si>
    <t>2018-06-27T13:28:34.750</t>
  </si>
  <si>
    <t>&lt;powerapps&gt;&lt;common-data-service&gt;</t>
  </si>
  <si>
    <t>2018-06-27T18:28:16.270</t>
  </si>
  <si>
    <t>PowerApps SubmitForm to another datasource</t>
  </si>
  <si>
    <t>2018-07-01T23:52:50.757</t>
  </si>
  <si>
    <t>2018-06-28T06:40:44.433</t>
  </si>
  <si>
    <t>Convert an object to string in PowerApps</t>
  </si>
  <si>
    <t>2018-06-28T13:13:53.530</t>
  </si>
  <si>
    <t>2018-06-29T14:34:33.370</t>
  </si>
  <si>
    <t>PowerApps: Show Details from a Gallery on a Browse Screen on a third Detail Screen</t>
  </si>
  <si>
    <t>2019-05-16T04:58:11.540</t>
  </si>
  <si>
    <t>2018-07-02T10:02:15.613</t>
  </si>
  <si>
    <t>powerapp: add in-app camera picture to attachment</t>
  </si>
  <si>
    <t>2018-07-16T20:07:09.860</t>
  </si>
  <si>
    <t>2018-07-03T15:03:59.700</t>
  </si>
  <si>
    <t>Powerapps Office365Users.UserPhoto failed</t>
  </si>
  <si>
    <t>2018-07-03T18:48:08.343</t>
  </si>
  <si>
    <t>2018-07-06T14:29:44.923</t>
  </si>
  <si>
    <t>&lt;azure-active-directory&gt;&lt;powerapps&gt;</t>
  </si>
  <si>
    <t>2018-07-04T07:34:14.903</t>
  </si>
  <si>
    <t>Create CRUD Powerapps using Own API without Azure?</t>
  </si>
  <si>
    <t>2018-07-05T22:33:15.580</t>
  </si>
  <si>
    <t>&lt;rest&gt;&lt;api&gt;&lt;azure&gt;&lt;crud&gt;&lt;powerapps&gt;</t>
  </si>
  <si>
    <t>2018-07-06T09:05:19.293</t>
  </si>
  <si>
    <t>Power apps pen input image save to CRM notes</t>
  </si>
  <si>
    <t>&lt;dynamics-crm&gt;&lt;crm&gt;&lt;powerapps&gt;</t>
  </si>
  <si>
    <t>2018-07-13T11:42:03.453</t>
  </si>
  <si>
    <t>Creating from blank canvas sharepoint lookup fields are not visible when editing form</t>
  </si>
  <si>
    <t>2018-07-16T10:29:02.227</t>
  </si>
  <si>
    <t>2019-04-03T15:34:22.580</t>
  </si>
  <si>
    <t>&lt;sharepoint&gt;&lt;sharepoint-2013&gt;&lt;powerapps&gt;</t>
  </si>
  <si>
    <t>2018-07-17T12:20:00.980</t>
  </si>
  <si>
    <t>Is powerapps add attachments on edit form available in Sharepoint on prem list</t>
  </si>
  <si>
    <t>2018-07-18T17:30:58.543</t>
  </si>
  <si>
    <t>2018-07-18T05:47:29.017</t>
  </si>
  <si>
    <t>Azure function response in Power apps returns true/false instead of value</t>
  </si>
  <si>
    <t>2020-05-03T08:21:34.170</t>
  </si>
  <si>
    <t>&lt;azure-functions&gt;&lt;powerapps&gt;</t>
  </si>
  <si>
    <t>2018-07-24T08:02:00.263</t>
  </si>
  <si>
    <t>Powerapps create and edit in one screen</t>
  </si>
  <si>
    <t>2018-07-31T19:32:01.123</t>
  </si>
  <si>
    <t>2018-07-24T13:28:17.317</t>
  </si>
  <si>
    <t>Powerapps Visible function</t>
  </si>
  <si>
    <t>2019-04-12T09:12:50.070</t>
  </si>
  <si>
    <t>2018-07-31T03:40:01.180</t>
  </si>
  <si>
    <t>2018-07-25T16:09:14.057</t>
  </si>
  <si>
    <t>Form fields are invisible after running app</t>
  </si>
  <si>
    <t>2018-08-01T15:14:36.710</t>
  </si>
  <si>
    <t>2018-07-25T18:47:03.910</t>
  </si>
  <si>
    <t>Powerapps suspense list items error waiting for bracketclose found error</t>
  </si>
  <si>
    <t>2018-07-26T07:17:19.070</t>
  </si>
  <si>
    <t>&lt;list&gt;&lt;items&gt;&lt;powerapps&gt;</t>
  </si>
  <si>
    <t>2018-07-26T09:05:20.407</t>
  </si>
  <si>
    <t>PowerApps : interogating datasources</t>
  </si>
  <si>
    <t>2018-07-27T11:59:20.740</t>
  </si>
  <si>
    <t>2018-08-01T15:09:31.757</t>
  </si>
  <si>
    <t>2018-08-01T06:04:03.087</t>
  </si>
  <si>
    <t>Powerapps : datasource result in text field</t>
  </si>
  <si>
    <t>2018-08-01T13:06:09.273</t>
  </si>
  <si>
    <t>2018-08-02T11:02:54.770</t>
  </si>
  <si>
    <t>Power app Data table iteration.</t>
  </si>
  <si>
    <t>2018-12-24T07:05:29.080</t>
  </si>
  <si>
    <t>2018-08-02T12:23:22.590</t>
  </si>
  <si>
    <t>Power Apps - How to change the format of the Rich text column to normal text of the Data Table object</t>
  </si>
  <si>
    <t>2018-08-04T13:34:49.340</t>
  </si>
  <si>
    <t>2018-08-04T13:36:36.307</t>
  </si>
  <si>
    <t>2018-08-03T06:10:50.250</t>
  </si>
  <si>
    <t>What happens to offline collection data when we close the and re-open the app</t>
  </si>
  <si>
    <t>2018-08-03T13:39:04.307</t>
  </si>
  <si>
    <t>2018-08-03T13:58:40.317</t>
  </si>
  <si>
    <t>In Powerapps, Can I add a text field and connect it to a SharePoint list column</t>
  </si>
  <si>
    <t>2018-08-03T15:21:52.300</t>
  </si>
  <si>
    <t>2018-08-03T15:02:28.577</t>
  </si>
  <si>
    <t>Cannot determine source of Excel OneDrive data source in Powerapps</t>
  </si>
  <si>
    <t>2018-08-04T13:33:43.680</t>
  </si>
  <si>
    <t>&lt;excel&gt;&lt;datasource&gt;&lt;powerapps&gt;</t>
  </si>
  <si>
    <t>2018-08-08T06:08:19.533</t>
  </si>
  <si>
    <t>Read csv files and work with data</t>
  </si>
  <si>
    <t>2018-08-08T10:40:16.730</t>
  </si>
  <si>
    <t>Compare gallery item to string</t>
  </si>
  <si>
    <t>2018-08-10T07:00:50.623</t>
  </si>
  <si>
    <t>2018-08-14T12:51:09.307</t>
  </si>
  <si>
    <t>2018-08-09T10:43:19.760</t>
  </si>
  <si>
    <t>How to create a PowerApp gallery with multiple dataset lists</t>
  </si>
  <si>
    <t>2018-08-10T17:45:43.817</t>
  </si>
  <si>
    <t>&lt;list&gt;&lt;sharepoint&gt;&lt;powerapps&gt;</t>
  </si>
  <si>
    <t>2018-08-09T18:17:05.437</t>
  </si>
  <si>
    <t>2018-08-10T05:54:03.173</t>
  </si>
  <si>
    <t>Powerapps - Pick "Title" text from Browse screen and add it as default to Form screen dropdown Options</t>
  </si>
  <si>
    <t>2018-08-10T07:50:29.117</t>
  </si>
  <si>
    <t>&lt;sharepoint-2013&gt;&lt;default&gt;&lt;dropdown&gt;&lt;powerapps&gt;</t>
  </si>
  <si>
    <t>2018-08-13T10:37:07.230</t>
  </si>
  <si>
    <t>PowerApps : How to Navigate from Table to another Table</t>
  </si>
  <si>
    <t>2018-08-14T10:56:36.163</t>
  </si>
  <si>
    <t>2018-08-14T12:47:49.453</t>
  </si>
  <si>
    <t>2018-08-14T04:18:53.697</t>
  </si>
  <si>
    <t>2018-08-14T11:16:35.390</t>
  </si>
  <si>
    <t>Using a hyperlink within a next arrow in PowerApps</t>
  </si>
  <si>
    <t>2018-08-14T11:58:05.300</t>
  </si>
  <si>
    <t>&lt;hyperlink&gt;&lt;powerapps&gt;</t>
  </si>
  <si>
    <t>2018-08-14T18:45:51.180</t>
  </si>
  <si>
    <t>How to find data structure of an app in PowerApps</t>
  </si>
  <si>
    <t>2018-08-14T19:13:03.197</t>
  </si>
  <si>
    <t>2018-08-21T04:49:25.737</t>
  </si>
  <si>
    <t>&lt;sql&gt;&lt;sqldatatypes&gt;&lt;powerapps&gt;&lt;datafield&gt;</t>
  </si>
  <si>
    <t>2018-08-16T10:54:23.123</t>
  </si>
  <si>
    <t>Why am I not allowed to have dynamic strings for column names in PowerApps?</t>
  </si>
  <si>
    <t>2018-08-21T07:48:28.427</t>
  </si>
  <si>
    <t>2018-08-17T20:24:40.783</t>
  </si>
  <si>
    <t>2018-08-16T20:47:53.173</t>
  </si>
  <si>
    <t>Connecting SQL Server (On-prem) to Powerapps</t>
  </si>
  <si>
    <t>2018-08-16T20:51:24.860</t>
  </si>
  <si>
    <t>2018-08-24T00:08:15.710</t>
  </si>
  <si>
    <t>2018-08-20T09:00:18.603</t>
  </si>
  <si>
    <t>Powerapps: using Excel DataSource, Screen blank</t>
  </si>
  <si>
    <t>2018-08-24T19:57:08.147</t>
  </si>
  <si>
    <t>2018-08-21T13:47:49.283</t>
  </si>
  <si>
    <t>Powerapps Copy Paste function for a Group</t>
  </si>
  <si>
    <t>2018-10-29T10:33:17.997</t>
  </si>
  <si>
    <t>&lt;copy-paste&gt;&lt;powerapps&gt;&lt;create-function&gt;</t>
  </si>
  <si>
    <t>2018-09-05T00:07:30.553</t>
  </si>
  <si>
    <t>2018-08-23T03:29:49.450</t>
  </si>
  <si>
    <t>"Sign in required" after I click "Make this app" in PowerApps</t>
  </si>
  <si>
    <t>2018-12-12T19:49:32.673</t>
  </si>
  <si>
    <t>2018-08-28T07:17:24.020</t>
  </si>
  <si>
    <t>How to fix the Accessible Label Error on Powerapps</t>
  </si>
  <si>
    <t>2018-08-28T17:34:25.867</t>
  </si>
  <si>
    <t>2018-08-28T13:48:20.297</t>
  </si>
  <si>
    <t>2018-08-28T13:12:14.677</t>
  </si>
  <si>
    <t>Check error before submit</t>
  </si>
  <si>
    <t>2018-12-21T09:04:02.390</t>
  </si>
  <si>
    <t>2018-08-29T07:32:20.360</t>
  </si>
  <si>
    <t>2018-08-29T13:35:56.103</t>
  </si>
  <si>
    <t>Send link of "ThisItem"</t>
  </si>
  <si>
    <t>2018-08-29T14:06:53.917</t>
  </si>
  <si>
    <t>2018-08-30T11:23:14.767</t>
  </si>
  <si>
    <t>2018-09-03T06:03:13.440</t>
  </si>
  <si>
    <t>PowerApps embedded in Power Bi Desktop communication to Local SQL Server without on Premises</t>
  </si>
  <si>
    <t>2018-09-04T23:56:33.487</t>
  </si>
  <si>
    <t>&lt;powerbi&gt;&lt;powerapps&gt;</t>
  </si>
  <si>
    <t>2018-09-05T18:41:42.610</t>
  </si>
  <si>
    <t>Multiple Selections in a Combobox</t>
  </si>
  <si>
    <t>2018-09-05T19:26:34.977</t>
  </si>
  <si>
    <t>&lt;if-statement&gt;&lt;powerapps&gt;</t>
  </si>
  <si>
    <t>2018-09-06T13:43:35.683</t>
  </si>
  <si>
    <t>Loading troubles in powerapps</t>
  </si>
  <si>
    <t>2018-09-07T05:19:11.940</t>
  </si>
  <si>
    <t>2018-09-07T05:14:41.667</t>
  </si>
  <si>
    <t>MS Powerapps: Forall in combination with Office365.SendEmail</t>
  </si>
  <si>
    <t>2018-12-20T21:48:51.350</t>
  </si>
  <si>
    <t>2018-09-07T07:25:50.247</t>
  </si>
  <si>
    <t>PowerApps Gallery not showing SharePoint data for users</t>
  </si>
  <si>
    <t>2018-09-10T06:19:23.943</t>
  </si>
  <si>
    <t>2018-09-07T12:57:57.437</t>
  </si>
  <si>
    <t>Use PowerApp to enter the user's input into the word document.</t>
  </si>
  <si>
    <t>2018-09-07T14:00:09.807</t>
  </si>
  <si>
    <t>2018-09-07T14:42:55.830</t>
  </si>
  <si>
    <t>How to Check value of combo-box (selected items) in the formula for a button (Visible property)</t>
  </si>
  <si>
    <t>2018-09-10T12:22:18.180</t>
  </si>
  <si>
    <t>&lt;sharepoint-online&gt;&lt;sharepoint-list&gt;&lt;powerapps&gt;</t>
  </si>
  <si>
    <t>2018-09-10T14:55:03.810</t>
  </si>
  <si>
    <t>PowerApps: 3 keys were specified, but 4 values were provided</t>
  </si>
  <si>
    <t>&lt;sql&gt;&lt;powerapps&gt;</t>
  </si>
  <si>
    <t>2018-09-12T05:03:34.353</t>
  </si>
  <si>
    <t>Showing error in Search Command Power Apps</t>
  </si>
  <si>
    <t>2018-09-12T12:03:02.473</t>
  </si>
  <si>
    <t>&lt;search&gt;&lt;powerapps&gt;</t>
  </si>
  <si>
    <t>2018-09-12T06:45:40.240</t>
  </si>
  <si>
    <t>Apply search and filter in power Apps</t>
  </si>
  <si>
    <t>2019-09-06T16:44:36.413</t>
  </si>
  <si>
    <t>2018-09-12T13:18:09.420</t>
  </si>
  <si>
    <t>2018-09-12T08:00:40.773</t>
  </si>
  <si>
    <t>Choose form at opening</t>
  </si>
  <si>
    <t>2018-09-12T11:54:39.410</t>
  </si>
  <si>
    <t>Use a field in a list without use it in a datacard visible on form</t>
  </si>
  <si>
    <t>2018-09-12T12:22:12.393</t>
  </si>
  <si>
    <t>2018-09-12T12:10:59.940</t>
  </si>
  <si>
    <t>powerapp adding changing hyperlinks</t>
  </si>
  <si>
    <t>2018-09-12T13:16:26.597</t>
  </si>
  <si>
    <t>&lt;html&gt;&lt;hyperlink&gt;&lt;powerapps&gt;</t>
  </si>
  <si>
    <t>2018-09-14T05:43:44.890</t>
  </si>
  <si>
    <t>How to add google sheet excel column values to dropdown in power apps</t>
  </si>
  <si>
    <t>2018-09-14T12:57:30.450</t>
  </si>
  <si>
    <t>2018-09-14T13:36:19.847</t>
  </si>
  <si>
    <t>2018-09-14T12:27:50.197</t>
  </si>
  <si>
    <t>Field growing when text incoming</t>
  </si>
  <si>
    <t>2018-09-14T13:47:51.710</t>
  </si>
  <si>
    <t>2018-09-17T08:38:19.817</t>
  </si>
  <si>
    <t>Powerapps Search all even if filtered</t>
  </si>
  <si>
    <t>2018-09-17T08:46:59.250</t>
  </si>
  <si>
    <t>&lt;html&gt;&lt;search&gt;&lt;filter&gt;&lt;powerapps&gt;</t>
  </si>
  <si>
    <t>2018-09-19T12:49:48.160</t>
  </si>
  <si>
    <t>Powerapps - Variables in gallery</t>
  </si>
  <si>
    <t>2020-02-27T12:19:12.470</t>
  </si>
  <si>
    <t>&lt;variables&gt;&lt;gallery&gt;&lt;powerapps&gt;</t>
  </si>
  <si>
    <t>2018-09-20T12:13:35.647</t>
  </si>
  <si>
    <t>how to filter powerapp gallery with textinput, dropdown, and datepicker</t>
  </si>
  <si>
    <t>2018-09-20T14:12:16.523</t>
  </si>
  <si>
    <t>2018-09-25T17:56:53.143</t>
  </si>
  <si>
    <t>&lt;filtering&gt;&lt;powerapps&gt;</t>
  </si>
  <si>
    <t>2018-09-21T03:03:12.293</t>
  </si>
  <si>
    <t>OneDrive App on iOS - Launch to a specific folder, from PowerApps</t>
  </si>
  <si>
    <t>2018-12-19T17:36:30.923</t>
  </si>
  <si>
    <t>&lt;ios&gt;&lt;onedrive&gt;&lt;powerapps&gt;</t>
  </si>
  <si>
    <t>2018-09-21T11:45:32.950</t>
  </si>
  <si>
    <t>How to check if a Choice field option is selected</t>
  </si>
  <si>
    <t>2018-09-21T12:32:55.043</t>
  </si>
  <si>
    <t>&lt;sharepoint-list&gt;&lt;powerapps&gt;&lt;powerapps-formula&gt;&lt;powerapps-selected-items&gt;</t>
  </si>
  <si>
    <t>2018-09-27T04:03:50.180</t>
  </si>
  <si>
    <t>Access JSON results from Custom Connector (Web API) in PowerApps</t>
  </si>
  <si>
    <t>2018-10-04T05:30:06.690</t>
  </si>
  <si>
    <t>2018-09-28T22:12:18.007</t>
  </si>
  <si>
    <t>Can you create a browser app with PowerApps?</t>
  </si>
  <si>
    <t>2018-10-01T07:02:09.530</t>
  </si>
  <si>
    <t>2018-10-01T06:15:20.133</t>
  </si>
  <si>
    <t>Connecting Azure blob storage to PowerApps</t>
  </si>
  <si>
    <t>2018-10-01T12:37:19.453</t>
  </si>
  <si>
    <t>&lt;azure-storage&gt;&lt;powerapps&gt;</t>
  </si>
  <si>
    <t>2018-10-01T23:04:02.797</t>
  </si>
  <si>
    <t>PowerApps Common Data Service (CDS) 2.0 connector doesn't work for a Dynamics 365 CE instance</t>
  </si>
  <si>
    <t>2018-11-29T20:36:59.180</t>
  </si>
  <si>
    <t>2018-11-29T20:40:28.567</t>
  </si>
  <si>
    <t>&lt;dynamics-365&gt;&lt;powerapps&gt;&lt;common-data-service&gt;</t>
  </si>
  <si>
    <t>2018-10-03T12:22:26.667</t>
  </si>
  <si>
    <t>PowerApps out of office different user</t>
  </si>
  <si>
    <t>2018-10-03T16:01:28.730</t>
  </si>
  <si>
    <t>2018-10-05T21:31:13.600</t>
  </si>
  <si>
    <t>Nested If Formula in a forAll formula in a forAll formula PowerApps</t>
  </si>
  <si>
    <t>&lt;if-statement&gt;&lt;lookup&gt;&lt;powerapps&gt;&lt;forall&gt;&lt;powerapps-formula&gt;</t>
  </si>
  <si>
    <t>2018-10-09T07:52:41.607</t>
  </si>
  <si>
    <t>sharepoint online - Powerapp integration</t>
  </si>
  <si>
    <t>2019-08-03T06:09:20.720</t>
  </si>
  <si>
    <t>2018-10-10T08:56:57.007</t>
  </si>
  <si>
    <t>Microsoft flow not triggering when new email is arrived</t>
  </si>
  <si>
    <t>2019-02-23T10:11:57.720</t>
  </si>
  <si>
    <t>2019-10-17T20:27:37.523</t>
  </si>
  <si>
    <t>&lt;automation&gt;&lt;powerapps&gt;&lt;power-automate&gt;</t>
  </si>
  <si>
    <t>2018-10-22T06:14:53.087</t>
  </si>
  <si>
    <t>2018-10-11T14:15:55.517</t>
  </si>
  <si>
    <t>PowerApps : Implementing Role Based Security In Your PowerApps App</t>
  </si>
  <si>
    <t>2018-10-25T15:45:00.580</t>
  </si>
  <si>
    <t>2018-10-12T04:06:48.790</t>
  </si>
  <si>
    <t>PowerApps: How to Patch multiple SQL tables with foreign keys?</t>
  </si>
  <si>
    <t>2018-10-12T13:06:33.003</t>
  </si>
  <si>
    <t>&lt;foreign-keys&gt;&lt;azure-sql-database&gt;&lt;powerapps&gt;&lt;powerapps-formula&gt;</t>
  </si>
  <si>
    <t>2018-10-17T11:53:57.277</t>
  </si>
  <si>
    <t>Select a form from title when I open my app</t>
  </si>
  <si>
    <t>2018-10-18T11:11:39.097</t>
  </si>
  <si>
    <t>Printing Images To Zebra Printer</t>
  </si>
  <si>
    <t>2018-10-18T13:26:55.907</t>
  </si>
  <si>
    <t>&lt;printing&gt;&lt;zebra-printers&gt;&lt;zpl&gt;&lt;powerapps&gt;</t>
  </si>
  <si>
    <t>2018-10-19T14:07:35.490</t>
  </si>
  <si>
    <t>Lookup always return first item</t>
  </si>
  <si>
    <t>2018-10-19T16:06:58.730</t>
  </si>
  <si>
    <t>2018-10-20T09:46:36.400</t>
  </si>
  <si>
    <t>How to autogenerate Primary Name field in custom Common Data Service Entity?</t>
  </si>
  <si>
    <t>2019-03-01T04:38:04.760</t>
  </si>
  <si>
    <t>&lt;dynamics-crm&gt;&lt;powerapps&gt;&lt;common-data-service&gt;&lt;powerapps-modeldriven&gt;</t>
  </si>
  <si>
    <t>2018-10-23T16:45:14.843</t>
  </si>
  <si>
    <t>powerapps add picture modus how to add multiple</t>
  </si>
  <si>
    <t>2018-10-24T08:42:20.760</t>
  </si>
  <si>
    <t>2018-11-01T19:21:39.710</t>
  </si>
  <si>
    <t>SharePoint &amp; PowerApps Forms ... Auto fill list field by retrieving Data from 2nd list</t>
  </si>
  <si>
    <t>2018-11-02T14:29:40.570</t>
  </si>
  <si>
    <t>2018-11-06T10:44:14.730</t>
  </si>
  <si>
    <t>Save data to text</t>
  </si>
  <si>
    <t>2018-11-06T10:47:42.943</t>
  </si>
  <si>
    <t>2018-11-06T15:38:52.683</t>
  </si>
  <si>
    <t>Get values out of multi-select combobox</t>
  </si>
  <si>
    <t>2018-11-06T15:53:41.390</t>
  </si>
  <si>
    <t>2018-11-07T15:06:43.807</t>
  </si>
  <si>
    <t>Edit form Selected field auto created in view mode</t>
  </si>
  <si>
    <t>2018-11-07T15:19:28.460</t>
  </si>
  <si>
    <t>2018-11-07T15:59:43.800</t>
  </si>
  <si>
    <t>2018-11-07T15:15:22.120</t>
  </si>
  <si>
    <t>PowerApps form doesn't save external data to SharePoint list</t>
  </si>
  <si>
    <t>2018-11-07T21:08:13.030</t>
  </si>
  <si>
    <t>How to have Powerapps automatically generate existing Excel dropdowns?</t>
  </si>
  <si>
    <t>2019-09-01T23:20:56.937</t>
  </si>
  <si>
    <t>&lt;excel&gt;&lt;database&gt;&lt;drop-down-menu&gt;&lt;powerapps&gt;</t>
  </si>
  <si>
    <t>2018-11-09T00:23:57.903</t>
  </si>
  <si>
    <t>On PowerApps, every time I save a new item, the item on the form switches to the first item on the Sharepoint list</t>
  </si>
  <si>
    <t>2018-11-12T06:44:21.993</t>
  </si>
  <si>
    <t>How to get custom roles enabled for an user in office 365 environment from powerapps</t>
  </si>
  <si>
    <t>2018-12-04T16:42:10.197</t>
  </si>
  <si>
    <t>2018-11-12T10:45:03.560</t>
  </si>
  <si>
    <t>Initial query of data source</t>
  </si>
  <si>
    <t>2018-11-12T14:36:12.927</t>
  </si>
  <si>
    <t>2018-11-12T13:03:32.747</t>
  </si>
  <si>
    <t>How to get roles assigned for an user in Office 365 environment from Powerapps</t>
  </si>
  <si>
    <t>2019-01-20T04:37:13.063</t>
  </si>
  <si>
    <t>&lt;dynamics-crm&gt;&lt;office365&gt;&lt;powerapps&gt;&lt;security-roles&gt;</t>
  </si>
  <si>
    <t>2018-11-12T14:58:49.303</t>
  </si>
  <si>
    <t>How to get MyTeams of CurrentUser in Office 365(Dynamics 365) Environment from Powerapps?</t>
  </si>
  <si>
    <t>2019-01-20T04:44:32.277</t>
  </si>
  <si>
    <t>&lt;security&gt;&lt;dynamics-crm&gt;&lt;office365&gt;&lt;powerapps&gt;</t>
  </si>
  <si>
    <t>2018-11-13T17:56:16.440</t>
  </si>
  <si>
    <t>PowerApps attachment control how to check if any attachments have been made</t>
  </si>
  <si>
    <t>2018-11-13T18:00:02.763</t>
  </si>
  <si>
    <t>2019-06-27T02:43:22.080</t>
  </si>
  <si>
    <t>&lt;attachment&gt;&lt;powerapps&gt;&lt;powerapps-formula&gt;</t>
  </si>
  <si>
    <t>2018-11-15T12:11:35.553</t>
  </si>
  <si>
    <t>Microsoft PowerApps referencing Lookup values</t>
  </si>
  <si>
    <t>2018-11-15T12:47:07.230</t>
  </si>
  <si>
    <t>&lt;canvas&gt;&lt;dynamics-crm&gt;&lt;microsoft-dynamics&gt;&lt;powerapps&gt;</t>
  </si>
  <si>
    <t>2018-11-20T07:35:20.183</t>
  </si>
  <si>
    <t>Change data connection runtime</t>
  </si>
  <si>
    <t>2018-11-21T10:40:35.097</t>
  </si>
  <si>
    <t>Getting the appid included in the Record URL(Dynamic) in a Dynamics 365 email workflow</t>
  </si>
  <si>
    <t>2018-12-05T12:48:02.910</t>
  </si>
  <si>
    <t>2019-02-07T14:53:01.853</t>
  </si>
  <si>
    <t>&lt;dynamics-crm&gt;&lt;workflow&gt;&lt;dynamics-365&gt;&lt;powerapps&gt;&lt;dynamics-crm-365-v9&gt;</t>
  </si>
  <si>
    <t>2018-11-21T12:36:37.563</t>
  </si>
  <si>
    <t>PowerApps MySl - Dropdown Issues</t>
  </si>
  <si>
    <t>2018-12-17T10:55:43.360</t>
  </si>
  <si>
    <t>&lt;mysql&gt;&lt;powerapps&gt;</t>
  </si>
  <si>
    <t>2018-11-23T15:51:13.263</t>
  </si>
  <si>
    <t>Cannot find the response URL to properly register my PowerApps App on Azure AD</t>
  </si>
  <si>
    <t>2018-11-23T16:39:34.403</t>
  </si>
  <si>
    <t>2018-11-23T18:40:35.833</t>
  </si>
  <si>
    <t>2018-11-27T18:51:49.543</t>
  </si>
  <si>
    <t>PowerApps: Filter a Lookup Field Based on a Previous Field</t>
  </si>
  <si>
    <t>2018-11-27T20:53:14.180</t>
  </si>
  <si>
    <t>2018-11-28T23:16:29.850</t>
  </si>
  <si>
    <t>&lt;filter&gt;&lt;lookup&gt;&lt;powerapps&gt;</t>
  </si>
  <si>
    <t>2018-11-28T11:46:52.683</t>
  </si>
  <si>
    <t>PowerApps - autofill date for newform</t>
  </si>
  <si>
    <t>2018-11-28T12:41:14.640</t>
  </si>
  <si>
    <t>2018-11-28T14:06:01.360</t>
  </si>
  <si>
    <t>&lt;autofill&gt;&lt;powerapps&gt;</t>
  </si>
  <si>
    <t>2018-11-29T12:32:02.567</t>
  </si>
  <si>
    <t>How to properly bind objects, like gallery to SharePoint lookup columns?</t>
  </si>
  <si>
    <t>2018-12-01T00:06:19.943</t>
  </si>
  <si>
    <t>&lt;powerapps&gt;&lt;powerapps-selected-items&gt;</t>
  </si>
  <si>
    <t>2018-12-02T12:58:14.037</t>
  </si>
  <si>
    <t>How do I onSelect dropbox list value to display text label dynamically in Microsoft Excel using Powerapp?</t>
  </si>
  <si>
    <t>2018-12-03T22:24:08.753</t>
  </si>
  <si>
    <t>2018-12-03T01:47:42.933</t>
  </si>
  <si>
    <t>How do I select a dropdown value and display other value on the label in Powerapp?</t>
  </si>
  <si>
    <t>2018-12-03T14:20:31.620</t>
  </si>
  <si>
    <t>2018-12-03T14:25:20.903</t>
  </si>
  <si>
    <t>2018-12-03T08:34:24.920</t>
  </si>
  <si>
    <t>How to onSelect dropdown1 item to show different dropdown2 item in PowerApps?</t>
  </si>
  <si>
    <t>2018-12-04T01:04:49.893</t>
  </si>
  <si>
    <t>2018-12-04T14:19:13.607</t>
  </si>
  <si>
    <t>2018-12-04T01:43:46.330</t>
  </si>
  <si>
    <t>How do I navigate to specific screens based on selected dropdown item in Powerapps?</t>
  </si>
  <si>
    <t>2018-12-04T17:15:39.097</t>
  </si>
  <si>
    <t>2018-12-04T05:58:20.307</t>
  </si>
  <si>
    <t>How do I navigate to another screen based on the dropdown item in Powerapps?</t>
  </si>
  <si>
    <t>2018-12-05T01:27:53.630</t>
  </si>
  <si>
    <t>2018-12-04T18:16:23.127</t>
  </si>
  <si>
    <t>2018-12-06T03:24:59.247</t>
  </si>
  <si>
    <t>How to extract a column items based on other columns in Powerapps?</t>
  </si>
  <si>
    <t>2018-12-06T03:38:36.647</t>
  </si>
  <si>
    <t>2018-12-06T09:19:47.520</t>
  </si>
  <si>
    <t>How to dynamically display items in the screen navigated after list selection in Powerapps?</t>
  </si>
  <si>
    <t>2018-12-06T21:49:39.920</t>
  </si>
  <si>
    <t>&lt;powerapps&gt;&lt;powerapps-formula&gt;&lt;powerapps-selected-items&gt;</t>
  </si>
  <si>
    <t>2018-12-06T10:58:49.133</t>
  </si>
  <si>
    <t>PowerApps datatable lookup column won't show choices</t>
  </si>
  <si>
    <t>2018-12-07T01:46:06.943</t>
  </si>
  <si>
    <t>&lt;powerapps&gt;&lt;powerapps-datatable&gt;&lt;powerapps-collection&gt;</t>
  </si>
  <si>
    <t>2018-12-07T09:16:42.813</t>
  </si>
  <si>
    <t>How do I dynamically change the gallery source in Powerapps?</t>
  </si>
  <si>
    <t>2018-12-10T21:00:59.770</t>
  </si>
  <si>
    <t>2018-12-07T13:18:57.073</t>
  </si>
  <si>
    <t>Power Apps Question: Transfer TimerControl Information into an E-mail</t>
  </si>
  <si>
    <t>2018-12-07T17:12:41.863</t>
  </si>
  <si>
    <t>2018-12-07T17:21:48.817</t>
  </si>
  <si>
    <t>2018-12-09T07:21:03.683</t>
  </si>
  <si>
    <t>Prompt me a requested input field when add datasource in power app</t>
  </si>
  <si>
    <t>2018-12-09T23:18:48.777</t>
  </si>
  <si>
    <t>2018-12-18T05:29:22.227</t>
  </si>
  <si>
    <t>&lt;powerapps&gt;&lt;powerapps-datatable&gt;</t>
  </si>
  <si>
    <t>2018-12-10T01:54:23.377</t>
  </si>
  <si>
    <t>How do I show the specific items in the navigated screen after on select gallery item in Powerapps?</t>
  </si>
  <si>
    <t>2019-01-17T14:25:19.293</t>
  </si>
  <si>
    <t>2018-12-10T07:30:53.197</t>
  </si>
  <si>
    <t>Powerapps DropDown Control issues : While Populating drop down input control items with text/records/list/DataRows from Azure function</t>
  </si>
  <si>
    <t>2018-12-10T08:38:13.053</t>
  </si>
  <si>
    <t>&lt;azure&gt;&lt;azure-functions&gt;&lt;azure-logic-apps&gt;&lt;powerapps&gt;</t>
  </si>
  <si>
    <t>2018-12-10T08:56:07.653</t>
  </si>
  <si>
    <t>Connection created for CDS in PowerApp platform not appearing in dropdown list for making ConnectionSet in PowerApp Admin portal</t>
  </si>
  <si>
    <t>2018-12-12T22:17:22.667</t>
  </si>
  <si>
    <t>2018-12-10T15:04:16.340</t>
  </si>
  <si>
    <t>How to show different items (that is based on first dropdown) in the second dropdown after first dropdown is selected in Powerapps?</t>
  </si>
  <si>
    <t>2018-12-11T18:20:00.503</t>
  </si>
  <si>
    <t>2018-12-11T16:40:37.083</t>
  </si>
  <si>
    <t>Powerapps - Setting Variable to SharePoint User Column on Start</t>
  </si>
  <si>
    <t>2018-12-11T17:11:03.380</t>
  </si>
  <si>
    <t>What is Connector in PowerApps</t>
  </si>
  <si>
    <t>2018-12-11T19:33:45.673</t>
  </si>
  <si>
    <t>&lt;connector&gt;&lt;powerapps&gt;</t>
  </si>
  <si>
    <t>2018-12-12T01:38:19.087</t>
  </si>
  <si>
    <t>Is this consider hardcoding in Powerapps canvas-app functions?</t>
  </si>
  <si>
    <t>2018-12-12T14:30:34.660</t>
  </si>
  <si>
    <t>2018-12-12T14:46:36.560</t>
  </si>
  <si>
    <t>2018-12-12T07:06:59.260</t>
  </si>
  <si>
    <t>Single Gallery from multiple sharepoint list (all same fields)</t>
  </si>
  <si>
    <t>2018-12-18T20:34:48.640</t>
  </si>
  <si>
    <t>2018-12-18T20:40:43.257</t>
  </si>
  <si>
    <t>&lt;sharepoint&gt;&lt;logic&gt;&lt;sharepoint-online&gt;&lt;powerapps&gt;&lt;powerapps-formula&gt;</t>
  </si>
  <si>
    <t>2018-12-12T08:43:35.230</t>
  </si>
  <si>
    <t>Dropdown doesn't fill with values from variable</t>
  </si>
  <si>
    <t>2018-12-13T02:03:22.223</t>
  </si>
  <si>
    <t>2018-12-12T20:02:34.847</t>
  </si>
  <si>
    <t>PowerApps Template - How to edit collections?</t>
  </si>
  <si>
    <t>2018-12-12T21:35:46.300</t>
  </si>
  <si>
    <t>2018-12-13T14:22:08.533</t>
  </si>
  <si>
    <t>Connect Microsoft Powerapps to PostgreSQL</t>
  </si>
  <si>
    <t>2018-12-19T10:58:45.707</t>
  </si>
  <si>
    <t>&lt;postgresql&gt;&lt;powerapps&gt;&lt;powerapps-datatable&gt;</t>
  </si>
  <si>
    <t>2018-12-14T17:06:28.843</t>
  </si>
  <si>
    <t>Select a specific item in combo box</t>
  </si>
  <si>
    <t>2018-12-19T01:19:16.387</t>
  </si>
  <si>
    <t>Multiple ComboBoxes working together on PowerApps</t>
  </si>
  <si>
    <t>2018-12-19T01:30:15.267</t>
  </si>
  <si>
    <t>&lt;combobox&gt;&lt;powerapps&gt;&lt;powerapps-formula&gt;</t>
  </si>
  <si>
    <t>2018-12-19T02:03:13.880</t>
  </si>
  <si>
    <t>How do I use collect and if functions together in Powerapps?</t>
  </si>
  <si>
    <t>2019-01-08T13:24:18.230</t>
  </si>
  <si>
    <t>&lt;powerapps&gt;&lt;powerapps-formula&gt;&lt;powerapps-collection&gt;</t>
  </si>
  <si>
    <t>2018-12-21T16:02:45.330</t>
  </si>
  <si>
    <t>cannot connecting Microsoft Flows with HTTP request using certificate authentification</t>
  </si>
  <si>
    <t>2018-12-26T09:19:06.630</t>
  </si>
  <si>
    <t>2019-03-05T09:24:01.433</t>
  </si>
  <si>
    <t>&lt;http&gt;&lt;powerapps&gt;&lt;power-automate&gt;</t>
  </si>
  <si>
    <t>2018-12-29T15:33:30.787</t>
  </si>
  <si>
    <t>Updating Powerapps Global Variable property</t>
  </si>
  <si>
    <t>2019-09-02T17:16:30.067</t>
  </si>
  <si>
    <t>2019-01-06T23:39:50.993</t>
  </si>
  <si>
    <t>Patch Function: Insert New Record with Lookup Column not working</t>
  </si>
  <si>
    <t>2019-03-07T00:09:09.177</t>
  </si>
  <si>
    <t>&lt;powerapps-formula&gt;</t>
  </si>
  <si>
    <t>2019-01-07T06:38:56.843</t>
  </si>
  <si>
    <t>Merge imagefiles and convert to PDF in Powerapps</t>
  </si>
  <si>
    <t>2019-01-07T19:58:15.010</t>
  </si>
  <si>
    <t>2019-01-09T07:48:40.377</t>
  </si>
  <si>
    <t>Powerapps - Change gallery source and patch destination</t>
  </si>
  <si>
    <t>2019-05-04T10:25:04.510</t>
  </si>
  <si>
    <t>&lt;gallery&gt;&lt;patch&gt;&lt;powerapps&gt;&lt;powerapps-formula&gt;</t>
  </si>
  <si>
    <t>2019-01-09T21:03:20.863</t>
  </si>
  <si>
    <t>2019-01-11T09:13:41.660</t>
  </si>
  <si>
    <t>PowerApps submit checkbox and username to a list</t>
  </si>
  <si>
    <t>2019-01-14T11:18:03.513</t>
  </si>
  <si>
    <t>2019-01-17T10:10:45.170</t>
  </si>
  <si>
    <t>&lt;sharepoint&gt;&lt;powerapps&gt;&lt;sharepoint-list&gt;&lt;powerapps-formula&gt;</t>
  </si>
  <si>
    <t>2019-01-14T00:42:18.930</t>
  </si>
  <si>
    <t>PowerApps: How to Patch multiple CDS entities with 1:N relationship?</t>
  </si>
  <si>
    <t>2019-01-14T02:11:23.567</t>
  </si>
  <si>
    <t>How do I reset toggles in PowerApps?</t>
  </si>
  <si>
    <t>2019-01-17T09:53:10.600</t>
  </si>
  <si>
    <t>2019-01-17T17:47:18.967</t>
  </si>
  <si>
    <t>Unable to save new record to the sharepoint list</t>
  </si>
  <si>
    <t>2019-01-18T10:43:46.710</t>
  </si>
  <si>
    <t>2019-01-19T18:33:37.143</t>
  </si>
  <si>
    <t>Filter PowerApps gallery by Dynamics lookup value</t>
  </si>
  <si>
    <t>2019-05-16T14:19:39.307</t>
  </si>
  <si>
    <t>&lt;dynamics-crm&gt;&lt;microsoft-dynamics&gt;&lt;dynamics-365&gt;&lt;powerapps&gt;&lt;dynamics-crm-365&gt;</t>
  </si>
  <si>
    <t>2019-01-19T23:38:20.467</t>
  </si>
  <si>
    <t>2019-01-21T13:46:29.260</t>
  </si>
  <si>
    <t>Customizing default sharepoint form in powerapps doesn't save after publishing to sharepoint</t>
  </si>
  <si>
    <t>2019-01-21T17:00:51.880</t>
  </si>
  <si>
    <t>2019-01-21T21:00:55.053</t>
  </si>
  <si>
    <t>&lt;sharepoint-2013&gt;&lt;sharepoint-online&gt;&lt;powerapps&gt;&lt;newforms&gt;</t>
  </si>
  <si>
    <t>2019-01-24T17:28:34.253</t>
  </si>
  <si>
    <t>PowerApps Data Collection Issue</t>
  </si>
  <si>
    <t>2019-07-16T16:49:16.333</t>
  </si>
  <si>
    <t>&lt;powerapps&gt;&lt;powerapps-collection&gt;</t>
  </si>
  <si>
    <t>2019-01-25T11:00:04.027</t>
  </si>
  <si>
    <t>PowerApp not mapping values into Azure DevOps integration correctly</t>
  </si>
  <si>
    <t>2019-01-28T13:54:03.973</t>
  </si>
  <si>
    <t>How to make the output from barcode scanner the input for a data card</t>
  </si>
  <si>
    <t>2019-08-15T12:46:07.493</t>
  </si>
  <si>
    <t>2019-01-31T19:49:01.727</t>
  </si>
  <si>
    <t>Can a PowerApps gallery be sorted from a derived column?</t>
  </si>
  <si>
    <t>2019-02-04T16:37:03.620</t>
  </si>
  <si>
    <t>&lt;sorting&gt;&lt;powerapps-formula&gt;</t>
  </si>
  <si>
    <t>2019-02-01T06:27:28.747</t>
  </si>
  <si>
    <t>Is it possible to connect my powerapp to On prem oracle DB</t>
  </si>
  <si>
    <t>2019-02-02T11:37:28.120</t>
  </si>
  <si>
    <t>&lt;database&gt;&lt;oracle&gt;&lt;sharepoint&gt;&lt;office365&gt;&lt;powerapps&gt;</t>
  </si>
  <si>
    <t>2019-02-04T19:11:13.317</t>
  </si>
  <si>
    <t>PowerApps cannot connect to on-premise SQL Server through On-Premise Data Gateway</t>
  </si>
  <si>
    <t>2019-02-04T19:17:18.030</t>
  </si>
  <si>
    <t>2019-02-04T20:04:04.390</t>
  </si>
  <si>
    <t>2019-02-06T07:23:36.130</t>
  </si>
  <si>
    <t>How can I show a PowerApp in VSTS / Azure Devops dashboard?</t>
  </si>
  <si>
    <t>2019-03-02T23:20:55.793</t>
  </si>
  <si>
    <t>&lt;azure-devops&gt;&lt;powerapps&gt;&lt;powerapps-canvas&gt;</t>
  </si>
  <si>
    <t>2019-03-01T04:15:39.490</t>
  </si>
  <si>
    <t>2019-02-07T16:05:52.587</t>
  </si>
  <si>
    <t>PowerApps: Inserting range of numbers into SQL</t>
  </si>
  <si>
    <t>2019-02-07T18:42:07.470</t>
  </si>
  <si>
    <t>2019-02-09T06:56:32.273</t>
  </si>
  <si>
    <t>How do I convert Image Path in excel to an image in PowerApps?</t>
  </si>
  <si>
    <t>2019-03-01T04:34:25.937</t>
  </si>
  <si>
    <t>&lt;excel&gt;&lt;powerapps&gt;&lt;powerapps-canvas&gt;</t>
  </si>
  <si>
    <t>2019-02-10T15:52:37.290</t>
  </si>
  <si>
    <t>Setting (intern) variable for color</t>
  </si>
  <si>
    <t>&lt;colors&gt;&lt;powerapps&gt;</t>
  </si>
  <si>
    <t>2019-02-13T20:18:32.557</t>
  </si>
  <si>
    <t>Can't find my form in PowerApps, but it can be accessed from link in SharePoint list</t>
  </si>
  <si>
    <t>2019-02-14T16:47:52.737</t>
  </si>
  <si>
    <t>2019-02-14T10:21:46.680</t>
  </si>
  <si>
    <t>Regex Validation in Model Driven PowerApps</t>
  </si>
  <si>
    <t>2019-10-18T19:20:38.437</t>
  </si>
  <si>
    <t>&lt;dynamics-crm&gt;&lt;powerapps&gt;&lt;powerapps-modeldriven&gt;</t>
  </si>
  <si>
    <t>2019-03-01T04:30:11.760</t>
  </si>
  <si>
    <t>2019-02-14T23:57:57.280</t>
  </si>
  <si>
    <t>Cascading combo box/List box - Multiple select Items results (Power Apps)</t>
  </si>
  <si>
    <t>2019-02-19T14:58:57.417</t>
  </si>
  <si>
    <t>&lt;drop-down-menu&gt;&lt;powerapps&gt;&lt;cascading&gt;</t>
  </si>
  <si>
    <t>2019-02-15T17:25:39.163</t>
  </si>
  <si>
    <t>Split and concatenate strings in PowerApps / Sharepoint List</t>
  </si>
  <si>
    <t>2019-02-17T12:47:33.690</t>
  </si>
  <si>
    <t>&lt;string&gt;&lt;sharepoint&gt;&lt;powerapps&gt;</t>
  </si>
  <si>
    <t>2019-02-18T16:17:46.910</t>
  </si>
  <si>
    <t>Powerapps: Splitting search text into individual strings, now I need to display on the gallery only items that include one of the strings</t>
  </si>
  <si>
    <t>2020-03-05T21:50:12.073</t>
  </si>
  <si>
    <t>&lt;search&gt;&lt;split&gt;&lt;datatables&gt;&lt;powerapps&gt;&lt;powerapps-formula&gt;</t>
  </si>
  <si>
    <t>2019-02-18T17:10:15.790</t>
  </si>
  <si>
    <t>2019-02-22T08:29:04.160</t>
  </si>
  <si>
    <t>How to make a recursive menu from Gallery on Screen in PowerApps?</t>
  </si>
  <si>
    <t>2019-02-22T23:08:06.810</t>
  </si>
  <si>
    <t>2019-02-22T23:32:54.730</t>
  </si>
  <si>
    <t>&lt;recursion&gt;&lt;sharepoint&gt;&lt;powerapps&gt;</t>
  </si>
  <si>
    <t>2019-02-24T23:49:33.983</t>
  </si>
  <si>
    <t>CDS Time zone independent Date Time fields not available in Powerapps</t>
  </si>
  <si>
    <t>2019-12-08T06:13:45.547</t>
  </si>
  <si>
    <t>&lt;powerapps&gt;&lt;powerapps-canvas&gt;&lt;common-data-service&gt;</t>
  </si>
  <si>
    <t>2019-02-25T14:29:18.480</t>
  </si>
  <si>
    <t>PowerApps set global variable</t>
  </si>
  <si>
    <t>2019-02-27T13:36:34.780</t>
  </si>
  <si>
    <t>&lt;sharepoint&gt;&lt;global-variables&gt;&lt;powerapps&gt;</t>
  </si>
  <si>
    <t>2019-02-26T11:21:44.797</t>
  </si>
  <si>
    <t>2019-02-26T11:18:57.973</t>
  </si>
  <si>
    <t>Make field visible depended on other field - Powerapps</t>
  </si>
  <si>
    <t>2019-02-26T15:39:23.553</t>
  </si>
  <si>
    <t>2019-02-27T09:34:49.160</t>
  </si>
  <si>
    <t>PowerApps - The query cannot be completed because the number of lookup columns it contains exceeds the lookup column threshold</t>
  </si>
  <si>
    <t>2019-02-27T10:09:29.043</t>
  </si>
  <si>
    <t>2019-02-28T07:17:40.373</t>
  </si>
  <si>
    <t>PowerApps Connector with Azure APIM in ASE</t>
  </si>
  <si>
    <t>2019-03-01T01:25:39.057</t>
  </si>
  <si>
    <t>&lt;azure-api-management&gt;&lt;powerapps&gt;</t>
  </si>
  <si>
    <t>2019-02-28T22:13:54.527</t>
  </si>
  <si>
    <t>PowerApps Data Source Changed to Stored Procedure</t>
  </si>
  <si>
    <t>2019-02-28T22:56:17.733</t>
  </si>
  <si>
    <t>2019-03-14T00:49:13.070</t>
  </si>
  <si>
    <t>&lt;sql&gt;&lt;flow&gt;&lt;powerapps&gt;</t>
  </si>
  <si>
    <t>2019-03-01T02:36:26.923</t>
  </si>
  <si>
    <t>Can I Add Related Tables to a PowerApps Canvas App?</t>
  </si>
  <si>
    <t>2019-03-01T04:35:30.887</t>
  </si>
  <si>
    <t>&lt;sql-server&gt;&lt;microsoft-dynamics&gt;&lt;powerapps&gt;&lt;powerapps-canvas&gt;</t>
  </si>
  <si>
    <t>2019-03-01T03:45:19.617</t>
  </si>
  <si>
    <t>2019-03-06T13:54:36.073</t>
  </si>
  <si>
    <t>PowerApp unable to get all Users states</t>
  </si>
  <si>
    <t>2019-03-11T11:44:22.823</t>
  </si>
  <si>
    <t>&lt;office365api&gt;&lt;powerapps&gt;</t>
  </si>
  <si>
    <t>2019-03-07T18:19:09.213</t>
  </si>
  <si>
    <t>PowerApps Navigation From Excel File Data Source</t>
  </si>
  <si>
    <t>2019-03-10T13:07:25.717</t>
  </si>
  <si>
    <t>2019-03-14T14:25:08.640</t>
  </si>
  <si>
    <t>How to pass DisplayName property of Person column to SortByColumns function dynamically in PowerApps</t>
  </si>
  <si>
    <t>&lt;powerapps&gt;&lt;columnsorting&gt;</t>
  </si>
  <si>
    <t>2019-03-14T17:41:01.647</t>
  </si>
  <si>
    <t>Power Apps - Create a collection</t>
  </si>
  <si>
    <t>2019-03-14T17:54:10.923</t>
  </si>
  <si>
    <t>2019-03-24T13:00:35.073</t>
  </si>
  <si>
    <t>2019-03-23T21:13:53.337</t>
  </si>
  <si>
    <t>2019-03-15T09:48:39.220</t>
  </si>
  <si>
    <t>Error while running Application using PowerApps in microsoft azure</t>
  </si>
  <si>
    <t>2019-03-15T10:01:51.353</t>
  </si>
  <si>
    <t>2019-04-17T06:04:46.800</t>
  </si>
  <si>
    <t>&lt;azure&gt;&lt;powerapps&gt;&lt;text-analytics-api&gt;</t>
  </si>
  <si>
    <t>2019-03-18T10:32:14.220</t>
  </si>
  <si>
    <t>Power Apps: Displaying table row on a new screen</t>
  </si>
  <si>
    <t>2019-03-18T10:40:45.317</t>
  </si>
  <si>
    <t>2019-04-17T06:01:54.690</t>
  </si>
  <si>
    <t>&lt;sharepoint-2013&gt;&lt;sharepoint-online&gt;&lt;powerapps&gt;</t>
  </si>
  <si>
    <t>2019-03-19T13:27:56.383</t>
  </si>
  <si>
    <t>Displaying Multiple PushPins on powerapps BingMaps using a collection</t>
  </si>
  <si>
    <t>2019-03-19T15:08:41.660</t>
  </si>
  <si>
    <t>2020-03-26T12:18:04.433</t>
  </si>
  <si>
    <t>&lt;bing-maps&gt;&lt;connector&gt;&lt;powerapps&gt;</t>
  </si>
  <si>
    <t>2019-03-19T15:41:16.020</t>
  </si>
  <si>
    <t>Casting Powerapps to Chromecast</t>
  </si>
  <si>
    <t>2019-04-17T05:58:47.043</t>
  </si>
  <si>
    <t>&lt;ios&gt;&lt;chromecast&gt;&lt;powerapps&gt;</t>
  </si>
  <si>
    <t>2019-03-23T09:29:48.957</t>
  </si>
  <si>
    <t>Is there an option in Powerapps to split a search text into individual strings and to display on a gallery only items that include "all" strings?</t>
  </si>
  <si>
    <t>2019-04-24T19:40:55.697</t>
  </si>
  <si>
    <t>2019-04-24T19:45:27.583</t>
  </si>
  <si>
    <t>&lt;full-text-search&gt;&lt;powerapps&gt;&lt;powerapps-formula&gt;</t>
  </si>
  <si>
    <t>2019-03-27T19:01:33.897</t>
  </si>
  <si>
    <t>PowerApps - Unable to set SharePoint Person/People field to Current User</t>
  </si>
  <si>
    <t>2019-03-27T20:24:17.827</t>
  </si>
  <si>
    <t>2019-03-28T19:12:27.730</t>
  </si>
  <si>
    <t>&lt;office365&gt;&lt;sharepoint-online&gt;&lt;powerapps&gt;&lt;peoplepicker&gt;</t>
  </si>
  <si>
    <t>2019-04-03T09:27:10.927</t>
  </si>
  <si>
    <t>PowerApps Custom Connector with AD Token expires too frequently with 401 and fix connection</t>
  </si>
  <si>
    <t>2019-04-04T07:01:25.603</t>
  </si>
  <si>
    <t>2019-04-04T09:07:17.083</t>
  </si>
  <si>
    <t>PowerApps If textfield is blank do not patch else patch</t>
  </si>
  <si>
    <t>2019-04-04T09:13:21.010</t>
  </si>
  <si>
    <t>2019-04-04T09:26:29.807</t>
  </si>
  <si>
    <t>2019-04-04T21:32:51.753</t>
  </si>
  <si>
    <t>PowerApps - "Set Regarding" for an appointment in CRM</t>
  </si>
  <si>
    <t>2019-04-11T21:22:15.237</t>
  </si>
  <si>
    <t>2019-05-24T19:03:36.313</t>
  </si>
  <si>
    <t>&lt;dynamics-crm&gt;&lt;microsoft-dynamics&gt;&lt;powerapps&gt;&lt;powerapps-canvas&gt;</t>
  </si>
  <si>
    <t>2019-04-08T13:27:18.157</t>
  </si>
  <si>
    <t>PowerApps IF OR Formula for Date &lt; Today()+15</t>
  </si>
  <si>
    <t>2019-04-10T13:47:38.920</t>
  </si>
  <si>
    <t>2019-04-11T08:56:08.637</t>
  </si>
  <si>
    <t>Unable to Create Common Data Service DB in Default Environment Power Apps</t>
  </si>
  <si>
    <t>2019-04-19T15:31:45.790</t>
  </si>
  <si>
    <t>2019-04-16T14:31:04.403</t>
  </si>
  <si>
    <t>return data from table storage to PowerApps</t>
  </si>
  <si>
    <t>2020-05-27T01:33:31.523</t>
  </si>
  <si>
    <t>&lt;azure-table-storage&gt;&lt;powerapps&gt;</t>
  </si>
  <si>
    <t>2019-04-16T18:15:03.470</t>
  </si>
  <si>
    <t>How do I extract a string value from my PowerApps custom connector response?</t>
  </si>
  <si>
    <t>2019-04-16T20:58:15.040</t>
  </si>
  <si>
    <t>2019-04-17T11:32:35.197</t>
  </si>
  <si>
    <t>Power Apps - Microsoft Flow Send Emails to multiple users</t>
  </si>
  <si>
    <t>2019-04-17T12:22:21.587</t>
  </si>
  <si>
    <t>&lt;powerapps&gt;&lt;power-automate&gt;&lt;powerapps-formula&gt;&lt;powerapps-collection&gt;</t>
  </si>
  <si>
    <t>2019-04-18T01:59:16.987</t>
  </si>
  <si>
    <t>How to specify in OpenAPI adding a user to a group?</t>
  </si>
  <si>
    <t>2019-04-18T05:52:39.613</t>
  </si>
  <si>
    <t>2019-05-09T03:35:08.390</t>
  </si>
  <si>
    <t>&lt;microsoft-graph&gt;&lt;openapi&gt;&lt;powerapps&gt;&lt;power-automate&gt;&lt;office365connectors&gt;</t>
  </si>
  <si>
    <t>2019-04-22T21:21:56.367</t>
  </si>
  <si>
    <t>PowerApps Meeting Capture Template UserProfileV2 Error</t>
  </si>
  <si>
    <t>2019-09-06T00:23:24.690</t>
  </si>
  <si>
    <t>2019-04-23T08:43:33.080</t>
  </si>
  <si>
    <t>How to get value from combobox assign to button and navigate to next screen in Powerapps?</t>
  </si>
  <si>
    <t>2019-04-23T15:46:57.710</t>
  </si>
  <si>
    <t>2019-04-24T09:58:48.280</t>
  </si>
  <si>
    <t>How to replace request date with a variable extract from Combobox value in powerapps</t>
  </si>
  <si>
    <t>&lt;vba&gt;&lt;mobile-application&gt;&lt;powerapps&gt;</t>
  </si>
  <si>
    <t>2019-04-24T14:14:45.090</t>
  </si>
  <si>
    <t>Patch statement not patching to sharepoint list, Power Apps</t>
  </si>
  <si>
    <t>2019-05-30T20:52:32.977</t>
  </si>
  <si>
    <t>&lt;list&gt;&lt;function&gt;&lt;sharepoint&gt;&lt;patch&gt;&lt;powerapps&gt;</t>
  </si>
  <si>
    <t>2019-04-24T16:57:30.533</t>
  </si>
  <si>
    <t>Power Apps - Create Unique List of Collection</t>
  </si>
  <si>
    <t>2019-04-24T17:09:05.160</t>
  </si>
  <si>
    <t>2019-04-24T17:33:51.660</t>
  </si>
  <si>
    <t>Power Apps - Send Email To the List of Users from Collection Using Flow</t>
  </si>
  <si>
    <t>2019-04-24T17:39:53.120</t>
  </si>
  <si>
    <t>2019-04-24T21:33:58.283</t>
  </si>
  <si>
    <t>&lt;flow&gt;&lt;powerapps&gt;&lt;powerapps-formula&gt;&lt;powerapps-collection&gt;</t>
  </si>
  <si>
    <t>2019-04-24T19:27:00.663</t>
  </si>
  <si>
    <t>2019-04-26T09:11:55.797</t>
  </si>
  <si>
    <t>Option to restrict non-admin licensed users to create PowerApps environments</t>
  </si>
  <si>
    <t>2019-12-08T19:21:07.530</t>
  </si>
  <si>
    <t>2019-12-08T19:17:04.353</t>
  </si>
  <si>
    <t>2019-04-26T11:11:28.163</t>
  </si>
  <si>
    <t>issue with O365.Calendar.GetTables() method</t>
  </si>
  <si>
    <t>2019-04-26T11:52:58.233</t>
  </si>
  <si>
    <t>2019-06-03T05:56:26.850</t>
  </si>
  <si>
    <t>&lt;outlook&gt;&lt;office365&gt;&lt;sharepoint-online&gt;&lt;powerapps&gt;</t>
  </si>
  <si>
    <t>2019-04-29T14:38:21.057</t>
  </si>
  <si>
    <t>Can the Powerapps Teams Connector instant message an individual vs posting in a channel?</t>
  </si>
  <si>
    <t>2019-04-29T14:57:41.150</t>
  </si>
  <si>
    <t>&lt;microsoft-teams&gt;&lt;connector&gt;&lt;powerapps&gt;</t>
  </si>
  <si>
    <t>2019-05-05T11:06:16.387</t>
  </si>
  <si>
    <t>how to bulk add calendar events with powerapps</t>
  </si>
  <si>
    <t>&lt;calendar&gt;&lt;office365&gt;&lt;powerapps&gt;</t>
  </si>
  <si>
    <t>2019-05-06T09:02:36.237</t>
  </si>
  <si>
    <t>How can I deselect all selected option of a dropdown when selecting an option in a different dropdown?</t>
  </si>
  <si>
    <t>2019-05-06T09:16:26.557</t>
  </si>
  <si>
    <t>2019-05-07T04:25:27.393</t>
  </si>
  <si>
    <t>&lt;drop-down-menu&gt;&lt;combobox&gt;&lt;office365&gt;&lt;powerapps&gt;</t>
  </si>
  <si>
    <t>2019-05-06T13:30:26.663</t>
  </si>
  <si>
    <t>Adding intermittent logo to my App using Powerapps</t>
  </si>
  <si>
    <t>2019-05-07T06:22:38.943</t>
  </si>
  <si>
    <t>&lt;android&gt;&lt;ios&gt;&lt;powerapps&gt;&lt;graphical-logo&gt;</t>
  </si>
  <si>
    <t>2019-05-06T14:32:10.710</t>
  </si>
  <si>
    <t>How can i do a join between two table and do a filter in the same way?</t>
  </si>
  <si>
    <t>2019-05-15T20:31:59.823</t>
  </si>
  <si>
    <t>2019-05-07T14:06:32.553</t>
  </si>
  <si>
    <t>How can I filter distinct values on a dropdown menu coming from an excel sheet on PowerApps?</t>
  </si>
  <si>
    <t>2019-05-08T07:54:27.303</t>
  </si>
  <si>
    <t>&lt;sorting&gt;&lt;filter&gt;&lt;distinct&gt;&lt;dropdown&gt;&lt;powerapps&gt;</t>
  </si>
  <si>
    <t>2019-05-08T00:09:36.953</t>
  </si>
  <si>
    <t>2019-05-07T18:57:36.227</t>
  </si>
  <si>
    <t>How to integrate powerapps with azure devops</t>
  </si>
  <si>
    <t>2020-05-03T18:04:47.233</t>
  </si>
  <si>
    <t>&lt;azure-devops&gt;&lt;continuous-integration&gt;&lt;continuous-deployment&gt;&lt;powerapps&gt;</t>
  </si>
  <si>
    <t>2019-05-08T13:51:17.403</t>
  </si>
  <si>
    <t>Is there a way for my aplication to detect beacons in Powerapps?</t>
  </si>
  <si>
    <t>2019-05-08T16:28:53.557</t>
  </si>
  <si>
    <t>&lt;ibeacon&gt;&lt;beacon&gt;&lt;powerapps&gt;&lt;eddystone&gt;</t>
  </si>
  <si>
    <t>2019-05-09T08:53:17.227</t>
  </si>
  <si>
    <t>How can I handle circular reference error in powerapps when trying to filter selections of two comboboxes depending on each other?</t>
  </si>
  <si>
    <t>2019-05-17T07:39:18.687</t>
  </si>
  <si>
    <t>&lt;checkbox&gt;&lt;circular-reference&gt;&lt;powerapps&gt;</t>
  </si>
  <si>
    <t>2019-05-10T08:59:00.300</t>
  </si>
  <si>
    <t>PowerApps: AddMedia Control - Add more than 1 element?</t>
  </si>
  <si>
    <t>2019-05-10T12:49:00.877</t>
  </si>
  <si>
    <t>2019-05-10T20:00:43.463</t>
  </si>
  <si>
    <t>How to use Lookup when using SPS Lookup Columns?</t>
  </si>
  <si>
    <t>2019-05-10T21:57:38.347</t>
  </si>
  <si>
    <t>&lt;sharepoint-online&gt;&lt;powerapps&gt;&lt;powerapps-canvas&gt;</t>
  </si>
  <si>
    <t>2019-05-13T16:47:34.313</t>
  </si>
  <si>
    <t>PowerApps - Code Affects Performance of the Application because of Duplication of If else Loops</t>
  </si>
  <si>
    <t>2019-05-14T08:52:11.140</t>
  </si>
  <si>
    <t>2019-05-16T07:08:41.110</t>
  </si>
  <si>
    <t>Is it possible to customize the text in a dropdown in powerapps?</t>
  </si>
  <si>
    <t>2019-05-18T03:16:55.010</t>
  </si>
  <si>
    <t>2019-05-16T10:57:39.897</t>
  </si>
  <si>
    <t>Powerapps - Dynamically adding columns (Input Text Boxes) to a table</t>
  </si>
  <si>
    <t>2019-05-19T14:13:17.897</t>
  </si>
  <si>
    <t>&lt;powerapps&gt;&lt;powerapps-formula&gt;&lt;powerapps-collection&gt;&lt;powerapps-canvas&gt;&lt;powerapps-datatable&gt;</t>
  </si>
  <si>
    <t>2019-05-17T07:18:06.497</t>
  </si>
  <si>
    <t>2019-05-17T01:52:40.270</t>
  </si>
  <si>
    <t>Writing to a SQL Server table using powerapps</t>
  </si>
  <si>
    <t>2019-05-17T04:49:18.907</t>
  </si>
  <si>
    <t>2019-05-17T07:08:20.073</t>
  </si>
  <si>
    <t>2019-05-17T05:47:26.627</t>
  </si>
  <si>
    <t>Powerapps - How to add to a collection from a gallery in one go</t>
  </si>
  <si>
    <t>2019-05-17T07:05:41.037</t>
  </si>
  <si>
    <t>&lt;collections&gt;&lt;gallery&gt;&lt;powerapps&gt;</t>
  </si>
  <si>
    <t>2019-05-20T02:06:49.420</t>
  </si>
  <si>
    <t>How to create header menu for multiple page in powerapss?</t>
  </si>
  <si>
    <t>2019-05-20T15:07:23.130</t>
  </si>
  <si>
    <t>2019-05-21T16:16:03.920</t>
  </si>
  <si>
    <t>&lt;powerapps&gt;&lt;powerapps-formula&gt;&lt;powerapps-canvas&gt;</t>
  </si>
  <si>
    <t>2019-05-20T23:23:30.677</t>
  </si>
  <si>
    <t>Is there a way to combine data values from collection into a single string?</t>
  </si>
  <si>
    <t>2020-01-31T04:52:37.530</t>
  </si>
  <si>
    <t>2019-05-21T16:08:35.323</t>
  </si>
  <si>
    <t>2019-05-21T09:42:56.330</t>
  </si>
  <si>
    <t>Export Data Table from Powerapps to Excel</t>
  </si>
  <si>
    <t>&lt;excel&gt;&lt;flow&gt;&lt;powerapps&gt;</t>
  </si>
  <si>
    <t>2019-05-25T00:41:58.233</t>
  </si>
  <si>
    <t>powerapps Radio button control</t>
  </si>
  <si>
    <t>2019-05-28T14:57:18.420</t>
  </si>
  <si>
    <t>2019-05-29T04:06:50.553</t>
  </si>
  <si>
    <t>&lt;radio-button&gt;&lt;controls&gt;&lt;items&gt;&lt;powerapps&gt;</t>
  </si>
  <si>
    <t>2019-05-30T15:07:38.067</t>
  </si>
  <si>
    <t>PowerApp Custom Cards Issues</t>
  </si>
  <si>
    <t>2019-06-20T06:52:38.893</t>
  </si>
  <si>
    <t>2019-06-01T01:08:36.380</t>
  </si>
  <si>
    <t>2019-05-31T06:44:12.230</t>
  </si>
  <si>
    <t>Retrieving user's AAD App Role in Azure API Management</t>
  </si>
  <si>
    <t>2019-05-31T09:21:28.393</t>
  </si>
  <si>
    <t>&lt;azure&gt;&lt;azure-active-directory&gt;&lt;azure-api-management&gt;&lt;powerapps&gt;</t>
  </si>
  <si>
    <t>2019-05-31T11:59:21.477</t>
  </si>
  <si>
    <t>How can I allow the user to add a value to a dropdown list while editing a form?</t>
  </si>
  <si>
    <t>2019-06-03T15:14:54.070</t>
  </si>
  <si>
    <t>2019-06-03T01:46:08.063</t>
  </si>
  <si>
    <t>why different filter results in Gallery? Getting unexpected returned information</t>
  </si>
  <si>
    <t>2019-06-03T06:06:10.197</t>
  </si>
  <si>
    <t>2019-06-03T09:15:32.517</t>
  </si>
  <si>
    <t>2019-06-06T16:02:05.873</t>
  </si>
  <si>
    <t>Calendar events in powerapps</t>
  </si>
  <si>
    <t>2019-06-11T08:38:33.723</t>
  </si>
  <si>
    <t>Error with Graph API Call via PowerApp - Office365.FindMeetingTimes when &gt; 20 rooms</t>
  </si>
  <si>
    <t>2019-06-11T17:50:11.667</t>
  </si>
  <si>
    <t>&lt;microsoft-graph&gt;&lt;powerapps&gt;&lt;microsoft-graph-calendar&gt;</t>
  </si>
  <si>
    <t>2019-06-12T14:25:41.860</t>
  </si>
  <si>
    <t>How can I sortbycolumns with a conditional 'if' before the sort?</t>
  </si>
  <si>
    <t>2019-06-13T16:09:39.490</t>
  </si>
  <si>
    <t>2019-06-13T16:14:33.780</t>
  </si>
  <si>
    <t>&lt;powerapps&gt;&lt;powerapps-formula&gt;&lt;powerapps-selected-items&gt;&lt;powerapps-datatable&gt;</t>
  </si>
  <si>
    <t>2019-06-13T12:18:22.407</t>
  </si>
  <si>
    <t>PowerApps Date picker control - how to set minDate and maxDate range</t>
  </si>
  <si>
    <t>2019-06-13T15:48:33.953</t>
  </si>
  <si>
    <t>2019-06-14T10:42:15.710</t>
  </si>
  <si>
    <t>PowerApps customize form - unable to submit data to Sharepoint list: There was a problem saving your changes. Data source may be invalid</t>
  </si>
  <si>
    <t>2019-06-14T12:37:27.020</t>
  </si>
  <si>
    <t>2019-06-18T06:59:21.600</t>
  </si>
  <si>
    <t>2019-06-15T16:43:51.433</t>
  </si>
  <si>
    <t>Not required field show field required when save</t>
  </si>
  <si>
    <t>2019-06-17T08:54:27.443</t>
  </si>
  <si>
    <t>2019-06-17T06:28:43.230</t>
  </si>
  <si>
    <t>People Column (Allow Multiple Selections) in HTMLText Control</t>
  </si>
  <si>
    <t>2019-07-22T00:55:34.937</t>
  </si>
  <si>
    <t>&lt;sharepoint&gt;&lt;office365&gt;&lt;ms-office&gt;&lt;powerapps&gt;</t>
  </si>
  <si>
    <t>2019-06-18T14:01:27.140</t>
  </si>
  <si>
    <t>How can I add days in a date like dd/mm/yyyy in powerapps?</t>
  </si>
  <si>
    <t>2019-06-19T06:19:35.233</t>
  </si>
  <si>
    <t>2019-06-20T13:23:18.570</t>
  </si>
  <si>
    <t>&lt;google-sheets-formula&gt;&lt;powerapps&gt;&lt;days&gt;</t>
  </si>
  <si>
    <t>2019-06-18T17:15:50.487</t>
  </si>
  <si>
    <t>Multi LookUp - Check for unique values</t>
  </si>
  <si>
    <t>2019-06-19T10:59:37.540</t>
  </si>
  <si>
    <t>2019-06-19T12:44:41.277</t>
  </si>
  <si>
    <t>2019-06-19T03:55:51.420</t>
  </si>
  <si>
    <t>How do i populate a PowerApps data card value on new form with data from last submitted form</t>
  </si>
  <si>
    <t>2019-06-19T20:03:55.083</t>
  </si>
  <si>
    <t>2019-06-19T06:17:03.827</t>
  </si>
  <si>
    <t>2019-06-19T06:37:06.723</t>
  </si>
  <si>
    <t>No item display in canvas layout in PowerApp application</t>
  </si>
  <si>
    <t>2019-06-20T06:37:16.160</t>
  </si>
  <si>
    <t>&lt;powerapps&gt;&lt;powerapps-canvas&gt;</t>
  </si>
  <si>
    <t>2019-06-20T05:53:36.137</t>
  </si>
  <si>
    <t>Row height in a gallery</t>
  </si>
  <si>
    <t>2019-08-30T03:58:41.570</t>
  </si>
  <si>
    <t>&lt;gallery&gt;&lt;powerapps&gt;</t>
  </si>
  <si>
    <t>2019-06-20T16:25:06.377</t>
  </si>
  <si>
    <t>error MSB4057: The target "GetProjectOutputPa th" does not exist in the project</t>
  </si>
  <si>
    <t>2019-06-20T22:39:34.883</t>
  </si>
  <si>
    <t>2019-06-21T11:07:58.963</t>
  </si>
  <si>
    <t>2019-06-21T10:45:07.297</t>
  </si>
  <si>
    <t>use LIKE in powerapp with % and _</t>
  </si>
  <si>
    <t>2019-06-21T16:17:23.550</t>
  </si>
  <si>
    <t>2019-06-25T10:02:54.320</t>
  </si>
  <si>
    <t>How can I execute custom code using Flow?</t>
  </si>
  <si>
    <t>2019-07-12T06:04:57.980</t>
  </si>
  <si>
    <t>&lt;python&gt;&lt;powershell&gt;&lt;flow&gt;&lt;powerapps&gt;</t>
  </si>
  <si>
    <t>2019-06-25T14:30:53.460</t>
  </si>
  <si>
    <t>How to make an Excel macro run when the file is updated?</t>
  </si>
  <si>
    <t>2019-06-26T05:48:32.007</t>
  </si>
  <si>
    <t>&lt;excel&gt;&lt;vba&gt;&lt;powerapps&gt;</t>
  </si>
  <si>
    <t>2019-06-26T11:47:14.117</t>
  </si>
  <si>
    <t>view custom connector activity</t>
  </si>
  <si>
    <t>2019-07-12T05:47:49.043</t>
  </si>
  <si>
    <t>2019-06-26T13:50:53.293</t>
  </si>
  <si>
    <t>PowerApps: How to get 3 most occuring items out of Excel data source</t>
  </si>
  <si>
    <t>&lt;excel&gt;&lt;powerapps&gt;&lt;powerapps-formula&gt;</t>
  </si>
  <si>
    <t>2019-06-27T11:20:12.397</t>
  </si>
  <si>
    <t>MS PowerApps timestamp button</t>
  </si>
  <si>
    <t>2019-06-27T11:30:49.947</t>
  </si>
  <si>
    <t>2019-07-12T05:38:31.187</t>
  </si>
  <si>
    <t>&lt;button&gt;&lt;timestamp&gt;&lt;audit&gt;&lt;powerapps&gt;</t>
  </si>
  <si>
    <t>2019-06-27T11:36:15.940</t>
  </si>
  <si>
    <t>Are external users able to use a PowerApps app?</t>
  </si>
  <si>
    <t>2019-06-27T14:38:54.327</t>
  </si>
  <si>
    <t>&lt;external&gt;&lt;powerapps&gt;&lt;roadmap&gt;</t>
  </si>
  <si>
    <t>2019-06-27T15:16:57.277</t>
  </si>
  <si>
    <t>How to, using image as button to set a value of a field OnSelect</t>
  </si>
  <si>
    <t>2019-06-27T17:49:30.733</t>
  </si>
  <si>
    <t>2019-06-27T19:54:15.153</t>
  </si>
  <si>
    <t>How to filter a powerapps database based on one dropdown comparing to multiple columns</t>
  </si>
  <si>
    <t>2020-05-05T13:45:58.023</t>
  </si>
  <si>
    <t>2019-06-29T04:14:59.047</t>
  </si>
  <si>
    <t>Does Powerapps return the delegatable filtered results, prior to performing the non-delegatable filtering on the app?</t>
  </si>
  <si>
    <t>2019-07-12T05:26:52.130</t>
  </si>
  <si>
    <t>2019-06-29T08:52:09.897</t>
  </si>
  <si>
    <t>Variable tables in PowerApps</t>
  </si>
  <si>
    <t>2019-06-29T16:09:56.273</t>
  </si>
  <si>
    <t>2019-07-17T16:24:29.017</t>
  </si>
  <si>
    <t>2019-06-30T16:20:45.170</t>
  </si>
  <si>
    <t>MS PowerApps, If after Switch in powerapps, so it's executed independently (after switch, not inside)</t>
  </si>
  <si>
    <t>2019-07-02T13:33:39.067</t>
  </si>
  <si>
    <t>&lt;function&gt;&lt;powerapps&gt;&lt;multiple-conditions&gt;</t>
  </si>
  <si>
    <t>2019-07-01T12:11:58.740</t>
  </si>
  <si>
    <t>2019-07-01T04:36:16.237</t>
  </si>
  <si>
    <t>PowerApps - How to Edit a Form from a Gallery list result in one screen</t>
  </si>
  <si>
    <t>2019-07-01T07:26:11.320</t>
  </si>
  <si>
    <t>2019-07-06T21:50:30.030</t>
  </si>
  <si>
    <t>2019-07-02T22:15:37.820</t>
  </si>
  <si>
    <t>Nested Loops and API calls</t>
  </si>
  <si>
    <t>2019-07-05T08:12:07.703</t>
  </si>
  <si>
    <t>2019-07-08T13:12:01.043</t>
  </si>
  <si>
    <t>Power App - response from Flow is not treated as json</t>
  </si>
  <si>
    <t>2019-07-08T14:50:34.983</t>
  </si>
  <si>
    <t>2019-07-12T04:57:58.097</t>
  </si>
  <si>
    <t>&lt;json&gt;&lt;powerapps&gt;&lt;power-automate&gt;</t>
  </si>
  <si>
    <t>2019-07-08T19:59:21.630</t>
  </si>
  <si>
    <t>How to filter a powerapps gallery based on previous screen</t>
  </si>
  <si>
    <t>2019-08-30T03:49:46.867</t>
  </si>
  <si>
    <t>&lt;sharepoint&gt;&lt;filter&gt;&lt;powerapps&gt;</t>
  </si>
  <si>
    <t>2019-07-10T03:04:32.253</t>
  </si>
  <si>
    <t>PowerApps : transfer data from form to form based on date and shift DataCardValue</t>
  </si>
  <si>
    <t>2019-07-11T11:38:26.310</t>
  </si>
  <si>
    <t>Cannnot assign onSelectDate property in fabric-ui-reac Calendar component</t>
  </si>
  <si>
    <t>&lt;reactjs&gt;&lt;powerapps&gt;</t>
  </si>
  <si>
    <t>2019-07-11T13:20:20.743</t>
  </si>
  <si>
    <t>How to print bar code from Microsoft PowerApp</t>
  </si>
  <si>
    <t>2019-07-12T04:47:34.590</t>
  </si>
  <si>
    <t>2019-07-11T18:31:54.513</t>
  </si>
  <si>
    <t>Share PowerApp connected to Azure SQL Database without sharing credentials</t>
  </si>
  <si>
    <t>2019-09-26T12:39:11.610</t>
  </si>
  <si>
    <t>&lt;sql-server&gt;&lt;azure&gt;&lt;azure-sql-database&gt;&lt;powerapps&gt;</t>
  </si>
  <si>
    <t>2019-07-12T04:42:34.417</t>
  </si>
  <si>
    <t>2019-07-15T13:31:34.807</t>
  </si>
  <si>
    <t>Avoid reseting the Picture in the ai builder after navigating to another page and back?</t>
  </si>
  <si>
    <t>2019-07-15T13:38:40.657</t>
  </si>
  <si>
    <t>&lt;navigation&gt;&lt;powerapps&gt;</t>
  </si>
  <si>
    <t>2019-07-19T14:59:07.950</t>
  </si>
  <si>
    <t>Visualize Data Requested from a REST-API in POWERAPPS in my POWER BI dashboard</t>
  </si>
  <si>
    <t>2019-07-31T05:47:57.260</t>
  </si>
  <si>
    <t>&lt;rest&gt;&lt;powerbi&gt;&lt;powerapps&gt;&lt;powerapps-collection&gt;</t>
  </si>
  <si>
    <t>2019-07-22T13:19:29.703</t>
  </si>
  <si>
    <t>PowerApps Postgres auto increment ID</t>
  </si>
  <si>
    <t>2020-05-05T13:38:56.290</t>
  </si>
  <si>
    <t>&lt;postgresql&gt;&lt;powerapps&gt;</t>
  </si>
  <si>
    <t>2019-07-22T17:33:31.897</t>
  </si>
  <si>
    <t>How to properly use an If statement in PowerApps when trying to toggle visibility of an element?</t>
  </si>
  <si>
    <t>2019-08-09T20:57:30.517</t>
  </si>
  <si>
    <t>2019-07-23T10:12:17.383</t>
  </si>
  <si>
    <t>Write clearcollect function to fetch data from post API</t>
  </si>
  <si>
    <t>2019-07-23T10:15:05.753</t>
  </si>
  <si>
    <t>2019-12-10T11:01:02.260</t>
  </si>
  <si>
    <t>&lt;powerapps-collection&gt;</t>
  </si>
  <si>
    <t>2019-07-23T15:50:37.973</t>
  </si>
  <si>
    <t>How to Access Microsoft PowerApp</t>
  </si>
  <si>
    <t>2019-07-24T04:52:27.503</t>
  </si>
  <si>
    <t>2019-07-25T08:42:13.940</t>
  </si>
  <si>
    <t>How to update or create N:N relationship using the Client API</t>
  </si>
  <si>
    <t>2019-07-25T13:03:26.883</t>
  </si>
  <si>
    <t>&lt;dynamics-crm&gt;&lt;powerapps&gt;&lt;dynamics-crm-webapi&gt;</t>
  </si>
  <si>
    <t>2019-07-25T12:20:03.820</t>
  </si>
  <si>
    <t>Filtering gallery, to remove duplicates (without distinct) in PowerApps</t>
  </si>
  <si>
    <t>&lt;filter&gt;&lt;duplicates&gt;&lt;distinct&gt;&lt;powerapps&gt;</t>
  </si>
  <si>
    <t>2019-07-25T15:20:01.930</t>
  </si>
  <si>
    <t>Cannot re-add the data if deleted from sql server</t>
  </si>
  <si>
    <t>2019-08-09T20:52:13.073</t>
  </si>
  <si>
    <t>2019-07-26T16:57:51.087</t>
  </si>
  <si>
    <t>2019-07-26T08:48:04.250</t>
  </si>
  <si>
    <t>Move element from list to another list in sharepoint with powerapps</t>
  </si>
  <si>
    <t>2020-02-18T09:05:56.310</t>
  </si>
  <si>
    <t>2019-07-26T16:36:28.210</t>
  </si>
  <si>
    <t>2019-07-31T14:48:08.850</t>
  </si>
  <si>
    <t>Filtering a gallery in PowerApps with entities from CDS</t>
  </si>
  <si>
    <t>2019-08-09T20:48:37.710</t>
  </si>
  <si>
    <t>2019-10-24T18:59:20.487</t>
  </si>
  <si>
    <t>&lt;powerapps&gt;&lt;cds&gt;</t>
  </si>
  <si>
    <t>2019-08-01T07:25:55.667</t>
  </si>
  <si>
    <t>Difference between Microsoft AI Builder and Microsoft Cognitive Services</t>
  </si>
  <si>
    <t>2019-08-01T07:57:50.843</t>
  </si>
  <si>
    <t>2019-08-02T06:42:46.893</t>
  </si>
  <si>
    <t>&lt;microsoft-cognitive&gt;&lt;powerapps&gt;&lt;azure-cognitive-services&gt;</t>
  </si>
  <si>
    <t>2019-08-01T19:43:21.383</t>
  </si>
  <si>
    <t>Connect powerapps to 3rd party RESRT</t>
  </si>
  <si>
    <t>2019-08-03T06:29:52.423</t>
  </si>
  <si>
    <t>2019-08-01T19:50:07.060</t>
  </si>
  <si>
    <t>2019-08-09T14:51:27.790</t>
  </si>
  <si>
    <t>PowerApps Yes/No checkbox submitted to a SharePoint List</t>
  </si>
  <si>
    <t>2019-08-09T20:41:48.367</t>
  </si>
  <si>
    <t>&lt;sharepoint-online&gt;&lt;powerapps&gt;&lt;powerapps-formula&gt;&lt;powerapps-canvas&gt;&lt;powerapps-selected-items&gt;</t>
  </si>
  <si>
    <t>2019-08-09T20:41:22.567</t>
  </si>
  <si>
    <t>2019-08-12T19:14:59.740</t>
  </si>
  <si>
    <t>Office 365 developer subscription and PowerApps</t>
  </si>
  <si>
    <t>2019-08-12T19:26:18.187</t>
  </si>
  <si>
    <t>2019-08-13T13:00:34.097</t>
  </si>
  <si>
    <t>2019-08-13T08:38:49.623</t>
  </si>
  <si>
    <t>PowerApps Custom Connector AADSTS50011: The reply url specified in the request does not match the reply urls configured for the application</t>
  </si>
  <si>
    <t>2019-08-13T11:11:43.127</t>
  </si>
  <si>
    <t>2019-12-17T13:08:57.270</t>
  </si>
  <si>
    <t>&lt;azure&gt;&lt;authentication&gt;&lt;oauth-2.0&gt;&lt;azure-active-directory&gt;&lt;powerapps&gt;</t>
  </si>
  <si>
    <t>2019-08-13T11:12:53.843</t>
  </si>
  <si>
    <t>2019-08-15T21:19:23.180</t>
  </si>
  <si>
    <t>How do I get the code in this Powerapps lesson on edit forms to work?</t>
  </si>
  <si>
    <t>2019-08-21T20:13:45.213</t>
  </si>
  <si>
    <t>&lt;forms&gt;&lt;connection&gt;&lt;powerapps&gt;</t>
  </si>
  <si>
    <t>2019-08-16T06:12:02.287</t>
  </si>
  <si>
    <t>Show suggestions for textbox in PowerApp</t>
  </si>
  <si>
    <t>2019-08-20T19:40:44.690</t>
  </si>
  <si>
    <t>2019-08-19T12:50:22.910</t>
  </si>
  <si>
    <t>Microsoft Flow: File Upload to Google Failure</t>
  </si>
  <si>
    <t>&lt;ios&gt;&lt;azure&gt;&lt;workflow&gt;&lt;powerapps&gt;</t>
  </si>
  <si>
    <t>2019-08-19T19:59:28.460</t>
  </si>
  <si>
    <t>How to create a search box for multiple columns?</t>
  </si>
  <si>
    <t>2019-08-20T15:15:59.310</t>
  </si>
  <si>
    <t>2019-08-20T12:47:15.377</t>
  </si>
  <si>
    <t>Like and Support Buttons for Sharepoint Items in PowerApps</t>
  </si>
  <si>
    <t>2019-08-21T08:27:54.360</t>
  </si>
  <si>
    <t>2019-08-20T19:24:36.327</t>
  </si>
  <si>
    <t>Count records from DatasourceB based value from DatasourceA</t>
  </si>
  <si>
    <t>2019-08-20T21:53:18.207</t>
  </si>
  <si>
    <t>2019-08-20T22:36:58.603</t>
  </si>
  <si>
    <t>2019-08-21T22:14:26.540</t>
  </si>
  <si>
    <t>How to create collection with last visit date for each store in SharePoint list</t>
  </si>
  <si>
    <t>2019-08-22T16:56:11.847</t>
  </si>
  <si>
    <t>2019-08-22T10:14:54.130</t>
  </si>
  <si>
    <t>sql powerapps create relation</t>
  </si>
  <si>
    <t>2020-01-29T15:26:52.563</t>
  </si>
  <si>
    <t>2019-08-29T13:55:17.923</t>
  </si>
  <si>
    <t>Spaces under Flexible Height Gallery Rows</t>
  </si>
  <si>
    <t>2019-08-29T15:47:00.617</t>
  </si>
  <si>
    <t>How do I filter choices from a lookup field that points to a different SharePoint list?</t>
  </si>
  <si>
    <t>2019-08-29T16:30:33.800</t>
  </si>
  <si>
    <t>2019-09-01T21:21:52.793</t>
  </si>
  <si>
    <t>&lt;filtering&gt;&lt;powerapps&gt;&lt;lookupfield&gt;</t>
  </si>
  <si>
    <t>2019-08-30T17:40:19.967</t>
  </si>
  <si>
    <t>Powerapps, take photo and send it to other screen</t>
  </si>
  <si>
    <t>2019-08-30T21:42:31.950</t>
  </si>
  <si>
    <t>2019-09-01T23:14:04.620</t>
  </si>
  <si>
    <t>Dropdowns populated from Excel tables not getting selected properly</t>
  </si>
  <si>
    <t>2019-09-02T05:39:30.720</t>
  </si>
  <si>
    <t>&lt;excel&gt;&lt;sharepoint&gt;&lt;powerapps&gt;&lt;powerapps-datatable&gt;</t>
  </si>
  <si>
    <t>2019-09-03T16:04:54.587</t>
  </si>
  <si>
    <t>How can I see a Dynamics365 table?</t>
  </si>
  <si>
    <t>2019-09-03T17:06:33.237</t>
  </si>
  <si>
    <t>2019-09-03T18:00:23.620</t>
  </si>
  <si>
    <t>&lt;dynamics-crm&gt;&lt;microsoft-dynamics&gt;&lt;powerapps&gt;</t>
  </si>
  <si>
    <t>2019-09-03T16:35:43.213</t>
  </si>
  <si>
    <t>How to read and structured data from an Excel and add into a pie chart in PowerApps?</t>
  </si>
  <si>
    <t>2019-09-07T10:16:21.070</t>
  </si>
  <si>
    <t>&lt;excel&gt;&lt;pie-chart&gt;&lt;powerapps&gt;</t>
  </si>
  <si>
    <t>2019-09-04T11:52:37.683</t>
  </si>
  <si>
    <t>Questions on how to handle creating new items while offline (Common Data Service)</t>
  </si>
  <si>
    <t>2019-09-05T06:44:15.193</t>
  </si>
  <si>
    <t>2019-09-04T18:36:26.453</t>
  </si>
  <si>
    <t>Searching a Sharepoint list from a Powerapp is working for one column but not another</t>
  </si>
  <si>
    <t>2019-09-04T18:51:00.770</t>
  </si>
  <si>
    <t>2019-09-04T22:34:24.513</t>
  </si>
  <si>
    <t>2019-09-04T19:03:35.260</t>
  </si>
  <si>
    <t>How to collect data from a form and inset it in another sharepoint list</t>
  </si>
  <si>
    <t>2019-09-05T01:39:45.670</t>
  </si>
  <si>
    <t>2019-09-05T18:23:17.737</t>
  </si>
  <si>
    <t>Powerapp filter by user's office location</t>
  </si>
  <si>
    <t>2019-09-08T05:26:44.893</t>
  </si>
  <si>
    <t>&lt;filter&gt;&lt;powerapps&gt;&lt;office365connectors&gt;</t>
  </si>
  <si>
    <t>2019-09-06T15:41:29.283</t>
  </si>
  <si>
    <t>I can only see Tree View and not Screens View. Why is this so?</t>
  </si>
  <si>
    <t>2019-09-06T16:33:42.867</t>
  </si>
  <si>
    <t>2019-09-06T22:00:36.693</t>
  </si>
  <si>
    <t>Validate Stored Procedure Success in Powerapps</t>
  </si>
  <si>
    <t>2019-09-07T05:30:07.460</t>
  </si>
  <si>
    <t>2019-09-10T14:43:58.950</t>
  </si>
  <si>
    <t>Sharing powerapps application to multiple users</t>
  </si>
  <si>
    <t>2019-09-10T16:46:54.477</t>
  </si>
  <si>
    <t>2019-09-11T11:01:49.277</t>
  </si>
  <si>
    <t>Filter a PowerApps Data source for BrowseGallery based on Sharepoint column</t>
  </si>
  <si>
    <t>2019-09-11T12:08:33.060</t>
  </si>
  <si>
    <t>2019-09-11T18:01:23.137</t>
  </si>
  <si>
    <t>&lt;sharepoint&gt;&lt;sharepoint-online&gt;&lt;powerapps&gt;&lt;sharepoint-list&gt;&lt;powerapps-formula&gt;</t>
  </si>
  <si>
    <t>2019-09-11T14:33:04.437</t>
  </si>
  <si>
    <t>Is there a way to populate a table using powerapps that is a "new" product</t>
  </si>
  <si>
    <t>2019-09-11T16:01:41.010</t>
  </si>
  <si>
    <t>2019-12-10T11:59:43.577</t>
  </si>
  <si>
    <t>2019-09-11T18:38:59.147</t>
  </si>
  <si>
    <t>Powerapps Explorer Dialogue to allow file selection</t>
  </si>
  <si>
    <t>2019-09-11T18:47:56.463</t>
  </si>
  <si>
    <t>2019-09-12T15:02:40.297</t>
  </si>
  <si>
    <t>Power BI Dataset(or few columns) into Power Apps</t>
  </si>
  <si>
    <t>2019-09-13T18:13:59.037</t>
  </si>
  <si>
    <t>&lt;powerbi&gt;&lt;powerapps&gt;&lt;powerapps-canvas&gt;</t>
  </si>
  <si>
    <t>2019-09-13T18:13:21.903</t>
  </si>
  <si>
    <t>2019-09-12T15:55:22.343</t>
  </si>
  <si>
    <t>Determine whether a list item is a parent or child task in a sharepoint task list and modify its appearance in a powerapp gallery as a result</t>
  </si>
  <si>
    <t>2019-09-13T11:59:02.277</t>
  </si>
  <si>
    <t>&lt;sharepoint&gt;&lt;ms-project&gt;&lt;powerapps&gt;</t>
  </si>
  <si>
    <t>2019-09-13T01:17:14.520</t>
  </si>
  <si>
    <t>Why can't I rename SharepointForm1 to something else?</t>
  </si>
  <si>
    <t>2019-09-13T01:31:21.473</t>
  </si>
  <si>
    <t>2019-09-13T13:25:21.673</t>
  </si>
  <si>
    <t>2019-09-17T09:42:47.320</t>
  </si>
  <si>
    <t>How to change extension type in Add Image control Powerapps</t>
  </si>
  <si>
    <t>&lt;file&gt;&lt;attachment&gt;&lt;powerapps&gt;</t>
  </si>
  <si>
    <t>2019-09-17T16:50:10.547</t>
  </si>
  <si>
    <t>Is there a way to filter datatable using multiple dropbox that uses sharepoint choices</t>
  </si>
  <si>
    <t>2019-09-17T18:20:27.323</t>
  </si>
  <si>
    <t>2019-09-18T13:23:48.617</t>
  </si>
  <si>
    <t>2019-09-23T10:03:36.277</t>
  </si>
  <si>
    <t>Cascading Lookup List</t>
  </si>
  <si>
    <t>2019-09-23T13:39:52.700</t>
  </si>
  <si>
    <t>2019-09-24T06:52:31.353</t>
  </si>
  <si>
    <t>How to fix the "Required" field in powerapps?</t>
  </si>
  <si>
    <t>2019-09-24T07:43:23.257</t>
  </si>
  <si>
    <t>2019-09-26T12:02:44.170</t>
  </si>
  <si>
    <t>2019-09-24T14:38:25.403</t>
  </si>
  <si>
    <t>Combining hour and minute field into one in SharePoint list</t>
  </si>
  <si>
    <t>2019-12-20T09:54:41.200</t>
  </si>
  <si>
    <t>2019-09-24T15:18:23.020</t>
  </si>
  <si>
    <t>Can a PowerApps connection to an SQL Server database in a model-driven application be bidirectional?</t>
  </si>
  <si>
    <t>2019-09-25T21:35:36.093</t>
  </si>
  <si>
    <t>2020-05-05T12:03:19.237</t>
  </si>
  <si>
    <t>2019-09-25T21:33:54.413</t>
  </si>
  <si>
    <t>2019-09-25T08:56:24.303</t>
  </si>
  <si>
    <t>How do i filter empty column in powerapps</t>
  </si>
  <si>
    <t>2019-09-25T16:20:04.420</t>
  </si>
  <si>
    <t>2019-09-25T11:19:51.240</t>
  </si>
  <si>
    <t>Changing polygon points in SVG for radar chart in Microsoft Powerapps</t>
  </si>
  <si>
    <t>2019-09-25T18:54:26.950</t>
  </si>
  <si>
    <t>&lt;xml&gt;&lt;svg&gt;&lt;powerapps&gt;&lt;point-in-polygon&gt;&lt;radar-chart&gt;</t>
  </si>
  <si>
    <t>2019-09-25T16:46:02.303</t>
  </si>
  <si>
    <t>2019-09-26T08:45:01.743</t>
  </si>
  <si>
    <t>Material-ui for PowerApps?</t>
  </si>
  <si>
    <t>2019-09-26T15:19:23.563</t>
  </si>
  <si>
    <t>&lt;reactjs&gt;&lt;dynamics-crm&gt;&lt;material-ui&gt;&lt;powerapps&gt;</t>
  </si>
  <si>
    <t>2019-09-26T15:18:15.313</t>
  </si>
  <si>
    <t>2019-09-28T04:35:03.120</t>
  </si>
  <si>
    <t>Insert rows to SQL Server from Microsoft Flow</t>
  </si>
  <si>
    <t>2019-11-16T03:45:37.410</t>
  </si>
  <si>
    <t>&lt;sql&gt;&lt;sql-server&gt;&lt;powerapps&gt;&lt;power-automate&gt;</t>
  </si>
  <si>
    <t>2019-09-30T03:27:22.257</t>
  </si>
  <si>
    <t>First day of every week in every month in PowerApps</t>
  </si>
  <si>
    <t>2019-09-30T22:28:23.577</t>
  </si>
  <si>
    <t>2019-10-01T17:57:43.450</t>
  </si>
  <si>
    <t>2019-09-30T16:41:39.353</t>
  </si>
  <si>
    <t>Alter DatacardValue with Slider and vice versa in PowerApps</t>
  </si>
  <si>
    <t>2019-09-30T17:50:48.953</t>
  </si>
  <si>
    <t>2019-10-01T11:38:07.767</t>
  </si>
  <si>
    <t>How can I open a c:// folder of file or documents in powerapps</t>
  </si>
  <si>
    <t>2019-10-01T15:11:34.563</t>
  </si>
  <si>
    <t>2019-10-02T16:09:24.737</t>
  </si>
  <si>
    <t>Vehicle Booking System</t>
  </si>
  <si>
    <t>2019-10-03T14:29:09.133</t>
  </si>
  <si>
    <t>2019-10-03T14:54:15.510</t>
  </si>
  <si>
    <t>One to Many lookup field in Form</t>
  </si>
  <si>
    <t>2019-10-03T15:50:42.920</t>
  </si>
  <si>
    <t>2019-10-03T16:43:26.400</t>
  </si>
  <si>
    <t>2019-10-03T15:43:53.353</t>
  </si>
  <si>
    <t>2019-10-03T15:18:38.550</t>
  </si>
  <si>
    <t>Auto populate per user information from a SharePoint List</t>
  </si>
  <si>
    <t>2019-10-06T20:02:06.397</t>
  </si>
  <si>
    <t>2019-10-05T22:58:29.120</t>
  </si>
  <si>
    <t>OneNote nested list issues when creating page from PowerApps</t>
  </si>
  <si>
    <t>&lt;powerapps&gt;&lt;onenote&gt;&lt;onenote-api&gt;</t>
  </si>
  <si>
    <t>2019-10-08T19:53:16.633</t>
  </si>
  <si>
    <t>PowerApps patch a datasource from a collection</t>
  </si>
  <si>
    <t>2019-10-16T05:33:33.620</t>
  </si>
  <si>
    <t>2019-10-08T21:01:38.103</t>
  </si>
  <si>
    <t>How to create a collection from Office365.Outlook data source?</t>
  </si>
  <si>
    <t>2019-10-09T00:57:09.450</t>
  </si>
  <si>
    <t>2019-10-09T01:54:05.797</t>
  </si>
  <si>
    <t>How to link DataCardValue to another view</t>
  </si>
  <si>
    <t>2019-10-09T14:10:58.727</t>
  </si>
  <si>
    <t>2019-10-09T15:10:17.830</t>
  </si>
  <si>
    <t>PowerApps global variable not updating when record changed</t>
  </si>
  <si>
    <t>2019-10-09T15:30:41.697</t>
  </si>
  <si>
    <t>2019-10-10T14:40:05.640</t>
  </si>
  <si>
    <t>2019-10-11T09:11:38.117</t>
  </si>
  <si>
    <t>PowerApps - Listbox - Update selected values into SP list</t>
  </si>
  <si>
    <t>2019-10-15T09:14:51.440</t>
  </si>
  <si>
    <t>&lt;listbox&gt;&lt;powerapps&gt;</t>
  </si>
  <si>
    <t>2019-10-11T15:52:17.027</t>
  </si>
  <si>
    <t>PowerApps: Patching to a Second SharePoint List with Secondary Button</t>
  </si>
  <si>
    <t>2019-10-11T18:56:24.310</t>
  </si>
  <si>
    <t>&lt;powerapps&gt;&lt;sharepoint-list&gt;&lt;powerapps-formula&gt;</t>
  </si>
  <si>
    <t>2019-10-13T02:38:34.627</t>
  </si>
  <si>
    <t>Failed to open Model driven PowerApps</t>
  </si>
  <si>
    <t>2019-10-15T17:07:58.293</t>
  </si>
  <si>
    <t>&lt;dynamics-crm&gt;&lt;powerapps&gt;&lt;powerapps-formula&gt;&lt;powerapps-modeldriven&gt;</t>
  </si>
  <si>
    <t>2019-10-14T21:04:17.400</t>
  </si>
  <si>
    <t>Date function not working on Label in PowerApps</t>
  </si>
  <si>
    <t>2019-10-14T21:28:58.390</t>
  </si>
  <si>
    <t>&lt;powerapps&gt;&lt;powerapps-formula&gt;&lt;powerapps-canvas&gt;&lt;powerapps-selected-items&gt;</t>
  </si>
  <si>
    <t>2019-10-14T22:20:48.333</t>
  </si>
  <si>
    <t>Link Two Tables In PowerApps</t>
  </si>
  <si>
    <t>&lt;datatables&gt;&lt;powerapps&gt;</t>
  </si>
  <si>
    <t>2019-10-15T18:49:09.010</t>
  </si>
  <si>
    <t>PowerApps: How to get Text-Input onChange to trigger updating the text?</t>
  </si>
  <si>
    <t>2019-10-18T00:21:46.600</t>
  </si>
  <si>
    <t>2019-10-16T04:52:19.073</t>
  </si>
  <si>
    <t>Dynamics 365 Plugin Registration Tool gives permission error</t>
  </si>
  <si>
    <t>2019-10-16T08:32:30.817</t>
  </si>
  <si>
    <t>2019-10-23T14:12:53.660</t>
  </si>
  <si>
    <t>&lt;dynamics-crm&gt;&lt;dynamics-365&gt;&lt;powerapps&gt;</t>
  </si>
  <si>
    <t>2019-10-16T14:56:59.983</t>
  </si>
  <si>
    <t>PowerApps Portal--&gt; After Record is created (Insert Form) show that record as Edit Form</t>
  </si>
  <si>
    <t>2019-10-17T02:46:17.920</t>
  </si>
  <si>
    <t>2019-10-18T05:59:04.280</t>
  </si>
  <si>
    <t>&lt;dynamics-crm&gt;&lt;dynamics-crm-online&gt;&lt;powerapps&gt;&lt;dynamics-crm-portals&gt;&lt;powerapps-portal&gt;</t>
  </si>
  <si>
    <t>2019-10-16T15:20:37.513</t>
  </si>
  <si>
    <t>Convert PowerApps Calendar from Outlook to SharePoint List</t>
  </si>
  <si>
    <t>2019-10-16T22:52:32.813</t>
  </si>
  <si>
    <t>Writing out a new entry in PowerApps using Power BI</t>
  </si>
  <si>
    <t>2019-10-26T13:36:16.420</t>
  </si>
  <si>
    <t>2019-10-18T14:07:56.247</t>
  </si>
  <si>
    <t>Which PowerApps license?</t>
  </si>
  <si>
    <t>2019-10-18T18:48:24.253</t>
  </si>
  <si>
    <t>2019-10-20T06:05:15.227</t>
  </si>
  <si>
    <t>Powerapps : is it possible to geolocate user via Android?</t>
  </si>
  <si>
    <t>2019-10-20T23:12:40.570</t>
  </si>
  <si>
    <t>&lt;geolocation&gt;&lt;powerapps&gt;&lt;powerapps-formula&gt;</t>
  </si>
  <si>
    <t>2019-10-21T14:11:14.073</t>
  </si>
  <si>
    <t>Get a list of PowerApps using Graph or some other API</t>
  </si>
  <si>
    <t>2019-10-21T16:46:58.370</t>
  </si>
  <si>
    <t>2019-10-24T04:20:02.307</t>
  </si>
  <si>
    <t>&lt;sharepoint&gt;&lt;office365&gt;&lt;azure-ad-graph-api&gt;&lt;office365api&gt;&lt;powerapps&gt;</t>
  </si>
  <si>
    <t>2019-10-21T16:44:34.273</t>
  </si>
  <si>
    <t>2019-10-22T22:23:09.807</t>
  </si>
  <si>
    <t>In PowerApps, is there a best practice for an ordered (and re-orderable) list?</t>
  </si>
  <si>
    <t>2019-12-19T15:42:26.920</t>
  </si>
  <si>
    <t>2019-10-22T22:45:27.120</t>
  </si>
  <si>
    <t>How to get Location (Country) for Office 365 account in PowerApp?</t>
  </si>
  <si>
    <t>2019-10-31T05:25:17.290</t>
  </si>
  <si>
    <t>2019-10-23T10:43:12.517</t>
  </si>
  <si>
    <t>PowerApps Custom Connector returns 404 in app builder</t>
  </si>
  <si>
    <t>2019-11-13T18:57:45.340</t>
  </si>
  <si>
    <t>&lt;odata&gt;&lt;powerapps&gt;</t>
  </si>
  <si>
    <t>2019-10-23T20:42:46.337</t>
  </si>
  <si>
    <t>PowerApps - How to get URL to entire Sharepoint list</t>
  </si>
  <si>
    <t>2019-10-24T04:04:52.453</t>
  </si>
  <si>
    <t>2019-10-24T13:07:49.920</t>
  </si>
  <si>
    <t>File system error in ms flow from powerapps</t>
  </si>
  <si>
    <t>2019-11-16T03:28:20.147</t>
  </si>
  <si>
    <t>2020-03-11T17:50:21.993</t>
  </si>
  <si>
    <t>2019-10-24T18:43:37.697</t>
  </si>
  <si>
    <t>Timestamp error in Flow with Power Apps trigger and CDS as data source</t>
  </si>
  <si>
    <t>2020-01-30T20:26:30.790</t>
  </si>
  <si>
    <t>&lt;powerapps&gt;&lt;power-automate&gt;&lt;cds&gt;</t>
  </si>
  <si>
    <t>2019-10-26T16:37:10.887</t>
  </si>
  <si>
    <t>How to set a Sharepoint lookup field when inserting a new record in PowerApps</t>
  </si>
  <si>
    <t>2019-10-29T20:10:49.010</t>
  </si>
  <si>
    <t>2019-11-08T02:59:06.990</t>
  </si>
  <si>
    <t>2019-11-06T03:52:16.470</t>
  </si>
  <si>
    <t>2019-10-26T17:56:31.030</t>
  </si>
  <si>
    <t>PowerApps: Pull a specific record from a Sharepoint Lookup list to show additional fields using a Display Form</t>
  </si>
  <si>
    <t>2019-10-31T05:41:01.117</t>
  </si>
  <si>
    <t>2019-10-28T21:08:24.183</t>
  </si>
  <si>
    <t>PowerApps: Loading a form and gallery from an email with a deep link - Want only to load specific ID in both</t>
  </si>
  <si>
    <t>2019-12-17T12:12:15.723</t>
  </si>
  <si>
    <t>2019-11-01T10:25:50.100</t>
  </si>
  <si>
    <t>Is there a way to check the maximum hex value allowed in a string?</t>
  </si>
  <si>
    <t>2019-11-01T12:43:58.347</t>
  </si>
  <si>
    <t>2019-11-01T12:46:27.230</t>
  </si>
  <si>
    <t>&lt;regex&gt;&lt;hex&gt;&lt;powerapps&gt;</t>
  </si>
  <si>
    <t>2019-11-01T10:32:55.813</t>
  </si>
  <si>
    <t>2019-11-03T16:48:56.270</t>
  </si>
  <si>
    <t>Cannot call Virtual Agent Bot from DirectLine</t>
  </si>
  <si>
    <t>2019-11-08T04:47:45.367</t>
  </si>
  <si>
    <t>&lt;botframework&gt;&lt;microsoft-dynamics&gt;&lt;powerapps&gt;&lt;direct-line-botframework&gt;</t>
  </si>
  <si>
    <t>2019-11-04T17:10:25.430</t>
  </si>
  <si>
    <t>Microsoft Flow Oracle Connector</t>
  </si>
  <si>
    <t>2019-11-15T02:59:43.597</t>
  </si>
  <si>
    <t>&lt;oracle&gt;&lt;powerapps&gt;&lt;power-automate&gt;</t>
  </si>
  <si>
    <t>2019-11-05T19:09:35.777</t>
  </si>
  <si>
    <t>2019-11-04T21:04:12.917</t>
  </si>
  <si>
    <t>Send an email (using flow) when the text field changes in PowerApps</t>
  </si>
  <si>
    <t>2019-11-15T01:04:20.163</t>
  </si>
  <si>
    <t>2019-12-11T02:37:04.803</t>
  </si>
  <si>
    <t>&lt;sharepoint&gt;&lt;powerapps&gt;&lt;powerapps-formula&gt;&lt;power-automate&gt;</t>
  </si>
  <si>
    <t>2019-11-05T02:42:30.803</t>
  </si>
  <si>
    <t>Getting null for getelementbyid dynamic generated HTML</t>
  </si>
  <si>
    <t>2019-11-05T09:01:07.783</t>
  </si>
  <si>
    <t>&lt;javascript&gt;&lt;sharepoint&gt;&lt;powerapps&gt;</t>
  </si>
  <si>
    <t>2019-11-05T02:46:44.533</t>
  </si>
  <si>
    <t>how to get span inner text inside div tag</t>
  </si>
  <si>
    <t>2019-11-05T08:56:48.037</t>
  </si>
  <si>
    <t>2019-11-05T13:01:36.837</t>
  </si>
  <si>
    <t>How to Filter SharePoint Lookup Column using powerapps?</t>
  </si>
  <si>
    <t>2019-11-05T19:24:00.620</t>
  </si>
  <si>
    <t>2020-01-30T02:36:15.780</t>
  </si>
  <si>
    <t>2019-11-05T13:30:03.870</t>
  </si>
  <si>
    <t>Write back to Oracle from PowerApps</t>
  </si>
  <si>
    <t>2019-11-05T19:24:59.420</t>
  </si>
  <si>
    <t>&lt;sql&gt;&lt;oracle&gt;&lt;powerapps&gt;</t>
  </si>
  <si>
    <t>2019-11-05T13:56:16.080</t>
  </si>
  <si>
    <t>Redirect unauthorized users using Navigate on screen OnVisible</t>
  </si>
  <si>
    <t>2019-11-05T14:19:19.677</t>
  </si>
  <si>
    <t>2019-11-07T22:38:53.297</t>
  </si>
  <si>
    <t>2019-11-06T09:21:03.667</t>
  </si>
  <si>
    <t>React rendering new view with filtered Data in Model Driven PowerApps</t>
  </si>
  <si>
    <t>2019-11-06T14:54:40.793</t>
  </si>
  <si>
    <t>2019-11-06T17:14:21.997</t>
  </si>
  <si>
    <t>&lt;powerapps&gt;&lt;react-tsx&gt;&lt;powerapps-modeldriven&gt;&lt;powerapps-component-framework&gt;</t>
  </si>
  <si>
    <t>2019-11-06T12:48:49.863</t>
  </si>
  <si>
    <t>Embedded PowerApps on SharePoint page doesn't work properly in IE 11</t>
  </si>
  <si>
    <t>2019-11-11T06:33:44.723</t>
  </si>
  <si>
    <t>&lt;internet-explorer&gt;&lt;embed&gt;&lt;sharepoint-online&gt;&lt;powerapps&gt;</t>
  </si>
  <si>
    <t>2019-11-06T22:22:21.077</t>
  </si>
  <si>
    <t>Powerapps - When i open the screen1 i need the radio1 option to not select either radio button</t>
  </si>
  <si>
    <t>2019-11-07T22:50:07.240</t>
  </si>
  <si>
    <t>2019-11-07T06:03:50.890</t>
  </si>
  <si>
    <t>Embed PowerApps from a different tenant on a SharePoint page</t>
  </si>
  <si>
    <t>2019-11-11T06:57:32.060</t>
  </si>
  <si>
    <t>&lt;canvas&gt;&lt;sharepoint&gt;&lt;powerapps&gt;</t>
  </si>
  <si>
    <t>2019-11-11T09:12:21.103</t>
  </si>
  <si>
    <t>Merging a Photo Image and Pen Input Image in PowerApps</t>
  </si>
  <si>
    <t>2019-11-13T08:02:16.400</t>
  </si>
  <si>
    <t>2019-11-11T16:10:57.800</t>
  </si>
  <si>
    <t>PowerApps: Filter by multiple condition and distinct by one further condition</t>
  </si>
  <si>
    <t>2019-11-12T04:25:14.430</t>
  </si>
  <si>
    <t>Is there any way to open the applications in two systems at same time?</t>
  </si>
  <si>
    <t>2019-11-12T14:50:54.283</t>
  </si>
  <si>
    <t>2019-11-12T12:43:11.580</t>
  </si>
  <si>
    <t>Any function to load the data of 2 share point lists to a single gallery in power apps?</t>
  </si>
  <si>
    <t>2019-11-12T18:00:31.800</t>
  </si>
  <si>
    <t>2019-11-14T16:05:36.713</t>
  </si>
  <si>
    <t>How to pass value from one form to another in powerapps</t>
  </si>
  <si>
    <t>2019-11-14T17:25:45.673</t>
  </si>
  <si>
    <t>2020-05-05T13:16:39.617</t>
  </si>
  <si>
    <t>2019-11-14T16:35:54.480</t>
  </si>
  <si>
    <t>PowerApps: How to change the selected value of a drop down list via expression</t>
  </si>
  <si>
    <t>2019-11-17T23:43:34.280</t>
  </si>
  <si>
    <t>2019-11-16T03:35:18.660</t>
  </si>
  <si>
    <t>2019-11-15T11:21:47.387</t>
  </si>
  <si>
    <t>Submit New Item Form and Open the same item for editing</t>
  </si>
  <si>
    <t>2019-11-16T03:27:48.700</t>
  </si>
  <si>
    <t>2019-11-15T22:26:47.960</t>
  </si>
  <si>
    <t>Model Driven PowerApps</t>
  </si>
  <si>
    <t>2019-12-09T21:47:43.563</t>
  </si>
  <si>
    <t>&lt;dynamics-crm&gt;&lt;powerapps&gt;&lt;power-automate&gt;&lt;powerapps-modeldriven&gt;</t>
  </si>
  <si>
    <t>2019-11-19T23:17:00.553</t>
  </si>
  <si>
    <t>PowerApp Image to text using</t>
  </si>
  <si>
    <t>2019-11-20T10:22:14.960</t>
  </si>
  <si>
    <t>2019-11-25T04:37:04.137</t>
  </si>
  <si>
    <t>2019-11-20T08:16:07.797</t>
  </si>
  <si>
    <t>Unexpected characters and Expected operators. Power Apps</t>
  </si>
  <si>
    <t>2019-11-20T14:28:37.960</t>
  </si>
  <si>
    <t>2019-11-25T04:29:48.957</t>
  </si>
  <si>
    <t>2019-11-26T08:31:21.420</t>
  </si>
  <si>
    <t>Can an item in gallery can be selected outside with the help of button?</t>
  </si>
  <si>
    <t>2019-11-26T17:44:59.703</t>
  </si>
  <si>
    <t>2019-11-26T14:37:55.327</t>
  </si>
  <si>
    <t>I want to combine the **Sort and Filter** and **Toggle** Functions</t>
  </si>
  <si>
    <t>2019-11-26T14:55:35.163</t>
  </si>
  <si>
    <t>2019-12-09T17:14:08.150</t>
  </si>
  <si>
    <t>2019-11-27T02:54:25.830</t>
  </si>
  <si>
    <t>PowerApps Portal vs regular PowerApps</t>
  </si>
  <si>
    <t>2019-12-06T02:38:39.830</t>
  </si>
  <si>
    <t>&lt;powerapps&gt;&lt;powerapps-canvas&gt;&lt;powerapps-portal&gt;</t>
  </si>
  <si>
    <t>2019-11-28T17:39:45.180</t>
  </si>
  <si>
    <t>VML Background Image is replaced by the color in Outlook App</t>
  </si>
  <si>
    <t>&lt;html&gt;&lt;image&gt;&lt;outlook&gt;&lt;powerapps&gt;&lt;vml&gt;</t>
  </si>
  <si>
    <t>2019-11-29T10:43:10.650</t>
  </si>
  <si>
    <t>How to add headers to Common Data Service data store in Microsoft Azure Data Factory</t>
  </si>
  <si>
    <t>2019-12-08T05:36:49.700</t>
  </si>
  <si>
    <t>&lt;azure&gt;&lt;dynamics-crm&gt;&lt;azure-data-factory&gt;&lt;powerapps&gt;&lt;common-data-service&gt;</t>
  </si>
  <si>
    <t>2019-12-08T05:36:08.667</t>
  </si>
  <si>
    <t>2019-12-03T13:46:11.370</t>
  </si>
  <si>
    <t>PowerApps DropDown Errors</t>
  </si>
  <si>
    <t>2019-12-09T15:00:29.583</t>
  </si>
  <si>
    <t>2019-12-03T21:00:47.410</t>
  </si>
  <si>
    <t>PowerApps - Creating a Date Range</t>
  </si>
  <si>
    <t>2019-12-06T19:49:23.593</t>
  </si>
  <si>
    <t>2019-12-05T06:33:39.940</t>
  </si>
  <si>
    <t>PowerApps Filtering or Searching on LookUp field on Gallery</t>
  </si>
  <si>
    <t>2020-03-31T09:24:14.357</t>
  </si>
  <si>
    <t>&lt;filter&gt;&lt;delegates&gt;&lt;powerapps&gt;</t>
  </si>
  <si>
    <t>2019-12-09T12:56:42.377</t>
  </si>
  <si>
    <t>2019-12-05T11:58:13.513</t>
  </si>
  <si>
    <t>One If Statement, different default result</t>
  </si>
  <si>
    <t>2019-12-09T06:18:00.687</t>
  </si>
  <si>
    <t>&lt;sharepoint&gt;&lt;powerapps&gt;&lt;powerapps-formula&gt;&lt;powerapps-canvas&gt;</t>
  </si>
  <si>
    <t>2019-12-05T21:29:43.393</t>
  </si>
  <si>
    <t>2019-12-05T13:57:19.877</t>
  </si>
  <si>
    <t>Problem with Power App (Loading data from power App to Excel)</t>
  </si>
  <si>
    <t>2019-12-05T15:12:48.593</t>
  </si>
  <si>
    <t>2019-12-09T10:37:55.320</t>
  </si>
  <si>
    <t>&lt;excel&gt;&lt;sharepoint&gt;&lt;powerapps&gt;&lt;powerapps-formula&gt;&lt;powerapps-collection&gt;</t>
  </si>
  <si>
    <t>2019-12-06T10:30:26.597</t>
  </si>
  <si>
    <t>Power BI to call CRM process</t>
  </si>
  <si>
    <t>2019-12-06T19:15:30.147</t>
  </si>
  <si>
    <t>&lt;sql-server&gt;&lt;powerbi&gt;&lt;dynamics-crm&gt;&lt;crm&gt;&lt;powerapps&gt;</t>
  </si>
  <si>
    <t>2019-12-06T11:42:25.490</t>
  </si>
  <si>
    <t>Setting textbox text value on button click</t>
  </si>
  <si>
    <t>2019-12-06T20:28:53.537</t>
  </si>
  <si>
    <t>2019-12-13T11:27:51.583</t>
  </si>
  <si>
    <t>&lt;textbox&gt;&lt;powerapps&gt;&lt;powerapps-canvas&gt;</t>
  </si>
  <si>
    <t>2019-12-09T12:47:47.540</t>
  </si>
  <si>
    <t>PowerApps Filter data</t>
  </si>
  <si>
    <t>2019-12-09T15:27:07.700</t>
  </si>
  <si>
    <t>2019-12-09T16:43:42.987</t>
  </si>
  <si>
    <t>Merging PowerApps Photo and Pen Input using MS Flow and API</t>
  </si>
  <si>
    <t>2019-12-10T14:55:49.170</t>
  </si>
  <si>
    <t>&lt;json&gt;&lt;office365&gt;&lt;azure-storage&gt;&lt;flow&gt;&lt;powerapps&gt;</t>
  </si>
  <si>
    <t>2019-12-11T12:02:37.973</t>
  </si>
  <si>
    <t>PowerApp Gallery Data Not Updating</t>
  </si>
  <si>
    <t>2019-12-13T17:53:38.420</t>
  </si>
  <si>
    <t>2019-12-18T17:01:47.893</t>
  </si>
  <si>
    <t>&lt;sharepoint&gt;&lt;gallery&gt;&lt;powerapps&gt;</t>
  </si>
  <si>
    <t>2019-12-12T06:49:03.360</t>
  </si>
  <si>
    <t>Slider extending beyond 100%</t>
  </si>
  <si>
    <t>2019-12-12T07:24:43.893</t>
  </si>
  <si>
    <t>2019-12-19T06:19:55.543</t>
  </si>
  <si>
    <t>&lt;slider&gt;&lt;powerapps&gt;</t>
  </si>
  <si>
    <t>2019-12-12T14:09:12.200</t>
  </si>
  <si>
    <t>Handling Record List operations</t>
  </si>
  <si>
    <t>2019-12-16T17:38:55.283</t>
  </si>
  <si>
    <t>&lt;sharepoint&gt;&lt;office365&gt;&lt;powerapps&gt;&lt;o365-flow&gt;</t>
  </si>
  <si>
    <t>2019-12-13T12:19:42.863</t>
  </si>
  <si>
    <t>Create an App in Microsoft Power apps from the existing code</t>
  </si>
  <si>
    <t>2019-12-13T13:29:53.103</t>
  </si>
  <si>
    <t>2019-12-13T16:45:26.927</t>
  </si>
  <si>
    <t>How to load all Managed Metadata values from a Term Set</t>
  </si>
  <si>
    <t>2019-12-13T17:07:32.647</t>
  </si>
  <si>
    <t>2020-04-29T14:30:36.643</t>
  </si>
  <si>
    <t>&lt;sharepoint-online&gt;&lt;powerapps&gt;&lt;powerapps-formula&gt;&lt;powerapps-canvas&gt;&lt;powerapps-collection&gt;</t>
  </si>
  <si>
    <t>2019-12-15T14:55:50.830</t>
  </si>
  <si>
    <t>Microsoft Power Platform Custom Connector to Project Server API - OAuth 2.0 Settings</t>
  </si>
  <si>
    <t>2019-12-16T22:25:05.360</t>
  </si>
  <si>
    <t>2019-12-19T06:12:18.887</t>
  </si>
  <si>
    <t>&lt;oauth-2.0&gt;&lt;powerapps&gt;&lt;power-automate&gt;&lt;project-online&gt;&lt;ms-project-server-2016&gt;</t>
  </si>
  <si>
    <t>2019-12-17T06:12:19.757</t>
  </si>
  <si>
    <t>Attach image from Sharepoint list must send to Email, Ms Teams, Kaizala</t>
  </si>
  <si>
    <t>&lt;sharepoint&gt;&lt;microsoft-teams&gt;&lt;powerapps&gt;&lt;power-automate&gt;</t>
  </si>
  <si>
    <t>2019-12-17T06:42:07.857</t>
  </si>
  <si>
    <t>PowerApps exist function issue?</t>
  </si>
  <si>
    <t>2019-12-17T07:23:49.867</t>
  </si>
  <si>
    <t>2019-12-17T10:55:36.707</t>
  </si>
  <si>
    <t>2019-12-17T13:44:04.097</t>
  </si>
  <si>
    <t>PowerApps Web Files returning 404 and 500 errors</t>
  </si>
  <si>
    <t>2020-04-11T14:12:05.983</t>
  </si>
  <si>
    <t>&lt;powerapps&gt;&lt;powerapps-portal&gt;</t>
  </si>
  <si>
    <t>2019-12-18T14:51:07.800</t>
  </si>
  <si>
    <t>Add multiple rows to SharePoint List from Power Apps</t>
  </si>
  <si>
    <t>2019-12-18T17:21:10.270</t>
  </si>
  <si>
    <t>2019-12-18T15:54:05.737</t>
  </si>
  <si>
    <t>How to Use websites in power apps</t>
  </si>
  <si>
    <t>2020-02-06T18:25:26.167</t>
  </si>
  <si>
    <t>&lt;dynamics-crm&gt;&lt;dynamics-crm-2011&gt;&lt;powerapps&gt;&lt;powerapps-canvas&gt;&lt;powerapps-collection&gt;</t>
  </si>
  <si>
    <t>2019-12-19T06:00:34.263</t>
  </si>
  <si>
    <t>Adding data from a column in a data table to a collection in Power Apps</t>
  </si>
  <si>
    <t>2019-12-19T08:09:37.583</t>
  </si>
  <si>
    <t>2019-12-19T11:10:04.033</t>
  </si>
  <si>
    <t>&lt;collections&gt;&lt;powerbi&gt;&lt;powerapps&gt;</t>
  </si>
  <si>
    <t>2019-12-19T08:18:04.660</t>
  </si>
  <si>
    <t>Power Apps Gallery Filter based on two values</t>
  </si>
  <si>
    <t>2019-12-19T11:30:11.323</t>
  </si>
  <si>
    <t>2019-12-20T13:13:47.830</t>
  </si>
  <si>
    <t>Powerapps UpdateIf with multiple conditions</t>
  </si>
  <si>
    <t>2020-01-14T23:59:43.483</t>
  </si>
  <si>
    <t>2019-12-27T20:28:16.890</t>
  </si>
  <si>
    <t>PowerApps interate through list updates</t>
  </si>
  <si>
    <t>2019-12-30T16:34:18.660</t>
  </si>
  <si>
    <t>2019-12-30T12:24:14.773</t>
  </si>
  <si>
    <t>How to use a single e-mail to send emails in power apps application without user's outlook email</t>
  </si>
  <si>
    <t>2020-01-02T00:02:12.150</t>
  </si>
  <si>
    <t>PowerApps Hyperlink Display Text</t>
  </si>
  <si>
    <t>2020-01-02T07:32:03.077</t>
  </si>
  <si>
    <t>2020-01-02T14:45:27.637</t>
  </si>
  <si>
    <t>Power Apps Modify Dropdown Items Property to List Files From a Specific SP Doc Library Folder</t>
  </si>
  <si>
    <t>2020-01-02T17:17:18.057</t>
  </si>
  <si>
    <t>2020-01-03T08:10:50.790</t>
  </si>
  <si>
    <t>How to Fix Azure Maps PCF Component Drawing Tools Offset</t>
  </si>
  <si>
    <t>2020-01-04T23:33:27.840</t>
  </si>
  <si>
    <t>2020-01-14T04:21:15.470</t>
  </si>
  <si>
    <t>&lt;powerapps&gt;&lt;azure-maps&gt;&lt;powerapps-component-framework&gt;</t>
  </si>
  <si>
    <t>2020-01-04T16:08:37.810</t>
  </si>
  <si>
    <t>PowerApp to Reset Passwords of other users</t>
  </si>
  <si>
    <t>2020-01-06T14:27:26.747</t>
  </si>
  <si>
    <t>2020-01-06T16:46:45.377</t>
  </si>
  <si>
    <t>Launch PowerApps from shortcut or command line</t>
  </si>
  <si>
    <t>2020-01-07T09:26:20.627</t>
  </si>
  <si>
    <t>Do I need to avail the subscription so that i can use the approval connector? There's an error on Assigned To email</t>
  </si>
  <si>
    <t>2020-01-07T09:42:31.860</t>
  </si>
  <si>
    <t>2020-01-08T01:24:30.690</t>
  </si>
  <si>
    <t>How to unpick the selected gallery in PowerApps?</t>
  </si>
  <si>
    <t>2020-01-08T19:46:20.883</t>
  </si>
  <si>
    <t>2020-05-08T04:57:18.343</t>
  </si>
  <si>
    <t>2020-01-08T15:03:44.227</t>
  </si>
  <si>
    <t>GroupBy and Concatenate Rows</t>
  </si>
  <si>
    <t>2020-01-08T22:09:51.820</t>
  </si>
  <si>
    <t>2020-01-08T19:06:08.637</t>
  </si>
  <si>
    <t>Excel Mobile Data Entry Form</t>
  </si>
  <si>
    <t>user10918650</t>
  </si>
  <si>
    <t>2020-01-10T18:46:44.480</t>
  </si>
  <si>
    <t>&lt;excel&gt;&lt;ms-access&gt;&lt;sharepoint&gt;&lt;onedrive&gt;&lt;powerapps&gt;</t>
  </si>
  <si>
    <t>2020-01-08T23:06:46.313</t>
  </si>
  <si>
    <t>How to test a PowerApps Custom Connector GET request at localhost?</t>
  </si>
  <si>
    <t>2020-01-09T06:04:50.600</t>
  </si>
  <si>
    <t>Azure Devops for Power apps</t>
  </si>
  <si>
    <t>2020-01-10T07:43:21.180</t>
  </si>
  <si>
    <t>2020-01-10T09:43:50.333</t>
  </si>
  <si>
    <t>&lt;azure-devops&gt;&lt;powerapps&gt;</t>
  </si>
  <si>
    <t>2020-01-09T11:20:46.717</t>
  </si>
  <si>
    <t>How to ceate a dataflow in powerapps to a localdb database?</t>
  </si>
  <si>
    <t>2020-01-09T21:51:08.000</t>
  </si>
  <si>
    <t>Combine Search() and Filter() to Gallery Items in PowerApps</t>
  </si>
  <si>
    <t>2020-01-23T19:56:07.717</t>
  </si>
  <si>
    <t>&lt;office365&gt;&lt;powerapps&gt;&lt;powerapps-formula&gt;&lt;powerapps-canvas&gt;</t>
  </si>
  <si>
    <t>2020-01-10T14:25:38.410</t>
  </si>
  <si>
    <t>Microsoft PowerApp - OR function</t>
  </si>
  <si>
    <t>2020-01-23T19:55:42.633</t>
  </si>
  <si>
    <t>2020-05-06T04:24:44.767</t>
  </si>
  <si>
    <t>2020-01-13T00:05:18.610</t>
  </si>
  <si>
    <t>No Value showing in Gallery Price Column</t>
  </si>
  <si>
    <t>2020-01-23T20:00:58.533</t>
  </si>
  <si>
    <t>&lt;powerapps&gt;&lt;powerapps-formula&gt;&lt;powerapps-canvas&gt;&lt;powerapps-collection&gt;</t>
  </si>
  <si>
    <t>2020-01-16T13:54:55.557</t>
  </si>
  <si>
    <t>2020-01-13T16:05:58.613</t>
  </si>
  <si>
    <t>Default text into a text field in PowerApps</t>
  </si>
  <si>
    <t>2020-01-23T19:53:13.497</t>
  </si>
  <si>
    <t>&lt;powerapps&gt;&lt;power-automate&gt;&lt;powerapps-formula&gt;&lt;powerapps-canvas&gt;</t>
  </si>
  <si>
    <t>2020-01-13T16:18:07.450</t>
  </si>
  <si>
    <t>2020-01-14T09:10:58.470</t>
  </si>
  <si>
    <t>Using MS Teams, Power Automate and Adaptive Cards: how to use inputs from user using the Flow Bot to use in another Adaptive Card</t>
  </si>
  <si>
    <t>2020-01-14T09:42:07.793</t>
  </si>
  <si>
    <t>2020-01-20T05:58:00.260</t>
  </si>
  <si>
    <t>&lt;botframework&gt;&lt;microsoft-teams&gt;&lt;powerapps&gt;&lt;adaptive-cards&gt;&lt;power-automate&gt;</t>
  </si>
  <si>
    <t>2020-01-14T10:03:20.437</t>
  </si>
  <si>
    <t>2020-01-15T09:08:19.030</t>
  </si>
  <si>
    <t>Microsoft Powerapps form coverd by virtual keyboard in phone layout</t>
  </si>
  <si>
    <t>2020-01-23T20:03:13.947</t>
  </si>
  <si>
    <t>&lt;powerapps&gt;&lt;office365-apps&gt;&lt;powerapps-canvas&gt;</t>
  </si>
  <si>
    <t>2020-01-15T17:38:24.820</t>
  </si>
  <si>
    <t>Calculated column not returning the correct number of days between two dates</t>
  </si>
  <si>
    <t>&lt;sharepoint&gt;&lt;calendar&gt;&lt;sharepoint-online&gt;&lt;calculated-columns&gt;&lt;powerapps&gt;</t>
  </si>
  <si>
    <t>2020-01-15T20:59:45.233</t>
  </si>
  <si>
    <t>How to set the defaultSelectedItems value of Multi Person combo box in Powerapps?</t>
  </si>
  <si>
    <t>2020-01-16T08:46:54.053</t>
  </si>
  <si>
    <t>2020-01-16T19:57:27.047</t>
  </si>
  <si>
    <t>Enable button on drop-down &amp; Text Input Validation</t>
  </si>
  <si>
    <t>2020-01-23T19:55:21.657</t>
  </si>
  <si>
    <t>2020-01-16T20:04:04.357</t>
  </si>
  <si>
    <t>2020-01-17T15:49:30.637</t>
  </si>
  <si>
    <t>Calculate total amount per quantity enter in PowerApps</t>
  </si>
  <si>
    <t>2020-01-23T19:54:51.967</t>
  </si>
  <si>
    <t>2020-01-21T18:31:16.593</t>
  </si>
  <si>
    <t>PowerApps- how to create a form where users can edit or delete rows that have been submitted</t>
  </si>
  <si>
    <t>2020-01-22T16:20:38.103</t>
  </si>
  <si>
    <t>&lt;forms&gt;&lt;powerapps&gt;&lt;powerapps-canvas&gt;</t>
  </si>
  <si>
    <t>2020-01-22T14:31:32.130</t>
  </si>
  <si>
    <t>Standard connectors moving to premium. Is Logic Apps also affected</t>
  </si>
  <si>
    <t>2020-01-23T05:52:18.663</t>
  </si>
  <si>
    <t>&lt;azure&gt;&lt;azure-logic-apps&gt;&lt;powerapps&gt;</t>
  </si>
  <si>
    <t>2020-01-23T14:24:47.353</t>
  </si>
  <si>
    <t>Non-Admin Users Can't Use on Prem Custom Connector</t>
  </si>
  <si>
    <t>2020-01-23T22:09:49.500</t>
  </si>
  <si>
    <t>2020-01-23T20:54:38.343</t>
  </si>
  <si>
    <t>How does the PowerApps SUM() function handle NULL values?</t>
  </si>
  <si>
    <t>&lt;powerapps-formula&gt;&lt;powerapps-canvas&gt;</t>
  </si>
  <si>
    <t>2020-01-24T19:33:34.323</t>
  </si>
  <si>
    <t>PowerApps Azure function connection</t>
  </si>
  <si>
    <t>2020-01-30T19:19:34.583</t>
  </si>
  <si>
    <t>&lt;azure&gt;&lt;azure-functions&gt;&lt;powerapps&gt;</t>
  </si>
  <si>
    <t>2020-01-29T00:33:58.997</t>
  </si>
  <si>
    <t>Add image column with AddColumns in Power Apps</t>
  </si>
  <si>
    <t>2020-01-30T15:28:52.890</t>
  </si>
  <si>
    <t>&lt;image&gt;&lt;powerapps&gt;</t>
  </si>
  <si>
    <t>2020-01-29T12:05:24.197</t>
  </si>
  <si>
    <t>getting a single record from a Sharepoint list</t>
  </si>
  <si>
    <t>2020-01-29T13:40:47.537</t>
  </si>
  <si>
    <t>2020-01-30T12:42:49.103</t>
  </si>
  <si>
    <t>Google Cloud: Simple web app/UI for database content maintenance?</t>
  </si>
  <si>
    <t>2020-01-30T16:12:45.720</t>
  </si>
  <si>
    <t>&lt;google-cloud-platform&gt;&lt;google-cloud-sql&gt;&lt;google-apps&gt;&lt;powerapps&gt;</t>
  </si>
  <si>
    <t>2020-02-01T13:05:37.347</t>
  </si>
  <si>
    <t>Azure Active Directory Authorization Token Has Expired</t>
  </si>
  <si>
    <t>2020-02-01T13:14:36.943</t>
  </si>
  <si>
    <t>2020-02-01T13:15:27.900</t>
  </si>
  <si>
    <t>&lt;azure-active-directory&gt;&lt;dynamics-crm&gt;&lt;powerapps&gt;&lt;powerapps-canvas&gt;</t>
  </si>
  <si>
    <t>2020-02-01T13:52:08.850</t>
  </si>
  <si>
    <t>Import CSV from UI in PowerApp</t>
  </si>
  <si>
    <t>2020-02-02T08:02:01.433</t>
  </si>
  <si>
    <t>2020-02-03T04:28:33.837</t>
  </si>
  <si>
    <t>PowerApps Gallery - Hybrid Screen</t>
  </si>
  <si>
    <t>2020-02-13T11:19:22.933</t>
  </si>
  <si>
    <t>2020-02-05T08:45:32.307</t>
  </si>
  <si>
    <t>How to find if folder exists in sharepoint online document library using MS Flow</t>
  </si>
  <si>
    <t>2020-02-05T10:55:02.400</t>
  </si>
  <si>
    <t>2020-02-05T21:50:37.677</t>
  </si>
  <si>
    <t>Share PowerApps Apps &amp; Connections With Groups</t>
  </si>
  <si>
    <t>2020-02-05T22:12:22.523</t>
  </si>
  <si>
    <t>&lt;sharepoint&gt;&lt;powerapps&gt;&lt;usergroups&gt;</t>
  </si>
  <si>
    <t>2020-02-06T06:14:33.623</t>
  </si>
  <si>
    <t>Power App Custom Connector: Cannot call CRM function RetrieveRolePrivilegesRole</t>
  </si>
  <si>
    <t>2020-02-07T14:54:34.433</t>
  </si>
  <si>
    <t>How can i check for duplicate list in SharePoint using power app?</t>
  </si>
  <si>
    <t>2020-02-08T18:43:19.353</t>
  </si>
  <si>
    <t>&lt;sharepoint&gt;&lt;powerapps&gt;&lt;powerapps-canvas&gt;</t>
  </si>
  <si>
    <t>2020-02-10T14:33:30.150</t>
  </si>
  <si>
    <t>Difference between Entity Type Standard and Managed in Common Data Service?</t>
  </si>
  <si>
    <t>2020-02-10T19:38:24.603</t>
  </si>
  <si>
    <t>&lt;dynamics-crm&gt;&lt;entities&gt;&lt;powerapps&gt;&lt;cds&gt;</t>
  </si>
  <si>
    <t>2020-02-11T12:08:26.653</t>
  </si>
  <si>
    <t>Cascading drop down list in Power Apps</t>
  </si>
  <si>
    <t>2020-02-12T01:57:37.537</t>
  </si>
  <si>
    <t>2020-02-11T13:04:46.250</t>
  </si>
  <si>
    <t>How to implement My Azure function for using it in PowerApps</t>
  </si>
  <si>
    <t>2020-02-12T06:07:52.983</t>
  </si>
  <si>
    <t>&lt;c#&gt;&lt;image&gt;&lt;azure-functions&gt;&lt;azure-storage-blobs&gt;&lt;powerapps&gt;</t>
  </si>
  <si>
    <t>2020-02-11T21:31:09.093</t>
  </si>
  <si>
    <t>Dynamically changing the bound entity of a list box on a canvas</t>
  </si>
  <si>
    <t>2020-02-19T17:33:13.993</t>
  </si>
  <si>
    <t>&lt;powerapps-canvas&gt;</t>
  </si>
  <si>
    <t>2020-02-12T08:26:16.430</t>
  </si>
  <si>
    <t>Generate a pdf out of a sharepoint-list (PowerApps audit)</t>
  </si>
  <si>
    <t>&lt;vba&gt;&lt;pdf&gt;&lt;sharepoint&gt;&lt;flow&gt;&lt;powerapps&gt;</t>
  </si>
  <si>
    <t>2020-02-13T05:01:54.480</t>
  </si>
  <si>
    <t>Error 500 while connecting api with powerapps</t>
  </si>
  <si>
    <t>2020-02-13T07:27:11.560</t>
  </si>
  <si>
    <t>2020-02-13T05:51:19.127</t>
  </si>
  <si>
    <t>Calling Dynamics CRM Rest API from PCF component, Embedding in Model-Driven App</t>
  </si>
  <si>
    <t>2020-02-13T06:40:07.460</t>
  </si>
  <si>
    <t>2020-02-13T06:44:19.113</t>
  </si>
  <si>
    <t>&lt;dynamics-crm&gt;&lt;powerapps&gt;&lt;dynamics-crm-webapi&gt;&lt;powerapps-modeldriven&gt;&lt;powerapps-component-framework&gt;</t>
  </si>
  <si>
    <t>2020-02-13T13:37:28.687</t>
  </si>
  <si>
    <t>How to set a color as a global variable in PowerApps?</t>
  </si>
  <si>
    <t>2020-02-13T18:31:06.987</t>
  </si>
  <si>
    <t>2020-02-13T18:30:06.680</t>
  </si>
  <si>
    <t>2020-02-14T07:33:22.130</t>
  </si>
  <si>
    <t>Publish Canvas Power App to App Source, which uses Custom Connector</t>
  </si>
  <si>
    <t>&lt;dynamics-crm&gt;&lt;powerapps-canvas&gt;&lt;appsource&gt;</t>
  </si>
  <si>
    <t>2020-02-14T09:50:03.717</t>
  </si>
  <si>
    <t>how to Insert my Azure function to PowerApps</t>
  </si>
  <si>
    <t>&lt;c#&gt;&lt;swagger&gt;&lt;azure-functions&gt;&lt;powerapps&gt;&lt;common-data-service&gt;</t>
  </si>
  <si>
    <t>2020-02-25T05:47:51.593</t>
  </si>
  <si>
    <t>2020-02-14T16:17:54.300</t>
  </si>
  <si>
    <t>How to setup Swagger for PowerApps correctly?</t>
  </si>
  <si>
    <t>2020-02-17T14:33:51.887</t>
  </si>
  <si>
    <t>&lt;c#&gt;&lt;azure-functions&gt;&lt;swagger-2.0&gt;&lt;powerapps&gt;</t>
  </si>
  <si>
    <t>2020-02-17T14:28:55.143</t>
  </si>
  <si>
    <t>Gallery with multiple listboxes automatically generated from a Collection</t>
  </si>
  <si>
    <t>&lt;powerapps&gt;&lt;powerapps-canvas&gt;&lt;powerapps-collection&gt;</t>
  </si>
  <si>
    <t>2020-02-17T19:51:39.993</t>
  </si>
  <si>
    <t>Filter Gallery based on text in label</t>
  </si>
  <si>
    <t>2020-02-19T23:07:10.337</t>
  </si>
  <si>
    <t>2020-02-18T00:46:29.213</t>
  </si>
  <si>
    <t>How to Change 0 to 1 in TextInput</t>
  </si>
  <si>
    <t>2020-02-18T13:46:45.857</t>
  </si>
  <si>
    <t>2020-02-18T15:42:50.603</t>
  </si>
  <si>
    <t>Sharepoint List Not Saving, Giving "Skip To Main Content" Error</t>
  </si>
  <si>
    <t>2020-05-12T03:57:56.423</t>
  </si>
  <si>
    <t>2020-02-19T23:20:18.143</t>
  </si>
  <si>
    <t>Create collection from multiple sources where relationship is 1:n and maintain delegation</t>
  </si>
  <si>
    <t>&lt;sharepoint&gt;&lt;sharepoint-online&gt;&lt;powerapps&gt;&lt;powerapps-canvas&gt;</t>
  </si>
  <si>
    <t>2020-02-20T11:09:56.250</t>
  </si>
  <si>
    <t>Create New Calendar (not events) Using PowerApps MS Flow</t>
  </si>
  <si>
    <t>user12931792</t>
  </si>
  <si>
    <t>2020-02-20T11:20:37.087</t>
  </si>
  <si>
    <t>&lt;dynamic&gt;&lt;outlook&gt;&lt;powerapps&gt;&lt;power-automate&gt;&lt;powerapps-canvas&gt;</t>
  </si>
  <si>
    <t>2020-02-20T15:27:57.730</t>
  </si>
  <si>
    <t>How to have display information about a variable column in a gallery via radio button?</t>
  </si>
  <si>
    <t>2020-02-21T11:10:19.670</t>
  </si>
  <si>
    <t>2020-05-05T12:58:03.133</t>
  </si>
  <si>
    <t>2020-02-20T17:16:46.113</t>
  </si>
  <si>
    <t>Ui Flows - Selenium IDE (recorder tool) - How do I store the returned value of an embedded javascript function in a webpage I am scraping?</t>
  </si>
  <si>
    <t>2020-02-21T01:02:26.503</t>
  </si>
  <si>
    <t>&lt;selenium&gt;&lt;powerapps&gt;&lt;power-automate&gt;</t>
  </si>
  <si>
    <t>2020-02-21T06:47:44.503</t>
  </si>
  <si>
    <t>Can we publish Power Apps Portal to App Source like Power Apps?</t>
  </si>
  <si>
    <t>2020-03-31T20:25:12.227</t>
  </si>
  <si>
    <t>&lt;powerapps&gt;&lt;appsource&gt;&lt;powerapps-portal&gt;</t>
  </si>
  <si>
    <t>2020-02-21T06:54:25.880</t>
  </si>
  <si>
    <t>Delegation Issues in IF in large Dataset More Than 2000 LIMIT POWERAPPS</t>
  </si>
  <si>
    <t>2020-02-21T08:38:53.563</t>
  </si>
  <si>
    <t>PowerApps - Log In with a User Level Access (Custom Login Screen)</t>
  </si>
  <si>
    <t>2020-02-21T11:51:41.923</t>
  </si>
  <si>
    <t>2020-02-24T13:15:28.907</t>
  </si>
  <si>
    <t>Azure DevOps - Dynamics CRM - Powerapps Deploy Package getting timed out</t>
  </si>
  <si>
    <t>2020-05-06T06:11:38.183</t>
  </si>
  <si>
    <t>&lt;dynamics-crm&gt;&lt;pipeline&gt;&lt;powerapps&gt;&lt;azure-repos&gt;</t>
  </si>
  <si>
    <t>2020-02-25T14:20:06.037</t>
  </si>
  <si>
    <t>Is there a way to auto load data to a dataset in PowerApps Component Framework (PCF)?</t>
  </si>
  <si>
    <t>2020-03-02T03:37:12.633</t>
  </si>
  <si>
    <t>&lt;dynamics-crm&gt;&lt;powerapps&gt;&lt;powerapps-component-framework&gt;</t>
  </si>
  <si>
    <t>2020-02-25T17:51:20.380</t>
  </si>
  <si>
    <t>How to size text in an SVG element</t>
  </si>
  <si>
    <t>2020-02-26T13:07:38.723</t>
  </si>
  <si>
    <t>&lt;css&gt;&lt;svg&gt;&lt;powerapps&gt;&lt;viewbox&gt;</t>
  </si>
  <si>
    <t>2020-02-25T20:23:02.933</t>
  </si>
  <si>
    <t>2020-02-26T10:25:49.133</t>
  </si>
  <si>
    <t>Power App: Calculate Leave Days and Hours</t>
  </si>
  <si>
    <t>&lt;dax&gt;&lt;calculation&gt;&lt;powerapps&gt;</t>
  </si>
  <si>
    <t>2020-02-26T15:09:10.467</t>
  </si>
  <si>
    <t>PowerApps: Use HTML to modify form display in model-driven apps?</t>
  </si>
  <si>
    <t>2020-02-26T17:40:47.063</t>
  </si>
  <si>
    <t>2020-02-26T17:33:39.847</t>
  </si>
  <si>
    <t>2020-02-27T08:34:36.747</t>
  </si>
  <si>
    <t>when adding file in attachment it's showing unsaved, and when the form is submitted the attachment is not updated in the SharePoint List?</t>
  </si>
  <si>
    <t>2020-02-27T13:45:00.997</t>
  </si>
  <si>
    <t>&lt;sharepoint&gt;&lt;sharepoint-online&gt;&lt;powerapps&gt;&lt;powerapps-canvas&gt;&lt;powerapps-collection&gt;</t>
  </si>
  <si>
    <t>2020-02-28T16:03:57.470</t>
  </si>
  <si>
    <t>Azure Common Data Service Entity not syncing to data lake</t>
  </si>
  <si>
    <t>&lt;azure&gt;&lt;azure-data-lake&gt;&lt;powerapps&gt;&lt;common-data-service&gt;</t>
  </si>
  <si>
    <t>2020-03-02T20:16:29.230</t>
  </si>
  <si>
    <t>Launch specific external application using powerapps in Android</t>
  </si>
  <si>
    <t>2020-03-10T23:17:23.213</t>
  </si>
  <si>
    <t>&lt;android&gt;&lt;powerapps&gt;</t>
  </si>
  <si>
    <t>2020-03-03T18:17:12.390</t>
  </si>
  <si>
    <t>Apply a sort to a dataset in a PowerApps component (PCF)</t>
  </si>
  <si>
    <t>2020-03-04T02:08:39.550</t>
  </si>
  <si>
    <t>2020-03-29T09:48:43.147</t>
  </si>
  <si>
    <t>2020-03-04T18:04:36.337</t>
  </si>
  <si>
    <t>Autopopulate 2 Combo box value from Selected Combo Box</t>
  </si>
  <si>
    <t>2020-03-04T18:16:38.977</t>
  </si>
  <si>
    <t>2020-05-06T06:03:10.517</t>
  </si>
  <si>
    <t>2020-03-06T00:59:06.930</t>
  </si>
  <si>
    <t>Power Automate Add member to Group</t>
  </si>
  <si>
    <t>2020-03-09T06:43:50.657</t>
  </si>
  <si>
    <t>2020-03-09T14:21:21.143</t>
  </si>
  <si>
    <t>2020-03-09T14:08:18.757</t>
  </si>
  <si>
    <t>2020-03-09T13:05:05.963</t>
  </si>
  <si>
    <t>How to convert a Date value to unix timestamp?</t>
  </si>
  <si>
    <t>2020-03-10T19:09:55.940</t>
  </si>
  <si>
    <t>how can i change the currency sign based on a condition in Microsoft flow?</t>
  </si>
  <si>
    <t>2020-03-12T01:18:15.827</t>
  </si>
  <si>
    <t>&lt;powerapps&gt;&lt;power-automate&gt;&lt;sharepoint-list&gt;</t>
  </si>
  <si>
    <t>2020-03-12T22:41:36.720</t>
  </si>
  <si>
    <t>Powerapps Canvas - Decode Base64 encoded string to actual string</t>
  </si>
  <si>
    <t>2020-03-13T11:25:59.253</t>
  </si>
  <si>
    <t>Power Apps - Office 365 Outlook permissons</t>
  </si>
  <si>
    <t>2020-03-13T13:02:07.053</t>
  </si>
  <si>
    <t>2020-03-18T11:02:19.813</t>
  </si>
  <si>
    <t>&lt;outlook&gt;&lt;office365&gt;&lt;powerapps&gt;&lt;power-automate&gt;</t>
  </si>
  <si>
    <t>2020-03-17T17:42:51.960</t>
  </si>
  <si>
    <t>SortByColumns / Filter / Search and Yes/No</t>
  </si>
  <si>
    <t>2020-03-17T17:56:12.930</t>
  </si>
  <si>
    <t>2020-03-19T02:29:51.540</t>
  </si>
  <si>
    <t>Error 429: Start an Approval error in Power Automate</t>
  </si>
  <si>
    <t>2020-03-23T01:13:26.383</t>
  </si>
  <si>
    <t>2020-03-19T07:52:33.233</t>
  </si>
  <si>
    <t>2020-03-19T05:38:50.500</t>
  </si>
  <si>
    <t>Job Card Device TimeOut Issue in D365</t>
  </si>
  <si>
    <t>2020-03-19T07:41:39.090</t>
  </si>
  <si>
    <t>2020-03-20T10:57:48.997</t>
  </si>
  <si>
    <t>Powerapps: sharpoint list gets mad when refreshing the sources</t>
  </si>
  <si>
    <t>2020-03-20T19:36:12.720</t>
  </si>
  <si>
    <t>Get a list of PowerApps</t>
  </si>
  <si>
    <t>2020-03-31T12:30:06.420</t>
  </si>
  <si>
    <t>2020-03-21T10:08:32.293</t>
  </si>
  <si>
    <t>Microsoft Flow how to get the Azure Devops Connector to return multiple pages when querying users</t>
  </si>
  <si>
    <t>2020-03-22T08:50:58.087</t>
  </si>
  <si>
    <t>&lt;azure-devops&gt;&lt;azure-devops-rest-api&gt;&lt;flow&gt;&lt;powerapps&gt;</t>
  </si>
  <si>
    <t>2020-03-23T09:46:06.377</t>
  </si>
  <si>
    <t>need to bind the current sitecollection name in lookup field and pass the corresponding lookupid in onstart of canvas app new form</t>
  </si>
  <si>
    <t>2020-03-23T10:53:35.707</t>
  </si>
  <si>
    <t>&lt;reactjs&gt;&lt;powerapps&gt;&lt;powerapps-formula&gt;&lt;powerapps-canvas&gt;&lt;powerapps-collection&gt;</t>
  </si>
  <si>
    <t>2020-03-23T10:02:01.010</t>
  </si>
  <si>
    <t>Power Apps Canvas - import data from excel sheet</t>
  </si>
  <si>
    <t>2020-03-23T17:03:06.787</t>
  </si>
  <si>
    <t>2020-03-23T22:05:17.943</t>
  </si>
  <si>
    <t>&lt;excel&gt;&lt;canvas&gt;&lt;powerapps&gt;</t>
  </si>
  <si>
    <t>2020-03-24T06:24:09.210</t>
  </si>
  <si>
    <t>How to bind lookup field value in canvas app newform?</t>
  </si>
  <si>
    <t>&lt;reactjs&gt;&lt;office365&gt;&lt;sharepoint-online&gt;&lt;powerapps&gt;&lt;powerapps-canvas&gt;</t>
  </si>
  <si>
    <t>2020-03-24T13:08:48.243</t>
  </si>
  <si>
    <t>PowerApps Base64 PDF</t>
  </si>
  <si>
    <t>2020-03-25T04:14:16.297</t>
  </si>
  <si>
    <t>2020-03-31T10:01:04.447</t>
  </si>
  <si>
    <t>&lt;base64&gt;&lt;local-storage&gt;&lt;powerapps&gt;</t>
  </si>
  <si>
    <t>2020-03-24T14:17:05.467</t>
  </si>
  <si>
    <t>Valid checkbox is checked in PowerApps</t>
  </si>
  <si>
    <t>2020-05-05T09:55:23.643</t>
  </si>
  <si>
    <t>2020-03-25T13:11:38.907</t>
  </si>
  <si>
    <t>Powerapps - Make a single field editable and all fields viewable in a Form</t>
  </si>
  <si>
    <t>2020-03-31T09:57:01.623</t>
  </si>
  <si>
    <t>&lt;sharepoint&gt;&lt;powerapps&gt;&lt;powerapps-formula&gt;</t>
  </si>
  <si>
    <t>2020-03-25T17:13:36.803</t>
  </si>
  <si>
    <t>Can we connect Power Virtual agent Bot to Backend like database, calling api's?</t>
  </si>
  <si>
    <t>&lt;virtual&gt;&lt;chatbot&gt;&lt;powerapps&gt;&lt;power-automate&gt;</t>
  </si>
  <si>
    <t>2020-03-26T07:53:26.043</t>
  </si>
  <si>
    <t>Dynamically create object/variable and set its value</t>
  </si>
  <si>
    <t>2020-03-26T14:40:01.343</t>
  </si>
  <si>
    <t>2020-03-26T20:43:57.677</t>
  </si>
  <si>
    <t>Using filter function with multiple values for the same column in powerapps</t>
  </si>
  <si>
    <t>2020-04-18T07:46:11.960</t>
  </si>
  <si>
    <t>&lt;datatable&gt;&lt;powerapps&gt;</t>
  </si>
  <si>
    <t>2020-03-27T07:02:19.600</t>
  </si>
  <si>
    <t>Offline Capabilities in PowerApps</t>
  </si>
  <si>
    <t>2020-04-18T07:58:24.127</t>
  </si>
  <si>
    <t>2020-03-27T07:57:14.103</t>
  </si>
  <si>
    <t>Microsoft Common Data Services - How to disable the service</t>
  </si>
  <si>
    <t>&lt;dynamics-crm&gt;&lt;microsoft-dynamics&gt;&lt;powerapps&gt;&lt;power-automate&gt;&lt;common-data-service&gt;</t>
  </si>
  <si>
    <t>2020-03-30T21:15:58.443</t>
  </si>
  <si>
    <t>Is there a powershell command to get model driven power apps?</t>
  </si>
  <si>
    <t>2020-04-01T14:12:18.807</t>
  </si>
  <si>
    <t>Powerapps, if statement getting warnings</t>
  </si>
  <si>
    <t>2020-04-06T07:51:15.783</t>
  </si>
  <si>
    <t>2020-04-06T08:04:22.617</t>
  </si>
  <si>
    <t>2020-04-01T14:44:26.897</t>
  </si>
  <si>
    <t>SPFx web part with CDS</t>
  </si>
  <si>
    <t>2020-04-03T13:25:30.550</t>
  </si>
  <si>
    <t>&lt;sharepoint&gt;&lt;powerapps&gt;&lt;spfx&gt;</t>
  </si>
  <si>
    <t>2020-04-02T07:48:02.333</t>
  </si>
  <si>
    <t>I cannot retrieve data from PowerBi Integration after reopening PowerApps</t>
  </si>
  <si>
    <t>2020-04-06T07:50:52.857</t>
  </si>
  <si>
    <t>2020-04-03T22:55:46.947</t>
  </si>
  <si>
    <t>Powerapps Form: Possible to have default value from one datasource, items from another?</t>
  </si>
  <si>
    <t>2020-04-05T23:04:13.530</t>
  </si>
  <si>
    <t>2020-04-06T00:07:23.930</t>
  </si>
  <si>
    <t>(Power apps)I want to create a new data table using the same method as pivot in excel</t>
  </si>
  <si>
    <t>2020-04-06T13:18:47.233</t>
  </si>
  <si>
    <t>preventDefault() throws error only on Mark Complete event (D365 Unified Interface)</t>
  </si>
  <si>
    <t>&lt;javascript&gt;&lt;dynamics-crm&gt;&lt;microsoft-dynamics&gt;&lt;powerapps&gt;</t>
  </si>
  <si>
    <t>2020-04-06T17:00:51.940</t>
  </si>
  <si>
    <t>How to invoke SOAP Webservice using Power Automate / MS Flow</t>
  </si>
  <si>
    <t>2020-04-06T22:56:52.413</t>
  </si>
  <si>
    <t>&lt;web-services&gt;&lt;powerapps&gt;&lt;power-automate&gt;</t>
  </si>
  <si>
    <t>2020-04-07T05:17:19.160</t>
  </si>
  <si>
    <t>How to Embed Power App Widget in a Website?</t>
  </si>
  <si>
    <t>2020-05-17T14:16:24.313</t>
  </si>
  <si>
    <t>2020-04-07T10:43:48.007</t>
  </si>
  <si>
    <t>Power BI direct query to excel using power apps</t>
  </si>
  <si>
    <t>&lt;excel&gt;&lt;powerbi-desktop&gt;&lt;powerapps&gt;</t>
  </si>
  <si>
    <t>2020-04-07T20:25:13.153</t>
  </si>
  <si>
    <t>How can I edit the Preview text when linking another share point page in sharepoint?</t>
  </si>
  <si>
    <t>2020-04-08T05:25:14.313</t>
  </si>
  <si>
    <t>How can we set permissions in Powerapps such that the creator of an application only can access the application within the enivironment?</t>
  </si>
  <si>
    <t>2020-04-18T07:11:58.570</t>
  </si>
  <si>
    <t>&lt;powerapps&gt;&lt;powerapps-formula&gt;&lt;powerapps-canvas&gt;&lt;powerapps-collection&gt;&lt;powerapps-selected-items&gt;</t>
  </si>
  <si>
    <t>2020-04-09T00:59:16.283</t>
  </si>
  <si>
    <t>Save progress of users in powerapps and it doesn't start with new instance everytime same user opens the app</t>
  </si>
  <si>
    <t>2020-04-18T07:08:55.053</t>
  </si>
  <si>
    <t>2020-04-09T12:13:11.670</t>
  </si>
  <si>
    <t>Cannot properly decode Base64 string from Power Apps to audio file</t>
  </si>
  <si>
    <t>2020-04-09T12:24:55.170</t>
  </si>
  <si>
    <t>2020-04-09T14:19:50.683</t>
  </si>
  <si>
    <t>&lt;python&gt;&lt;audio&gt;&lt;base64&gt;&lt;powerapps&gt;</t>
  </si>
  <si>
    <t>2020-04-09T14:23:54.293</t>
  </si>
  <si>
    <t>Checkbox value in Display Mode = view &amp; edit PowerApps</t>
  </si>
  <si>
    <t>2020-04-18T06:43:51.463</t>
  </si>
  <si>
    <t>2020-04-09T22:18:50.323</t>
  </si>
  <si>
    <t>Power Apps Web Resource unable to access Window object of PCF Custom Control</t>
  </si>
  <si>
    <t>&lt;reactjs&gt;&lt;typescript&gt;&lt;powerapps&gt;&lt;webresource&gt;&lt;powerapps-component-framework&gt;</t>
  </si>
  <si>
    <t>2020-04-11T07:45:48.793</t>
  </si>
  <si>
    <t>Calling REST API in Powerapps portal application</t>
  </si>
  <si>
    <t>2020-04-12T09:05:50.243</t>
  </si>
  <si>
    <t>Common Data Service fetching Primary Id in PowerApps</t>
  </si>
  <si>
    <t>2020-04-13T15:20:12.500</t>
  </si>
  <si>
    <t>How to check if file with same name has been attached in PowerApps?</t>
  </si>
  <si>
    <t>2020-04-14T12:53:20.133</t>
  </si>
  <si>
    <t>&lt;attachment&gt;&lt;powerapps&gt;</t>
  </si>
  <si>
    <t>2020-04-14T20:56:43.357</t>
  </si>
  <si>
    <t>How do you do an if statement on a value from a datacard in Power Apps?</t>
  </si>
  <si>
    <t>2020-05-08T10:05:28.090</t>
  </si>
  <si>
    <t>2020-04-17T09:24:29.293</t>
  </si>
  <si>
    <t>Get a complex Regex</t>
  </si>
  <si>
    <t>&lt;regex&gt;&lt;match&gt;&lt;powerapps&gt;</t>
  </si>
  <si>
    <t>2020-04-20T16:48:53.263</t>
  </si>
  <si>
    <t>PowerApps : Could not establish trust relationship for the SSL/TLS secure channel</t>
  </si>
  <si>
    <t>&lt;flow&gt;&lt;powerapps&gt;</t>
  </si>
  <si>
    <t>2020-04-20T20:05:31.783</t>
  </si>
  <si>
    <t>PowerApps ComboBox with Multiple Default Values</t>
  </si>
  <si>
    <t>2020-04-25T04:50:14.217</t>
  </si>
  <si>
    <t>2020-04-21T10:15:59.040</t>
  </si>
  <si>
    <t>MS Flow automatically runs after 2 minutes</t>
  </si>
  <si>
    <t>2020-04-23T00:02:01.020</t>
  </si>
  <si>
    <t>PowerApps Modify Email-Screen Template</t>
  </si>
  <si>
    <t>2020-04-23T05:43:10.733</t>
  </si>
  <si>
    <t>2020-04-23T16:37:54.100</t>
  </si>
  <si>
    <t>&lt;email&gt;&lt;sharepoint&gt;&lt;powerapps&gt;</t>
  </si>
  <si>
    <t>2020-04-23T03:25:51.337</t>
  </si>
  <si>
    <t>PowerApps Create Filter Based on SPT Lookup Column</t>
  </si>
  <si>
    <t>2020-04-23T05:00:16.940</t>
  </si>
  <si>
    <t>Convert Sharepoint List into structured database</t>
  </si>
  <si>
    <t>&lt;sql&gt;&lt;database&gt;&lt;sharepoint&gt;&lt;powerapps&gt;&lt;sharepoint-list&gt;</t>
  </si>
  <si>
    <t>2020-04-24T06:47:35.060</t>
  </si>
  <si>
    <t>What is underlying framework and programming language that MS powerapps is build upon?</t>
  </si>
  <si>
    <t>2020-04-25T04:37:45.513</t>
  </si>
  <si>
    <t>2020-04-24T10:05:05.497</t>
  </si>
  <si>
    <t>Is there a text-input list in PowerApps that can be exported to a mutli-line variable?</t>
  </si>
  <si>
    <t>2020-04-24T14:27:42.737</t>
  </si>
  <si>
    <t>2020-04-25T04:20:16.117</t>
  </si>
  <si>
    <t>2020-04-26T15:21:21.903</t>
  </si>
  <si>
    <t>How to add new line in string variable</t>
  </si>
  <si>
    <t>2020-04-26T15:33:47.413</t>
  </si>
  <si>
    <t>2020-04-26T15:56:48.413</t>
  </si>
  <si>
    <t>2020-04-27T06:02:45.097</t>
  </si>
  <si>
    <t>PowerShell cmdlet to associate security group to powerapps environment(database created)</t>
  </si>
  <si>
    <t>&lt;powerapps&gt;&lt;cmdlet&gt;</t>
  </si>
  <si>
    <t>2020-04-27T13:17:56.693</t>
  </si>
  <si>
    <t>The requested operation is invalid. Server Response: A value must be provided for item. clientRequestID:</t>
  </si>
  <si>
    <t>2020-04-30T05:35:04.307</t>
  </si>
  <si>
    <t>2020-04-28T05:18:00.580</t>
  </si>
  <si>
    <t>How do we install D365 apps in powerapps environment with PowerShell?</t>
  </si>
  <si>
    <t>2020-05-17T13:45:57.273</t>
  </si>
  <si>
    <t>2020-04-30T14:58:40.640</t>
  </si>
  <si>
    <t>Best ways to run a Python program with Microsoft Power Apps</t>
  </si>
  <si>
    <t>&lt;python&gt;&lt;flow&gt;&lt;powerapps&gt;</t>
  </si>
  <si>
    <t>2020-04-30T18:30:49.343</t>
  </si>
  <si>
    <t>In PowerApps how to configure the inline look up of subgrid component in a form</t>
  </si>
  <si>
    <t>2020-04-30T18:50:07.833</t>
  </si>
  <si>
    <t>&lt;windows&gt;&lt;sharepoint&gt;&lt;powerbi&gt;&lt;powerapps&gt;&lt;powerapps-canvas&gt;</t>
  </si>
  <si>
    <t>2020-05-01T23:49:47.223</t>
  </si>
  <si>
    <t>I have one power apps (store data in sharepoint) and now, it is ready for go live but what is best practice to roll out</t>
  </si>
  <si>
    <t>2020-05-03T01:04:20.873</t>
  </si>
  <si>
    <t>2020-05-05T02:53:25.067</t>
  </si>
  <si>
    <t>Iframe with Powerapps Form Height and width issue</t>
  </si>
  <si>
    <t>2020-05-05T02:57:45.867</t>
  </si>
  <si>
    <t>2020-05-05T13:18:14.620</t>
  </si>
  <si>
    <t>&lt;javascript&gt;&lt;jquery-ui&gt;&lt;iframe&gt;&lt;sharepoint-online&gt;&lt;powerapps&gt;</t>
  </si>
  <si>
    <t>2020-05-05T11:22:08.893</t>
  </si>
  <si>
    <t>Connect Cosmos DB Flow to Power Apps</t>
  </si>
  <si>
    <t>2020-05-05T11:51:14.227</t>
  </si>
  <si>
    <t>2020-05-22T10:24:28.293</t>
  </si>
  <si>
    <t>&lt;azure-cosmosdb&gt;&lt;flow&gt;&lt;powerapps&gt;</t>
  </si>
  <si>
    <t>2020-05-06T10:30:57.350</t>
  </si>
  <si>
    <t>Granting Cognitive Services Face API access to a sharepoint folder</t>
  </si>
  <si>
    <t>2020-05-06T10:59:53.443</t>
  </si>
  <si>
    <t>&lt;microsoft-cognitive&gt;&lt;powerapps&gt;&lt;power-automate&gt;</t>
  </si>
  <si>
    <t>2020-05-07T10:28:19.433</t>
  </si>
  <si>
    <t>Fetching large data from SQL server using Powerapps and writing to Azure blob storage</t>
  </si>
  <si>
    <t>2020-05-08T05:06:23.613</t>
  </si>
  <si>
    <t>2020-05-08T01:25:17.057</t>
  </si>
  <si>
    <t>Userscript: Autofill Sharepoint User list Combobox Filter</t>
  </si>
  <si>
    <t>2020-05-09T17:23:01.220</t>
  </si>
  <si>
    <t>&lt;jquery&gt;&lt;sharepoint&gt;&lt;userscripts&gt;&lt;powerapps&gt;</t>
  </si>
  <si>
    <t>2020-05-08T07:39:42.463</t>
  </si>
  <si>
    <t>Powerapps: Adjust (deeplink) URL on select</t>
  </si>
  <si>
    <t>2020-05-08T09:25:14.667</t>
  </si>
  <si>
    <t>2020-05-08T10:23:51.693</t>
  </si>
  <si>
    <t>Toggle Filter by SharePoint List Field in PowerApps</t>
  </si>
  <si>
    <t>2020-05-08T18:18:45.480</t>
  </si>
  <si>
    <t>SQL Server : measuring real-time efficiency by operator</t>
  </si>
  <si>
    <t>2020-05-08T19:04:48.343</t>
  </si>
  <si>
    <t>2020-05-08T21:40:17.813</t>
  </si>
  <si>
    <t>&lt;sql-server&gt;&lt;tsql&gt;&lt;time&gt;&lt;ssms&gt;&lt;powerapps&gt;</t>
  </si>
  <si>
    <t>2020-05-08T18:22:37.440</t>
  </si>
  <si>
    <t>Use selected item in dropdown to show item in display in Power Apps</t>
  </si>
  <si>
    <t>2020-05-09T15:44:02.673</t>
  </si>
  <si>
    <t>2020-05-08T20:28:08.577</t>
  </si>
  <si>
    <t>Does PowerApps Feature support Cross-Site Lookup in SharePoint - Getting Error Creating App from Data</t>
  </si>
  <si>
    <t>2020-05-11T11:48:11.333</t>
  </si>
  <si>
    <t>Change color back to theme</t>
  </si>
  <si>
    <t>2020-05-11T16:35:30.507</t>
  </si>
  <si>
    <t>Do I need to configure azureAD for powerapps?</t>
  </si>
  <si>
    <t>2020-05-11T20:34:53.203</t>
  </si>
  <si>
    <t>2020-05-12T05:21:32.523</t>
  </si>
  <si>
    <t>&lt;azure&gt;&lt;active-directory&gt;&lt;powerapps&gt;</t>
  </si>
  <si>
    <t>2020-05-12T02:47:38.080</t>
  </si>
  <si>
    <t>Slow Navigate + Component Inefficient Delayed Loading</t>
  </si>
  <si>
    <t>2020-05-12T05:17:24.757</t>
  </si>
  <si>
    <t>2020-05-13T08:33:46.437</t>
  </si>
  <si>
    <t>How to design the ribbon (tag) within entity in Dynamics 365?</t>
  </si>
  <si>
    <t>2020-05-13T12:26:36.463</t>
  </si>
  <si>
    <t>2020-05-13T12:25:14.053</t>
  </si>
  <si>
    <t>2020-05-13T14:08:06.990</t>
  </si>
  <si>
    <t>Issues Selecting and Setting Values in PowerApps SharePoint Forms</t>
  </si>
  <si>
    <t>2020-05-13T15:23:28.363</t>
  </si>
  <si>
    <t>How to sync the data between common data service and source?</t>
  </si>
  <si>
    <t>2020-05-13T15:52:26.457</t>
  </si>
  <si>
    <t>2020-05-13T16:33:34.897</t>
  </si>
  <si>
    <t>&lt;azure&gt;&lt;powerapps&gt;&lt;powerapps-canvas&gt;&lt;common-data-service&gt;</t>
  </si>
  <si>
    <t>2020-05-13T18:55:09.413</t>
  </si>
  <si>
    <t>SQL Server : using aggregations on partially null data</t>
  </si>
  <si>
    <t>2020-05-18T14:57:51.990</t>
  </si>
  <si>
    <t>&lt;sql&gt;&lt;sql-server&gt;&lt;tsql&gt;&lt;group-by&gt;&lt;powerapps&gt;</t>
  </si>
  <si>
    <t>2020-05-13T22:49:27.373</t>
  </si>
  <si>
    <t>2020-05-14T13:45:26.197</t>
  </si>
  <si>
    <t>Are performance problems related to Legacy Storage Capacity on Power Apps?</t>
  </si>
  <si>
    <t>2020-05-16T14:09:29.360</t>
  </si>
  <si>
    <t>What permissions does user need to create and use powerapp?</t>
  </si>
  <si>
    <t>2020-05-16T15:13:20.253</t>
  </si>
  <si>
    <t>2020-05-16T19:20:17.543</t>
  </si>
  <si>
    <t>2020-05-16T14:47:42.690</t>
  </si>
  <si>
    <t>2020-05-16T17:25:29.640</t>
  </si>
  <si>
    <t>Canvas PowerApp Form unable to get fields from Custom Connector returning tabular data from REST API</t>
  </si>
  <si>
    <t>2020-05-18T06:03:04.990</t>
  </si>
  <si>
    <t>&lt;forms&gt;&lt;canvas&gt;&lt;powerapps&gt;&lt;connector&gt;</t>
  </si>
  <si>
    <t>2020-05-18T05:51:21.760</t>
  </si>
  <si>
    <t>2020-05-16T20:01:51.283</t>
  </si>
  <si>
    <t>Is it possible to use power apps to create a login page using office365 email and password for credential submission</t>
  </si>
  <si>
    <t>2020-05-17T13:30:06.640</t>
  </si>
  <si>
    <t>2020-05-17T13:38:25.010</t>
  </si>
  <si>
    <t>&lt;user-interface&gt;&lt;sharepoint&gt;&lt;passwords&gt;&lt;powerapps&gt;&lt;powerapps-canvas&gt;</t>
  </si>
  <si>
    <t>2020-05-17T01:13:43.267</t>
  </si>
  <si>
    <t>Maximum concurrent users in a powerapp</t>
  </si>
  <si>
    <t>2020-05-17T13:26:33.160</t>
  </si>
  <si>
    <t>2020-05-18T08:18:16.760</t>
  </si>
  <si>
    <t>Is it possible to trigger ADF pipeline from Power App?</t>
  </si>
  <si>
    <t>2020-05-18T08:22:07.620</t>
  </si>
  <si>
    <t>&lt;triggers&gt;&lt;azure-data-factory&gt;&lt;azure-logic-apps&gt;&lt;powerapps&gt;</t>
  </si>
  <si>
    <t>2020-05-18T10:36:51.387</t>
  </si>
  <si>
    <t>NotFoundError: Node.removeChild: The node to be removed is not a child of this node</t>
  </si>
  <si>
    <t>&lt;nodes&gt;&lt;sharepoint-online&gt;&lt;powerapps&gt;</t>
  </si>
  <si>
    <t>2020-05-20T03:52:59.690</t>
  </si>
  <si>
    <t>Getting "The table didn't load correctly" in PowerApps</t>
  </si>
  <si>
    <t>2020-05-21T02:35:52.160</t>
  </si>
  <si>
    <t>2020-05-20T09:15:16.877</t>
  </si>
  <si>
    <t>Looping through Excel datasource rows</t>
  </si>
  <si>
    <t>2020-05-20T12:02:19.213</t>
  </si>
  <si>
    <t>2020-05-20T14:34:32.307</t>
  </si>
  <si>
    <t>Power Apps. Is it possible to export text input field to specific cells in an excel document or generate an excel document based off inputs?</t>
  </si>
  <si>
    <t>2020-05-20T14:37:30.603</t>
  </si>
  <si>
    <t>&lt;excel&gt;&lt;office365&gt;&lt;powerapps&gt;</t>
  </si>
  <si>
    <t>2020-05-20T17:31:13.767</t>
  </si>
  <si>
    <t>Powerapps: cant get response value from ms flow</t>
  </si>
  <si>
    <t>2020-05-21T08:13:08.753</t>
  </si>
  <si>
    <t>2020-05-21T14:18:57.147</t>
  </si>
  <si>
    <t>!Blank on visible property of icon in gallery</t>
  </si>
  <si>
    <t>2020-05-22T03:47:06.797</t>
  </si>
  <si>
    <t>2020-05-21T16:40:03.663</t>
  </si>
  <si>
    <t>Power App authentication with Azure ADB2C</t>
  </si>
  <si>
    <t>2020-05-21T17:52:18.917</t>
  </si>
  <si>
    <t>&lt;azure&gt;&lt;azure-active-directory&gt;&lt;azure-ad-b2c&gt;&lt;powerapps&gt;&lt;powerapps-canvas&gt;</t>
  </si>
  <si>
    <t>2020-05-22T22:41:41.337</t>
  </si>
  <si>
    <t>Display date of a given weekday based on CalendarWeek</t>
  </si>
  <si>
    <t>2020-05-29T08:48:56.390</t>
  </si>
  <si>
    <t>2020-05-26T04:37:10.420</t>
  </si>
  <si>
    <t>Does user configuration flow across when CDS is added to the environment that has users configured and vice versa?</t>
  </si>
  <si>
    <t>&lt;azure&gt;&lt;powerapps&gt;&lt;power-platform&gt;</t>
  </si>
  <si>
    <t>2020-05-26T11:14:57.997</t>
  </si>
  <si>
    <t>PowerApps aggregation connection like Visio</t>
  </si>
  <si>
    <t>2020-05-26T11:52:44.200</t>
  </si>
  <si>
    <t>2020-05-27T07:15:20.490</t>
  </si>
  <si>
    <t>PowerApps: OneDrive folder sharing</t>
  </si>
  <si>
    <t>2020-05-28T06:48:54.457</t>
  </si>
  <si>
    <t>&lt;microsoft-dynamics&gt;&lt;onedrive&gt;&lt;powerapps&gt;&lt;power-automate&gt;</t>
  </si>
  <si>
    <t>2020-05-28T13:06:32.490</t>
  </si>
  <si>
    <t>PowerApps Azure Storage Connector Upload Zero Bytes</t>
  </si>
  <si>
    <t>&lt;azure-storage-blobs&gt;&lt;powerapps&gt;</t>
  </si>
  <si>
    <t>2020-05-28T20:44:53.660</t>
  </si>
  <si>
    <t>Reliability of Power Apps to Power Automate to SQL Server</t>
  </si>
  <si>
    <t>2020-05-28T20:45:38.047</t>
  </si>
  <si>
    <t>&lt;sql-server&gt;&lt;powerapps&gt;&lt;power-automate&gt;</t>
  </si>
  <si>
    <t>2020-05-29T03:01:07.510</t>
  </si>
  <si>
    <t>PowerApps SortBy - against lookup value</t>
  </si>
  <si>
    <t>2020-05-29T08:35:22.210</t>
  </si>
  <si>
    <t>2020-05-29T03:15:13.393</t>
  </si>
  <si>
    <t>Is it 'PowerApps' or 'Power Apps'?</t>
  </si>
  <si>
    <t>2020-05-29T16:02:28.893</t>
  </si>
  <si>
    <t>2020-05-29T03:49:27.967</t>
  </si>
  <si>
    <t>Fit Multiple fields in one row</t>
  </si>
  <si>
    <t>2020-05-29T13:47:44.577</t>
  </si>
  <si>
    <t>Sharepoint ID search in PowerApps</t>
  </si>
  <si>
    <t>&lt;sharepoint&gt;&lt;id&gt;&lt;powerapps&gt;</t>
  </si>
  <si>
    <t>2020-05-30T09:25:56.040</t>
  </si>
  <si>
    <t>How to manage SQL connections to a PowerApp between environments?</t>
  </si>
  <si>
    <t>&lt;powerapps&gt;&lt;power-platform&gt;</t>
  </si>
  <si>
    <t>2020-05-30T10:41:06.967</t>
  </si>
  <si>
    <t>Can nested LookUp be done?</t>
  </si>
  <si>
    <t>&lt;sharepoint&gt;&lt;nested&gt;&lt;max&gt;&lt;lookup&gt;&lt;powerapps&gt;</t>
  </si>
  <si>
    <t>2020-05-30T13:56:11.513</t>
  </si>
  <si>
    <t>How to read Environment Variables in a PowerApp?</t>
  </si>
  <si>
    <t>QuickBase</t>
  </si>
  <si>
    <t>2009-06-11T13:02:07.977</t>
  </si>
  <si>
    <t>Python QuickBase API Help</t>
  </si>
  <si>
    <t>2013-03-21T15:57:09.417</t>
  </si>
  <si>
    <t>&lt;python&gt;&lt;xml&gt;&lt;api&gt;&lt;post&gt;&lt;quickbase&gt;</t>
  </si>
  <si>
    <t>2009-06-11T14:33:47.367</t>
  </si>
  <si>
    <t>2012-01-28T00:26:17.567</t>
  </si>
  <si>
    <t>Using third-party SDK's for Objective-C in Xamarin?</t>
  </si>
  <si>
    <t>2013-12-05T09:45:16.090</t>
  </si>
  <si>
    <t>&lt;sdk&gt;&lt;quickbase&gt;</t>
  </si>
  <si>
    <t>2012-01-31T08:36:40.977</t>
  </si>
  <si>
    <t>How to work with quickbase queries</t>
  </si>
  <si>
    <t>2014-10-31T15:26:00.920</t>
  </si>
  <si>
    <t>&lt;php&gt;&lt;quickbase&gt;</t>
  </si>
  <si>
    <t>2012-02-04T07:29:54.663</t>
  </si>
  <si>
    <t>I have found this error while am adding data to quickbase database?</t>
  </si>
  <si>
    <t>2012-02-06T13:27:23.007</t>
  </si>
  <si>
    <t>&lt;quickbase&gt;</t>
  </si>
  <si>
    <t>2012-02-13T09:03:40.777</t>
  </si>
  <si>
    <t>How do i do the following task with quickbase?</t>
  </si>
  <si>
    <t>2012-03-12T15:59:08.427</t>
  </si>
  <si>
    <t>2012-03-06T17:24:38.263</t>
  </si>
  <si>
    <t>QuickBase Perl API: Not able to edit a Record</t>
  </si>
  <si>
    <t>2014-04-29T13:08:20.177</t>
  </si>
  <si>
    <t>&lt;perl&gt;&lt;quickbase&gt;</t>
  </si>
  <si>
    <t>2012-03-07T01:59:51.903</t>
  </si>
  <si>
    <t>2012-04-02T16:39:30.390</t>
  </si>
  <si>
    <t>Quickbase API returns data in CP1252 encoding but says it's returning UTF-8</t>
  </si>
  <si>
    <t>2012-04-02T17:00:43.000</t>
  </si>
  <si>
    <t>&lt;python&gt;&lt;xml&gt;&lt;api&gt;&lt;encoding&gt;&lt;quickbase&gt;</t>
  </si>
  <si>
    <t>2012-04-14T09:05:30.283</t>
  </si>
  <si>
    <t>how to add QuickBase a CodeIgniter</t>
  </si>
  <si>
    <t>2012-04-14T09:10:46.297</t>
  </si>
  <si>
    <t>&lt;codeigniter&gt;&lt;sdk&gt;&lt;quickbase&gt;</t>
  </si>
  <si>
    <t>2012-04-20T13:59:24.643</t>
  </si>
  <si>
    <t>Exporting tables from QuickBase</t>
  </si>
  <si>
    <t>user799910</t>
  </si>
  <si>
    <t>2016-09-25T20:43:17.207</t>
  </si>
  <si>
    <t>&lt;sql-server&gt;&lt;database&gt;&lt;quickbase&gt;</t>
  </si>
  <si>
    <t>2012-04-20T17:17:14.417</t>
  </si>
  <si>
    <t>2012-05-07T04:17:04.083</t>
  </si>
  <si>
    <t>How to get records from Quickbase in asp.net application?</t>
  </si>
  <si>
    <t>2012-08-21T13:25:53.727</t>
  </si>
  <si>
    <t>&lt;c#&gt;&lt;quickbase&gt;</t>
  </si>
  <si>
    <t>2012-08-21T12:31:50.367</t>
  </si>
  <si>
    <t>2012-05-11T19:52:08.757</t>
  </si>
  <si>
    <t>QuickBase jQuery/Ajax call puzzler</t>
  </si>
  <si>
    <t>2019-09-05T15:58:43.037</t>
  </si>
  <si>
    <t>&lt;jquery&gt;&lt;xml&gt;&lt;ajax&gt;&lt;quickbase&gt;</t>
  </si>
  <si>
    <t>2012-07-16T21:53:18.770</t>
  </si>
  <si>
    <t>Examples of Quickbase API in C#</t>
  </si>
  <si>
    <t>2013-09-25T05:13:46.010</t>
  </si>
  <si>
    <t>&lt;c#&gt;&lt;api&gt;&lt;quickbase&gt;</t>
  </si>
  <si>
    <t>2012-07-16T21:56:21.380</t>
  </si>
  <si>
    <t>2012-09-04T20:15:38.570</t>
  </si>
  <si>
    <t>Dynamic Div Height jQuery.Load() not working</t>
  </si>
  <si>
    <t>2012-09-05T17:35:37.610</t>
  </si>
  <si>
    <t>&lt;javascript&gt;&lt;jquery&gt;&lt;height&gt;&lt;quickbase&gt;</t>
  </si>
  <si>
    <t>2012-09-04T22:08:46.887</t>
  </si>
  <si>
    <t>2012-10-24T19:16:19.287</t>
  </si>
  <si>
    <t>Get last record ID from QB PHP wrapper Query</t>
  </si>
  <si>
    <t>2012-10-25T21:01:41.590</t>
  </si>
  <si>
    <t>&lt;php&gt;&lt;api&gt;&lt;quickbase&gt;</t>
  </si>
  <si>
    <t>2012-11-20T19:32:32.760</t>
  </si>
  <si>
    <t>Creating a javascript validation error</t>
  </si>
  <si>
    <t>2012-11-20T19:37:35.943</t>
  </si>
  <si>
    <t>&lt;javascript&gt;&lt;html&gt;&lt;quickbase&gt;</t>
  </si>
  <si>
    <t>2013-02-21T15:52:25.447</t>
  </si>
  <si>
    <t>Getting a dbid by table name</t>
  </si>
  <si>
    <t>2013-02-21T18:31:13.507</t>
  </si>
  <si>
    <t>2013-02-23T20:25:34.417</t>
  </si>
  <si>
    <t>xsd schema application to xml document?</t>
  </si>
  <si>
    <t>2013-02-24T02:45:31.663</t>
  </si>
  <si>
    <t>&lt;xml&gt;&lt;xslt&gt;&lt;mapping&gt;&lt;quickbase&gt;</t>
  </si>
  <si>
    <t>2013-07-30T22:33:37.343</t>
  </si>
  <si>
    <t>How To Populate Multidimensional Array with jQuery in QuickBase</t>
  </si>
  <si>
    <t>2013-07-31T01:01:39.157</t>
  </si>
  <si>
    <t>2013-07-31T10:21:10.180</t>
  </si>
  <si>
    <t>&lt;javascript&gt;&lt;jquery&gt;&lt;multidimensional-array&gt;&lt;quickbase&gt;</t>
  </si>
  <si>
    <t>2013-08-16T09:53:02.163</t>
  </si>
  <si>
    <t>How to set quickbase permissions to add records , Edit records</t>
  </si>
  <si>
    <t>2013-08-16T09:54:07.770</t>
  </si>
  <si>
    <t>2014-02-27T22:17:26.027</t>
  </si>
  <si>
    <t>&lt;php&gt;&lt;codeigniter&gt;&lt;quickbase&gt;</t>
  </si>
  <si>
    <t>2014-02-24T22:24:50.627</t>
  </si>
  <si>
    <t>2013-10-29T09:52:02.983</t>
  </si>
  <si>
    <t>Programatically determine the data size in bytes of a search operation</t>
  </si>
  <si>
    <t>2013-10-29T10:08:28.903</t>
  </si>
  <si>
    <t>2013-10-29T11:00:04.237</t>
  </si>
  <si>
    <t>&lt;php&gt;&lt;database&gt;&lt;quickbase&gt;</t>
  </si>
  <si>
    <t>2013-12-30T19:57:33.790</t>
  </si>
  <si>
    <t>How to upload a file using Quickbase API in C#?</t>
  </si>
  <si>
    <t>2014-05-21T10:24:27.433</t>
  </si>
  <si>
    <t>2015-07-13T13:55:04.253</t>
  </si>
  <si>
    <t>&lt;c#&gt;&lt;asp.net&gt;&lt;quickbase&gt;</t>
  </si>
  <si>
    <t>2014-01-14T19:34:15.813</t>
  </si>
  <si>
    <t>Problems running jQuery in Quickbase</t>
  </si>
  <si>
    <t>2014-12-10T00:02:47.940</t>
  </si>
  <si>
    <t>&lt;jquery&gt;&lt;quickbase&gt;</t>
  </si>
  <si>
    <t>2014-07-07T18:44:23.387</t>
  </si>
  <si>
    <t>populating Moustache.js template</t>
  </si>
  <si>
    <t>2014-07-07T19:13:56.483</t>
  </si>
  <si>
    <t>&lt;javascript&gt;&lt;json&gt;&lt;mustache&gt;&lt;quickbase&gt;</t>
  </si>
  <si>
    <t>2014-07-15T17:31:20.700</t>
  </si>
  <si>
    <t>Referencing js files from an html file in Quickbase</t>
  </si>
  <si>
    <t>2014-07-16T17:31:04.763</t>
  </si>
  <si>
    <t>&lt;javascript&gt;&lt;html&gt;&lt;flot&gt;&lt;quickbase&gt;</t>
  </si>
  <si>
    <t>2014-09-02T04:14:25.857</t>
  </si>
  <si>
    <t>How do I get the client name using jquery in a quickbase app?</t>
  </si>
  <si>
    <t>2014-09-02T05:10:07.110</t>
  </si>
  <si>
    <t>&lt;javascript&gt;&lt;jquery&gt;&lt;html&gt;&lt;input&gt;&lt;quickbase&gt;</t>
  </si>
  <si>
    <t>2014-10-06T23:56:15.060</t>
  </si>
  <si>
    <t>How do I take the string returned from gen_results_table in PHP SDK and convert it to a Javascript array?</t>
  </si>
  <si>
    <t>2014-10-07T00:57:37.307</t>
  </si>
  <si>
    <t>&lt;javascript&gt;&lt;php&gt;&lt;arrays&gt;&lt;string&gt;&lt;quickbase&gt;</t>
  </si>
  <si>
    <t>2014-10-29T22:54:19.160</t>
  </si>
  <si>
    <t>How to create an empty activerecord object in rails 4?</t>
  </si>
  <si>
    <t>2014-10-29T23:28:19.717</t>
  </si>
  <si>
    <t>&lt;activerecord&gt;&lt;ruby-on-rails-4&gt;&lt;quickbase&gt;</t>
  </si>
  <si>
    <t>2014-11-26T15:44:09.283</t>
  </si>
  <si>
    <t>Cannot Get Smarty Foreach with XML Results</t>
  </si>
  <si>
    <t>2014-11-26T16:03:26.030</t>
  </si>
  <si>
    <t>&lt;php&gt;&lt;xml&gt;&lt;foreach&gt;&lt;smarty&gt;&lt;quickbase&gt;</t>
  </si>
  <si>
    <t>2015-03-26T19:41:42.600</t>
  </si>
  <si>
    <t>QUICKBASE PHP SDK add_record returns blank response</t>
  </si>
  <si>
    <t>2015-03-26T19:56:12.980</t>
  </si>
  <si>
    <t>2015-07-09T21:27:50.980</t>
  </si>
  <si>
    <t>&lt;php&gt;&lt;sdk&gt;&lt;quickbase&gt;</t>
  </si>
  <si>
    <t>2015-04-01T09:14:16.523</t>
  </si>
  <si>
    <t>How can I retrieve,add data using Quickbase API and javascript</t>
  </si>
  <si>
    <t>2015-04-01T09:37:15.377</t>
  </si>
  <si>
    <t>2015-08-20T04:28:31.603</t>
  </si>
  <si>
    <t>&lt;javascript&gt;&lt;quickbase&gt;</t>
  </si>
  <si>
    <t>2015-04-06T06:53:54.793</t>
  </si>
  <si>
    <t>Sync data on two DB's</t>
  </si>
  <si>
    <t>2015-04-06T07:16:01.037</t>
  </si>
  <si>
    <t>&lt;mysql&gt;&lt;database&gt;&lt;ruby-on-rails-4&gt;&lt;activerecord&gt;&lt;quickbase&gt;</t>
  </si>
  <si>
    <t>2015-06-16T20:39:24.593</t>
  </si>
  <si>
    <t>How to make first option of &lt;select &gt; selected with Quickbase?</t>
  </si>
  <si>
    <t>2015-06-24T21:39:27.437</t>
  </si>
  <si>
    <t>2015-06-27T17:08:46.847</t>
  </si>
  <si>
    <t>Quickbase - Is there a way to copy the results from a field to the clipboard?</t>
  </si>
  <si>
    <t>2015-07-22T22:34:21.610</t>
  </si>
  <si>
    <t>&lt;api&gt;&lt;quickbase&gt;</t>
  </si>
  <si>
    <t>2015-07-13T14:55:51.000</t>
  </si>
  <si>
    <t>QuickBase foreach insert</t>
  </si>
  <si>
    <t>2015-07-13T15:23:37.803</t>
  </si>
  <si>
    <t>2015-07-17T17:47:12.667</t>
  </si>
  <si>
    <t>2015-07-30T13:57:59.463</t>
  </si>
  <si>
    <t>Create a script in Quickbase</t>
  </si>
  <si>
    <t>2017-04-14T17:44:46.800</t>
  </si>
  <si>
    <t>2015-08-16T23:32:57.873</t>
  </si>
  <si>
    <t>Image Onload - Quickbase</t>
  </si>
  <si>
    <t>2015-08-17T23:32:04.617</t>
  </si>
  <si>
    <t>&lt;javascript&gt;&lt;intuit-partner-platform&gt;&lt;intuit&gt;&lt;quickbase&gt;</t>
  </si>
  <si>
    <t>2015-09-14T18:03:32.647</t>
  </si>
  <si>
    <t>Quickbase delete_record</t>
  </si>
  <si>
    <t>2015-09-15T14:34:03.393</t>
  </si>
  <si>
    <t>2015-09-15T00:23:06.647</t>
  </si>
  <si>
    <t>2015-10-12T17:00:57.240</t>
  </si>
  <si>
    <t>How to access the moment object (from moment.js) from a QuickBase custom script</t>
  </si>
  <si>
    <t>2015-10-13T21:21:24.097</t>
  </si>
  <si>
    <t>&lt;momentjs&gt;&lt;getscript&gt;&lt;quickbase&gt;</t>
  </si>
  <si>
    <t>2015-12-11T16:43:13.667</t>
  </si>
  <si>
    <t>When there is no data on CSV, It is causing error. How can I avoid this error, Javascript</t>
  </si>
  <si>
    <t>user2848401</t>
  </si>
  <si>
    <t>2015-12-14T22:17:17.180</t>
  </si>
  <si>
    <t>&lt;javascript&gt;&lt;csv&gt;&lt;quickbase&gt;</t>
  </si>
  <si>
    <t>2016-03-09T14:53:30.180</t>
  </si>
  <si>
    <t>drop down list formula in Quickbase</t>
  </si>
  <si>
    <t>2016-03-09T15:38:56.240</t>
  </si>
  <si>
    <t>2016-03-25T22:42:10.453</t>
  </si>
  <si>
    <t>QuickBase: Load javascript file every time it searches in tables</t>
  </si>
  <si>
    <t>2016-04-20T22:56:14.260</t>
  </si>
  <si>
    <t>&lt;javascript&gt;&lt;jquery&gt;&lt;quickbase&gt;</t>
  </si>
  <si>
    <t>2016-04-18T12:14:59.813</t>
  </si>
  <si>
    <t>Maximum number of bytes in report exceeded Error while using API do_query in Quickbase</t>
  </si>
  <si>
    <t>2016-04-18T13:02:12.830</t>
  </si>
  <si>
    <t>2019-01-24T20:33:25.817</t>
  </si>
  <si>
    <t>2016-04-20T20:53:55.963</t>
  </si>
  <si>
    <t>2016-05-18T17:09:15.763</t>
  </si>
  <si>
    <t>QuickBase: download QuickBase files on external site</t>
  </si>
  <si>
    <t>2016-05-20T17:20:35.123</t>
  </si>
  <si>
    <t>2016-06-30T02:20:20.597</t>
  </si>
  <si>
    <t>Need assistance in my script in quickbase for Jquery</t>
  </si>
  <si>
    <t>2016-06-30T02:48:02.710</t>
  </si>
  <si>
    <t>2016-07-02T03:33:52.087</t>
  </si>
  <si>
    <t>&lt;javascript&gt;&lt;jquery&gt;&lt;html&gt;&lt;arrays&gt;&lt;quickbase&gt;</t>
  </si>
  <si>
    <t>2016-07-14T14:07:53.883</t>
  </si>
  <si>
    <t>Quickbase gantt chart Jquery change</t>
  </si>
  <si>
    <t>2016-07-14T22:26:23.783</t>
  </si>
  <si>
    <t>2016-07-14T17:23:27.547</t>
  </si>
  <si>
    <t>2016-07-18T21:37:26.977</t>
  </si>
  <si>
    <t>Verify SSL Certificate in Python on Windows 7 64 bit</t>
  </si>
  <si>
    <t>2016-07-22T17:23:23.673</t>
  </si>
  <si>
    <t>&lt;python&gt;&lt;api&gt;&lt;quickbase&gt;</t>
  </si>
  <si>
    <t>2016-07-18T21:53:02.697</t>
  </si>
  <si>
    <t>Quickbase Calendar Report - Colorize bar</t>
  </si>
  <si>
    <t>2016-07-19T16:53:58.763</t>
  </si>
  <si>
    <t>&lt;jquery&gt;&lt;css&gt;&lt;quickbase&gt;</t>
  </si>
  <si>
    <t>2016-07-22T17:47:11.477</t>
  </si>
  <si>
    <t>Quickbase module add_record() function—file upload parameters?</t>
  </si>
  <si>
    <t>2016-07-22T18:31:59.140</t>
  </si>
  <si>
    <t>2016-07-25T18:29:34.177</t>
  </si>
  <si>
    <t>2016-07-31T21:49:32.947</t>
  </si>
  <si>
    <t>How to use AWS S3 url setup credentials?</t>
  </si>
  <si>
    <t>2016-12-11T14:26:59.147</t>
  </si>
  <si>
    <t>&lt;javascript&gt;&lt;url&gt;&lt;amazon-s3&gt;&lt;quickbase&gt;</t>
  </si>
  <si>
    <t>2016-11-11T20:36:45.403</t>
  </si>
  <si>
    <t>Generating key name based on value passed to function</t>
  </si>
  <si>
    <t>2016-11-11T20:40:50.020</t>
  </si>
  <si>
    <t>2016-11-11T20:57:24.317</t>
  </si>
  <si>
    <t>&lt;javascript&gt;&lt;function&gt;&lt;quickbase&gt;</t>
  </si>
  <si>
    <t>2016-11-11T21:18:53.947</t>
  </si>
  <si>
    <t>2017-04-05T23:14:40.900</t>
  </si>
  <si>
    <t>Quickbase and Docusign</t>
  </si>
  <si>
    <t>2017-04-07T06:28:26.237</t>
  </si>
  <si>
    <t>&lt;docusignapi&gt;&lt;quickbase&gt;</t>
  </si>
  <si>
    <t>2017-04-13T20:24:37.297</t>
  </si>
  <si>
    <t>QuickBase: Creating multiple rows in another table based on the contents of a report</t>
  </si>
  <si>
    <t>2017-06-08T21:21:36.283</t>
  </si>
  <si>
    <t>2018-01-10T10:47:40.253</t>
  </si>
  <si>
    <t>How can I enumerate all the controls on a view?</t>
  </si>
  <si>
    <t>2018-03-26T01:38:41.317</t>
  </si>
  <si>
    <t>2018-02-21T19:23:38.940</t>
  </si>
  <si>
    <t>Is there a way to write a file to an FTP Server that uses SSL using R?</t>
  </si>
  <si>
    <t>2018-03-14T15:50:31.707</t>
  </si>
  <si>
    <t>&lt;r&gt;&lt;ssl&gt;&lt;rcurl&gt;&lt;ftps&gt;&lt;quickbase&gt;</t>
  </si>
  <si>
    <t>2018-07-15T22:32:28.890</t>
  </si>
  <si>
    <t>vlookup-like javascript to map input value from one field to another</t>
  </si>
  <si>
    <t>2018-07-15T22:58:44.260</t>
  </si>
  <si>
    <t>&lt;javascript&gt;&lt;html&gt;&lt;forms&gt;&lt;quickbase&gt;</t>
  </si>
  <si>
    <t>2018-07-15T22:51:21.350</t>
  </si>
  <si>
    <t>2018-08-15T19:58:44.253</t>
  </si>
  <si>
    <t>Connect to QuickBase REST API with Pentaho data integration</t>
  </si>
  <si>
    <t>&lt;rest&gt;&lt;pentaho-data-integration&gt;&lt;quickbase&gt;</t>
  </si>
  <si>
    <t>2018-11-06T10:34:38.313</t>
  </si>
  <si>
    <t>Automatic import Excel/CSV file from local pc to QuickBase without using third-party of quickbase</t>
  </si>
  <si>
    <t>2019-02-07T16:04:26.567</t>
  </si>
  <si>
    <t>How can I do an update import in Quick Base from a csv without importing null values?</t>
  </si>
  <si>
    <t>2019-04-09T16:48:16.337</t>
  </si>
  <si>
    <t>&lt;csv&gt;&lt;import&gt;&lt;quickbase&gt;</t>
  </si>
  <si>
    <t>2019-04-10T16:08:56.010</t>
  </si>
  <si>
    <t>Is there a way to use dynamic "mentions" in a rich text field using scripting in Quick Base?</t>
  </si>
  <si>
    <t>2019-05-09T12:18:08.360</t>
  </si>
  <si>
    <t>2019-05-08T14:31:27.407</t>
  </si>
  <si>
    <t>Quickbase usertoken to supersede current user credentials/permissions</t>
  </si>
  <si>
    <t>2019-05-09T12:12:53.560</t>
  </si>
  <si>
    <t>2019-05-10T13:36:40.553</t>
  </si>
  <si>
    <t>Why my html element is not shown in the following function</t>
  </si>
  <si>
    <t>2019-05-25T20:37:26.083</t>
  </si>
  <si>
    <t>&lt;javascript&gt;&lt;html&gt;&lt;function&gt;&lt;quickbase&gt;</t>
  </si>
  <si>
    <t>2019-07-13T05:15:08.200</t>
  </si>
  <si>
    <t>How can I calculate the average of maximums in QuickBase?</t>
  </si>
  <si>
    <t>2019-07-13T07:50:42.680</t>
  </si>
  <si>
    <t>2019-07-15T13:41:32.893</t>
  </si>
  <si>
    <t>2019-09-13T22:37:30.030</t>
  </si>
  <si>
    <t>Is there a way to create the type of line graph described below in QuickBase?</t>
  </si>
  <si>
    <t>2019-09-14T03:41:37.067</t>
  </si>
  <si>
    <t>&lt;visualization&gt;&lt;quickbase&gt;</t>
  </si>
  <si>
    <t>2019-09-14T03:33:41.903</t>
  </si>
  <si>
    <t>2019-09-17T14:57:24.293</t>
  </si>
  <si>
    <t>QuickBase AddRecord API Call</t>
  </si>
  <si>
    <t>2019-09-18T21:19:54.413</t>
  </si>
  <si>
    <t>&lt;xml&gt;&lt;postman&gt;&lt;quickbase&gt;</t>
  </si>
  <si>
    <t>2019-10-11T18:18:27.990</t>
  </si>
  <si>
    <t>Send and populate email through a button in Quickbase</t>
  </si>
  <si>
    <t>2019-10-12T22:18:36.733</t>
  </si>
  <si>
    <t>&lt;email&gt;&lt;url&gt;&lt;quickbase&gt;</t>
  </si>
  <si>
    <t>2020-04-30T19:11:06.030</t>
  </si>
  <si>
    <t>Is there a way to concatenate across rows and columns in QuickBase?</t>
  </si>
  <si>
    <t>2020-05-01T11:46:56.453</t>
  </si>
  <si>
    <t>2020-05-20T00:15:39.967</t>
  </si>
  <si>
    <t>Fetch Parent &amp; Child records Quickbase API_DoQuery</t>
  </si>
  <si>
    <t>2020-05-21T23:47:37.987</t>
  </si>
  <si>
    <t>2020-05-20T18:12:30.650</t>
  </si>
  <si>
    <t>Salesforce</t>
  </si>
  <si>
    <t>2009-02-12T23:48:51.290</t>
  </si>
  <si>
    <t>Create lightning in OpenGL ES 1.1</t>
  </si>
  <si>
    <t>EToreo</t>
  </si>
  <si>
    <t>2017-05-23T12:19:40.327</t>
  </si>
  <si>
    <t>2010-07-24T12:49:15.587</t>
  </si>
  <si>
    <t>&lt;iphone&gt;&lt;animation&gt;&lt;opengl-es&gt;&lt;lightning&gt;</t>
  </si>
  <si>
    <t>2010-04-02T11:32:27.337</t>
  </si>
  <si>
    <t>SlimDX: Lightning problem with Direct3D9</t>
  </si>
  <si>
    <t>2011-01-10T21:41:32.630</t>
  </si>
  <si>
    <t>&lt;slimdx&gt;&lt;lightning&gt;</t>
  </si>
  <si>
    <t>2010-04-10T22:58:51.427</t>
  </si>
  <si>
    <t>Lightning effect in opengl es</t>
  </si>
  <si>
    <t>2010-04-11T02:12:11.310</t>
  </si>
  <si>
    <t>2010-07-25T09:02:15.153</t>
  </si>
  <si>
    <t>&lt;iphone&gt;&lt;opengl-es&gt;&lt;lightning&gt;</t>
  </si>
  <si>
    <t>2010-08-26T19:56:54.023</t>
  </si>
  <si>
    <t>How does one make a point to point "bolt" of lightning using perlin noise or other algorithm?</t>
  </si>
  <si>
    <t>2010-09-12T23:29:54.090</t>
  </si>
  <si>
    <t>&lt;recursion&gt;&lt;pseudocode&gt;&lt;procedural-generation&gt;&lt;lightning&gt;</t>
  </si>
  <si>
    <t>2010-09-08T05:24:37.073</t>
  </si>
  <si>
    <t>2011-07-05T09:11:18.327</t>
  </si>
  <si>
    <t>How to create custom reminders in lighning with javascript?</t>
  </si>
  <si>
    <t>2017-11-01T11:31:09.247</t>
  </si>
  <si>
    <t>&lt;javascript&gt;&lt;thunderbird&gt;&lt;lightning&gt;</t>
  </si>
  <si>
    <t>2011-07-06T09:07:42.663</t>
  </si>
  <si>
    <t>2011-07-11T02:24:08.440</t>
  </si>
  <si>
    <t>How to get todos from Thunderbird/Lightning calendars?</t>
  </si>
  <si>
    <t>2017-11-01T11:30:07.433</t>
  </si>
  <si>
    <t>&lt;thunderbird&gt;&lt;lightning&gt;</t>
  </si>
  <si>
    <t>2011-07-11T19:32:16.727</t>
  </si>
  <si>
    <t>2011-08-13T05:48:25.313</t>
  </si>
  <si>
    <t>How to retrieve FeedComment using Chatter SalesForce WSDL service in C#</t>
  </si>
  <si>
    <t>2011-10-31T11:43:34.820</t>
  </si>
  <si>
    <t>&lt;c#&gt;&lt;asp.net&gt;&lt;wsdl&gt;&lt;salesforce&gt;&lt;salesforce-chatter&gt;</t>
  </si>
  <si>
    <t>2011-08-14T03:44:43.607</t>
  </si>
  <si>
    <t>2011-09-05T04:54:28.347</t>
  </si>
  <si>
    <t>File Upload using Chatter REST API</t>
  </si>
  <si>
    <t>2011-09-05T07:08:16.427</t>
  </si>
  <si>
    <t>2011-09-05T07:20:23.260</t>
  </si>
  <si>
    <t>&lt;c#&gt;&lt;rest&gt;&lt;salesforce&gt;&lt;salesforce-chatter&gt;</t>
  </si>
  <si>
    <t>2011-09-12T05:27:53.827</t>
  </si>
  <si>
    <t>How to post a new thread and new comments to a current thread in iOS to Salesforce's Chatter feed</t>
  </si>
  <si>
    <t>2012-01-31T05:25:23.000</t>
  </si>
  <si>
    <t>&lt;api&gt;&lt;new-operator&gt;&lt;comments&gt;&lt;salesforce-chatter&gt;</t>
  </si>
  <si>
    <t>2011-10-08T20:53:54.670</t>
  </si>
  <si>
    <t>Salesforce Oauth 2.0 Authorization screen</t>
  </si>
  <si>
    <t>2011-10-09T17:03:47.610</t>
  </si>
  <si>
    <t>&lt;salesforce&gt;&lt;salesforce-chatter&gt;</t>
  </si>
  <si>
    <t>2011-10-08T21:31:10.420</t>
  </si>
  <si>
    <t>2011-10-20T17:11:39.213</t>
  </si>
  <si>
    <t>Can I mention a group of users on a Salesforce Chatter post?</t>
  </si>
  <si>
    <t>2013-10-04T09:23:58.417</t>
  </si>
  <si>
    <t>2011-10-20T18:25:44.763</t>
  </si>
  <si>
    <t>2011-11-07T18:11:53.253</t>
  </si>
  <si>
    <t>Salesforce apex - how to determine if a field is set to be tracked in Chatter?</t>
  </si>
  <si>
    <t>2012-08-23T23:33:07.003</t>
  </si>
  <si>
    <t>2011-11-09T15:17:00.533</t>
  </si>
  <si>
    <t>How to add Search layouts in Salesforce package</t>
  </si>
  <si>
    <t>2011-12-15T11:04:54.223</t>
  </si>
  <si>
    <t>&lt;salesforce&gt;&lt;apex-code&gt;&lt;salesforce-chatter&gt;</t>
  </si>
  <si>
    <t>2011-12-08T11:57:06.970</t>
  </si>
  <si>
    <t>Chatter : getDeleted EntitySubscription and FeedLike</t>
  </si>
  <si>
    <t>2011-12-08T15:58:36.403</t>
  </si>
  <si>
    <t>2011-12-08T11:59:06.157</t>
  </si>
  <si>
    <t>Chatter : SOQL for fetching CommentLikes</t>
  </si>
  <si>
    <t>2011-12-14T23:25:35.443</t>
  </si>
  <si>
    <t>2011-12-27T03:44:13.923</t>
  </si>
  <si>
    <t>Rendering realistic electric lightning using OpenGl</t>
  </si>
  <si>
    <t>2011-12-27T05:45:18.653</t>
  </si>
  <si>
    <t>2011-12-27T10:48:25.883</t>
  </si>
  <si>
    <t>&lt;opengl-es&gt;&lt;line&gt;&lt;real-time&gt;&lt;lightning&gt;</t>
  </si>
  <si>
    <t>2011-12-28T15:22:33.853</t>
  </si>
  <si>
    <t>Detect Whether User Is Running Sales Or Service Cloud On Salesforce</t>
  </si>
  <si>
    <t>2011-12-30T21:28:58.477</t>
  </si>
  <si>
    <t>&lt;salesforce&gt;&lt;salesforce-service-cloud&gt;</t>
  </si>
  <si>
    <t>2012-01-29T15:19:34.733</t>
  </si>
  <si>
    <t>OAuth lib for Chrome Extensions and Salesforce API</t>
  </si>
  <si>
    <t>2012-02-13T17:43:58.493</t>
  </si>
  <si>
    <t>&lt;google-chrome&gt;&lt;oauth&gt;&lt;google-chrome-extension&gt;&lt;salesforce&gt;&lt;salesforce-chatter&gt;</t>
  </si>
  <si>
    <t>2012-02-06T23:39:42.200</t>
  </si>
  <si>
    <t>SOQL - Querying for a list of users the current user is following</t>
  </si>
  <si>
    <t>2012-02-06T23:48:50.243</t>
  </si>
  <si>
    <t>&lt;salesforce&gt;&lt;apex-code&gt;&lt;soql&gt;&lt;salesforce-chatter&gt;</t>
  </si>
  <si>
    <t>2012-02-08T04:20:30.750</t>
  </si>
  <si>
    <t>Salesforce-Cross Object Field</t>
  </si>
  <si>
    <t>2012-02-08T08:40:28.067</t>
  </si>
  <si>
    <t>&lt;salesforce&gt;&lt;apex-code&gt;&lt;visualforce&gt;&lt;salesforce-service-cloud&gt;</t>
  </si>
  <si>
    <t>2012-03-19T08:00:39.270</t>
  </si>
  <si>
    <t>new line character in product description</t>
  </si>
  <si>
    <t>2012-03-19T15:02:07.950</t>
  </si>
  <si>
    <t>2012-03-21T10:33:17.680</t>
  </si>
  <si>
    <t>how to enable files api in salesforce integration project?</t>
  </si>
  <si>
    <t>user1217885</t>
  </si>
  <si>
    <t>2012-03-26T07:01:37.343</t>
  </si>
  <si>
    <t>2012-03-22T10:02:23.790</t>
  </si>
  <si>
    <t>2012-04-16T08:36:18.553</t>
  </si>
  <si>
    <t>salesforce rest api</t>
  </si>
  <si>
    <t>2012-04-16T09:32:02.243</t>
  </si>
  <si>
    <t>2019-09-25T23:27:34.187</t>
  </si>
  <si>
    <t>&lt;salesforce&gt;&lt;salesforce-chatter&gt;&lt;salesforce-service-cloud&gt;</t>
  </si>
  <si>
    <t>2012-04-20T19:26:05.727</t>
  </si>
  <si>
    <t>2012-04-18T18:06:42.640</t>
  </si>
  <si>
    <t>Can I add a custom widget to Salesforce Service Cloud Console?</t>
  </si>
  <si>
    <t>2018-06-28T16:29:35.387</t>
  </si>
  <si>
    <t>2012-05-14T15:57:11.677</t>
  </si>
  <si>
    <t>Salesforce API Requests number keeps increasing</t>
  </si>
  <si>
    <t>2012-05-14T16:49:21.190</t>
  </si>
  <si>
    <t>2012-05-25T21:42:25.787</t>
  </si>
  <si>
    <t>add new section to lead to call api depending on the lead url</t>
  </si>
  <si>
    <t>2012-05-26T01:13:15.483</t>
  </si>
  <si>
    <t>2012-05-27T13:03:09.080</t>
  </si>
  <si>
    <t>Light Rendering Results in Low FPS</t>
  </si>
  <si>
    <t>2012-05-28T18:40:35.477</t>
  </si>
  <si>
    <t>2012-05-28T22:10:04.577</t>
  </si>
  <si>
    <t>&lt;c#&gt;&lt;xna&gt;&lt;rendering&gt;&lt;lightning&gt;</t>
  </si>
  <si>
    <t>2012-05-28T22:03:04.783</t>
  </si>
  <si>
    <t>2012-06-05T14:14:21.447</t>
  </si>
  <si>
    <t>put a page break when specific chracter found in visual force</t>
  </si>
  <si>
    <t>2014-06-25T13:28:29.360</t>
  </si>
  <si>
    <t>2012-06-16T15:56:56.363</t>
  </si>
  <si>
    <t>Create a Login screen via SalesForce</t>
  </si>
  <si>
    <t>2012-08-20T20:23:09.040</t>
  </si>
  <si>
    <t>2012-08-21T11:43:17.347</t>
  </si>
  <si>
    <t>2012-06-19T05:03:16.320</t>
  </si>
  <si>
    <t>2012-06-28T15:41:56.273</t>
  </si>
  <si>
    <t>Automating Salesforce Security Checks</t>
  </si>
  <si>
    <t>2012-06-29T12:13:13.130</t>
  </si>
  <si>
    <t>2012-07-03T07:05:48.493</t>
  </si>
  <si>
    <t>Salesforce Milestone Not Reached On Approval Process Action</t>
  </si>
  <si>
    <t>2015-03-12T11:59:57.627</t>
  </si>
  <si>
    <t>&lt;salesforce&gt;&lt;salesforce-service-cloud&gt;&lt;milestone&gt;</t>
  </si>
  <si>
    <t>2012-07-05T09:01:53.377</t>
  </si>
  <si>
    <t>2012-07-03T18:10:05.373</t>
  </si>
  <si>
    <t>Audit of what records a given user can see in SalesForce.com</t>
  </si>
  <si>
    <t>2012-08-01T23:18:26.397</t>
  </si>
  <si>
    <t>&lt;salesforce&gt;&lt;soql&gt;&lt;salesforce-service-cloud&gt;</t>
  </si>
  <si>
    <t>2012-07-12T07:23:59.290</t>
  </si>
  <si>
    <t>Sales force chatter trigger</t>
  </si>
  <si>
    <t>2012-07-18T06:39:56.700</t>
  </si>
  <si>
    <t>2012-07-28T06:49:55.540</t>
  </si>
  <si>
    <t>Embedding client Id in chrome extension</t>
  </si>
  <si>
    <t>2012-07-28T12:05:47.757</t>
  </si>
  <si>
    <t>2013-08-20T20:46:45.820</t>
  </si>
  <si>
    <t>&lt;oauth&gt;&lt;google-chrome-extension&gt;&lt;salesforce&gt;&lt;oauth-2.0&gt;&lt;salesforce-chatter&gt;</t>
  </si>
  <si>
    <t>2012-08-06T13:48:41.047</t>
  </si>
  <si>
    <t>2012-07-30T09:44:55.177</t>
  </si>
  <si>
    <t>Retrieving the changes happened in the posts liked by user - Salesforce chatter</t>
  </si>
  <si>
    <t>2012-07-30T12:34:55.280</t>
  </si>
  <si>
    <t>2012-08-18T16:38:37.527</t>
  </si>
  <si>
    <t>post to chatter from javascript</t>
  </si>
  <si>
    <t>2013-02-08T20:32:16.593</t>
  </si>
  <si>
    <t>&lt;javascript&gt;&lt;rest&gt;&lt;salesforce&gt;&lt;salesforce-chatter&gt;</t>
  </si>
  <si>
    <t>2012-08-19T17:48:28.463</t>
  </si>
  <si>
    <t>consume salesforce chatter rest service from pure javascript</t>
  </si>
  <si>
    <t>2018-04-18T07:30:56.193</t>
  </si>
  <si>
    <t>&lt;javascript&gt;&lt;rest&gt;&lt;salesforce&gt;&lt;same-origin-policy&gt;&lt;salesforce-chatter&gt;</t>
  </si>
  <si>
    <t>2014-02-26T10:42:12.760</t>
  </si>
  <si>
    <t>2012-09-20T00:12:35.500</t>
  </si>
  <si>
    <t>AFNetworking (400 error on POST)</t>
  </si>
  <si>
    <t>2012-11-10T17:57:12.193</t>
  </si>
  <si>
    <t>&lt;ios&gt;&lt;afnetworking&gt;&lt;force.com&gt;&lt;salesforce-chatter&gt;</t>
  </si>
  <si>
    <t>2012-10-04T14:06:25.510</t>
  </si>
  <si>
    <t>Salesforce: Create timer on objects - is it possible?</t>
  </si>
  <si>
    <t>2012-10-04T15:10:43.267</t>
  </si>
  <si>
    <t>2012-11-15T07:40:45.673</t>
  </si>
  <si>
    <t>Create a web service in java to receive outbound message in salesforce</t>
  </si>
  <si>
    <t>2012-12-07T17:16:58.973</t>
  </si>
  <si>
    <t>Apex - Salesforce.com - I need help writing an APEX class to test my working trigger - Chatter - Monitor specific keywords</t>
  </si>
  <si>
    <t>2012-12-07T20:19:56.080</t>
  </si>
  <si>
    <t>&lt;class&gt;&lt;triggers&gt;&lt;salesforce&gt;&lt;salesforce-chatter&gt;</t>
  </si>
  <si>
    <t>2012-12-07T20:19:39.747</t>
  </si>
  <si>
    <t>2012-12-18T09:20:47.080</t>
  </si>
  <si>
    <t>Generate multiple PDF automatically from salesforce. Avoid getContent()</t>
  </si>
  <si>
    <t>2017-05-23T11:54:13.723</t>
  </si>
  <si>
    <t>2013-03-25T10:20:55.243</t>
  </si>
  <si>
    <t>&lt;web-services&gt;&lt;salesforce&gt;&lt;apex-code&gt;&lt;visualforce&gt;&lt;salesforce-service-cloud&gt;</t>
  </si>
  <si>
    <t>2012-12-21T13:25:37.527</t>
  </si>
  <si>
    <t>What is app in salesforce</t>
  </si>
  <si>
    <t>2019-07-14T16:15:04.550</t>
  </si>
  <si>
    <t>2012-12-21T15:49:18.357</t>
  </si>
  <si>
    <t>2012-12-22T09:43:09.770</t>
  </si>
  <si>
    <t>Unable to synchronize resource src to server:ClassCastException</t>
  </si>
  <si>
    <t>2013-12-09T12:39:45.757</t>
  </si>
  <si>
    <t>2012-12-22T16:03:42.303</t>
  </si>
  <si>
    <t>2013-01-11T15:52:47.170</t>
  </si>
  <si>
    <t>Core understanding f what salesforce is</t>
  </si>
  <si>
    <t>2013-01-11T16:02:07.373</t>
  </si>
  <si>
    <t>2013-01-23T19:11:30.333</t>
  </si>
  <si>
    <t>editing autofollow with salesforce chatter</t>
  </si>
  <si>
    <t>2013-01-24T10:48:39.090</t>
  </si>
  <si>
    <t>2013-01-25T21:35:44.950</t>
  </si>
  <si>
    <t>Can Lightning calendars be created with thunderbird.cfg?</t>
  </si>
  <si>
    <t>2013-03-15T09:14:42.137</t>
  </si>
  <si>
    <t>&lt;thunderbird&gt;&lt;lightning&gt;&lt;thunderbird-lightning&gt;</t>
  </si>
  <si>
    <t>2013-01-31T20:41:32.650</t>
  </si>
  <si>
    <t>Installing Salesforce apps via code</t>
  </si>
  <si>
    <t>2013-01-31T21:17:17.443</t>
  </si>
  <si>
    <t>2013-02-04T00:47:03.823</t>
  </si>
  <si>
    <t>&lt;salesforce&gt;&lt;force.com&gt;&lt;salesforce-service-cloud&gt;</t>
  </si>
  <si>
    <t>2013-02-16T04:46:19.833</t>
  </si>
  <si>
    <t>which value should pass to Lookup Relationship field?</t>
  </si>
  <si>
    <t>2013-02-16T08:18:28.660</t>
  </si>
  <si>
    <t>&lt;salesforce&gt;&lt;apex-code&gt;&lt;salesforce-service-cloud&gt;&lt;salesforce-chatter&gt;</t>
  </si>
  <si>
    <t>2013-03-06T04:50:31.763</t>
  </si>
  <si>
    <t>Company-wide chatter access through REST api</t>
  </si>
  <si>
    <t>2013-03-06T05:53:39.973</t>
  </si>
  <si>
    <t>2013-03-22T22:26:52.543</t>
  </si>
  <si>
    <t>SOQL Query not bringing back parent with no comments</t>
  </si>
  <si>
    <t>2013-03-22T22:52:20.443</t>
  </si>
  <si>
    <t>2013-05-30T05:31:34.693</t>
  </si>
  <si>
    <t>&lt;soap&gt;&lt;salesforce&gt;&lt;soql&gt;&lt;salesforce-chatter&gt;</t>
  </si>
  <si>
    <t>2013-04-10T07:36:43.997</t>
  </si>
  <si>
    <t>upload a file to salesforce using connector</t>
  </si>
  <si>
    <t>2013-04-10T08:43:28.060</t>
  </si>
  <si>
    <t>2016-12-07T16:21:16.123</t>
  </si>
  <si>
    <t>&lt;java&gt;&lt;web-services&gt;&lt;salesforce&gt;&lt;mule&gt;&lt;salesforce-service-cloud&gt;</t>
  </si>
  <si>
    <t>2013-04-10T09:21:06.653</t>
  </si>
  <si>
    <t>2013-04-16T19:35:54.773</t>
  </si>
  <si>
    <t>Thunderbird with lightning not reading valid ics file</t>
  </si>
  <si>
    <t>2013-04-17T11:39:07.733</t>
  </si>
  <si>
    <t>&lt;icalendar&gt;&lt;thunderbird&gt;&lt;lightning&gt;</t>
  </si>
  <si>
    <t>2013-05-08T10:09:41.560</t>
  </si>
  <si>
    <t>How to pass values from multiple selectlists in same VF containing similar list data to Apex extension using a single variable/array</t>
  </si>
  <si>
    <t>2013-05-08T11:15:15.753</t>
  </si>
  <si>
    <t>2013-05-15T10:57:52.730</t>
  </si>
  <si>
    <t>Are we able to modify the chatter digest content?</t>
  </si>
  <si>
    <t>2013-05-15T16:16:42.120</t>
  </si>
  <si>
    <t>2013-05-15T14:05:47.953</t>
  </si>
  <si>
    <t>iCalendar creation: RFC 5546 explanation</t>
  </si>
  <si>
    <t>2013-05-17T06:46:50.297</t>
  </si>
  <si>
    <t>&lt;ios5&gt;&lt;outlook&gt;&lt;google-calendar-api&gt;&lt;icalendar&gt;&lt;lightning&gt;</t>
  </si>
  <si>
    <t>2013-05-17T20:06:41.687</t>
  </si>
  <si>
    <t>javascript to check string in this format</t>
  </si>
  <si>
    <t>2017-10-21T05:56:42.610</t>
  </si>
  <si>
    <t>&lt;javascript&gt;&lt;salesforce&gt;&lt;apex-code&gt;&lt;visualforce&gt;&lt;salesforce-service-cloud&gt;</t>
  </si>
  <si>
    <t>2013-05-17T20:16:07.547</t>
  </si>
  <si>
    <t>2013-06-05T01:37:19.400</t>
  </si>
  <si>
    <t>Override standard buttons in salesforce service cloud console</t>
  </si>
  <si>
    <t>2013-06-05T01:55:22.823</t>
  </si>
  <si>
    <t>2013-06-05T07:16:33.960</t>
  </si>
  <si>
    <t>2013-06-05T10:03:44.490</t>
  </si>
  <si>
    <t>Synchronize offline records from salesforce iPhone native app to salesforce (Using smartstore)</t>
  </si>
  <si>
    <t>2013-06-05T10:25:26.497</t>
  </si>
  <si>
    <t>2013-06-05T11:21:47.537</t>
  </si>
  <si>
    <t>&lt;iphone&gt;&lt;ios&gt;&lt;mobile&gt;&lt;salesforce&gt;&lt;salesforce-service-cloud&gt;</t>
  </si>
  <si>
    <t>2013-06-05T14:20:57.713</t>
  </si>
  <si>
    <t>How to Create a read-only group in SalesForce</t>
  </si>
  <si>
    <t>2015-12-21T10:07:50.147</t>
  </si>
  <si>
    <t>2013-06-07T13:36:49.527</t>
  </si>
  <si>
    <t>2013-06-08T11:49:07.533</t>
  </si>
  <si>
    <t>Make HLSL lightning effect fade out per distance</t>
  </si>
  <si>
    <t>&lt;fade&gt;&lt;hlsl&gt;&lt;effect&gt;&lt;flashlight&gt;&lt;lightning&gt;</t>
  </si>
  <si>
    <t>2013-06-26T07:09:32.357</t>
  </si>
  <si>
    <t>Can't Access salesforce Attachments raw/binary data in iphone</t>
  </si>
  <si>
    <t>2013-06-26T07:13:21.210</t>
  </si>
  <si>
    <t>2013-07-11T11:59:07.127</t>
  </si>
  <si>
    <t>&lt;iphone&gt;&lt;ios&gt;&lt;salesforce&gt;&lt;native&gt;&lt;salesforce-service-cloud&gt;</t>
  </si>
  <si>
    <t>2013-06-30T11:04:44.633</t>
  </si>
  <si>
    <t>How much Maximum Data we can store in a File in salesforce</t>
  </si>
  <si>
    <t>2014-06-04T09:22:11.990</t>
  </si>
  <si>
    <t>&lt;salesforce&gt;&lt;apex-code&gt;&lt;visualforce&gt;&lt;soql&gt;&lt;salesforce-service-cloud&gt;</t>
  </si>
  <si>
    <t>2013-07-10T16:22:26.610</t>
  </si>
  <si>
    <t>How do I get a Security Token? ... Chatter Free Salesforce User - PE w/ API</t>
  </si>
  <si>
    <t>2013-07-10T17:00:33.923</t>
  </si>
  <si>
    <t>2013-09-11T17:30:38.970</t>
  </si>
  <si>
    <t>&lt;c#&gt;&lt;salesforce&gt;&lt;salesforce-chatter&gt;</t>
  </si>
  <si>
    <t>2013-07-20T03:30:40.917</t>
  </si>
  <si>
    <t>System.DmlException: Update failed. first error: INVALID_CROSS_REFERENCE_KEY,</t>
  </si>
  <si>
    <t>2013-07-20T06:50:37.397</t>
  </si>
  <si>
    <t>2013-07-24T18:01:28.377</t>
  </si>
  <si>
    <t>2013-07-23T05:01:38.060</t>
  </si>
  <si>
    <t>Android-SalesforceSDK By Pass oAuth login</t>
  </si>
  <si>
    <t>&lt;android&gt;&lt;mobile&gt;&lt;salesforce&gt;&lt;salesforce-service-cloud&gt;</t>
  </si>
  <si>
    <t>2013-07-26T16:33:43.633</t>
  </si>
  <si>
    <t>Can't Connect to SalesForce in C#</t>
  </si>
  <si>
    <t>2018-05-30T15:10:45.597</t>
  </si>
  <si>
    <t>&lt;c#&gt;&lt;api&gt;&lt;salesforce&gt;&lt;salesforce-service-cloud&gt;</t>
  </si>
  <si>
    <t>2013-07-26T16:53:27.923</t>
  </si>
  <si>
    <t>2013-07-29T14:40:38.760</t>
  </si>
  <si>
    <t>Error in getting salesforce attachment Blob in iOS?</t>
  </si>
  <si>
    <t>2014-10-17T05:07:08.700</t>
  </si>
  <si>
    <t>&lt;iphone&gt;&lt;ios&gt;&lt;objective-c&gt;&lt;salesforce&gt;&lt;salesforce-service-cloud&gt;</t>
  </si>
  <si>
    <t>2013-07-29T21:39:20.663</t>
  </si>
  <si>
    <t>Apex - Test class adding Chatter Free users</t>
  </si>
  <si>
    <t>2013-07-30T02:53:07.730</t>
  </si>
  <si>
    <t>2013-07-30T03:07:11.037</t>
  </si>
  <si>
    <t>&lt;class&gt;&lt;triggers&gt;&lt;salesforce&gt;&lt;apex-code&gt;&lt;salesforce-chatter&gt;</t>
  </si>
  <si>
    <t>2013-07-31T11:38:32.283</t>
  </si>
  <si>
    <t>Accessing Chatter API using JavaScript (same origin issue)?</t>
  </si>
  <si>
    <t>2016-07-13T18:30:46.393</t>
  </si>
  <si>
    <t>&lt;javascript&gt;&lt;api&gt;&lt;salesforce&gt;&lt;same-origin-policy&gt;&lt;salesforce-chatter&gt;</t>
  </si>
  <si>
    <t>2013-08-04T09:04:58.087</t>
  </si>
  <si>
    <t>Salesforce is not creating lead and it doesn't return Lead Id</t>
  </si>
  <si>
    <t>2013-08-04T11:14:54.677</t>
  </si>
  <si>
    <t>2013-08-05T10:17:41.883</t>
  </si>
  <si>
    <t>&lt;android&gt;&lt;google-chrome&gt;&lt;salesforce&gt;&lt;http-post&gt;&lt;salesforce-service-cloud&gt;</t>
  </si>
  <si>
    <t>2013-08-07T11:58:35.983</t>
  </si>
  <si>
    <t>Passing data to Open CTI softphone from Salesforce</t>
  </si>
  <si>
    <t>2014-04-23T13:33:29.970</t>
  </si>
  <si>
    <t>2013-08-21T21:46:51.007</t>
  </si>
  <si>
    <t>Error: Compile Error: Method does not exist or incorrect signature: ConnectApi.BinaryInput</t>
  </si>
  <si>
    <t>2013-08-22T04:42:47.437</t>
  </si>
  <si>
    <t>2013-08-22T04:38:53.213</t>
  </si>
  <si>
    <t>2013-08-26T09:01:36.313</t>
  </si>
  <si>
    <t>row from datatable does not updated in salesforce</t>
  </si>
  <si>
    <t>2013-08-26T09:22:54.793</t>
  </si>
  <si>
    <t>2013-08-27T23:19:26.497</t>
  </si>
  <si>
    <t>2013-08-26T16:31:53.313</t>
  </si>
  <si>
    <t>2013-09-02T20:22:25.970</t>
  </si>
  <si>
    <t>Chatter Moderator User Security Token</t>
  </si>
  <si>
    <t>2013-09-03T21:49:06.277</t>
  </si>
  <si>
    <t>&lt;salesforce&gt;&lt;salesforce-service-cloud&gt;&lt;salesforce-chatter&gt;</t>
  </si>
  <si>
    <t>2013-09-21T14:26:07.773</t>
  </si>
  <si>
    <t>User Object is not Showing in Master Detail Relationship</t>
  </si>
  <si>
    <t>2013-09-21T14:31:29.470</t>
  </si>
  <si>
    <t>2013-09-21T16:35:01.867</t>
  </si>
  <si>
    <t>2013-10-01T09:14:44.623</t>
  </si>
  <si>
    <t>Salesforce licenses</t>
  </si>
  <si>
    <t>2018-04-20T06:56:33.647</t>
  </si>
  <si>
    <t>&lt;salesforce&gt;&lt;force.com&gt;&lt;salesforce-service-cloud&gt;&lt;salesforce-chatter&gt;</t>
  </si>
  <si>
    <t>2013-10-07T11:24:14.277</t>
  </si>
  <si>
    <t>How to interact Users(input form data) Using Salesforce Sites into the SalesForce Application(to Custom objects)</t>
  </si>
  <si>
    <t>2013-10-07T11:47:34.880</t>
  </si>
  <si>
    <t>2013-11-06T14:18:22.990</t>
  </si>
  <si>
    <t>&lt;salesforce&gt;&lt;apex-code&gt;&lt;visualforce&gt;&lt;force.com&gt;&lt;salesforce-service-cloud&gt;</t>
  </si>
  <si>
    <t>2013-10-10T08:10:14.440</t>
  </si>
  <si>
    <t>Query image from SalesForce as blob</t>
  </si>
  <si>
    <t>2013-10-10T21:05:59.113</t>
  </si>
  <si>
    <t>&lt;javascript&gt;&lt;rest&gt;&lt;salesforce&gt;&lt;salesforce-service-cloud&gt;</t>
  </si>
  <si>
    <t>2013-10-17T23:11:14.357</t>
  </si>
  <si>
    <t>Written Very Basic APEX Class, How Can my Customers get to access it?</t>
  </si>
  <si>
    <t>2014-06-10T03:58:11.113</t>
  </si>
  <si>
    <t>&lt;salesforce&gt;&lt;apex-code&gt;&lt;salesforce-service-cloud&gt;&lt;apex&gt;</t>
  </si>
  <si>
    <t>2013-10-20T14:23:45.040</t>
  </si>
  <si>
    <t>Unable to run Chatter api ios sample</t>
  </si>
  <si>
    <t>2013-10-21T09:28:30.210</t>
  </si>
  <si>
    <t>2013-10-22T13:30:18.287</t>
  </si>
  <si>
    <t>&lt;ios5&gt;&lt;restkit&gt;&lt;restkit-0.20&gt;&lt;salesforce-chatter&gt;</t>
  </si>
  <si>
    <t>2013-11-05T18:40:36.930</t>
  </si>
  <si>
    <t>How do I construct a Salesforce Chatter FeedItem in Apex</t>
  </si>
  <si>
    <t>2018-07-13T03:53:31.863</t>
  </si>
  <si>
    <t>&lt;salesforce&gt;&lt;salesforce-chatter&gt;&lt;apex&gt;</t>
  </si>
  <si>
    <t>2013-11-06T03:58:56.497</t>
  </si>
  <si>
    <t>2013-11-06T00:56:11.683</t>
  </si>
  <si>
    <t>praogramatically fetch any particular object's related objects from its related list</t>
  </si>
  <si>
    <t>2014-03-12T12:11:47.143</t>
  </si>
  <si>
    <t>2013-11-20T07:23:18.017</t>
  </si>
  <si>
    <t>Sync smartStore offline Data to Salesforce DB</t>
  </si>
  <si>
    <t>2013-11-22T08:25:09.070</t>
  </si>
  <si>
    <t>2013-12-31T16:23:27.537</t>
  </si>
  <si>
    <t>&lt;ios&gt;&lt;xcode&gt;&lt;salesforce&gt;&lt;salesforce-service-cloud&gt;</t>
  </si>
  <si>
    <t>2013-11-29T13:36:46.617</t>
  </si>
  <si>
    <t>looping over a set of elements in Salesforce</t>
  </si>
  <si>
    <t>2013-11-29T14:20:28.293</t>
  </si>
  <si>
    <t>2013-11-29T14:29:29.353</t>
  </si>
  <si>
    <t>2013-12-07T05:00:43.237</t>
  </si>
  <si>
    <t>How do I find an element in an aura component from the client-side controller?</t>
  </si>
  <si>
    <t>2013-12-07T05:11:40.977</t>
  </si>
  <si>
    <t>&lt;javascript&gt;&lt;aura-framework&gt;</t>
  </si>
  <si>
    <t>2013-12-10T04:23:00.393</t>
  </si>
  <si>
    <t>Salesforce OAuth2 missing_oauth_token</t>
  </si>
  <si>
    <t>2013-12-10T06:25:30.830</t>
  </si>
  <si>
    <t>&lt;authentication&gt;&lt;oauth-2.0&gt;&lt;salesforce&gt;&lt;salesforce-chatter&gt;</t>
  </si>
  <si>
    <t>2013-12-17T07:49:05.563</t>
  </si>
  <si>
    <t>salesforce Element {}item invalid at this location</t>
  </si>
  <si>
    <t>2019-12-06T12:50:39.553</t>
  </si>
  <si>
    <t>&lt;php&gt;&lt;salesforce&gt;&lt;salesforce-service-cloud&gt;</t>
  </si>
  <si>
    <t>2013-12-23T07:05:05.280</t>
  </si>
  <si>
    <t>How to view standard objects in salesforce online?</t>
  </si>
  <si>
    <t>2013-12-23T07:54:52.187</t>
  </si>
  <si>
    <t>&lt;object&gt;&lt;browser&gt;&lt;salesforce&gt;&lt;salesforce-service-cloud&gt;</t>
  </si>
  <si>
    <t>2013-12-24T06:05:20.950</t>
  </si>
  <si>
    <t>How can i receive Salesforce Outbound Message from Mule?</t>
  </si>
  <si>
    <t>2013-12-24T16:28:07.087</t>
  </si>
  <si>
    <t>&lt;salesforce&gt;&lt;mule&gt;&lt;mule-studio&gt;&lt;salesforce-service-cloud&gt;&lt;mule-el&gt;</t>
  </si>
  <si>
    <t>2013-12-25T07:13:17.147</t>
  </si>
  <si>
    <t>What is the Endpoint URL in Mule?</t>
  </si>
  <si>
    <t>2013-12-25T18:35:56.980</t>
  </si>
  <si>
    <t>&lt;salesforce&gt;&lt;mule&gt;&lt;mule-studio&gt;&lt;salesforce-service-cloud&gt;</t>
  </si>
  <si>
    <t>2013-12-25T09:14:43.860</t>
  </si>
  <si>
    <t>2014-01-10T16:57:15.653</t>
  </si>
  <si>
    <t>How to integrate a Thunderbird extension with Lightning</t>
  </si>
  <si>
    <t>2017-05-06T16:09:03.680</t>
  </si>
  <si>
    <t>&lt;css&gt;&lt;thunderbird&gt;&lt;lightning&gt;</t>
  </si>
  <si>
    <t>2014-01-17T05:31:28.227</t>
  </si>
  <si>
    <t>How can i send response message to SOAP Outbound Message in Salesforce</t>
  </si>
  <si>
    <t>2014-01-29T10:26:46.877</t>
  </si>
  <si>
    <t>&lt;web-services&gt;&lt;soap&gt;&lt;salesforce&gt;&lt;mule&gt;&lt;salesforce-service-cloud&gt;</t>
  </si>
  <si>
    <t>2014-01-24T13:00:49.763</t>
  </si>
  <si>
    <t>Cant connect to salesforce using kettle spoon</t>
  </si>
  <si>
    <t>2014-01-24T18:22:24.193</t>
  </si>
  <si>
    <t>&lt;salesforce&gt;&lt;pentaho&gt;&lt;kettle&gt;&lt;salesforce-service-cloud&gt;&lt;pentaho-cde&gt;</t>
  </si>
  <si>
    <t>2014-01-28T11:23:19.690</t>
  </si>
  <si>
    <t>Display Fields of Related list in corresponding Page layout</t>
  </si>
  <si>
    <t>2014-03-12T12:01:05.383</t>
  </si>
  <si>
    <t>&lt;salesforce&gt;&lt;apex-code&gt;&lt;apex&gt;&lt;salesforce-service-cloud&gt;</t>
  </si>
  <si>
    <t>2014-01-29T04:49:38.007</t>
  </si>
  <si>
    <t>Related to Chatter in Salesforce</t>
  </si>
  <si>
    <t>2014-02-05T19:33:14.273</t>
  </si>
  <si>
    <t>2014-01-31T23:49:33.933</t>
  </si>
  <si>
    <t>Display User Profile Picture from Salesforce in iOS App</t>
  </si>
  <si>
    <t>2014-02-03T22:15:14.010</t>
  </si>
  <si>
    <t>2018-10-08T07:03:00.987</t>
  </si>
  <si>
    <t>&lt;ios&gt;&lt;objective-c&gt;&lt;uiimageview&gt;&lt;salesforce&gt;&lt;salesforce-chatter&gt;</t>
  </si>
  <si>
    <t>2014-02-04T17:51:24.997</t>
  </si>
  <si>
    <t>2014-02-20T01:53:01.290</t>
  </si>
  <si>
    <t>Lightning 2.6.4 is unavailable in Thunderbird 24.3</t>
  </si>
  <si>
    <t>2014-03-11T11:45:50.880</t>
  </si>
  <si>
    <t>2014-02-25T08:20:52.750</t>
  </si>
  <si>
    <t>How do I get SalesForce Table Names from SalesForce data</t>
  </si>
  <si>
    <t>2014-02-25T16:10:51.003</t>
  </si>
  <si>
    <t>2014-03-03T20:01:38.613</t>
  </si>
  <si>
    <t>Salesforce integration with Team Foundation Server 2013</t>
  </si>
  <si>
    <t>2016-03-29T19:42:24.523</t>
  </si>
  <si>
    <t>&lt;tfs&gt;&lt;salesforce&gt;&lt;azure-devops&gt;&lt;salesforce-service-cloud&gt;</t>
  </si>
  <si>
    <t>2016-03-29T20:27:46.047</t>
  </si>
  <si>
    <t>2014-03-07T08:03:25.433</t>
  </si>
  <si>
    <t>salesforce login in ios native App</t>
  </si>
  <si>
    <t>2014-03-07T09:17:30.013</t>
  </si>
  <si>
    <t>2014-03-07T14:16:31.723</t>
  </si>
  <si>
    <t>&lt;ios&gt;&lt;iphone&gt;&lt;objective-c&gt;&lt;salesforce-chatter&gt;</t>
  </si>
  <si>
    <t>2014-03-12T12:16:29.153</t>
  </si>
  <si>
    <t>How to access to Reachability in MKNetworkKit-iOS or avoid duplicate symbols with own added Reachability?</t>
  </si>
  <si>
    <t>2014-03-13T09:02:29.247</t>
  </si>
  <si>
    <t>&lt;iphone&gt;&lt;objective-c&gt;&lt;xcode&gt;&lt;salesforce-chatter&gt;&lt;ios7.1&gt;</t>
  </si>
  <si>
    <t>2014-03-13T11:58:28.743</t>
  </si>
  <si>
    <t>Save VF form in edit mode without refreshing</t>
  </si>
  <si>
    <t>2014-03-13T12:31:53.420</t>
  </si>
  <si>
    <t>2014-03-13T15:05:23.443</t>
  </si>
  <si>
    <t>&lt;ajax&gt;&lt;salesforce&gt;&lt;visualforce&gt;&lt;apex&gt;&lt;salesforce-service-cloud&gt;</t>
  </si>
  <si>
    <t>2014-03-17T08:01:49.577</t>
  </si>
  <si>
    <t>Salesforce image downloading</t>
  </si>
  <si>
    <t>2014-03-19T13:13:15.443</t>
  </si>
  <si>
    <t>&lt;ios&gt;&lt;ios7&gt;&lt;salesforce&gt;&lt;salesforce-service-cloud&gt;&lt;salesforce-chatter&gt;</t>
  </si>
  <si>
    <t>2014-03-21T15:28:33.713</t>
  </si>
  <si>
    <t>SalesForce - Service Cloud Objects</t>
  </si>
  <si>
    <t>2020-03-24T20:01:15.353</t>
  </si>
  <si>
    <t>2014-03-21T16:15:11.013</t>
  </si>
  <si>
    <t>cannot declare method without return type</t>
  </si>
  <si>
    <t>2014-03-21T16:34:28.267</t>
  </si>
  <si>
    <t>&lt;c#&gt;&lt;web-services&gt;&lt;salesforce-service-cloud&gt;</t>
  </si>
  <si>
    <t>2014-03-21T16:18:43.783</t>
  </si>
  <si>
    <t>2014-03-28T07:52:20.737</t>
  </si>
  <si>
    <t>How to add product2 in standard price book in Salesforce CRM?</t>
  </si>
  <si>
    <t>2014-06-24T23:26:48.923</t>
  </si>
  <si>
    <t>&lt;.net&gt;&lt;c&gt;&lt;salesforce&gt;&lt;crm&gt;&lt;salesforce-service-cloud&gt;</t>
  </si>
  <si>
    <t>2014-04-05T22:50:22.023</t>
  </si>
  <si>
    <t>VF PageBlockTable w/ Javascript and Conditional Behavior</t>
  </si>
  <si>
    <t>2014-04-06T00:04:25.123</t>
  </si>
  <si>
    <t>2014-04-09T00:30:25.377</t>
  </si>
  <si>
    <t>&lt;javascript&gt;&lt;salesforce&gt;&lt;visualforce&gt;&lt;force.com&gt;&lt;salesforce-service-cloud&gt;</t>
  </si>
  <si>
    <t>2014-04-17T13:51:55.220</t>
  </si>
  <si>
    <t>how to access Salesforce Attachment Body (base64 binary data) using java?</t>
  </si>
  <si>
    <t>2014-04-18T12:24:37.987</t>
  </si>
  <si>
    <t>2014-04-18T14:50:03.510</t>
  </si>
  <si>
    <t>&lt;java&gt;&lt;web-services&gt;&lt;salesforce&gt;&lt;webservices-client&gt;&lt;salesforce-service-cloud&gt;</t>
  </si>
  <si>
    <t>2014-04-24T06:26:20.203</t>
  </si>
  <si>
    <t>Sales force App Integration ( .NET Development) &amp; more detail for New bee</t>
  </si>
  <si>
    <t>2014-04-24T11:24:17.257</t>
  </si>
  <si>
    <t>&lt;asp.net&gt;&lt;web-services&gt;&lt;salesforce&gt;&lt;salesforce-service-cloud&gt;</t>
  </si>
  <si>
    <t>2014-04-24T06:49:22.497</t>
  </si>
  <si>
    <t>2014-04-24T10:07:22.313</t>
  </si>
  <si>
    <t>What are the ways to build an app for Salesforce?</t>
  </si>
  <si>
    <t>2014-04-24T10:19:53.910</t>
  </si>
  <si>
    <t>2014-04-26T08:54:22.317</t>
  </si>
  <si>
    <t>&lt;asp.net&gt;&lt;api&gt;&lt;salesforce&gt;&lt;salesforce-service-cloud&gt;</t>
  </si>
  <si>
    <t>2014-05-08T10:32:27.550</t>
  </si>
  <si>
    <t>Error while using CURL in java</t>
  </si>
  <si>
    <t>2014-05-09T04:29:10.417</t>
  </si>
  <si>
    <t>&lt;curl&gt;&lt;salesforce&gt;&lt;salesforce-service-cloud&gt;</t>
  </si>
  <si>
    <t>2014-05-08T23:33:32.503</t>
  </si>
  <si>
    <t>Mule SFDC Connector without user interaction using sfdc:config-with-oauth</t>
  </si>
  <si>
    <t>2017-04-13T12:54:16.107</t>
  </si>
  <si>
    <t>2015-04-28T23:10:08.540</t>
  </si>
  <si>
    <t>&lt;oauth-2.0&gt;&lt;mule&gt;&lt;salesforce-service-cloud&gt;</t>
  </si>
  <si>
    <t>2014-05-09T16:05:04.547</t>
  </si>
  <si>
    <t>2014-05-16T13:04:58.157</t>
  </si>
  <si>
    <t>How to serve OpenGraph for a private page</t>
  </si>
  <si>
    <t>2017-11-22T06:50:12.887</t>
  </si>
  <si>
    <t>&lt;facebook-opengraph&gt;&lt;yammer&gt;&lt;salesforce-chatter&gt;&lt;jive&gt;</t>
  </si>
  <si>
    <t>2014-05-26T13:02:37.217</t>
  </si>
  <si>
    <t>2014-05-21T14:36:19.473</t>
  </si>
  <si>
    <t>How to remove the hyperLink for Case Owner field in an inline VF page?</t>
  </si>
  <si>
    <t>2014-05-25T05:18:08.450</t>
  </si>
  <si>
    <t>2014-05-22T17:33:42.147</t>
  </si>
  <si>
    <t>JavaScript Function to Pull related object fields</t>
  </si>
  <si>
    <t>2014-05-22T18:21:43.263</t>
  </si>
  <si>
    <t>2014-05-23T22:30:21.173</t>
  </si>
  <si>
    <t>&lt;javascript&gt;&lt;salesforce&gt;&lt;salesforce-service-cloud&gt;</t>
  </si>
  <si>
    <t>2014-06-01T21:10:35.207</t>
  </si>
  <si>
    <t>How to make Chrome Extension run for each new Iframe added?</t>
  </si>
  <si>
    <t>2017-09-21T06:40:26.943</t>
  </si>
  <si>
    <t>2017-09-21T09:26:07.297</t>
  </si>
  <si>
    <t>&lt;iframe&gt;&lt;google-chrome-extension&gt;&lt;salesforce-service-cloud&gt;</t>
  </si>
  <si>
    <t>2014-06-02T16:17:53.850</t>
  </si>
  <si>
    <t>2014-06-05T15:41:01.670</t>
  </si>
  <si>
    <t>Posting a comment along with an attachment to salesforce chatter using java</t>
  </si>
  <si>
    <t>2014-08-06T11:03:19.163</t>
  </si>
  <si>
    <t>2014-06-10T07:56:30.993</t>
  </si>
  <si>
    <t>how to do healthcheck on salesforce</t>
  </si>
  <si>
    <t>2014-08-28T21:19:48.177</t>
  </si>
  <si>
    <t>2014-06-23T11:48:48.667</t>
  </si>
  <si>
    <t>How to get SMS request via twilio</t>
  </si>
  <si>
    <t>2014-06-23T12:01:57.247</t>
  </si>
  <si>
    <t>2016-04-23T04:34:44.193</t>
  </si>
  <si>
    <t>&lt;salesforce&gt;&lt;twilio&gt;&lt;apex&gt;&lt;salesforce-service-cloud&gt;&lt;url-mapping&gt;</t>
  </si>
  <si>
    <t>2014-07-17T16:32:40.553</t>
  </si>
  <si>
    <t>trigger to populate child field from parent object using relationship query from "parent to child"</t>
  </si>
  <si>
    <t>2014-07-20T18:47:59.080</t>
  </si>
  <si>
    <t>2014-07-28T00:22:45.600</t>
  </si>
  <si>
    <t>2014-07-18T09:04:54.800</t>
  </si>
  <si>
    <t>set STATUS field based on CREATED DATE field in CASE object</t>
  </si>
  <si>
    <t>2014-07-18T14:47:02.380</t>
  </si>
  <si>
    <t>2014-07-20T00:25:13.407</t>
  </si>
  <si>
    <t>2014-08-12T10:29:59.507</t>
  </si>
  <si>
    <t>how to make a salesforce1 tab available to a certain user</t>
  </si>
  <si>
    <t>&lt;salesforce&gt;&lt;apex&gt;&lt;salesforce-chatter&gt;</t>
  </si>
  <si>
    <t>2014-08-13T06:13:51.800</t>
  </si>
  <si>
    <t>How to determine salesforce config or format</t>
  </si>
  <si>
    <t>2014-08-14T09:19:02.640</t>
  </si>
  <si>
    <t>&lt;php&gt;&lt;api&gt;&lt;configuration&gt;&lt;salesforce&gt;&lt;salesforce-service-cloud&gt;</t>
  </si>
  <si>
    <t>2014-08-26T06:07:49.393</t>
  </si>
  <si>
    <t>SalesForce : Redirecting the URL to Salesforce</t>
  </si>
  <si>
    <t>2014-08-26T06:36:13.273</t>
  </si>
  <si>
    <t>2014-08-28T21:11:41.423</t>
  </si>
  <si>
    <t>2014-08-29T01:55:26.153</t>
  </si>
  <si>
    <t>Posting message to Salesforce Chatter via Javascript SDK</t>
  </si>
  <si>
    <t>2014-08-29T17:43:11.020</t>
  </si>
  <si>
    <t>&lt;javascript&gt;&lt;node.js&gt;&lt;salesforce&gt;&lt;salesforce-chatter&gt;</t>
  </si>
  <si>
    <t>2014-09-02T06:52:16.437</t>
  </si>
  <si>
    <t>Salesforce Community User creation - Password Setting</t>
  </si>
  <si>
    <t>2017-05-23T12:05:47.803</t>
  </si>
  <si>
    <t>2014-09-26T21:41:32.467</t>
  </si>
  <si>
    <t>2014-09-12T05:36:39.113</t>
  </si>
  <si>
    <t>SALESFORCE1(AURA PLATFORM): How to pass values from a client-side-code(JavaScript code) to server-side-code(APEX)?</t>
  </si>
  <si>
    <t>2014-09-12T05:45:22.627</t>
  </si>
  <si>
    <t>2015-03-11T13:53:06.907</t>
  </si>
  <si>
    <t>&lt;javascript&gt;&lt;salesforce&gt;&lt;parameter-passing&gt;&lt;apex&gt;&lt;aura-framework&gt;</t>
  </si>
  <si>
    <t>2014-09-19T05:31:17.380</t>
  </si>
  <si>
    <t>Is possible to create new account in salesforce ?</t>
  </si>
  <si>
    <t>2014-09-25T06:43:49.483</t>
  </si>
  <si>
    <t>2014-09-20T16:34:57.203</t>
  </si>
  <si>
    <t>How do we bulkify a trigger to create multiple @mention chatter feeditems?</t>
  </si>
  <si>
    <t>2014-09-22T10:18:22.377</t>
  </si>
  <si>
    <t>Is it Possible to display Custom VF page upon Clicking Approve/Reject Link in Standard sales force chatter page?</t>
  </si>
  <si>
    <t>2014-09-22T22:27:12.713</t>
  </si>
  <si>
    <t>2015-08-18T16:33:04.607</t>
  </si>
  <si>
    <t>&lt;salesforce&gt;&lt;visualforce&gt;&lt;salesforce-chatter&gt;</t>
  </si>
  <si>
    <t>2014-09-25T16:41:01.360</t>
  </si>
  <si>
    <t>Salesforce JavaScript OnClick Custom Button in Console</t>
  </si>
  <si>
    <t>2014-09-27T12:49:19.807</t>
  </si>
  <si>
    <t>2014-10-27T10:27:21.137</t>
  </si>
  <si>
    <t>Importing a winmail.dat file into my calendar using Thunderbird Lightning</t>
  </si>
  <si>
    <t>2014-10-27T11:59:18.543</t>
  </si>
  <si>
    <t>2014-11-05T08:55:53.773</t>
  </si>
  <si>
    <t>&lt;email&gt;&lt;calendar&gt;&lt;thunderbird&gt;&lt;lightning&gt;&lt;winmail.dat&gt;</t>
  </si>
  <si>
    <t>2014-10-30T14:02:22.227</t>
  </si>
  <si>
    <t>How to get downloadable link for attachment?</t>
  </si>
  <si>
    <t>2015-07-06T01:27:51.423</t>
  </si>
  <si>
    <t>2014-11-06T12:04:32.913</t>
  </si>
  <si>
    <t>how does aurajs sandbox.on() and sandbox.emit() works?</t>
  </si>
  <si>
    <t>&lt;backbone.js&gt;&lt;sandbox&gt;&lt;aura.js&gt;&lt;aura-framework&gt;</t>
  </si>
  <si>
    <t>2014-12-01T06:56:37.317</t>
  </si>
  <si>
    <t>Soql query to access Topics associated with FeedItems in salesforce Chatter</t>
  </si>
  <si>
    <t>2014-12-04T21:43:58.847</t>
  </si>
  <si>
    <t>&lt;soql&gt;&lt;salesforce-chatter&gt;</t>
  </si>
  <si>
    <t>2014-12-08T18:06:16.170</t>
  </si>
  <si>
    <t>Creating a Popup for new case assignment in salesforce</t>
  </si>
  <si>
    <t>2015-04-08T20:55:50.097</t>
  </si>
  <si>
    <t>2014-12-10T10:04:50.830</t>
  </si>
  <si>
    <t>How to distribute your own data on Salesforce?</t>
  </si>
  <si>
    <t>2014-12-10T19:29:11.683</t>
  </si>
  <si>
    <t>&lt;salesforce&gt;&lt;crm&gt;&lt;salesforce-service-cloud&gt;</t>
  </si>
  <si>
    <t>2014-12-11T15:48:23.757</t>
  </si>
  <si>
    <t>Can we use TFS as Source Code Repository for Salesforce?</t>
  </si>
  <si>
    <t>2015-04-15T03:37:54.810</t>
  </si>
  <si>
    <t>&lt;tfs&gt;&lt;salesforce&gt;&lt;salesforce-service-cloud&gt;</t>
  </si>
  <si>
    <t>2015-01-06T07:24:12.033</t>
  </si>
  <si>
    <t>Repeat Headers in Visual force Page</t>
  </si>
  <si>
    <t>2016-08-18T17:41:20.260</t>
  </si>
  <si>
    <t>2017-09-18T01:32:35.370</t>
  </si>
  <si>
    <t>&lt;css&gt;&lt;header&gt;&lt;visualforce&gt;&lt;salesforce-service-cloud&gt;</t>
  </si>
  <si>
    <t>2015-02-12T09:50:52.850</t>
  </si>
  <si>
    <t>Mozilla Thunderbird Lightning sending invite to "unknown@somewhere.com</t>
  </si>
  <si>
    <t>2015-02-13T04:51:32.093</t>
  </si>
  <si>
    <t>&lt;mozilla&gt;&lt;lightning&gt;</t>
  </si>
  <si>
    <t>2015-02-27T16:26:05.813</t>
  </si>
  <si>
    <t>How to embed a SFDC portal page into website</t>
  </si>
  <si>
    <t>2015-03-11T15:56:53.403</t>
  </si>
  <si>
    <t>Heroku Connect - Validation error when trying to create map for Salesforce Chatter objects</t>
  </si>
  <si>
    <t>2015-07-28T13:53:23.550</t>
  </si>
  <si>
    <t>&lt;heroku&gt;&lt;heroku-postgres&gt;&lt;salesforce-chatter&gt;</t>
  </si>
  <si>
    <t>2015-03-15T12:49:01.580</t>
  </si>
  <si>
    <t>Salesforce Visual force pages</t>
  </si>
  <si>
    <t>user4673087</t>
  </si>
  <si>
    <t>2015-03-15T14:11:20.040</t>
  </si>
  <si>
    <t>2015-04-09T12:45:26.617</t>
  </si>
  <si>
    <t>&lt;html&gt;&lt;xhtml&gt;&lt;salesforce&gt;&lt;salesforce-service-cloud&gt;&lt;salesforce-ios-sdk&gt;</t>
  </si>
  <si>
    <t>2015-04-13T13:08:17.240</t>
  </si>
  <si>
    <t>Salesforce Lead Allocation based on Region</t>
  </si>
  <si>
    <t>2015-04-14T13:31:06.470</t>
  </si>
  <si>
    <t>2015-04-14T08:57:52.173</t>
  </si>
  <si>
    <t>Salesforce Chatter profile pictures restrictions</t>
  </si>
  <si>
    <t>2015-04-15T09:58:25.933</t>
  </si>
  <si>
    <t>&lt;salesforce-chatter&gt;</t>
  </si>
  <si>
    <t>2015-05-29T13:47:47.537</t>
  </si>
  <si>
    <t>Salesforce SDK is not opening login screen</t>
  </si>
  <si>
    <t>2015-06-12T08:12:09.497</t>
  </si>
  <si>
    <t>&lt;android&gt;&lt;cordova&gt;&lt;android-studio&gt;&lt;salesforce&gt;&lt;salesforce-chatter&gt;</t>
  </si>
  <si>
    <t>2015-06-16T17:36:02.023</t>
  </si>
  <si>
    <t>Access a variable on a controller on two seperate visualforce pages</t>
  </si>
  <si>
    <t>2015-06-17T18:47:32.957</t>
  </si>
  <si>
    <t>&lt;salesforce&gt;&lt;visualforce&gt;&lt;apex&gt;&lt;salesforce-service-cloud&gt;</t>
  </si>
  <si>
    <t>2015-06-30T13:29:42.427</t>
  </si>
  <si>
    <t>HTML entities get encoded twice with dynamic binding</t>
  </si>
  <si>
    <t>2015-06-30T13:36:24.283</t>
  </si>
  <si>
    <t>2015-06-30T19:31:23.283</t>
  </si>
  <si>
    <t>&lt;html&gt;&lt;salesforce&gt;&lt;ionic-framework&gt;&lt;encode&gt;&lt;salesforce-service-cloud&gt;</t>
  </si>
  <si>
    <t>2015-07-02T16:55:04.597</t>
  </si>
  <si>
    <t>How to fetch Data from VF Page to create a Report Type in Salesforce</t>
  </si>
  <si>
    <t>2015-07-02T17:49:12.913</t>
  </si>
  <si>
    <t>2015-08-18T15:27:12.893</t>
  </si>
  <si>
    <t>2015-07-10T08:05:20.420</t>
  </si>
  <si>
    <t>Synchronisation of Owncloud 8.1 with Lightning</t>
  </si>
  <si>
    <t>&lt;thunderbird&gt;&lt;owncloud&gt;&lt;lightning&gt;&lt;thunderbird-lightning&gt;</t>
  </si>
  <si>
    <t>2015-07-17T17:22:52.000</t>
  </si>
  <si>
    <t>Salesforce Authorization with Sandbox</t>
  </si>
  <si>
    <t>2015-07-17T20:01:15.657</t>
  </si>
  <si>
    <t>2016-03-04T09:53:10.847</t>
  </si>
  <si>
    <t>&lt;oauth-2.0&gt;&lt;salesforce&gt;&lt;integration&gt;&lt;salesforce-service-cloud&gt;</t>
  </si>
  <si>
    <t>2015-07-21T17:06:50.793</t>
  </si>
  <si>
    <t>Thunderbird EWS Provider Share Folder ID</t>
  </si>
  <si>
    <t>2015-07-22T10:54:01.073</t>
  </si>
  <si>
    <t>&lt;exchange-server&gt;&lt;exchangewebservices&gt;&lt;thunderbird&gt;&lt;lightning&gt;</t>
  </si>
  <si>
    <t>2015-07-23T17:04:01.387</t>
  </si>
  <si>
    <t>calling addEventListener without a DOM element</t>
  </si>
  <si>
    <t>&lt;javascript&gt;&lt;jquery&gt;&lt;salesforce&gt;&lt;aura.js&gt;&lt;aura-framework&gt;</t>
  </si>
  <si>
    <t>2015-08-13T05:44:02.463</t>
  </si>
  <si>
    <t>SSL certificate issue in Android for a Salesforce web service</t>
  </si>
  <si>
    <t>2017-05-23T11:58:07.573</t>
  </si>
  <si>
    <t>2015-08-27T08:02:43.760</t>
  </si>
  <si>
    <t>&lt;java&gt;&lt;android&gt;&lt;ssl&gt;&lt;salesforce&gt;&lt;salesforce-service-cloud&gt;</t>
  </si>
  <si>
    <t>2015-08-27T11:16:44.233</t>
  </si>
  <si>
    <t>How to change the border-top-color for apex:pageBlock in Salesforce</t>
  </si>
  <si>
    <t>2016-09-01T06:55:01.150</t>
  </si>
  <si>
    <t>&lt;css&gt;&lt;css-selectors&gt;&lt;salesforce&gt;&lt;visualforce&gt;&lt;salesforce-service-cloud&gt;</t>
  </si>
  <si>
    <t>2015-09-10T21:39:43.747</t>
  </si>
  <si>
    <t>Add Account attachment to Chatter Post Automatically</t>
  </si>
  <si>
    <t>2016-03-23T19:28:43.303</t>
  </si>
  <si>
    <t>&lt;salesforce&gt;&lt;apex-code&gt;&lt;salesforce-chatter&gt;&lt;apex-trigger&gt;</t>
  </si>
  <si>
    <t>2015-09-11T12:30:43.013</t>
  </si>
  <si>
    <t>Need Help in displaying Error Message on Same page</t>
  </si>
  <si>
    <t>2015-10-10T08:56:01.900</t>
  </si>
  <si>
    <t>&lt;salesforce&gt;&lt;apex-code&gt;&lt;apex&gt;&lt;salesforce-service-cloud&gt;&lt;salesforce-chatter&gt;</t>
  </si>
  <si>
    <t>2015-09-21T23:53:17.220</t>
  </si>
  <si>
    <t>"Unknown Error : update is not defined" (when calling function named "update" within Callback - Lightning JS controller)</t>
  </si>
  <si>
    <t>2016-10-03T11:33:58.720</t>
  </si>
  <si>
    <t>&lt;javascript&gt;&lt;salesforce&gt;&lt;lightning&gt;</t>
  </si>
  <si>
    <t>2015-09-22T20:14:58.997</t>
  </si>
  <si>
    <t>how to delete alarm in lightning (in js)</t>
  </si>
  <si>
    <t>2015-09-23T12:07:47.063</t>
  </si>
  <si>
    <t>&lt;lightning&gt;&lt;thunderbird-lightning&gt;</t>
  </si>
  <si>
    <t>2015-09-23T11:11:38.867</t>
  </si>
  <si>
    <t>How to create a trigger to send email with dynamic subject in salesforce?</t>
  </si>
  <si>
    <t>2015-09-23T11:22:31.833</t>
  </si>
  <si>
    <t>2015-09-29T06:27:16.043</t>
  </si>
  <si>
    <t>Compile Error: Field expression not allowed for generic SObject at line 33 column 69</t>
  </si>
  <si>
    <t>2015-10-05T16:40:15.293</t>
  </si>
  <si>
    <t>2015-10-05T16:50:47.377</t>
  </si>
  <si>
    <t>2015-09-30T10:26:05.053</t>
  </si>
  <si>
    <t>Check Update permissions on object instance/record</t>
  </si>
  <si>
    <t>2015-09-30T12:33:47.973</t>
  </si>
  <si>
    <t>2015-10-06T13:32:05.187</t>
  </si>
  <si>
    <t>trying to access Thunderbird-tabmail does not work</t>
  </si>
  <si>
    <t>2015-10-06T15:57:02.580</t>
  </si>
  <si>
    <t>&lt;thunderbird&gt;&lt;thunderbird-addon&gt;&lt;lightning&gt;&lt;thunderbird-lightning&gt;</t>
  </si>
  <si>
    <t>2015-10-07T08:13:46.960</t>
  </si>
  <si>
    <t>How to create Custom fields with Sales-force Rest Api</t>
  </si>
  <si>
    <t>2015-12-16T06:39:43.593</t>
  </si>
  <si>
    <t>&lt;ruby-on-rails&gt;&lt;rest&gt;&lt;salesforce&gt;&lt;salesforce-chatter&gt;&lt;databasedotcom-gem&gt;</t>
  </si>
  <si>
    <t>2015-10-22T13:56:58.890</t>
  </si>
  <si>
    <t>Salesforce and vk.com API integration</t>
  </si>
  <si>
    <t>&lt;salesforce&gt;&lt;integration&gt;&lt;vk&gt;&lt;salesforce-chatter&gt;</t>
  </si>
  <si>
    <t>2015-11-09T19:39:51.707</t>
  </si>
  <si>
    <t>Salesforce: UNKNOWN_EXCEPTION: Destination URL not reset</t>
  </si>
  <si>
    <t>2015-11-12T18:05:12.890</t>
  </si>
  <si>
    <t>&lt;c#&gt;&lt;asp.net-mvc&gt;&lt;c#-4.0&gt;&lt;salesforce&gt;&lt;salesforce-service-cloud&gt;</t>
  </si>
  <si>
    <t>2015-11-23T19:30:54.880</t>
  </si>
  <si>
    <t>Debug handing thunderbird lightning</t>
  </si>
  <si>
    <t>2015-11-24T15:44:58.913</t>
  </si>
  <si>
    <t>&lt;debugging&gt;&lt;thunderbird&gt;&lt;lightning&gt;</t>
  </si>
  <si>
    <t>2015-11-27T07:18:54.543</t>
  </si>
  <si>
    <t>Salesforce Timecard entry API</t>
  </si>
  <si>
    <t>2015-12-14T11:49:22.450</t>
  </si>
  <si>
    <t>&lt;salesforce&gt;&lt;apex&gt;&lt;salesforce-service-cloud&gt;</t>
  </si>
  <si>
    <t>2015-12-09T13:00:05.117</t>
  </si>
  <si>
    <t>How to put field validation on ui:inputtext in javascript using lightning component?</t>
  </si>
  <si>
    <t>2015-12-09T13:48:01.667</t>
  </si>
  <si>
    <t>2016-06-30T02:39:50.767</t>
  </si>
  <si>
    <t>&lt;salesforce&gt;&lt;salesforce-service-cloud&gt;&lt;salesforce-chatter&gt;&lt;sfdc-metadata-api&gt;</t>
  </si>
  <si>
    <t>2015-12-16T07:05:46.490</t>
  </si>
  <si>
    <t>How to add two Signer using Custom Button Logic in Salesforce</t>
  </si>
  <si>
    <t>2015-12-16T19:42:01.877</t>
  </si>
  <si>
    <t>&lt;docusignapi&gt;&lt;salesforce-service-cloud&gt;</t>
  </si>
  <si>
    <t>2015-12-24T01:04:29.993</t>
  </si>
  <si>
    <t>Adding Salesforce1 Lightning app to Salesforce1 Navigation</t>
  </si>
  <si>
    <t>2017-02-01T18:27:44.907</t>
  </si>
  <si>
    <t>&lt;salesforce&gt;&lt;salesforce-lightning&gt;</t>
  </si>
  <si>
    <t>2015-12-31T11:26:22.253</t>
  </si>
  <si>
    <t>How to update external object record via salesforce trigger</t>
  </si>
  <si>
    <t>&lt;salesforce&gt;&lt;connect&gt;&lt;lightning&gt;</t>
  </si>
  <si>
    <t>2016-01-08T14:53:52.297</t>
  </si>
  <si>
    <t>How can i merge two different queries using "Salesforce Object Query Language (SOQL)"?</t>
  </si>
  <si>
    <t>2016-01-10T15:33:31.620</t>
  </si>
  <si>
    <t>2016-01-11T11:10:54.457</t>
  </si>
  <si>
    <t>2016-01-09T08:38:05.567</t>
  </si>
  <si>
    <t>2016-01-15T20:05:25.603</t>
  </si>
  <si>
    <t>Is It possible to use Lightning app exchange components in custom lightning app?</t>
  </si>
  <si>
    <t>2016-04-22T11:15:49.927</t>
  </si>
  <si>
    <t>&lt;salesforce&gt;&lt;components&gt;&lt;lightning&gt;</t>
  </si>
  <si>
    <t>2016-01-19T16:18:43.267</t>
  </si>
  <si>
    <t>Clicks not code and Salesforce Contacts?</t>
  </si>
  <si>
    <t>&lt;salesforce&gt;&lt;contacts&gt;&lt;salesforce-service-cloud&gt;</t>
  </si>
  <si>
    <t>2016-01-21T05:38:46.780</t>
  </si>
  <si>
    <t>Community customization</t>
  </si>
  <si>
    <t>&lt;salesforce&gt;&lt;apex&gt;&lt;salesforce-service-cloud&gt;&lt;salesforce-chatter&gt;</t>
  </si>
  <si>
    <t>2016-01-21T10:16:10.073</t>
  </si>
  <si>
    <t>Contact Information on community Home tab</t>
  </si>
  <si>
    <t>2016-01-29T09:04:24.413</t>
  </si>
  <si>
    <t>2016-01-31T18:31:12.423</t>
  </si>
  <si>
    <t>Unity3D realtime illumination</t>
  </si>
  <si>
    <t>2016-02-01T15:48:30.207</t>
  </si>
  <si>
    <t>&lt;unity3d&gt;&lt;real-time&gt;&lt;lightning&gt;</t>
  </si>
  <si>
    <t>2016-02-07T07:17:54.213</t>
  </si>
  <si>
    <t>How to retrieve child object data from dynamic Sooql Query resultset?</t>
  </si>
  <si>
    <t>2016-02-07T08:22:23.203</t>
  </si>
  <si>
    <t>2016-02-09T20:55:57.393</t>
  </si>
  <si>
    <t>Aura.js Lightning Components: Firing a nested/child component's methods from the super/parent component?</t>
  </si>
  <si>
    <t>2016-02-10T00:33:35.327</t>
  </si>
  <si>
    <t>&lt;javascript&gt;&lt;salesforce&gt;&lt;aura.js&gt;&lt;aura-framework&gt;</t>
  </si>
  <si>
    <t>2016-02-23T12:54:05.043</t>
  </si>
  <si>
    <t>Need to access the name of field from map of Sobject</t>
  </si>
  <si>
    <t>2016-02-23T17:57:59.420</t>
  </si>
  <si>
    <t>2016-02-23T18:12:49.190</t>
  </si>
  <si>
    <t>&lt;apex-code&gt;&lt;visualforce&gt;&lt;apex&gt;&lt;salesforce-service-cloud&gt;&lt;salesforce-chatter&gt;</t>
  </si>
  <si>
    <t>2016-02-23T15:24:34.530</t>
  </si>
  <si>
    <t>2016-02-26T06:37:01.040</t>
  </si>
  <si>
    <t>Need to fetch records from approval History which are assigned to Queue of which currently Loogged in User is part of</t>
  </si>
  <si>
    <t>2016-03-07T23:01:41.560</t>
  </si>
  <si>
    <t>2016-02-28T00:45:38.627</t>
  </si>
  <si>
    <t>Getting contacts from SalesForce - 403 forbidden error</t>
  </si>
  <si>
    <t>2016-03-03T05:57:53.990</t>
  </si>
  <si>
    <t>Knowledge Article Self relationship</t>
  </si>
  <si>
    <t>2016-03-03T08:30:57.290</t>
  </si>
  <si>
    <t>2016-03-07T05:50:36.467</t>
  </si>
  <si>
    <t>Need to Access Managed Package Objects and fields in Apex trigger</t>
  </si>
  <si>
    <t>2016-03-09T18:48:33.533</t>
  </si>
  <si>
    <t>2016-03-13T18:51:37.990</t>
  </si>
  <si>
    <t>View the battery percentage of a device connected to the iPhone using the lightning port</t>
  </si>
  <si>
    <t>2016-03-13T20:01:25.110</t>
  </si>
  <si>
    <t>&lt;ios&gt;&lt;iphone&gt;&lt;swift&gt;&lt;batterylevel&gt;&lt;lightning&gt;</t>
  </si>
  <si>
    <t>2016-03-17T19:57:44.700</t>
  </si>
  <si>
    <t>SalesForce SOQL join Leads to Contact</t>
  </si>
  <si>
    <t>2018-06-05T20:16:30.633</t>
  </si>
  <si>
    <t>2016-03-18T16:27:35.210</t>
  </si>
  <si>
    <t>Salesforce lightning Input with list doesn't work</t>
  </si>
  <si>
    <t>2016-04-09T03:26:11.677</t>
  </si>
  <si>
    <t>&lt;list&gt;&lt;input&gt;&lt;salesforce&gt;&lt;lightning&gt;</t>
  </si>
  <si>
    <t>2016-03-28T06:51:44.237</t>
  </si>
  <si>
    <t>I'm trying to execute SOQL queries in my android app but keep getting AuthFailureError everytime</t>
  </si>
  <si>
    <t>2016-03-28T07:03:06.930</t>
  </si>
  <si>
    <t>2016-04-21T11:32:26.693</t>
  </si>
  <si>
    <t>&lt;android&gt;&lt;android-fragments&gt;&lt;android-studio&gt;&lt;salesforce&gt;&lt;salesforce-service-cloud&gt;</t>
  </si>
  <si>
    <t>2016-03-29T14:32:23.397</t>
  </si>
  <si>
    <t>Getting posts (poster name, photo, text body) into VF page from specific Chatter group - Struggling getting into VF</t>
  </si>
  <si>
    <t>2016-03-31T22:17:57.887</t>
  </si>
  <si>
    <t>&lt;salesforce&gt;&lt;visualforce&gt;&lt;salesforce-service-cloud&gt;&lt;salesforce-chatter&gt;</t>
  </si>
  <si>
    <t>2016-04-13T22:31:55.843</t>
  </si>
  <si>
    <t>Overridden Edit button with Visualforce page is not visible on community</t>
  </si>
  <si>
    <t>2017-11-27T16:08:51.510</t>
  </si>
  <si>
    <t>&lt;templates&gt;&lt;salesforce&gt;&lt;visualforce&gt;&lt;lightning&gt;</t>
  </si>
  <si>
    <t>2016-04-15T09:43:36.770</t>
  </si>
  <si>
    <t>SonarQube &amp; Aura Framework</t>
  </si>
  <si>
    <t>2016-04-15T11:59:40.823</t>
  </si>
  <si>
    <t>&lt;sonarqube&gt;&lt;aura-framework&gt;</t>
  </si>
  <si>
    <t>2016-04-20T17:29:35.097</t>
  </si>
  <si>
    <t>How to resize a Canvas app on Salesforce?</t>
  </si>
  <si>
    <t>2016-05-26T15:26:23.753</t>
  </si>
  <si>
    <t>&lt;canvas&gt;&lt;salesforce&gt;&lt;salesforce-chatter&gt;</t>
  </si>
  <si>
    <t>2016-04-21T05:36:46.010</t>
  </si>
  <si>
    <t>Create Salesforce Canvas App from war file</t>
  </si>
  <si>
    <t>&lt;salesforce&gt;&lt;heroku-toolbelt&gt;&lt;salesforce-service-cloud&gt;</t>
  </si>
  <si>
    <t>2016-04-23T16:59:47.323</t>
  </si>
  <si>
    <t>Need to display Fileds in vf page from Query written in Controller</t>
  </si>
  <si>
    <t>2016-04-25T10:29:20.983</t>
  </si>
  <si>
    <t>2016-04-29T11:11:41.447</t>
  </si>
  <si>
    <t>Migration of Salesforce Communities configurations between environments</t>
  </si>
  <si>
    <t>2016-05-01T06:53:00.133</t>
  </si>
  <si>
    <t>&lt;salesforce&gt;&lt;salesforce-communities&gt;</t>
  </si>
  <si>
    <t>2016-05-02T15:31:29.720</t>
  </si>
  <si>
    <t>Using append command to update line chart in Lightning server</t>
  </si>
  <si>
    <t>&lt;scala&gt;&lt;apache-spark&gt;&lt;spark-streaming&gt;&lt;lightning&gt;</t>
  </si>
  <si>
    <t>2016-05-03T10:23:53.300</t>
  </si>
  <si>
    <t>Not able to add custom domain in Salesforce</t>
  </si>
  <si>
    <t>&lt;salesforce-communities&gt;</t>
  </si>
  <si>
    <t>2016-06-03T01:05:10.417</t>
  </si>
  <si>
    <t>Salesforce SOQL Trimming the field</t>
  </si>
  <si>
    <t>2016-07-04T23:43:01.757</t>
  </si>
  <si>
    <t>2016-06-03T07:46:51.857</t>
  </si>
  <si>
    <t>2016-06-15T13:42:00.773</t>
  </si>
  <si>
    <t>Page not scrolling to top in salesforce lightning</t>
  </si>
  <si>
    <t>2016-06-15T13:47:16.147</t>
  </si>
  <si>
    <t>2018-06-28T15:41:08.060</t>
  </si>
  <si>
    <t>&lt;javascript&gt;&lt;html&gt;&lt;css&gt;&lt;salesforce&gt;&lt;lightning&gt;</t>
  </si>
  <si>
    <t>2016-06-21T12:57:49.723</t>
  </si>
  <si>
    <t>how to upload a file to attachment in salesforce using lightning?</t>
  </si>
  <si>
    <t>2016-06-21T13:17:51.703</t>
  </si>
  <si>
    <t>2018-09-17T12:11:05.703</t>
  </si>
  <si>
    <t>&lt;lightning&gt;</t>
  </si>
  <si>
    <t>2016-06-28T09:09:13.020</t>
  </si>
  <si>
    <t>Call Marketo API using javascript only</t>
  </si>
  <si>
    <t>2016-06-28T09:21:56.817</t>
  </si>
  <si>
    <t>2016-07-29T15:27:14.793</t>
  </si>
  <si>
    <t>&lt;javascript&gt;&lt;api&gt;&lt;rest&gt;&lt;marketo&gt;&lt;salesforce-communities&gt;</t>
  </si>
  <si>
    <t>2016-07-01T03:36:24.783</t>
  </si>
  <si>
    <t>How to Enable TLS1.1 in Java7 for Axis1 webservice client</t>
  </si>
  <si>
    <t>2016-07-02T00:32:44.167</t>
  </si>
  <si>
    <t>2018-02-07T18:57:44.770</t>
  </si>
  <si>
    <t>&lt;salesforce&gt;&lt;java-7&gt;&lt;salesforce-communities&gt;</t>
  </si>
  <si>
    <t>2016-07-03T10:17:50.137</t>
  </si>
  <si>
    <t>Storing one Map values to Another</t>
  </si>
  <si>
    <t>2016-07-03T10:33:19.817</t>
  </si>
  <si>
    <t>2016-07-03T16:36:49.623</t>
  </si>
  <si>
    <t>&lt;salesforce&gt;&lt;apex-code&gt;&lt;apex&gt;&lt;salesforce-chatter&gt;&lt;salesforce-communities&gt;</t>
  </si>
  <si>
    <t>2016-07-05T03:38:11.577</t>
  </si>
  <si>
    <t>Displaying data in salesforce app from outside</t>
  </si>
  <si>
    <t>2016-07-05T07:28:40.500</t>
  </si>
  <si>
    <t>2016-07-06T20:53:48.847</t>
  </si>
  <si>
    <t>why is Exact Target FUEL SDK not validating my API keys?</t>
  </si>
  <si>
    <t>2019-10-22T05:32:01.077</t>
  </si>
  <si>
    <t>&lt;python-2.7&gt;&lt;salesforce&gt;&lt;salesforce-service-cloud&gt;&lt;exacttarget&gt;</t>
  </si>
  <si>
    <t>2016-07-18T19:31:52.770</t>
  </si>
  <si>
    <t>2016-07-08T11:24:56.620</t>
  </si>
  <si>
    <t>How workflow can update field value if we can't update value in after trigger in salesforce</t>
  </si>
  <si>
    <t>2016-07-12T11:30:03.580</t>
  </si>
  <si>
    <t>2016-07-12T11:54:25.437</t>
  </si>
  <si>
    <t>2016-07-12T05:27:58.900</t>
  </si>
  <si>
    <t>Submit Approval Process in Lightning Mode</t>
  </si>
  <si>
    <t>2016-07-12T07:48:03.323</t>
  </si>
  <si>
    <t>2017-01-06T05:19:47.230</t>
  </si>
  <si>
    <t>&lt;salesforce&gt;&lt;salesforce-communities&gt;&lt;sfdc&gt;</t>
  </si>
  <si>
    <t>2016-07-12T11:29:26.903</t>
  </si>
  <si>
    <t>how to use external js library with Aura?</t>
  </si>
  <si>
    <t>2016-07-12T11:57:29.057</t>
  </si>
  <si>
    <t>2016-07-12T14:54:04.790</t>
  </si>
  <si>
    <t>&lt;javascript&gt;&lt;aura.js&gt;&lt;aura-framework&gt;</t>
  </si>
  <si>
    <t>2016-07-18T10:13:11.363</t>
  </si>
  <si>
    <t>Aura Storage - keeps data for a few seconds? (should keep for a long time)</t>
  </si>
  <si>
    <t>2016-09-23T14:17:03.777</t>
  </si>
  <si>
    <t>&lt;aura-framework&gt;</t>
  </si>
  <si>
    <t>2016-07-18T13:33:05.503</t>
  </si>
  <si>
    <t>2016-07-25T13:14:20.683</t>
  </si>
  <si>
    <t>Cannot Upload Image or attachment to Salesforce chatter Rest API</t>
  </si>
  <si>
    <t>2017-05-23T11:58:55.040</t>
  </si>
  <si>
    <t>2016-07-25T13:31:04.727</t>
  </si>
  <si>
    <t>&lt;android&gt;&lt;rest&gt;&lt;salesforce-chatter&gt;</t>
  </si>
  <si>
    <t>2016-08-03T03:17:16.680</t>
  </si>
  <si>
    <t>How exactly does a CalDAV server advertise Tasks support?</t>
  </si>
  <si>
    <t>2016-08-03T04:16:01.873</t>
  </si>
  <si>
    <t>&lt;caldav&gt;&lt;lightning&gt;</t>
  </si>
  <si>
    <t>2016-08-03T06:39:34.430</t>
  </si>
  <si>
    <t>Live Agent Chat - Unable to establish with custom chat window</t>
  </si>
  <si>
    <t>2016-08-03T07:07:32.170</t>
  </si>
  <si>
    <t>2016-09-22T19:17:52.547</t>
  </si>
  <si>
    <t>&lt;salesforce&gt;&lt;visualforce&gt;&lt;salesforce-service-cloud&gt;</t>
  </si>
  <si>
    <t>2016-08-09T05:43:16.743</t>
  </si>
  <si>
    <t>How to assaign leads to users in Multiple queues through round robin with trigger in salesforce</t>
  </si>
  <si>
    <t>2016-10-17T09:07:17.713</t>
  </si>
  <si>
    <t>&lt;salesforce&gt;&lt;salesforce-service-cloud&gt;&lt;salesforce-chatter&gt;&lt;salesforce-communities&gt;</t>
  </si>
  <si>
    <t>2016-08-16T06:50:43.023</t>
  </si>
  <si>
    <t>Click on new button redirect to vf page based on the profile</t>
  </si>
  <si>
    <t>2016-08-18T03:07:42.967</t>
  </si>
  <si>
    <t>2016-11-16T15:17:41.793</t>
  </si>
  <si>
    <t>2016-08-19T13:30:05.450</t>
  </si>
  <si>
    <t>How to show Feed back message in sales force Standard page?</t>
  </si>
  <si>
    <t>2016-08-26T18:44:16.640</t>
  </si>
  <si>
    <t>2016-09-16T18:00:12.980</t>
  </si>
  <si>
    <t>Salesforce REST API with managed Package</t>
  </si>
  <si>
    <t>2016-09-16T19:32:34.730</t>
  </si>
  <si>
    <t>2019-09-21T00:00:54.257</t>
  </si>
  <si>
    <t>2016-09-19T05:36:53.883</t>
  </si>
  <si>
    <t>Salesforce Lightning Component</t>
  </si>
  <si>
    <t>2017-02-01T18:29:28.930</t>
  </si>
  <si>
    <t>2019-07-24T13:03:08.657</t>
  </si>
  <si>
    <t>&lt;salesforce&gt;&lt;salesforce-communities&gt;&lt;salesforce-lightning&gt;</t>
  </si>
  <si>
    <t>2016-12-07T06:20:58.510</t>
  </si>
  <si>
    <t>2016-09-20T09:44:03.447</t>
  </si>
  <si>
    <t>How to connect custom USB device to iOS (already a MFi licensee)</t>
  </si>
  <si>
    <t>2018-07-16T08:28:27.943</t>
  </si>
  <si>
    <t>&lt;ios&gt;&lt;external-accessory&gt;&lt;mfi&gt;&lt;lightning&gt;</t>
  </si>
  <si>
    <t>2016-10-05T13:20:38.927</t>
  </si>
  <si>
    <t>how to handle salesforce hover in selenium</t>
  </si>
  <si>
    <t>2016-10-05T13:30:29.500</t>
  </si>
  <si>
    <t>&lt;selenium&gt;&lt;selenium-webdriver&gt;&lt;salesforce&gt;&lt;salesforce-service-cloud&gt;</t>
  </si>
  <si>
    <t>2016-10-06T11:55:45.843</t>
  </si>
  <si>
    <t>Salesforce authentication using Rest API with JAVA</t>
  </si>
  <si>
    <t>2016-10-06T17:56:35.263</t>
  </si>
  <si>
    <t>&lt;java&gt;&lt;rest&gt;&lt;salesforce&gt;&lt;java-api&gt;&lt;salesforce-service-cloud&gt;</t>
  </si>
  <si>
    <t>2016-10-25T07:07:43.260</t>
  </si>
  <si>
    <t>How to Translate lightning components(custom labels) based on languages</t>
  </si>
  <si>
    <t>2016-10-28T00:24:50.490</t>
  </si>
  <si>
    <t>&lt;salesforce&gt;&lt;lightning&gt;</t>
  </si>
  <si>
    <t>2016-11-02T08:15:00.570</t>
  </si>
  <si>
    <t>Deployment issue : Lightning Quick Actions for Component Bundles</t>
  </si>
  <si>
    <t>2016-11-02T11:01:54.217</t>
  </si>
  <si>
    <t>2016-11-03T07:24:59.150</t>
  </si>
  <si>
    <t>How to access sobject name in lightning</t>
  </si>
  <si>
    <t>2016-11-03T09:25:52.613</t>
  </si>
  <si>
    <t>2017-08-07T04:35:34.383</t>
  </si>
  <si>
    <t>2016-11-07T08:51:05.897</t>
  </si>
  <si>
    <t>Do something before logout in salesforce apex?</t>
  </si>
  <si>
    <t>2018-11-16T09:06:37.500</t>
  </si>
  <si>
    <t>2016-11-10T10:46:51.993</t>
  </si>
  <si>
    <t>How do I resolve an "incorrect syntax near ','"?</t>
  </si>
  <si>
    <t>2016-11-10T10:57:45.773</t>
  </si>
  <si>
    <t>2016-11-10T10:58:43.987</t>
  </si>
  <si>
    <t>&lt;sql&gt;&lt;sql-server&gt;&lt;salesforce&gt;&lt;salesforce-service-cloud&gt;</t>
  </si>
  <si>
    <t>2016-11-14T13:31:43.030</t>
  </si>
  <si>
    <t>Set value of textbox after render - force.com</t>
  </si>
  <si>
    <t>2016-11-15T06:52:58.553</t>
  </si>
  <si>
    <t>2016-11-15T09:55:10.617</t>
  </si>
  <si>
    <t>&lt;javascript&gt;&lt;salesforce&gt;&lt;visualforce&gt;&lt;force.com&gt;&lt;aura-framework&gt;</t>
  </si>
  <si>
    <t>2016-11-14T19:25:39.513</t>
  </si>
  <si>
    <t>Display PDF from chatter files in Visualforce Page</t>
  </si>
  <si>
    <t>2016-11-15T12:50:05.527</t>
  </si>
  <si>
    <t>&lt;javascript&gt;&lt;api&gt;&lt;salesforce&gt;&lt;salesforce-chatter&gt;</t>
  </si>
  <si>
    <t>2016-11-15T08:57:15.870</t>
  </si>
  <si>
    <t>How to pull data from Salesforce using Java SDK in Eclipse IDE?</t>
  </si>
  <si>
    <t>2017-06-07T02:47:37.390</t>
  </si>
  <si>
    <t>&lt;java&gt;&lt;salesforce&gt;&lt;salesforce-service-cloud&gt;&lt;salesforce-communities&gt;</t>
  </si>
  <si>
    <t>2016-11-23T22:25:22.420</t>
  </si>
  <si>
    <t>Salesforce Case Feed - Creating/Adding Custom Tools</t>
  </si>
  <si>
    <t>2016-11-29T20:13:33.667</t>
  </si>
  <si>
    <t>2016-11-28T12:19:45.353</t>
  </si>
  <si>
    <t>Iframe issue: Salesforce not fetching parent in SOQL nested query</t>
  </si>
  <si>
    <t>2016-11-29T20:15:03.383</t>
  </si>
  <si>
    <t>2016-12-01T13:05:16.193</t>
  </si>
  <si>
    <t>&lt;salesforce&gt;&lt;apex-code&gt;&lt;visualforce&gt;&lt;apex&gt;&lt;salesforce-communities&gt;</t>
  </si>
  <si>
    <t>2016-12-09T15:30:55.417</t>
  </si>
  <si>
    <t>Insufficient access rights on cross-reference id in Salesforce when attempting to insert object from Mule</t>
  </si>
  <si>
    <t>2016-12-09T16:01:55.377</t>
  </si>
  <si>
    <t>&lt;salesforce&gt;&lt;mule&gt;&lt;anypoint-studio&gt;&lt;salesforce-communities&gt;</t>
  </si>
  <si>
    <t>2016-12-17T18:32:17.617</t>
  </si>
  <si>
    <t>How can I make a Lightning ui:InputDateTime control look like the Lightning Experience DateTime picker?</t>
  </si>
  <si>
    <t>2017-02-01T18:28:16.573</t>
  </si>
  <si>
    <t>2016-12-22T06:52:57.183</t>
  </si>
  <si>
    <t>My window.scrolltop not working</t>
  </si>
  <si>
    <t>2016-12-22T07:24:51.007</t>
  </si>
  <si>
    <t>2016-12-22T10:39:32.003</t>
  </si>
  <si>
    <t>Lightning page not working anymore with new updates in salesforce community</t>
  </si>
  <si>
    <t>&lt;salesforce&gt;&lt;lightning&gt;&lt;sfdc&gt;</t>
  </si>
  <si>
    <t>2017-01-02T00:56:31.163</t>
  </si>
  <si>
    <t>How to update a file in google drive using Google drive API</t>
  </si>
  <si>
    <t>2017-01-02T03:01:14.407</t>
  </si>
  <si>
    <t>2017-01-02T16:46:04.280</t>
  </si>
  <si>
    <t>&lt;google-drive-api&gt;&lt;apex-code&gt;&lt;salesforce-service-cloud&gt;</t>
  </si>
  <si>
    <t>2017-01-03T06:56:03.207</t>
  </si>
  <si>
    <t>Cross origin issue in salesforce response(Access-Control-Allow-Origin)</t>
  </si>
  <si>
    <t>2017-01-03T07:01:49.140</t>
  </si>
  <si>
    <t>2017-01-03T07:01:54.790</t>
  </si>
  <si>
    <t>&lt;javascript&gt;&lt;jquery&gt;&lt;salesforce&gt;&lt;salesforce-service-cloud&gt;&lt;salesforce-communities&gt;</t>
  </si>
  <si>
    <t>2017-01-09T07:02:39.690</t>
  </si>
  <si>
    <t>Need help in filtering the records in lightning application</t>
  </si>
  <si>
    <t>2017-01-09T07:12:05.090</t>
  </si>
  <si>
    <t>2017-01-24T23:00:01.167</t>
  </si>
  <si>
    <t>2017-01-10T17:37:11.240</t>
  </si>
  <si>
    <t>Salesforce Query to Check the Existing Contact with Account id</t>
  </si>
  <si>
    <t>2017-01-10T21:35:31.480</t>
  </si>
  <si>
    <t>2017-01-12T07:21:16.113</t>
  </si>
  <si>
    <t>&lt;salesforce&gt;&lt;salesforce-ios-sdk&gt;&lt;salesforce-communities&gt;</t>
  </si>
  <si>
    <t>2017-01-23T06:04:19.790</t>
  </si>
  <si>
    <t>I am trying to create a new component ("hello.cmp") but when i try to run it on the server I always get error shown in the screen shot</t>
  </si>
  <si>
    <t>2017-04-05T14:21:00.907</t>
  </si>
  <si>
    <t>2017-01-24T12:07:17.823</t>
  </si>
  <si>
    <t>Thunderbird+Lightning is rendering an ics invitation inappropriately</t>
  </si>
  <si>
    <t>2017-01-25T10:13:48.690</t>
  </si>
  <si>
    <t>2017-01-25T13:35:52.547</t>
  </si>
  <si>
    <t>&lt;email&gt;&lt;icalendar&gt;&lt;thunderbird&gt;&lt;lightning&gt;</t>
  </si>
  <si>
    <t>2017-02-03T12:29:06.680</t>
  </si>
  <si>
    <t>Need to create dynamic table in lightning</t>
  </si>
  <si>
    <t>2017-02-03T13:16:18.093</t>
  </si>
  <si>
    <t>&lt;javascript&gt;&lt;salesforce&gt;&lt;salesforce-service-cloud&gt;&lt;salesforce-lightning&gt;</t>
  </si>
  <si>
    <t>2017-02-05T15:46:26.417</t>
  </si>
  <si>
    <t>Salesforce JavaScript button in Lightning</t>
  </si>
  <si>
    <t>2017-02-05T20:20:43.353</t>
  </si>
  <si>
    <t>2017-02-19T23:20:54.903</t>
  </si>
  <si>
    <t>2017-02-19T23:14:35.727</t>
  </si>
  <si>
    <t>2017-02-08T06:49:06.777</t>
  </si>
  <si>
    <t>Click on arrow button in service cloud console using selenium</t>
  </si>
  <si>
    <t>&lt;selenium&gt;&lt;salesforce&gt;&lt;salesforce-service-cloud&gt;</t>
  </si>
  <si>
    <t>2017-02-09T23:04:16.750</t>
  </si>
  <si>
    <t>Access children of items inside a Lightning Component</t>
  </si>
  <si>
    <t>2017-05-24T07:46:36.917</t>
  </si>
  <si>
    <t>&lt;javascript&gt;&lt;controller&gt;&lt;tabs&gt;&lt;salesforce-lightning&gt;</t>
  </si>
  <si>
    <t>2017-02-10T22:27:12.330</t>
  </si>
  <si>
    <t>Add html to a lightning component from a visual force page</t>
  </si>
  <si>
    <t>2017-02-11T00:19:01.903</t>
  </si>
  <si>
    <t>2018-09-20T07:01:05.130</t>
  </si>
  <si>
    <t>&lt;javascript&gt;&lt;html&gt;&lt;kendo-ui&gt;&lt;visualforce&gt;&lt;salesforce-lightning&gt;</t>
  </si>
  <si>
    <t>2017-02-15T00:29:35.573</t>
  </si>
  <si>
    <t>How to interact with an element with an id like this: "inputText115:3551;a" using Selnium + webdriverIO + nodeJS</t>
  </si>
  <si>
    <t>2017-02-15T01:29:16.387</t>
  </si>
  <si>
    <t>2017-02-15T19:04:33.020</t>
  </si>
  <si>
    <t>&lt;javascript&gt;&lt;node.js&gt;&lt;selenium&gt;&lt;salesforce-lightning&gt;</t>
  </si>
  <si>
    <t>2017-02-16T15:03:09.253</t>
  </si>
  <si>
    <t>Unable to upload file to REST API</t>
  </si>
  <si>
    <t>2017-02-16T15:20:19.483</t>
  </si>
  <si>
    <t>2020-02-12T12:00:22.813</t>
  </si>
  <si>
    <t>&lt;python&gt;&lt;python-2.7&gt;&lt;curl&gt;&lt;python-requests&gt;&lt;salesforce-chatter&gt;</t>
  </si>
  <si>
    <t>2017-02-21T18:47:05.637</t>
  </si>
  <si>
    <t>Salesforce PushTopic NotifyForFields if element in where</t>
  </si>
  <si>
    <t>2017-02-22T01:24:26.230</t>
  </si>
  <si>
    <t>2017-02-24T16:56:28.253</t>
  </si>
  <si>
    <t>Pass parameters on community login URL</t>
  </si>
  <si>
    <t>2017-02-25T01:17:06.883</t>
  </si>
  <si>
    <t>&lt;javascript&gt;&lt;salesforce&gt;&lt;salesforce-communities&gt;&lt;salesforce-lightning&gt;</t>
  </si>
  <si>
    <t>2017-02-27T11:07:18.797</t>
  </si>
  <si>
    <t>Lightning components - can we make client HTTP requests?</t>
  </si>
  <si>
    <t>2017-04-18T20:30:09.270</t>
  </si>
  <si>
    <t>2018-02-10T20:34:46.253</t>
  </si>
  <si>
    <t>&lt;apex&gt;&lt;lightning&gt;&lt;salesforce-lightning&gt;</t>
  </si>
  <si>
    <t>2017-02-28T08:03:06.350</t>
  </si>
  <si>
    <t>how to import states of my country in states/province picklist in salesforce</t>
  </si>
  <si>
    <t>2017-03-01T10:51:15.160</t>
  </si>
  <si>
    <t>&lt;salesforce&gt;&lt;salesforce-service-cloud&gt;&lt;salesforce-lightning&gt;</t>
  </si>
  <si>
    <t>2017-03-03T11:05:10.017</t>
  </si>
  <si>
    <t>Exporting lightmaps to another project - Unity</t>
  </si>
  <si>
    <t>2017-03-06T08:22:56.340</t>
  </si>
  <si>
    <t>&lt;unity3d&gt;&lt;import&gt;&lt;export&gt;&lt;light&gt;&lt;lightning&gt;</t>
  </si>
  <si>
    <t>2017-03-07T07:50:01.287</t>
  </si>
  <si>
    <t>Invalid identifier: Amount__c in trigger in Salesforce</t>
  </si>
  <si>
    <t>2017-03-08T13:01:04.810</t>
  </si>
  <si>
    <t>2017-03-07T20:48:05.590</t>
  </si>
  <si>
    <t>Publish Post to Contact</t>
  </si>
  <si>
    <t>2017-03-08T15:59:41.337</t>
  </si>
  <si>
    <t>2017-03-14T11:19:21.500</t>
  </si>
  <si>
    <t>Failed to install 'cordova-plugin-whitelist': Error using forcedroid command line</t>
  </si>
  <si>
    <t>2017-05-23T10:29:56.047</t>
  </si>
  <si>
    <t>2017-03-14T18:24:52.880</t>
  </si>
  <si>
    <t>&lt;android&gt;&lt;cordova&gt;&lt;salesforce&gt;&lt;salesforce-ios-sdk&gt;&lt;salesforce-communities&gt;</t>
  </si>
  <si>
    <t>2017-03-15T11:55:59.727</t>
  </si>
  <si>
    <t>How to create bulkconnection with accesstoken in salesforce</t>
  </si>
  <si>
    <t>&lt;java&gt;&lt;salesforce&gt;&lt;salesforce-service-cloud&gt;&lt;salesforce-ios-sdk&gt;&lt;salesforce-communities&gt;</t>
  </si>
  <si>
    <t>2017-03-20T16:08:20.630</t>
  </si>
  <si>
    <t>how to distinguish tasks on events in List&lt;sObject&gt; in salesforce</t>
  </si>
  <si>
    <t>2017-03-21T12:46:26.683</t>
  </si>
  <si>
    <t>&lt;salesforce&gt;&lt;visualforce&gt;&lt;apex&gt;&lt;salesforce-lightning&gt;</t>
  </si>
  <si>
    <t>2017-03-22T18:07:22.880</t>
  </si>
  <si>
    <t>SLDS svg icons not rendering with Webpack 2</t>
  </si>
  <si>
    <t>2017-03-31T16:52:37.303</t>
  </si>
  <si>
    <t>&lt;javascript&gt;&lt;svg&gt;&lt;webpack&gt;&lt;salesforce-lightning&gt;</t>
  </si>
  <si>
    <t>2017-03-28T06:03:26.613</t>
  </si>
  <si>
    <t>Sending information from LeadsBridge post to apex salesforce rest Service</t>
  </si>
  <si>
    <t>&lt;facebook&gt;&lt;web-services&gt;&lt;rest&gt;&lt;apex&gt;&lt;salesforce-service-cloud&gt;</t>
  </si>
  <si>
    <t>2017-03-29T14:17:30.453</t>
  </si>
  <si>
    <t>Get html input type value in lightning JS controller</t>
  </si>
  <si>
    <t>2017-04-03T11:04:49.037</t>
  </si>
  <si>
    <t>2017-04-02T03:26:57.163</t>
  </si>
  <si>
    <t>Salesforce - Unable to create/update fields: IsVisibleInCsp</t>
  </si>
  <si>
    <t>&lt;salesforce&gt;&lt;salesforce-service-cloud&gt;&lt;salesforce-communities&gt;&lt;salesforce-lightning&gt;</t>
  </si>
  <si>
    <t>2017-04-06T16:43:23.950</t>
  </si>
  <si>
    <t>aura:if is not evaluating and aura:iteration not displaying</t>
  </si>
  <si>
    <t>2017-04-06T19:27:25.427</t>
  </si>
  <si>
    <t>&lt;javascript&gt;&lt;lightning&gt;&lt;aura.js&gt;</t>
  </si>
  <si>
    <t>2017-04-10T07:26:43.010</t>
  </si>
  <si>
    <t>Customize "Send With Docusign" in Salesforce Lightning</t>
  </si>
  <si>
    <t>2017-04-11T13:16:03.870</t>
  </si>
  <si>
    <t>2019-10-11T11:04:35.327</t>
  </si>
  <si>
    <t>&lt;salesforce&gt;&lt;docusignapi&gt;&lt;lightning&gt;</t>
  </si>
  <si>
    <t>2017-04-10T21:04:31.907</t>
  </si>
  <si>
    <t>SalesForce Live Agent Rest API not working when using Postman</t>
  </si>
  <si>
    <t>2018-04-25T01:40:51.060</t>
  </si>
  <si>
    <t>&lt;rest&gt;&lt;salesforce&gt;&lt;postman&gt;&lt;salesforce-service-cloud&gt;</t>
  </si>
  <si>
    <t>2017-04-11T09:35:06.017</t>
  </si>
  <si>
    <t>2017-04-17T15:34:01.403</t>
  </si>
  <si>
    <t>How to set username and password in PHP script for Salesforce login using Rest API</t>
  </si>
  <si>
    <t>2017-04-17T23:28:17.373</t>
  </si>
  <si>
    <t>&lt;php&gt;&lt;rest&gt;&lt;oauth&gt;&lt;salesforce&gt;&lt;salesforce-communities&gt;</t>
  </si>
  <si>
    <t>2017-04-18T03:09:53.027</t>
  </si>
  <si>
    <t>Not able to disable right-click in Salesforce Lightning Page</t>
  </si>
  <si>
    <t>2017-04-18T10:36:15.420</t>
  </si>
  <si>
    <t>&lt;javascript&gt;&lt;salesforce-lightning&gt;</t>
  </si>
  <si>
    <t>2017-04-21T06:25:34.320</t>
  </si>
  <si>
    <t>Salesforce Lightning: Controller functions interaction within the same component</t>
  </si>
  <si>
    <t>2017-04-21T10:00:52.580</t>
  </si>
  <si>
    <t>2017-08-22T04:14:31.290</t>
  </si>
  <si>
    <t>&lt;salesforce&gt;&lt;salesforce-chatter&gt;&lt;salesforce-communities&gt;&lt;salesforce-lightning&gt;</t>
  </si>
  <si>
    <t>2017-04-21T17:50:50.550</t>
  </si>
  <si>
    <t>How to get the access_token first in Apex Restful service to call GET/POST methods from outside?</t>
  </si>
  <si>
    <t>user5778069</t>
  </si>
  <si>
    <t>2017-05-09T16:56:35.057</t>
  </si>
  <si>
    <t>&lt;java&gt;&lt;salesforce&gt;&lt;apex&gt;&lt;salesforce-service-cloud&gt;</t>
  </si>
  <si>
    <t>2017-05-09T16:56:12.230</t>
  </si>
  <si>
    <t>2017-04-24T13:33:44.940</t>
  </si>
  <si>
    <t>Uploading .txt file to Salesforce</t>
  </si>
  <si>
    <t>2017-05-14T13:55:30.617</t>
  </si>
  <si>
    <t>2017-04-27T10:47:31.380</t>
  </si>
  <si>
    <t>How to get values from dynamically created lightning Components?</t>
  </si>
  <si>
    <t>2017-08-10T14:15:28.963</t>
  </si>
  <si>
    <t>&lt;javascript&gt;&lt;dynamic&gt;&lt;salesforce&gt;&lt;salesforce-lightning&gt;</t>
  </si>
  <si>
    <t>2017-05-02T08:32:04.550</t>
  </si>
  <si>
    <t>FullCalender functionality not working after activating locker service</t>
  </si>
  <si>
    <t>2017-05-02T08:48:17.347</t>
  </si>
  <si>
    <t>2017-05-08T12:17:30.727</t>
  </si>
  <si>
    <t>&lt;salesforce-lightning&gt;</t>
  </si>
  <si>
    <t>2017-05-02T09:09:30.270</t>
  </si>
  <si>
    <t>Sizing the image inside rich text field</t>
  </si>
  <si>
    <t>2019-02-14T17:12:54.483</t>
  </si>
  <si>
    <t>2017-07-10T06:06:48.003</t>
  </si>
  <si>
    <t>2017-05-02T12:21:49.207</t>
  </si>
  <si>
    <t>Fullcalendar scheduler not rendered correclty in lightning component</t>
  </si>
  <si>
    <t>&lt;javascript&gt;&lt;jquery&gt;&lt;fullcalendar&gt;&lt;scheduler&gt;&lt;salesforce-lightning&gt;</t>
  </si>
  <si>
    <t>2017-05-18T07:15:13.660</t>
  </si>
  <si>
    <t>SalesForce marketing System not getting decrypted in Using java Crypto</t>
  </si>
  <si>
    <t>2017-05-23T09:36:35.917</t>
  </si>
  <si>
    <t>Salesforce lightning Action modal size</t>
  </si>
  <si>
    <t>2017-05-23T10:01:53.497</t>
  </si>
  <si>
    <t>2019-08-30T14:29:01.837</t>
  </si>
  <si>
    <t>&lt;css&gt;&lt;salesforce&gt;&lt;salesforce-lightning&gt;&lt;aura-framework&gt;</t>
  </si>
  <si>
    <t>2017-05-29T01:56:50.087</t>
  </si>
  <si>
    <t>How to open/close a modal in Salesforce Lightning App?</t>
  </si>
  <si>
    <t>2017-05-29T02:21:43.077</t>
  </si>
  <si>
    <t>2018-03-09T10:00:05.803</t>
  </si>
  <si>
    <t>2017-05-30T08:16:49.867</t>
  </si>
  <si>
    <t>2017-06-05T09:41:09.253</t>
  </si>
  <si>
    <t>Integrating Twilio with Salesforce</t>
  </si>
  <si>
    <t>&lt;salesforce&gt;&lt;twilio&gt;&lt;salesforce-lightning&gt;</t>
  </si>
  <si>
    <t>2017-06-06T15:46:36.753</t>
  </si>
  <si>
    <t>Developer Console, github</t>
  </si>
  <si>
    <t>2017-06-06T19:54:15.630</t>
  </si>
  <si>
    <t>&lt;github&gt;&lt;salesforce&gt;&lt;lightning&gt;</t>
  </si>
  <si>
    <t>2017-06-07T15:11:30.577</t>
  </si>
  <si>
    <t>Salesforce Navigation Menu - remove home</t>
  </si>
  <si>
    <t>2017-06-08T15:41:53.923</t>
  </si>
  <si>
    <t>2017-06-07T17:32:28.193</t>
  </si>
  <si>
    <t>Object doesn’t support property or method ‘readAsBinaryString’ - IE11</t>
  </si>
  <si>
    <t>2017-06-10T09:30:51.463</t>
  </si>
  <si>
    <t>&lt;javascript&gt;&lt;salesforce&gt;&lt;internet-explorer-11&gt;&lt;apex&gt;&lt;lightning&gt;</t>
  </si>
  <si>
    <t>2017-06-12T10:54:32.847</t>
  </si>
  <si>
    <t>jQuery UI not loading when lightning component embedded inside VF on console</t>
  </si>
  <si>
    <t>2017-08-21T13:43:00.377</t>
  </si>
  <si>
    <t>2017-06-15T10:41:40.883</t>
  </si>
  <si>
    <t>how to add button to lightning list view</t>
  </si>
  <si>
    <t>&lt;salesforce&gt;&lt;apex&gt;&lt;lightning&gt;&lt;salesforce-lightning&gt;</t>
  </si>
  <si>
    <t>2017-06-16T11:32:45.650</t>
  </si>
  <si>
    <t>Visual foce page - sforce.console.refreshPrimaryTabById not working in lightning?</t>
  </si>
  <si>
    <t>&lt;javascript&gt;&lt;salesforce&gt;&lt;visualforce&gt;&lt;apex&gt;&lt;salesforce-lightning&gt;</t>
  </si>
  <si>
    <t>2017-06-22T09:00:08.703</t>
  </si>
  <si>
    <t>Apex Lightning upload fail because missing test class</t>
  </si>
  <si>
    <t>2017-06-22T17:05:09.283</t>
  </si>
  <si>
    <t>&lt;salesforce&gt;&lt;apex&gt;&lt;salesforce-lightning&gt;</t>
  </si>
  <si>
    <t>2017-06-23T17:49:32.387</t>
  </si>
  <si>
    <t>Migrate Salesforce data from one org to another</t>
  </si>
  <si>
    <t>2019-09-17T13:12:45.307</t>
  </si>
  <si>
    <t>&lt;salesforce&gt;&lt;data-migration&gt;&lt;salesforce-lightning&gt;</t>
  </si>
  <si>
    <t>2017-06-28T06:11:16.670</t>
  </si>
  <si>
    <t>Custom object search in Salesforce Lightning</t>
  </si>
  <si>
    <t>2017-08-10T14:20:16.653</t>
  </si>
  <si>
    <t>2017-07-05T16:02:15.220</t>
  </si>
  <si>
    <t>Salesforce OpenCTI API for lightning could not be initialized</t>
  </si>
  <si>
    <t>2017-07-05T16:59:02.440</t>
  </si>
  <si>
    <t>2017-07-25T17:40:18.677</t>
  </si>
  <si>
    <t>Size limit on ContentVersion object in Salesforce</t>
  </si>
  <si>
    <t>2017-07-26T22:34:13.960</t>
  </si>
  <si>
    <t>&lt;file-upload&gt;&lt;salesforce&gt;&lt;salesforce-lightning&gt;</t>
  </si>
  <si>
    <t>2017-08-08T09:58:18.370</t>
  </si>
  <si>
    <t>how to dynamically highlight a data point in line chart</t>
  </si>
  <si>
    <t>2017-08-08T11:10:59.667</t>
  </si>
  <si>
    <t>&lt;javascript&gt;&lt;salesforce&gt;&lt;chart.js&gt;&lt;salesforce-lightning&gt;</t>
  </si>
  <si>
    <t>2017-08-18T08:19:50.373</t>
  </si>
  <si>
    <t>Can Salesforce Commerce Cloud be used as CMS?</t>
  </si>
  <si>
    <t>2017-10-14T19:42:47.667</t>
  </si>
  <si>
    <t>2019-03-08T03:44:08.220</t>
  </si>
  <si>
    <t>&lt;salesforce&gt;&lt;salesforce-communities&gt;&lt;salesforce-einstein&gt;</t>
  </si>
  <si>
    <t>2017-10-11T20:16:20.760</t>
  </si>
  <si>
    <t>2017-08-23T08:24:53.570</t>
  </si>
  <si>
    <t>&lt;ui:inputText&gt; keyup returns incorrect value (one less)</t>
  </si>
  <si>
    <t>2017-08-23T08:32:29.497</t>
  </si>
  <si>
    <t>2018-04-16T01:28:26.297</t>
  </si>
  <si>
    <t>&lt;lightning&gt;&lt;salesforce-lightning&gt;</t>
  </si>
  <si>
    <t>2017-08-29T05:37:11.447</t>
  </si>
  <si>
    <t>Cannot validate on saving new record</t>
  </si>
  <si>
    <t>2017-08-29T10:53:15.533</t>
  </si>
  <si>
    <t>&lt;salesforce&gt;&lt;visualforce&gt;&lt;apex&gt;&lt;salesforce-communities&gt;</t>
  </si>
  <si>
    <t>2017-08-30T18:24:14.013</t>
  </si>
  <si>
    <t>Leaflet Map in Lightning component on account page</t>
  </si>
  <si>
    <t>2017-11-28T20:50:17.783</t>
  </si>
  <si>
    <t>&lt;leaflet&gt;&lt;salesforce-lightning&gt;</t>
  </si>
  <si>
    <t>2017-09-02T17:40:20.803</t>
  </si>
  <si>
    <t>Validate visual flow screen fields using 3rd part javascript library</t>
  </si>
  <si>
    <t>2017-09-07T14:51:52.543</t>
  </si>
  <si>
    <t>2017-09-06T01:39:38.930</t>
  </si>
  <si>
    <t>Error: Lookups on activites must have a unique domain</t>
  </si>
  <si>
    <t>2018-01-02T04:32:57.433</t>
  </si>
  <si>
    <t>&lt;salesforce&gt;&lt;salesforce-lightning&gt;&lt;salesforce-communities&gt;</t>
  </si>
  <si>
    <t>2017-09-24T11:30:42.023</t>
  </si>
  <si>
    <t>2017-09-06T05:39:16.197</t>
  </si>
  <si>
    <t>How to Identify Elements in Salesforce Lightning for Selenium</t>
  </si>
  <si>
    <t>2019-07-08T08:01:49.083</t>
  </si>
  <si>
    <t>&lt;selenium&gt;&lt;automation&gt;&lt;salesforce&gt;&lt;salesforce-lightning&gt;</t>
  </si>
  <si>
    <t>2017-09-18T10:44:37.450</t>
  </si>
  <si>
    <t>Can I set up a web form that will populate an opportunity in my salesforce</t>
  </si>
  <si>
    <t>user6171874</t>
  </si>
  <si>
    <t>2017-09-19T18:46:49.197</t>
  </si>
  <si>
    <t>&lt;salesforce&gt;&lt;salesforce-service-cloud&gt;&lt;salesforce-communities&gt;</t>
  </si>
  <si>
    <t>2017-09-26T08:20:46.647</t>
  </si>
  <si>
    <t>Using Salesforce Data Import Wizard to Import Contacts and Convert Leads</t>
  </si>
  <si>
    <t>2017-09-29T01:24:21.910</t>
  </si>
  <si>
    <t>2017-10-04T06:40:11.503</t>
  </si>
  <si>
    <t>How to do salesforce authentication (pages) from ASP.Net MVC application login page using OAuth?</t>
  </si>
  <si>
    <t>2017-10-04T08:52:37.170</t>
  </si>
  <si>
    <t>&lt;oauth&gt;&lt;salesforce&gt;&lt;integration&gt;&lt;salesforce-service-cloud&gt;</t>
  </si>
  <si>
    <t>2017-10-09T13:29:11.483</t>
  </si>
  <si>
    <t>SFCC (demandware) Debugging</t>
  </si>
  <si>
    <t>2020-03-09T21:00:17.173</t>
  </si>
  <si>
    <t>&lt;debugging&gt;&lt;salesforce&gt;&lt;salesforce-service-cloud&gt;&lt;demandware&gt;</t>
  </si>
  <si>
    <t>2017-10-12T08:48:21.490</t>
  </si>
  <si>
    <t>salesforce lightning: you need permission to refresh this dashboard</t>
  </si>
  <si>
    <t>2017-10-23T09:43:50.580</t>
  </si>
  <si>
    <t>&lt;dashboard&gt;&lt;salesforce-lightning&gt;</t>
  </si>
  <si>
    <t>2017-10-12T19:24:35.577</t>
  </si>
  <si>
    <t>Smart search for acronyms in Salesforce</t>
  </si>
  <si>
    <t>2017-10-12T20:57:47.690</t>
  </si>
  <si>
    <t>&lt;search&gt;&lt;salesforce&gt;&lt;salesforce-service-cloud&gt;&lt;acronym&gt;</t>
  </si>
  <si>
    <t>2017-10-16T18:28:13.717</t>
  </si>
  <si>
    <t>Twitter new DM API, legacy method of authorization not working</t>
  </si>
  <si>
    <t>2017-10-16T23:38:13.310</t>
  </si>
  <si>
    <t>2018-03-27T12:52:38.457</t>
  </si>
  <si>
    <t>&lt;api&gt;&lt;twitter&gt;&lt;salesforce&gt;&lt;twitter-oauth&gt;&lt;salesforce-service-cloud&gt;</t>
  </si>
  <si>
    <t>2017-10-16T21:53:56.223</t>
  </si>
  <si>
    <t>Winter 18' release and Service Cloud Toolkit API cannot be used with your browser</t>
  </si>
  <si>
    <t>2017-10-22T12:54:04.407</t>
  </si>
  <si>
    <t>Getting error: Authentication with the CRM provider failed, while creating sfdc instance through cloudelements</t>
  </si>
  <si>
    <t>2018-09-11T09:16:20.247</t>
  </si>
  <si>
    <t>2017-10-26T03:46:06.477</t>
  </si>
  <si>
    <t>Set attribute disabled checkbox</t>
  </si>
  <si>
    <t>2018-09-23T19:32:21.977</t>
  </si>
  <si>
    <t>&lt;salesforce&gt;&lt;lightning&gt;&lt;salesforce-lightning&gt;&lt;aura.js&gt;</t>
  </si>
  <si>
    <t>2017-10-27T08:41:39.520</t>
  </si>
  <si>
    <t>SalesForce Chatter Rest API - Can not set CreatedDate</t>
  </si>
  <si>
    <t>2017-10-28T11:55:11.610</t>
  </si>
  <si>
    <t>System.JSONException: Current context not an ARRAY but OBJECT</t>
  </si>
  <si>
    <t>&lt;java&gt;&lt;json&gt;&lt;salesforce&gt;&lt;salesforce-lightning&gt;</t>
  </si>
  <si>
    <t>2017-11-03T21:25:31.893</t>
  </si>
  <si>
    <t>Nested lightning components in Salesforce communities</t>
  </si>
  <si>
    <t>2017-11-04T13:03:32.040</t>
  </si>
  <si>
    <t>&lt;salesforce-lightning&gt;&lt;aura-framework&gt;</t>
  </si>
  <si>
    <t>2017-11-04T05:32:27.910</t>
  </si>
  <si>
    <t>CustomLabels- " Error parsing file: Unexpected element {http://soap.sforce.com/2006/04/metadata}ol during simple type deserialization"</t>
  </si>
  <si>
    <t>2017-11-04T06:13:03.543</t>
  </si>
  <si>
    <t>2017-11-04T12:15:45.977</t>
  </si>
  <si>
    <t>&lt;javascript&gt;&lt;angularjs&gt;&lt;salesforce&gt;&lt;salesforce-service-cloud&gt;&lt;salesforce-lightning&gt;</t>
  </si>
  <si>
    <t>2017-11-10T00:16:47.170</t>
  </si>
  <si>
    <t>Pre-populate recipients list on Docusign for Salesforce Lightning</t>
  </si>
  <si>
    <t>2017-11-11T16:00:52.640</t>
  </si>
  <si>
    <t>&lt;salesforce&gt;&lt;docusignapi&gt;&lt;salesforce-lightning&gt;</t>
  </si>
  <si>
    <t>2017-11-12T21:10:12.640</t>
  </si>
  <si>
    <t>"Unexpected token import" when testing Angular with Jest</t>
  </si>
  <si>
    <t>2017-11-12T21:30:40.020</t>
  </si>
  <si>
    <t>2018-05-04T22:11:32.750</t>
  </si>
  <si>
    <t>&lt;javascript&gt;&lt;angular&gt;&lt;jestjs&gt;&lt;salesforce-lightning&gt;</t>
  </si>
  <si>
    <t>2017-11-13T06:54:07.477</t>
  </si>
  <si>
    <t>salesforce application create a generic xpath using selenium webdriver with java</t>
  </si>
  <si>
    <t>2017-11-13T07:53:30.990</t>
  </si>
  <si>
    <t>&lt;java&gt;&lt;selenium&gt;&lt;xpath&gt;&lt;selenium-webdriver&gt;&lt;salesforce-lightning&gt;</t>
  </si>
  <si>
    <t>2017-11-13T07:16:57.247</t>
  </si>
  <si>
    <t>Superbadge: Lightning Component Framework Specialist - Step 3</t>
  </si>
  <si>
    <t>2019-10-29T07:11:06.103</t>
  </si>
  <si>
    <t>2017-11-14T19:27:51.573</t>
  </si>
  <si>
    <t>Web workers are not working in lightning container due to SalesForce's CSP</t>
  </si>
  <si>
    <t>2017-11-29T20:00:27.653</t>
  </si>
  <si>
    <t>&lt;salesforce&gt;&lt;content-security-policy&gt;&lt;salesforce-lightning&gt;</t>
  </si>
  <si>
    <t>2017-11-17T07:27:56.267</t>
  </si>
  <si>
    <t>How do I add a loading spinner for every request on backend Salesforce Cloud</t>
  </si>
  <si>
    <t>2017-11-17T07:57:04.100</t>
  </si>
  <si>
    <t>2017-11-28T10:25:19.580</t>
  </si>
  <si>
    <t>2017-11-20T08:55:53.533</t>
  </si>
  <si>
    <t>Run formula only once on Salesforce custom Date/time field</t>
  </si>
  <si>
    <t>2018-01-21T23:42:45.180</t>
  </si>
  <si>
    <t>2017-11-27T07:38:16.793</t>
  </si>
  <si>
    <t>Can't Create Site in Salesforce(18) - Classic</t>
  </si>
  <si>
    <t>2017-12-10T21:25:54.230</t>
  </si>
  <si>
    <t>2017-12-03T10:26:41.923</t>
  </si>
  <si>
    <t>Do triggers work for attachments object on insert event?</t>
  </si>
  <si>
    <t>2017-12-04T03:36:04.010</t>
  </si>
  <si>
    <t>2017-12-04T18:47:18.473</t>
  </si>
  <si>
    <t>&lt;triggers&gt;&lt;salesforce&gt;&lt;apex&gt;&lt;salesforce-lightning&gt;</t>
  </si>
  <si>
    <t>2017-12-04T07:50:16.033</t>
  </si>
  <si>
    <t>What is the best way in Lightening Salesforce to manage the text content of the site from a single file</t>
  </si>
  <si>
    <t>2017-12-04T08:11:44.993</t>
  </si>
  <si>
    <t>2017-12-15T00:03:33.560</t>
  </si>
  <si>
    <t>&lt;salesforce&gt;&lt;apex&gt;&lt;salesforce-service-cloud&gt;&lt;salesforce-lightning&gt;</t>
  </si>
  <si>
    <t>2017-12-09T19:53:21.593</t>
  </si>
  <si>
    <t>Lightning Component not showing on Lightning Tab</t>
  </si>
  <si>
    <t>2017-12-11T02:26:53.213</t>
  </si>
  <si>
    <t>2017-12-11T22:42:54.793</t>
  </si>
  <si>
    <t>&lt;salesforce&gt;&lt;salesforce-lightning&gt;&lt;lightning&gt;</t>
  </si>
  <si>
    <t>2017-12-11T09:12:39.627</t>
  </si>
  <si>
    <t>sales force inner join Query is not Working?</t>
  </si>
  <si>
    <t>2017-12-11T10:19:37.103</t>
  </si>
  <si>
    <t>2017-12-12T18:45:54.567</t>
  </si>
  <si>
    <t>&lt;c#&gt;&lt;join&gt;&lt;wsdl&gt;&lt;salesforce&gt;&lt;salesforce-service-cloud&gt;</t>
  </si>
  <si>
    <t>2017-12-11T22:47:48.557</t>
  </si>
  <si>
    <t>Protected Custom Setting not available in lightning Component</t>
  </si>
  <si>
    <t>2018-02-21T08:49:24.063</t>
  </si>
  <si>
    <t>2017-12-13T19:27:41.423</t>
  </si>
  <si>
    <t>Not able to include "design-system-react" in our project. Getting "Uncaught Error: Invalid tag: /static/media/index.8365feb8.jsx"</t>
  </si>
  <si>
    <t>2017-12-13T20:05:25.830</t>
  </si>
  <si>
    <t>&lt;reactjs&gt;&lt;npm&gt;&lt;webpack&gt;&lt;salesforce-lightning&gt;</t>
  </si>
  <si>
    <t>2017-12-13T20:31:24.717</t>
  </si>
  <si>
    <t>Auto Populate the Opportunity Owner name into custom text field</t>
  </si>
  <si>
    <t>2017-12-17T18:47:29.987</t>
  </si>
  <si>
    <t>2017-12-14T19:44:03.803</t>
  </si>
  <si>
    <t>SLDS : SyntaxError: Invalid regular expression: /\/: \ at end of pattern</t>
  </si>
  <si>
    <t>&lt;node.js&gt;&lt;salesforce&gt;&lt;lightning&gt;</t>
  </si>
  <si>
    <t>2017-12-28T04:39:01.103</t>
  </si>
  <si>
    <t>Error - BoatSearchResults component is missing the correct layout attributes to create multiple rows</t>
  </si>
  <si>
    <t>2017-12-30T03:26:08.650</t>
  </si>
  <si>
    <t>&lt;salesforce-lightning&gt;&lt;salesforce-communities&gt;</t>
  </si>
  <si>
    <t>2018-01-04T06:32:12.560</t>
  </si>
  <si>
    <t>Creating Salesforce Custom Formula Field - (Error Incorrect Parameter Type)</t>
  </si>
  <si>
    <t>2018-01-05T02:30:31.133</t>
  </si>
  <si>
    <t>&lt;salesforce&gt;&lt;formulas&gt;&lt;salesforce-communities&gt;</t>
  </si>
  <si>
    <t>2018-01-04T08:31:52.857</t>
  </si>
  <si>
    <t>Cannot scroll on Strike MultiSelect element using Lightening component Salesforce</t>
  </si>
  <si>
    <t>2018-05-21T12:37:24.953</t>
  </si>
  <si>
    <t>&lt;javascript&gt;&lt;html&gt;&lt;css&gt;&lt;salesforce-lightning&gt;</t>
  </si>
  <si>
    <t>2018-01-09T13:06:45.073</t>
  </si>
  <si>
    <t>Cannot get the attribute value in Internet Explorer when using onkeyup in Lightening Component Salesforce</t>
  </si>
  <si>
    <t>2018-01-09T21:55:11.053</t>
  </si>
  <si>
    <t>&lt;javascript&gt;&lt;html&gt;&lt;salesforce-lightning&gt;</t>
  </si>
  <si>
    <t>2018-01-18T06:52:44.653</t>
  </si>
  <si>
    <t>Katalon Studio: Suppressing Alerts in Chrome Preferences</t>
  </si>
  <si>
    <t>2018-02-08T07:50:31.700</t>
  </si>
  <si>
    <t>&lt;google-chrome&gt;&lt;selenium&gt;&lt;alert&gt;&lt;lightning&gt;&lt;katalon-studio&gt;</t>
  </si>
  <si>
    <t>2018-01-19T13:44:40.203</t>
  </si>
  <si>
    <t>Accessing and Updating External Databases From Salesforce</t>
  </si>
  <si>
    <t>2018-02-07T19:06:42.257</t>
  </si>
  <si>
    <t>&lt;rest&gt;&lt;salesforce&gt;&lt;salesforce-lightning&gt;</t>
  </si>
  <si>
    <t>2018-01-23T15:00:33.453</t>
  </si>
  <si>
    <t>Is it possible to migrate all collateral from Pardot to Marketing Cloud seamlessly with an app or some code?</t>
  </si>
  <si>
    <t>2018-08-27T18:58:50.387</t>
  </si>
  <si>
    <t>&lt;salesforce&gt;&lt;salesforce-lightning&gt;&lt;pardot&gt;</t>
  </si>
  <si>
    <t>2018-01-25T09:42:41.860</t>
  </si>
  <si>
    <t>event.currentTarget getting undefined on Chrome</t>
  </si>
  <si>
    <t>2018-01-25T14:11:19.203</t>
  </si>
  <si>
    <t>2018-01-30T11:41:16.233</t>
  </si>
  <si>
    <t>Can we call .Net WebApi from Salesforce?</t>
  </si>
  <si>
    <t>2018-01-30T12:27:01.377</t>
  </si>
  <si>
    <t>2018-01-30T16:16:36.720</t>
  </si>
  <si>
    <t>Service Cloud Snap-ins SDK for Mobile Apps for Xamarin</t>
  </si>
  <si>
    <t>2018-01-30T16:57:47.280</t>
  </si>
  <si>
    <t>2018-01-30T17:04:20.330</t>
  </si>
  <si>
    <t>&lt;service&gt;&lt;xamarin.ios&gt;&lt;sdk&gt;&lt;cloud&gt;&lt;salesforce-service-cloud&gt;</t>
  </si>
  <si>
    <t>2018-02-01T06:19:20.187</t>
  </si>
  <si>
    <t>How to get parameter from lightning URL in Salesforce?</t>
  </si>
  <si>
    <t>2019-07-31T06:53:36.997</t>
  </si>
  <si>
    <t>&lt;visualforce&gt;&lt;apex&gt;&lt;salesforce-lightning&gt;</t>
  </si>
  <si>
    <t>2018-02-05T11:10:34.703</t>
  </si>
  <si>
    <t>Multi Language in SFDC in Chat Landing Page</t>
  </si>
  <si>
    <t>&lt;salesforce&gt;&lt;salesforce-service-cloud&gt;&lt;salesforce-lightning&gt;&lt;salesforce-communities&gt;&lt;sfdc&gt;</t>
  </si>
  <si>
    <t>2018-02-05T23:51:29.153</t>
  </si>
  <si>
    <t>sum fields on js object by 2 fields and create instead of the object javascript</t>
  </si>
  <si>
    <t>2018-02-06T03:29:08.080</t>
  </si>
  <si>
    <t>2018-02-06T12:25:06.307</t>
  </si>
  <si>
    <t>&lt;javascript&gt;&lt;html&gt;&lt;salesforce&gt;&lt;salesforce-lightning&gt;&lt;aura.js&gt;</t>
  </si>
  <si>
    <t>2018-02-06T02:25:15.777</t>
  </si>
  <si>
    <t>2018-02-13T19:08:40.210</t>
  </si>
  <si>
    <t>How can I rename the header on the 'New Account' popup in Salesforce Lightning?</t>
  </si>
  <si>
    <t>2018-02-14T18:53:05.567</t>
  </si>
  <si>
    <t>2018-02-13T20:55:49.433</t>
  </si>
  <si>
    <t>Salesforce PickList to dynamic hyperlinks list</t>
  </si>
  <si>
    <t>2018-02-13T21:04:52.250</t>
  </si>
  <si>
    <t>2018-02-14T18:42:35.930</t>
  </si>
  <si>
    <t>2018-02-14T11:01:12.180</t>
  </si>
  <si>
    <t>How to add css in mail template in salesforce marketing cloud?</t>
  </si>
  <si>
    <t>2018-05-21T12:40:53.680</t>
  </si>
  <si>
    <t>&lt;salesforce&gt;&lt;email-templates&gt;&lt;salesforce-service-cloud&gt;</t>
  </si>
  <si>
    <t>2018-02-15T17:52:13.113</t>
  </si>
  <si>
    <t>Salesforce Lighting Components not visible in community pages</t>
  </si>
  <si>
    <t>2018-02-16T20:48:27.800</t>
  </si>
  <si>
    <t>2018-02-21T02:54:16.803</t>
  </si>
  <si>
    <t>How to Send the uploaded file to Apex using lightning:fileUpload - Salesforce lightning</t>
  </si>
  <si>
    <t>2018-02-22T15:45:46.787</t>
  </si>
  <si>
    <t>2018-09-17T12:01:19.677</t>
  </si>
  <si>
    <t>2018-02-25T23:32:37.787</t>
  </si>
  <si>
    <t>SalesForce - AWS SNS integration reference</t>
  </si>
  <si>
    <t>2018-02-27T18:54:34.537</t>
  </si>
  <si>
    <t>&lt;amazon-web-services&gt;&lt;amazon-sns&gt;&lt;salesforce-lightning&gt;&lt;lightning&gt;</t>
  </si>
  <si>
    <t>2018-03-04T16:44:41.810</t>
  </si>
  <si>
    <t>How to re-sync c-lightning with mainnet blockchain?</t>
  </si>
  <si>
    <t>2018-03-08T12:25:23.210</t>
  </si>
  <si>
    <t>&lt;bitcoin&gt;&lt;lightning&gt;</t>
  </si>
  <si>
    <t>2018-03-05T11:36:32.197</t>
  </si>
  <si>
    <t>2018-03-05T09:09:23.523</t>
  </si>
  <si>
    <t>SLDS Ligntning Design Tokens</t>
  </si>
  <si>
    <t>2018-09-03T14:50:05.427</t>
  </si>
  <si>
    <t>2018-03-07T16:39:45.600</t>
  </si>
  <si>
    <t>Is there a way to do a "Contains" Query in Salesforce/SOQL that picks up that word in a sentence, but not if it's part of a word?</t>
  </si>
  <si>
    <t>2018-07-30T14:56:07.470</t>
  </si>
  <si>
    <t>&lt;salesforce&gt;&lt;crm&gt;&lt;soql&gt;&lt;salesforce-lightning&gt;</t>
  </si>
  <si>
    <t>2018-03-09T18:51:51.573</t>
  </si>
  <si>
    <t>check if two object list have the same property</t>
  </si>
  <si>
    <t>2018-03-09T19:56:50.530</t>
  </si>
  <si>
    <t>&lt;javascript&gt;&lt;jquery&gt;&lt;loops&gt;&lt;salesforce-lightning&gt;</t>
  </si>
  <si>
    <t>2018-03-11T14:01:34.430</t>
  </si>
  <si>
    <t>Get Contact Emails of Currently Active Account as List</t>
  </si>
  <si>
    <t>2019-01-03T03:27:01.503</t>
  </si>
  <si>
    <t>&lt;salesforce&gt;&lt;apex&gt;&lt;apex-code&gt;&lt;soql&gt;&lt;salesforce-lightning&gt;</t>
  </si>
  <si>
    <t>2018-03-12T18:08:52.287</t>
  </si>
  <si>
    <t>2018-03-13T16:54:42.263</t>
  </si>
  <si>
    <t>How to Create New Case in Salesforce from third-party web application using API</t>
  </si>
  <si>
    <t>2019-02-13T21:24:17.017</t>
  </si>
  <si>
    <t>2018-03-13T18:10:29.870</t>
  </si>
  <si>
    <t>My Current Code Coverage is at 0% when trying to validate and deploy Trigger</t>
  </si>
  <si>
    <t>2018-03-15T17:14:12.183</t>
  </si>
  <si>
    <t>&lt;salesforce&gt;&lt;apex-code&gt;&lt;salesforce-lightning&gt;&lt;apex-trigger&gt;</t>
  </si>
  <si>
    <t>2018-03-16T00:16:07.713</t>
  </si>
  <si>
    <t>How to convert a string into a specific array</t>
  </si>
  <si>
    <t>2018-03-20T00:18:08.697</t>
  </si>
  <si>
    <t>&lt;php&gt;&lt;arrays&gt;&lt;salesforce&gt;&lt;salesforce-chatter&gt;</t>
  </si>
  <si>
    <t>2018-03-16T17:04:01.647</t>
  </si>
  <si>
    <t>jQuery data table not working in Salesforce lightning component</t>
  </si>
  <si>
    <t>user9458964</t>
  </si>
  <si>
    <t>2018-03-17T10:29:10.657</t>
  </si>
  <si>
    <t>2019-04-03T13:49:32.950</t>
  </si>
  <si>
    <t>&lt;datatables&gt;&lt;salesforce&gt;&lt;salesforce-lightning&gt;</t>
  </si>
  <si>
    <t>2018-03-21T07:37:27.653</t>
  </si>
  <si>
    <t>Pass value to lightning components from vf page Salesforce</t>
  </si>
  <si>
    <t>2019-01-12T15:59:21.533</t>
  </si>
  <si>
    <t>2018-03-26T13:55:37.610</t>
  </si>
  <si>
    <t>createComponent Salesforce lightning error</t>
  </si>
  <si>
    <t>2018-03-30T12:48:46.000</t>
  </si>
  <si>
    <t>2018-03-27T11:13:26.917</t>
  </si>
  <si>
    <t>Connect Marketing cloud with Sales Cloud for multiple Business Units</t>
  </si>
  <si>
    <t>2018-12-31T18:04:28.900</t>
  </si>
  <si>
    <t>&lt;salesforce&gt;&lt;exacttarget&gt;&lt;salesforce-communities&gt;&lt;ampscript&gt;</t>
  </si>
  <si>
    <t>2018-03-29T10:14:47.197</t>
  </si>
  <si>
    <t>Deploy a lightning page from sandbox to production</t>
  </si>
  <si>
    <t>2018-04-03T20:38:32.150</t>
  </si>
  <si>
    <t>2018-03-29T19:41:41.137</t>
  </si>
  <si>
    <t>Data import tool for Salesforce</t>
  </si>
  <si>
    <t>2018-03-30T12:34:59.547</t>
  </si>
  <si>
    <t>&lt;visual-studio-2015&gt;&lt;ssis&gt;&lt;salesforce-lightning&gt;</t>
  </si>
  <si>
    <t>2018-04-04T06:54:53.483</t>
  </si>
  <si>
    <t>APEX- Unable to call REST API from the salesforce lightning component</t>
  </si>
  <si>
    <t>2018-09-20T06:54:32.570</t>
  </si>
  <si>
    <t>&lt;apex&gt;&lt;salesforce-lightning&gt;</t>
  </si>
  <si>
    <t>2018-04-06T21:54:30.987</t>
  </si>
  <si>
    <t>have a header not scroll on table of divs</t>
  </si>
  <si>
    <t>2018-04-06T22:01:49.413</t>
  </si>
  <si>
    <t>2018-04-06T22:31:34.950</t>
  </si>
  <si>
    <t>&lt;html&gt;&lt;css&gt;&lt;salesforce-lightning&gt;</t>
  </si>
  <si>
    <t>2018-04-12T06:33:17.637</t>
  </si>
  <si>
    <t>Chatter Api Access to create Feed via Platform Trigger</t>
  </si>
  <si>
    <t>2018-04-19T13:27:18.880</t>
  </si>
  <si>
    <t>&lt;salesforce&gt;&lt;salesforce-lightning&gt;&lt;salesforce-chatter&gt;</t>
  </si>
  <si>
    <t>2018-04-15T06:01:47.190</t>
  </si>
  <si>
    <t>Data binding of lightning:input and aura:attribute with type sObject(field) is not working</t>
  </si>
  <si>
    <t>2018-04-15T14:00:14.693</t>
  </si>
  <si>
    <t>2018-04-30T06:37:08.430</t>
  </si>
  <si>
    <t>&lt;salesforce-lightning&gt;&lt;lightning&gt;&lt;aura-framework&gt;</t>
  </si>
  <si>
    <t>2018-04-16T01:36:28.420</t>
  </si>
  <si>
    <t>I to assign a default account to a custom object using Visualforce page</t>
  </si>
  <si>
    <t>2018-04-16T01:57:42.963</t>
  </si>
  <si>
    <t>2018-04-16T12:33:56.313</t>
  </si>
  <si>
    <t>&lt;salesforce&gt;&lt;apex-code&gt;&lt;visualforce&gt;&lt;salesforce-lightning&gt;</t>
  </si>
  <si>
    <t>2018-04-19T12:22:30.257</t>
  </si>
  <si>
    <t>PointStyle Not work with lockerService enable</t>
  </si>
  <si>
    <t>2018-04-19T15:03:00.390</t>
  </si>
  <si>
    <t>&lt;chart.js&gt;&lt;lightning&gt;</t>
  </si>
  <si>
    <t>2018-04-19T20:04:58.090</t>
  </si>
  <si>
    <t>How to use the @salesforce/design-system-react package in my Create-React-App</t>
  </si>
  <si>
    <t>&lt;reactjs&gt;&lt;salesforce&gt;&lt;salesforce-lightning&gt;</t>
  </si>
  <si>
    <t>2018-04-26T07:06:51.690</t>
  </si>
  <si>
    <t>How to analyse multiple texts in a single request using CommunitySentiment Model of Salesforce Einstein?</t>
  </si>
  <si>
    <t>2018-05-21T12:41:43.093</t>
  </si>
  <si>
    <t>2020-02-11T05:48:01.837</t>
  </si>
  <si>
    <t>&lt;nlp&gt;&lt;salesforce&gt;&lt;sentiment-analysis&gt;&lt;salesforce-lightning&gt;&lt;salesforce-einstein&gt;</t>
  </si>
  <si>
    <t>2018-05-01T12:42:09.890</t>
  </si>
  <si>
    <t>Salesforce Lightning datatable dynamic creation-adding onrowselection event issue</t>
  </si>
  <si>
    <t>2018-05-01T18:22:26.430</t>
  </si>
  <si>
    <t>How to get XPath of an element when it is in sub tab (Salesforce Lightning component)</t>
  </si>
  <si>
    <t>2018-05-01T20:05:41.117</t>
  </si>
  <si>
    <t>2018-05-02T10:00:24.857</t>
  </si>
  <si>
    <t>&lt;selenium&gt;&lt;xpath&gt;&lt;salesforce&gt;&lt;lightning&gt;</t>
  </si>
  <si>
    <t>2018-05-03T07:49:16.873</t>
  </si>
  <si>
    <t>System.TypeException: You are already logged in</t>
  </si>
  <si>
    <t>2018-05-03T09:44:15.383</t>
  </si>
  <si>
    <t>2018-05-03T10:04:52.467</t>
  </si>
  <si>
    <t>Access variable in one method which was used in other method</t>
  </si>
  <si>
    <t>2018-05-03T10:09:31.673</t>
  </si>
  <si>
    <t>2018-05-03T10:31:49.183</t>
  </si>
  <si>
    <t>2018-05-04T05:30:40.913</t>
  </si>
  <si>
    <t>Rendering salesforce lightning component into pdf (Generate PDF)</t>
  </si>
  <si>
    <t>2019-07-31T06:17:04.660</t>
  </si>
  <si>
    <t>&lt;pdf&gt;&lt;salesforce&gt;&lt;lightning&gt;</t>
  </si>
  <si>
    <t>2018-05-07T22:10:43.100</t>
  </si>
  <si>
    <t>Salesforce Summer 18 broke sweet alert 2</t>
  </si>
  <si>
    <t>2018-05-13T16:43:48.347</t>
  </si>
  <si>
    <t>&lt;salesforce&gt;&lt;sweetalert2&gt;&lt;salesforce-lightning&gt;</t>
  </si>
  <si>
    <t>2018-05-09T08:38:00.210</t>
  </si>
  <si>
    <t>Search using keyword to the article subject and article content</t>
  </si>
  <si>
    <t>2018-05-09T08:52:08.030</t>
  </si>
  <si>
    <t>2018-05-09T14:42:22.907</t>
  </si>
  <si>
    <t>&lt;api&gt;&lt;salesforce&gt;&lt;salesforce-lightning&gt;</t>
  </si>
  <si>
    <t>2018-05-10T20:04:42.627</t>
  </si>
  <si>
    <t>Last Activity &gt; 7 Days Ago Report</t>
  </si>
  <si>
    <t>2018-05-10T23:37:44.810</t>
  </si>
  <si>
    <t>2018-05-11T04:59:04.980</t>
  </si>
  <si>
    <t>Salesforce Bulk API test in postman</t>
  </si>
  <si>
    <t>2018-05-11T05:18:51.017</t>
  </si>
  <si>
    <t>2018-05-11T14:48:01.640</t>
  </si>
  <si>
    <t>2018-05-12T07:28:20.373</t>
  </si>
  <si>
    <t>Lightning with Lighting Spritekit</t>
  </si>
  <si>
    <t>2019-02-27T21:38:02.350</t>
  </si>
  <si>
    <t>&lt;sprite-kit&gt;&lt;light&gt;&lt;lightning&gt;</t>
  </si>
  <si>
    <t>2018-05-14T12:17:52.120</t>
  </si>
  <si>
    <t>The SOAP request must use SOAP 1.1, did not receive a SOAP 1.1 Envelope as the document root</t>
  </si>
  <si>
    <t>2018-05-14T12:53:59.237</t>
  </si>
  <si>
    <t>2018-05-14T21:14:22.757</t>
  </si>
  <si>
    <t>implement process flow in salesforce</t>
  </si>
  <si>
    <t>2018-05-21T14:05:10.693</t>
  </si>
  <si>
    <t>Require Current Selected Standard or CustomObject name in salesforce</t>
  </si>
  <si>
    <t>2018-05-21T15:45:37.443</t>
  </si>
  <si>
    <t>&lt;salesforce&gt;&lt;salesforce-service-cloud&gt;&lt;salesforce-lightning&gt;&lt;salesforce-communities&gt;</t>
  </si>
  <si>
    <t>2018-05-23T13:53:34.380</t>
  </si>
  <si>
    <t>Open an app built with Lightning App Builder in Developer Console</t>
  </si>
  <si>
    <t>2018-11-17T00:30:18.430</t>
  </si>
  <si>
    <t>2018-05-28T08:09:42.417</t>
  </si>
  <si>
    <t>Salesforce lightning input's element.set not working anymore after summer 18 release</t>
  </si>
  <si>
    <t>2018-05-30T07:53:59.590</t>
  </si>
  <si>
    <t>2018-05-30T07:39:10.747</t>
  </si>
  <si>
    <t>2018-05-29T12:36:43.470</t>
  </si>
  <si>
    <t>Set a value of the independent picklist</t>
  </si>
  <si>
    <t>2018-07-30T14:48:12.800</t>
  </si>
  <si>
    <t>2018-05-30T21:45:40.240</t>
  </si>
  <si>
    <t>Salesforce: New Trailhead Account</t>
  </si>
  <si>
    <t>2018-05-31T07:39:49.487</t>
  </si>
  <si>
    <t>2018-06-01T05:58:33.980</t>
  </si>
  <si>
    <t>Salesforce lightning:carousel</t>
  </si>
  <si>
    <t>2018-10-31T15:32:09.523</t>
  </si>
  <si>
    <t>2018-06-04T06:32:32.127</t>
  </si>
  <si>
    <t>ID value generating colon before actual value</t>
  </si>
  <si>
    <t>2018-06-04T08:06:06.587</t>
  </si>
  <si>
    <t>2018-06-05T12:06:05.083</t>
  </si>
  <si>
    <t>Which field describes reporter of a Salesforce Case</t>
  </si>
  <si>
    <t>2018-06-05T14:29:16.397</t>
  </si>
  <si>
    <t>&lt;rest&gt;&lt;salesforce&gt;&lt;salesforce-lightning&gt;&lt;itsm&gt;</t>
  </si>
  <si>
    <t>2018-06-06T11:03:14.063</t>
  </si>
  <si>
    <t>How to load Notes for Projects in Salesforce</t>
  </si>
  <si>
    <t>2018-06-06T11:49:16.550</t>
  </si>
  <si>
    <t>2018-06-08T09:31:04.323</t>
  </si>
  <si>
    <t>Child lightning component init execute before parent init salesforce</t>
  </si>
  <si>
    <t>2018-09-11T14:14:41.557</t>
  </si>
  <si>
    <t>2018-06-13T21:03:12.270</t>
  </si>
  <si>
    <t>Cannot load static resource in a Lightning Container, with Namespace</t>
  </si>
  <si>
    <t>&lt;namespaces&gt;&lt;salesforce&gt;&lt;salesforce-lightning&gt;&lt;static-resource&gt;</t>
  </si>
  <si>
    <t>2018-06-14T11:04:12.620</t>
  </si>
  <si>
    <t>will salesforce /deleted give only hard delete objects?</t>
  </si>
  <si>
    <t>2018-06-14T14:25:16.627</t>
  </si>
  <si>
    <t>2018-06-15T01:56:12.733</t>
  </si>
  <si>
    <t>How to unblock a connected app in Salesforce when the unblock button is disabled</t>
  </si>
  <si>
    <t>2018-06-18T13:33:59.877</t>
  </si>
  <si>
    <t>2018-06-21T17:04:44.050</t>
  </si>
  <si>
    <t>2018-06-20T10:19:49.647</t>
  </si>
  <si>
    <t>NPM Build Issues - Salesforce UX</t>
  </si>
  <si>
    <t>&lt;node.js&gt;&lt;npm&gt;&lt;salesforce&gt;&lt;npm-install&gt;&lt;salesforce-lightning&gt;</t>
  </si>
  <si>
    <t>2018-06-25T20:41:02.507</t>
  </si>
  <si>
    <t>Copy to the Clipboard in Lightning Component</t>
  </si>
  <si>
    <t>&lt;salesforce&gt;&lt;copy-paste&gt;&lt;salesforce-lightning&gt;&lt;clipboarddata&gt;</t>
  </si>
  <si>
    <t>2018-06-26T20:08:07.353</t>
  </si>
  <si>
    <t>How can I rename my Apex Class name in Salesforce</t>
  </si>
  <si>
    <t>2019-05-14T05:28:11.047</t>
  </si>
  <si>
    <t>&lt;salesforce&gt;&lt;salesforce-service-cloud&gt;&lt;salesforce-lightning&gt;&lt;salesforce-chatter&gt;</t>
  </si>
  <si>
    <t>2018-06-27T23:04:43.320</t>
  </si>
  <si>
    <t>Get the height of a div in afterRender()</t>
  </si>
  <si>
    <t>2018-06-27T23:16:36.920</t>
  </si>
  <si>
    <t>&lt;javascript&gt;&lt;salesforce&gt;&lt;salesforce-lightning&gt;</t>
  </si>
  <si>
    <t>2018-06-29T00:32:51.907</t>
  </si>
  <si>
    <t>VueJs not displaying SVGs</t>
  </si>
  <si>
    <t>2018-06-29T22:31:50.420</t>
  </si>
  <si>
    <t>&lt;svg&gt;&lt;vue.js&gt;&lt;salesforce-lightning&gt;</t>
  </si>
  <si>
    <t>2018-06-29T07:31:10.110</t>
  </si>
  <si>
    <t>2018-06-29T16:17:30.373</t>
  </si>
  <si>
    <t>Lightning generated html list horizontal alignment issue</t>
  </si>
  <si>
    <t>2018-06-29T17:48:21.030</t>
  </si>
  <si>
    <t>2018-07-03T17:14:30.780</t>
  </si>
  <si>
    <t>&lt;javascript&gt;&lt;html&gt;&lt;css&gt;&lt;salesforce&gt;&lt;salesforce-lightning&gt;</t>
  </si>
  <si>
    <t>2018-07-03T09:23:13.407</t>
  </si>
  <si>
    <t>Where to put user configuration fields for a custom component in Salesforce</t>
  </si>
  <si>
    <t>2018-11-17T00:19:36.890</t>
  </si>
  <si>
    <t>2018-07-03T10:10:13.317</t>
  </si>
  <si>
    <t>Salesforce Lightning: How can i get session Id of current user in Salesforce lightning component?</t>
  </si>
  <si>
    <t>2018-10-21T21:01:07.050</t>
  </si>
  <si>
    <t>2018-07-03T14:49:05.683</t>
  </si>
  <si>
    <t>Call lightning component inside same lightning component</t>
  </si>
  <si>
    <t>2018-07-29T12:56:35.257</t>
  </si>
  <si>
    <t>2018-07-03T20:58:33.333</t>
  </si>
  <si>
    <t>salesforce lightning components view data not getting refreshed</t>
  </si>
  <si>
    <t>2018-07-04T08:16:16.487</t>
  </si>
  <si>
    <t>2018-07-04T10:48:38.490</t>
  </si>
  <si>
    <t>Hide button inside Lightning Datatable based on row value</t>
  </si>
  <si>
    <t>2018-11-21T13:52:32.883</t>
  </si>
  <si>
    <t>2018-11-21T10:00:36.313</t>
  </si>
  <si>
    <t>2018-07-04T17:02:25.567</t>
  </si>
  <si>
    <t>Instead of pick-list field how to create radio button in salesforce lightning component</t>
  </si>
  <si>
    <t>2018-07-05T06:15:03.510</t>
  </si>
  <si>
    <t>2018-07-05T11:16:25.910</t>
  </si>
  <si>
    <t>&lt;radio-button&gt;&lt;salesforce&gt;&lt;apex&gt;&lt;salesforce-lightning&gt;</t>
  </si>
  <si>
    <t>2018-07-05T14:25:54.193</t>
  </si>
  <si>
    <t>Unable to call an Action from Salesforce Einstein Bot</t>
  </si>
  <si>
    <t>user2555451</t>
  </si>
  <si>
    <t>2018-07-06T00:39:22.953</t>
  </si>
  <si>
    <t>2018-08-21T15:46:40.030</t>
  </si>
  <si>
    <t>&lt;salesforce&gt;&lt;bots&gt;&lt;salesforce-service-cloud&gt;&lt;invocable&gt;</t>
  </si>
  <si>
    <t>2018-07-13T15:39:09.063</t>
  </si>
  <si>
    <t>2018-07-15T19:06:18.363</t>
  </si>
  <si>
    <t>ARKit light estimation not working</t>
  </si>
  <si>
    <t>2018-07-16T06:00:27.710</t>
  </si>
  <si>
    <t>&lt;swift&gt;&lt;arkit&gt;&lt;lightning&gt;</t>
  </si>
  <si>
    <t>2018-07-16T01:15:30.523</t>
  </si>
  <si>
    <t>2018-07-17T11:55:10.740</t>
  </si>
  <si>
    <t>Sales Force live agent status</t>
  </si>
  <si>
    <t>2018-07-30T05:39:29.790</t>
  </si>
  <si>
    <t>2018-07-31T05:24:18.820</t>
  </si>
  <si>
    <t>&lt;java&gt;&lt;android&gt;&lt;salesforce&gt;&lt;salesforce-service-cloud&gt;</t>
  </si>
  <si>
    <t>2018-07-18T09:53:20.580</t>
  </si>
  <si>
    <t>How to get my visualforce page apex code through rest api?</t>
  </si>
  <si>
    <t>2018-07-18T10:31:06.720</t>
  </si>
  <si>
    <t>2018-07-19T10:06:44.197</t>
  </si>
  <si>
    <t>&lt;salesforce&gt;&lt;visualforce&gt;&lt;salesforce-lightning&gt;&lt;salesforce-communities&gt;</t>
  </si>
  <si>
    <t>2018-07-18T16:19:29.983</t>
  </si>
  <si>
    <t>2018-07-19T06:43:43.547</t>
  </si>
  <si>
    <t>salesforce lightning auth an org from another org using user agent OAuth flow and store access token</t>
  </si>
  <si>
    <t>2018-07-19T06:47:32.913</t>
  </si>
  <si>
    <t>2018-09-18T22:22:00.643</t>
  </si>
  <si>
    <t>&lt;javascript&gt;&lt;oauth-2.0&gt;&lt;salesforce-lightning&gt;</t>
  </si>
  <si>
    <t>2018-07-20T13:27:31.230</t>
  </si>
  <si>
    <t>How to add more data an array of objects in a lightning component</t>
  </si>
  <si>
    <t>2020-03-21T02:01:15.190</t>
  </si>
  <si>
    <t>2018-07-20T14:18:19.270</t>
  </si>
  <si>
    <t>Salesforce Development and configuration</t>
  </si>
  <si>
    <t>2018-11-16T10:23:57.817</t>
  </si>
  <si>
    <t>&lt;salesforce-service-cloud&gt;</t>
  </si>
  <si>
    <t>2018-07-25T06:57:55.167</t>
  </si>
  <si>
    <t>How to get all custom labels information which is used in apex page?</t>
  </si>
  <si>
    <t>2020-05-26T10:46:46.300</t>
  </si>
  <si>
    <t>2018-07-26T08:36:16.700</t>
  </si>
  <si>
    <t>2018-07-29T12:39:48.357</t>
  </si>
  <si>
    <t>How to reset combobox in lightning UI?</t>
  </si>
  <si>
    <t>2018-07-30T09:27:22.193</t>
  </si>
  <si>
    <t>&lt;javascript&gt;&lt;salesforce&gt;&lt;salesforce-lightning&gt;&lt;lightning&gt;</t>
  </si>
  <si>
    <t>2018-07-30T11:06:03.077</t>
  </si>
  <si>
    <t>How to create task based on Case Owner in process builder?</t>
  </si>
  <si>
    <t>2018-08-02T10:31:12.033</t>
  </si>
  <si>
    <t>2018-08-06T04:15:08.360</t>
  </si>
  <si>
    <t>Lightning:Card- underline title</t>
  </si>
  <si>
    <t>2018-08-06T04:52:09.727</t>
  </si>
  <si>
    <t>2018-08-07T15:17:40.243</t>
  </si>
  <si>
    <t>Lightning Components &amp; window.addEventListener()</t>
  </si>
  <si>
    <t>2018-08-07T18:20:51.217</t>
  </si>
  <si>
    <t>2018-08-08T00:13:39.133</t>
  </si>
  <si>
    <t>Salesforce Lightning - Link Formula Field</t>
  </si>
  <si>
    <t>2018-11-17T00:43:33.413</t>
  </si>
  <si>
    <t>2018-08-09T20:54:29.977</t>
  </si>
  <si>
    <t>Salesforce Email Alert to Fire when Date = Today()</t>
  </si>
  <si>
    <t>&lt;salesforce&gt;&lt;salesforce-lightning&gt;&lt;sfdc&gt;</t>
  </si>
  <si>
    <t>2018-08-13T07:18:04.490</t>
  </si>
  <si>
    <t>How to get all referenced pages where i used my custom lightning component?</t>
  </si>
  <si>
    <t>2018-08-14T01:39:59.293</t>
  </si>
  <si>
    <t>2018-08-14T01:34:41.570</t>
  </si>
  <si>
    <t>2018-08-14T15:47:43.953</t>
  </si>
  <si>
    <t>Can i Get JSON Response just using Session ID in salesforce?</t>
  </si>
  <si>
    <t>2019-01-29T06:20:03.167</t>
  </si>
  <si>
    <t>&lt;rest&gt;&lt;web-services&gt;&lt;salesforce&gt;&lt;apex&gt;&lt;salesforce-communities&gt;</t>
  </si>
  <si>
    <t>2018-08-14T20:27:32.660</t>
  </si>
  <si>
    <t>Unable to set Record Type of Lead object in Salesforce through Segment</t>
  </si>
  <si>
    <t>2018-08-20T22:01:05.613</t>
  </si>
  <si>
    <t>&lt;salesforce&gt;&lt;salesforce-lightning&gt;&lt;segment-analytics&gt;</t>
  </si>
  <si>
    <t>2018-08-16T05:37:02.283</t>
  </si>
  <si>
    <t>Using a custom label inside a string throws "Field Integrity Exception"</t>
  </si>
  <si>
    <t>2018-08-17T06:43:00.653</t>
  </si>
  <si>
    <t>2018-08-17T06:31:34.653</t>
  </si>
  <si>
    <t>2018-08-16T10:13:14.583</t>
  </si>
  <si>
    <t>Back press is not working in SaleForce login screen</t>
  </si>
  <si>
    <t>2019-03-01T04:06:41.323</t>
  </si>
  <si>
    <t>&lt;android&gt;&lt;salesforce&gt;&lt;salesforce-communities&gt;</t>
  </si>
  <si>
    <t>2018-08-17T12:55:49.473</t>
  </si>
  <si>
    <t>Salesforce Case Comment update Creator Name</t>
  </si>
  <si>
    <t>2019-01-08T06:30:01.787</t>
  </si>
  <si>
    <t>&lt;salesforce&gt;&lt;case&gt;&lt;salesforce-chatter&gt;&lt;salesforce-communities&gt;</t>
  </si>
  <si>
    <t>2019-01-08T06:21:48.803</t>
  </si>
  <si>
    <t>2018-08-22T05:37:46.293</t>
  </si>
  <si>
    <t>How could i achieve expoential in salesforce with decimal power</t>
  </si>
  <si>
    <t>2018-08-22T05:49:40.297</t>
  </si>
  <si>
    <t>2018-08-22T06:12:35.267</t>
  </si>
  <si>
    <t>2018-08-22T10:39:49.757</t>
  </si>
  <si>
    <t>Salesforce lightning out</t>
  </si>
  <si>
    <t>2018-09-05T20:53:45.763</t>
  </si>
  <si>
    <t>2018-08-23T07:47:05.800</t>
  </si>
  <si>
    <t>salesforce lightning $A.get("e.force:createRecord") it's return empty</t>
  </si>
  <si>
    <t>2018-08-24T09:53:20.860</t>
  </si>
  <si>
    <t>2019-05-10T06:01:40.983</t>
  </si>
  <si>
    <t>&lt;javascript&gt;&lt;salesforce&gt;&lt;visualforce&gt;&lt;salesforce-lightning&gt;</t>
  </si>
  <si>
    <t>2018-08-24T02:41:35.687</t>
  </si>
  <si>
    <t>Devart Entity Developer Can't See Certain Picklist Fields</t>
  </si>
  <si>
    <t>2019-06-13T22:58:16.307</t>
  </si>
  <si>
    <t>&lt;salesforce&gt;&lt;salesforce-lightning&gt;&lt;devart&gt;</t>
  </si>
  <si>
    <t>2018-08-24T07:47:19.370</t>
  </si>
  <si>
    <t>Subtotal and total in Apex Wrapper class with object fields</t>
  </si>
  <si>
    <t>2018-08-24T18:00:22.410</t>
  </si>
  <si>
    <t>&lt;datatable&gt;&lt;salesforce&gt;&lt;wrapper&gt;&lt;apex&gt;&lt;lightning&gt;</t>
  </si>
  <si>
    <t>2018-08-29T06:05:05.133</t>
  </si>
  <si>
    <t>How to convert a multi-layer JSON String to CSV in Apex</t>
  </si>
  <si>
    <t>&lt;csv&gt;&lt;apex&gt;&lt;salesforce-service-cloud&gt;</t>
  </si>
  <si>
    <t>2018-08-30T13:28:42.157</t>
  </si>
  <si>
    <t>Unable to execute automation Test scripts wrote for Salesforce classic on Salesforce lightning using selenium web driver</t>
  </si>
  <si>
    <t>&lt;selenium&gt;&lt;salesforce&gt;&lt;lightning&gt;</t>
  </si>
  <si>
    <t>2018-09-03T06:25:39.117</t>
  </si>
  <si>
    <t>How can we use web workers of JS in salesforce lightning UI?</t>
  </si>
  <si>
    <t>&lt;javascript&gt;&lt;web&gt;&lt;web-worker&gt;&lt;salesforce-lightning&gt;</t>
  </si>
  <si>
    <t>2018-09-05T13:52:54.120</t>
  </si>
  <si>
    <t>How to insert lightning component to visualforce page with apex after button click</t>
  </si>
  <si>
    <t>2018-09-11T14:24:21.953</t>
  </si>
  <si>
    <t>&lt;apex&gt;&lt;visualforce&gt;&lt;lightning&gt;</t>
  </si>
  <si>
    <t>2018-09-06T10:01:15.550</t>
  </si>
  <si>
    <t>Error while loading library mapsjs-core and mapsjs-service in salesforce lightning</t>
  </si>
  <si>
    <t>2018-09-07T10:05:40.690</t>
  </si>
  <si>
    <t>&lt;salesforce&gt;&lt;here-api&gt;&lt;salesforce-lightning&gt;</t>
  </si>
  <si>
    <t>2018-09-09T08:15:03.057</t>
  </si>
  <si>
    <t>Can NLP algorithm run on Force.com platform?</t>
  </si>
  <si>
    <t>&lt;salesforce&gt;&lt;force.com&gt;&lt;salesforce-lightning&gt;</t>
  </si>
  <si>
    <t>2018-09-11T19:14:47.137</t>
  </si>
  <si>
    <t>Validation trouble on new records</t>
  </si>
  <si>
    <t>2019-01-09T02:20:28.567</t>
  </si>
  <si>
    <t>&lt;salesforce&gt;&lt;salesforce-service-cloud&gt;&lt;salesforce-lightning&gt;&lt;s&gt;</t>
  </si>
  <si>
    <t>2018-09-12T16:44:30.773</t>
  </si>
  <si>
    <t>lightning component CSP is preventing me from use inline base64 data for audio tags</t>
  </si>
  <si>
    <t>2018-09-17T14:45:36.550</t>
  </si>
  <si>
    <t>Need to compare value with custom field of pick list datatype in SFDC</t>
  </si>
  <si>
    <t>2018-09-17T19:24:58.923</t>
  </si>
  <si>
    <t>2018-11-13T17:15:37.950</t>
  </si>
  <si>
    <t>&lt;salesforce&gt;&lt;apex-code&gt;&lt;apex&gt;&lt;salesforce-service-cloud&gt;&lt;sfdc&gt;</t>
  </si>
  <si>
    <t>2018-09-25T12:21:41.783</t>
  </si>
  <si>
    <t>Is it possible to call methods dynamically?</t>
  </si>
  <si>
    <t>2018-09-25T12:29:20.733</t>
  </si>
  <si>
    <t>2018-09-28T16:16:57.183</t>
  </si>
  <si>
    <t>&lt;javascript&gt;&lt;selenium-webdriver&gt;&lt;automation&gt;&lt;salesforce-lightning&gt;</t>
  </si>
  <si>
    <t>2018-09-26T20:06:11.663</t>
  </si>
  <si>
    <t>How to use the SalesForce API?</t>
  </si>
  <si>
    <t>2018-09-27T02:12:11.677</t>
  </si>
  <si>
    <t>2018-11-13T14:15:38.997</t>
  </si>
  <si>
    <t>2018-10-02T16:17:45.843</t>
  </si>
  <si>
    <t>Lightning - Thousand Comma Separators for Picklist labels</t>
  </si>
  <si>
    <t>2018-10-21T20:43:28.633</t>
  </si>
  <si>
    <t>2018-10-05T00:24:47.197</t>
  </si>
  <si>
    <t>2GP packages in Salesforce production?</t>
  </si>
  <si>
    <t>2018-10-06T23:08:00.760</t>
  </si>
  <si>
    <t>Lightning:overlayLib, override 'overflow:hidden' property to 'overflow:visible'</t>
  </si>
  <si>
    <t>2018-11-20T16:23:25.800</t>
  </si>
  <si>
    <t>2018-10-08T14:17:50.687</t>
  </si>
  <si>
    <t>Unable to set value dynamically for Lightning:InputField</t>
  </si>
  <si>
    <t>2019-03-12T13:07:43.683</t>
  </si>
  <si>
    <t>2018-11-22T15:49:09.137</t>
  </si>
  <si>
    <t>2018-10-09T11:52:47.883</t>
  </si>
  <si>
    <t>Only allow editable = true on specific events in FullCalendar</t>
  </si>
  <si>
    <t>2018-10-09T12:05:31.797</t>
  </si>
  <si>
    <t>2018-10-09T12:30:01.333</t>
  </si>
  <si>
    <t>&lt;javascript&gt;&lt;fullcalendar&gt;&lt;salesforce-lightning&gt;</t>
  </si>
  <si>
    <t>2018-10-09T12:16:07.210</t>
  </si>
  <si>
    <t>2018-10-11T16:00:58.077</t>
  </si>
  <si>
    <t>lightning:input Date Field validation</t>
  </si>
  <si>
    <t>2018-12-07T04:13:12.570</t>
  </si>
  <si>
    <t>2018-10-12T14:07:22.883</t>
  </si>
  <si>
    <t>Dropdown with Icon in Salesforce Lightning Component</t>
  </si>
  <si>
    <t>2018-10-21T20:05:44.810</t>
  </si>
  <si>
    <t>2018-10-15T16:38:55.927</t>
  </si>
  <si>
    <t>Salesforce SOQL with datetime literals to pull records between 2 datetime custom fields?</t>
  </si>
  <si>
    <t>2018-10-15T17:35:05.300</t>
  </si>
  <si>
    <t>&lt;sql&gt;&lt;salesforce&gt;&lt;soql&gt;&lt;salesforce-communities&gt;</t>
  </si>
  <si>
    <t>2018-10-18T18:22:00.530</t>
  </si>
  <si>
    <t>Dynamic link to different list views within a Lightning:card component footer - Salesforce</t>
  </si>
  <si>
    <t>2018-10-22T06:07:09.900</t>
  </si>
  <si>
    <t>How to handle HOLD projects in Salesforce?</t>
  </si>
  <si>
    <t>2018-10-25T05:37:28.297</t>
  </si>
  <si>
    <t>2018-11-12T18:38:48.680</t>
  </si>
  <si>
    <t>2018-10-23T16:10:39.073</t>
  </si>
  <si>
    <t>Pseudo elements don't appear to work in Salesforce lightning CSS</t>
  </si>
  <si>
    <t>2018-10-23T16:30:30.913</t>
  </si>
  <si>
    <t>2018-10-24T17:37:18.397</t>
  </si>
  <si>
    <t>&lt;css&gt;&lt;css-selectors&gt;&lt;salesforce-lightning&gt;</t>
  </si>
  <si>
    <t>2018-10-24T18:17:49.200</t>
  </si>
  <si>
    <t>Apex Test Class - Simple Insert</t>
  </si>
  <si>
    <t>2018-10-25T03:13:58.720</t>
  </si>
  <si>
    <t>2018-11-05T12:46:43.500</t>
  </si>
  <si>
    <t>Add array value dynamically with a specific index?</t>
  </si>
  <si>
    <t>2018-11-05T13:06:35.210</t>
  </si>
  <si>
    <t>&lt;javascript&gt;&lt;jquery&gt;&lt;salesforce-lightning&gt;</t>
  </si>
  <si>
    <t>2018-11-05T13:23:02.570</t>
  </si>
  <si>
    <t>2018-11-05T12:53:06.123</t>
  </si>
  <si>
    <t>2018-11-08T13:34:36.167</t>
  </si>
  <si>
    <t>How can I use ListView.obj in filtering SOQL, or in filtering already queried data?</t>
  </si>
  <si>
    <t>2018-11-08T17:08:03.893</t>
  </si>
  <si>
    <t>&lt;soql&gt;&lt;salesforce-lightning&gt;</t>
  </si>
  <si>
    <t>2018-11-09T19:39:25.700</t>
  </si>
  <si>
    <t>Lightning Component List inside Component</t>
  </si>
  <si>
    <t>2018-11-13T14:03:41.827</t>
  </si>
  <si>
    <t>2018-11-20T17:08:34.527</t>
  </si>
  <si>
    <t>Return blank records instead of No Records found from Salesforce</t>
  </si>
  <si>
    <t>2018-11-20T17:16:13.750</t>
  </si>
  <si>
    <t>2018-11-21T19:15:05.450</t>
  </si>
  <si>
    <t>&lt;salesforce&gt;&lt;soql&gt;&lt;salesforce-communities&gt;</t>
  </si>
  <si>
    <t>2018-11-26T09:32:33.687</t>
  </si>
  <si>
    <t>How to test component events when event and handler are in different components?</t>
  </si>
  <si>
    <t>2018-11-26T11:05:30.880</t>
  </si>
  <si>
    <t>2018-11-27T16:18:33.033</t>
  </si>
  <si>
    <t>Rest API - CANNOT_INSERT_UPDATE_ACTIVATE_ENTITY</t>
  </si>
  <si>
    <t>&lt;rest&gt;&lt;api&gt;&lt;salesforce&gt;&lt;apex&gt;&lt;salesforce-lightning&gt;</t>
  </si>
  <si>
    <t>2018-11-28T14:52:27.397</t>
  </si>
  <si>
    <t>What does the oldmap actually do here? Can someone explain</t>
  </si>
  <si>
    <t>2018-12-03T21:47:52.560</t>
  </si>
  <si>
    <t>&lt;salesforce&gt;&lt;apex&gt;&lt;apex-code&gt;&lt;salesforce-lightning&gt;</t>
  </si>
  <si>
    <t>2018-12-03T09:14:55.710</t>
  </si>
  <si>
    <t>Missing button in email message inbound email message</t>
  </si>
  <si>
    <t>2018-12-03T11:11:51.893</t>
  </si>
  <si>
    <t>2019-02-17T05:21:29.033</t>
  </si>
  <si>
    <t>&lt;salesforce&gt;&lt;salesforce-lightning&gt;&lt;salesforce-service-cloud&gt;&lt;salesforce-chatter&gt;&lt;salesforce-communities&gt;</t>
  </si>
  <si>
    <t>2018-12-05T01:00:49.760</t>
  </si>
  <si>
    <t>Azure Datafactory Upload to Salesforce and reference field on another object</t>
  </si>
  <si>
    <t>2018-12-05T06:44:36.187</t>
  </si>
  <si>
    <t>&lt;azure&gt;&lt;salesforce&gt;&lt;azure-data-factory-2&gt;&lt;salesforce-lightning&gt;</t>
  </si>
  <si>
    <t>2018-12-05T06:32:12.820</t>
  </si>
  <si>
    <t>2018-12-07T12:03:19.190</t>
  </si>
  <si>
    <t>how to get linkedin feed data into visualforce page in salesforce</t>
  </si>
  <si>
    <t>2018-12-08T09:04:55.193</t>
  </si>
  <si>
    <t>&lt;salesforce&gt;&lt;salesforce-lightning&gt;&lt;salesforce-service-cloud&gt;&lt;salesforce-communities&gt;</t>
  </si>
  <si>
    <t>2018-12-17T17:16:34.727</t>
  </si>
  <si>
    <t>Why should i choose a webservice versus adding the logic to mobile code? Salesforce web versus iOS Native App</t>
  </si>
  <si>
    <t>2018-12-17T17:25:00.630</t>
  </si>
  <si>
    <t>&lt;ios&gt;&lt;salesforce&gt;&lt;mobile-application&gt;&lt;salesforce-lightning&gt;&lt;salesforce-service-cloud&gt;</t>
  </si>
  <si>
    <t>2018-12-18T17:59:18.747</t>
  </si>
  <si>
    <t>Want to capture fields which get updated in Salesforce</t>
  </si>
  <si>
    <t>2018-12-19T08:26:54.107</t>
  </si>
  <si>
    <t>2018-12-21T12:09:36.780</t>
  </si>
  <si>
    <t>Salesforce : Mass Delete EmailMessage</t>
  </si>
  <si>
    <t>2019-01-02T05:06:04.323</t>
  </si>
  <si>
    <t>2019-01-23T13:49:26.620</t>
  </si>
  <si>
    <t>&lt;salesforce&gt;&lt;salesforce-lightning&gt;&lt;salesforce-service-cloud&gt;</t>
  </si>
  <si>
    <t>2018-12-26T10:11:12.230</t>
  </si>
  <si>
    <t>Not able to use Read Product API published by Salesforce CPQ to read more than 31 products</t>
  </si>
  <si>
    <t>2018-12-27T11:17:38.007</t>
  </si>
  <si>
    <t>2018-12-26T14:14:53.930</t>
  </si>
  <si>
    <t>When I am deploying salesforce apex class it is showing error</t>
  </si>
  <si>
    <t>2018-12-27T09:12:06.727</t>
  </si>
  <si>
    <t>&lt;salesforce&gt;&lt;metadata&gt;&lt;salesforce-communities&gt;</t>
  </si>
  <si>
    <t>2019-01-06T10:19:09.660</t>
  </si>
  <si>
    <t>Pagination is only working for 2000 records. I am getting error maximum SOQL allowed is 2000.how to resolve the issue</t>
  </si>
  <si>
    <t>2019-01-06T10:28:39.140</t>
  </si>
  <si>
    <t>2019-01-08T21:59:46.310</t>
  </si>
  <si>
    <t>2019-01-10T02:12:32.970</t>
  </si>
  <si>
    <t>Unable replace a "force:navigateToURL" with lightning:navigation or force:navigateToSObject</t>
  </si>
  <si>
    <t>2019-05-04T21:20:00.873</t>
  </si>
  <si>
    <t>2019-01-10T18:00:09.370</t>
  </si>
  <si>
    <t>Salesforce Community Error - sObject type 'Report' is not supported in describeCompactLayout</t>
  </si>
  <si>
    <t>2019-01-12T11:55:31.390</t>
  </si>
  <si>
    <t>2019-01-11T08:51:28.513</t>
  </si>
  <si>
    <t>String search with all fields of array of objects</t>
  </si>
  <si>
    <t>2019-01-11T08:56:41.047</t>
  </si>
  <si>
    <t>2019-01-11T09:33:46.160</t>
  </si>
  <si>
    <t>2019-01-11T09:06:28.930</t>
  </si>
  <si>
    <t>2019-01-13T16:53:58.513</t>
  </si>
  <si>
    <t>How to make Page Refernce work in Lighning to reidrect to an external Url</t>
  </si>
  <si>
    <t>2019-01-14T02:17:23.850</t>
  </si>
  <si>
    <t>2019-01-23T09:18:15.177</t>
  </si>
  <si>
    <t>SalesForce Create Lead Rest Api</t>
  </si>
  <si>
    <t>2019-01-23T11:34:21.137</t>
  </si>
  <si>
    <t>2019-01-23T18:54:19.973</t>
  </si>
  <si>
    <t>Error in fetching record or record metadata[Object Expected]</t>
  </si>
  <si>
    <t>user10857523</t>
  </si>
  <si>
    <t>&lt;microsoft-edge&gt;&lt;lightning&gt;</t>
  </si>
  <si>
    <t>2019-01-24T12:29:59.017</t>
  </si>
  <si>
    <t>How to write xpath when the button is disabled : Selenium + java + salesforce</t>
  </si>
  <si>
    <t>2019-01-24T12:39:15.020</t>
  </si>
  <si>
    <t>2019-02-13T11:46:35.107</t>
  </si>
  <si>
    <t>&lt;java&gt;&lt;selenium-webdriver&gt;&lt;ui-automation&gt;&lt;salesforce-lightning&gt;</t>
  </si>
  <si>
    <t>2019-01-25T20:35:33.157</t>
  </si>
  <si>
    <t>Lightning:datatable InfiniteLoading fired on click event instead of scrolling</t>
  </si>
  <si>
    <t>2019-01-25T20:59:43.680</t>
  </si>
  <si>
    <t>2020-04-08T17:41:03.033</t>
  </si>
  <si>
    <t>&lt;datatable&gt;&lt;salesforce-lightning&gt;&lt;lightning&gt;</t>
  </si>
  <si>
    <t>2019-01-31T13:56:05.253</t>
  </si>
  <si>
    <t>Salesforce integration - categorisation based on pricing plans</t>
  </si>
  <si>
    <t>2019-08-06T18:43:38.543</t>
  </si>
  <si>
    <t>&lt;salesforce&gt;&lt;integration&gt;&lt;crm&gt;&lt;salesforce-lightning&gt;&lt;salesforce-chatter&gt;</t>
  </si>
  <si>
    <t>2019-02-01T07:49:44.727</t>
  </si>
  <si>
    <t>CkEditor in lightning component</t>
  </si>
  <si>
    <t>2019-02-01T10:37:28.613</t>
  </si>
  <si>
    <t>Salesforce - Best way to delete multiple records from an Object hierarchy and error handling in Salesforce</t>
  </si>
  <si>
    <t>2019-02-11T06:47:55.683</t>
  </si>
  <si>
    <t>2019-02-01T11:18:42.933</t>
  </si>
  <si>
    <t>global action type of lightning component is not visible under link type [tile menu] in lightning community</t>
  </si>
  <si>
    <t>2019-02-01T13:04:18.380</t>
  </si>
  <si>
    <t>&lt;salesforce-lightning&gt;&lt;lightning&gt;</t>
  </si>
  <si>
    <t>2019-02-01T17:52:31.887</t>
  </si>
  <si>
    <t>Issues with keyField in Lightning DataTable</t>
  </si>
  <si>
    <t>2019-03-04T13:28:14.527</t>
  </si>
  <si>
    <t>2019-02-04T16:35:39.837</t>
  </si>
  <si>
    <t>Error while executing showtoast in salesforce lightning</t>
  </si>
  <si>
    <t>2019-02-28T06:31:04.290</t>
  </si>
  <si>
    <t>2019-02-06T15:47:04.733</t>
  </si>
  <si>
    <t>Conga Composer - Run a Macro</t>
  </si>
  <si>
    <t>2019-02-07T19:34:35.810</t>
  </si>
  <si>
    <t>&lt;excel&gt;&lt;salesforce&gt;&lt;salesforce-lightning&gt;</t>
  </si>
  <si>
    <t>2019-02-07T13:50:31.927</t>
  </si>
  <si>
    <t>How to Upload a Profile photo in base64 format For Community Users Using ConnectApi.UserProfiles.setPhoto</t>
  </si>
  <si>
    <t>2019-02-08T06:47:32.077</t>
  </si>
  <si>
    <t>2020-03-05T09:44:16.250</t>
  </si>
  <si>
    <t>&lt;upload&gt;&lt;photo&gt;&lt;salesforce-communities&gt;</t>
  </si>
  <si>
    <t>2019-02-09T07:06:37.363</t>
  </si>
  <si>
    <t>How to create a custom in-app notification in Salesforce?</t>
  </si>
  <si>
    <t>2019-02-10T10:38:30.277</t>
  </si>
  <si>
    <t>2019-02-17T06:23:51.247</t>
  </si>
  <si>
    <t>2019-02-12T08:49:31.220</t>
  </si>
  <si>
    <t>Getting state code and country code from area code of phone number</t>
  </si>
  <si>
    <t>2019-02-12T19:05:08.120</t>
  </si>
  <si>
    <t>2019-02-17T05:29:19.620</t>
  </si>
  <si>
    <t>2019-02-13T08:53:49.000</t>
  </si>
  <si>
    <t>How to pass array of type any to a Lookup</t>
  </si>
  <si>
    <t>2019-02-14T10:10:00.050</t>
  </si>
  <si>
    <t>&lt;angular&gt;&lt;salesforce-lightning&gt;&lt;ng-lightning&gt;</t>
  </si>
  <si>
    <t>2019-02-14T07:21:38.487</t>
  </si>
  <si>
    <t>2019-02-18T10:00:07.940</t>
  </si>
  <si>
    <t>What is Bot in salesforce</t>
  </si>
  <si>
    <t>2019-08-27T14:27:06.207</t>
  </si>
  <si>
    <t>&lt;salesforce&gt;&lt;apex&gt;&lt;lightning&gt;</t>
  </si>
  <si>
    <t>2019-02-19T07:13:00.627</t>
  </si>
  <si>
    <t>Prevent re-targeting of events on LWC</t>
  </si>
  <si>
    <t>2019-02-27T13:08:21.843</t>
  </si>
  <si>
    <t>Open external URL in same window using hyperlink formula in Salesforce Community</t>
  </si>
  <si>
    <t>2019-03-05T08:41:50.753</t>
  </si>
  <si>
    <t>2019-03-27T12:33:10.057</t>
  </si>
  <si>
    <t>&lt;salesforce&gt;&lt;formula&gt;&lt;salesforce-communities&gt;</t>
  </si>
  <si>
    <t>2019-02-27T13:10:44.850</t>
  </si>
  <si>
    <t>How to create a apex test class for my apex class</t>
  </si>
  <si>
    <t>2019-02-27T14:53:48.403</t>
  </si>
  <si>
    <t>2019-11-26T13:23:54.210</t>
  </si>
  <si>
    <t>&lt;testing&gt;&lt;salesforce&gt;&lt;apex&gt;&lt;apex-code&gt;&lt;salesforce-lightning&gt;</t>
  </si>
  <si>
    <t>2019-02-27T13:18:08.303</t>
  </si>
  <si>
    <t>2019-02-28T11:55:42.730</t>
  </si>
  <si>
    <t>Pass value to lightning-input tag in LWC</t>
  </si>
  <si>
    <t>2019-11-24T23:34:56.363</t>
  </si>
  <si>
    <t>2019-11-24T23:35:25.687</t>
  </si>
  <si>
    <t>&lt;salesforce&gt;&lt;salesforce-lightning&gt;&lt;lwc&gt;</t>
  </si>
  <si>
    <t>2019-03-01T02:00:27.863</t>
  </si>
  <si>
    <t>how to delete a salesforce commerce cloud cartridge?</t>
  </si>
  <si>
    <t>2019-08-07T11:53:56.380</t>
  </si>
  <si>
    <t>2019-03-03T09:29:29.417</t>
  </si>
  <si>
    <t>How to access a lookup field through SOQL in salesforce?</t>
  </si>
  <si>
    <t>2019-03-03T12:09:19.947</t>
  </si>
  <si>
    <t>2019-03-10T16:46:23.133</t>
  </si>
  <si>
    <t>2019-03-04T21:31:15.127</t>
  </si>
  <si>
    <t>Salesforce lightning:treegrid find Id/data of deselected row</t>
  </si>
  <si>
    <t>2019-06-08T05:51:33.897</t>
  </si>
  <si>
    <t>&lt;salesforce&gt;&lt;salesforce-lightning&gt;&lt;aura.js&gt;</t>
  </si>
  <si>
    <t>2019-03-05T10:07:40.063</t>
  </si>
  <si>
    <t>Show List of Contacts on pop up window when i click on action button in Lightning</t>
  </si>
  <si>
    <t>&lt;apex&gt;&lt;lightning&gt;&lt;aura-framework&gt;</t>
  </si>
  <si>
    <t>2019-03-05T18:48:38.400</t>
  </si>
  <si>
    <t>Pass data from parent to child in lightning web component using Charts Js</t>
  </si>
  <si>
    <t>2019-03-05T18:49:52.793</t>
  </si>
  <si>
    <t>2019-03-05T19:27:53.087</t>
  </si>
  <si>
    <t>Aligning tick marks on an Area Chart with String X-Values</t>
  </si>
  <si>
    <t>2019-03-05T20:34:09.683</t>
  </si>
  <si>
    <t>&lt;javascript&gt;&lt;d3.js&gt;&lt;salesforce-lightning&gt;</t>
  </si>
  <si>
    <t>2019-03-11T11:53:11.053</t>
  </si>
  <si>
    <t>Salesforce API - Using Compound fields. (Cannot deserialize instance of MailingAddress from VALUE_STRING)</t>
  </si>
  <si>
    <t>2019-03-22T07:47:09.957</t>
  </si>
  <si>
    <t>&lt;rest&gt;&lt;api&gt;&lt;salesforce&gt;&lt;salesforce-lightning&gt;</t>
  </si>
  <si>
    <t>2019-03-12T02:55:33.160</t>
  </si>
  <si>
    <t>2019-03-12T09:07:26.317</t>
  </si>
  <si>
    <t>Lightning Web Component Not Working in Contact Detail Page</t>
  </si>
  <si>
    <t>2019-03-12T11:13:21.370</t>
  </si>
  <si>
    <t>&lt;salesforce&gt;&lt;web-component&gt;&lt;lightning&gt;</t>
  </si>
  <si>
    <t>2019-03-13T05:37:04.833</t>
  </si>
  <si>
    <t>Lightning Web Component to display JSON String is not working</t>
  </si>
  <si>
    <t>2019-11-03T05:09:52.383</t>
  </si>
  <si>
    <t>&lt;javascript&gt;&lt;salesforce&gt;&lt;web-component&gt;&lt;lightning&gt;</t>
  </si>
  <si>
    <t>2019-03-13T07:24:57.303</t>
  </si>
  <si>
    <t>Need to get value from a textbox in salesforce Lightning using jquery</t>
  </si>
  <si>
    <t>2019-03-13T07:32:37.573</t>
  </si>
  <si>
    <t>2019-03-13T08:54:49.240</t>
  </si>
  <si>
    <t>&lt;jquery&gt;&lt;salesforce-lightning&gt;</t>
  </si>
  <si>
    <t>2019-03-17T21:36:19.977</t>
  </si>
  <si>
    <t>POST to Salesforce API using Google Tag Manager and JSforce not working?</t>
  </si>
  <si>
    <t>2019-03-18T11:20:28.667</t>
  </si>
  <si>
    <t>&lt;rest&gt;&lt;salesforce&gt;&lt;google-tag-manager&gt;&lt;salesforce-lightning&gt;&lt;jsforce&gt;</t>
  </si>
  <si>
    <t>2019-03-18T08:13:54.537</t>
  </si>
  <si>
    <t>2019-03-19T11:48:49.653</t>
  </si>
  <si>
    <t>Cannot install 3rd party CSS framework into Vue app</t>
  </si>
  <si>
    <t>&lt;css&gt;&lt;vue.js&gt;&lt;salesforce-lightning&gt;</t>
  </si>
  <si>
    <t>2019-03-20T20:35:09.807</t>
  </si>
  <si>
    <t>Embed Power BI report in Salesforce</t>
  </si>
  <si>
    <t>2019-07-31T08:21:03.023</t>
  </si>
  <si>
    <t>&lt;oauth-2.0&gt;&lt;salesforce&gt;&lt;azure-active-directory&gt;&lt;powerbi&gt;&lt;salesforce-lightning&gt;</t>
  </si>
  <si>
    <t>2019-03-26T05:31:35.803</t>
  </si>
  <si>
    <t>Implementing Quick Action buttons in Email templates in Salesforce</t>
  </si>
  <si>
    <t>2019-03-28T09:40:10.407</t>
  </si>
  <si>
    <t>2020-03-11T17:58:49.580</t>
  </si>
  <si>
    <t>&lt;salesforce&gt;&lt;email-templates&gt;&lt;salesforce-lightning&gt;</t>
  </si>
  <si>
    <t>2019-03-26T22:25:35.060</t>
  </si>
  <si>
    <t>what are the limits on the number of envelopes you can publish manually using "Publish using csv" in Docusign application connected to salesforce</t>
  </si>
  <si>
    <t>2019-03-27T21:34:07.397</t>
  </si>
  <si>
    <t>2019-03-29T13:15:59.277</t>
  </si>
  <si>
    <t>what is the call back URL when I am trying call the Salesforce API from the ASP.Net</t>
  </si>
  <si>
    <t>2019-04-02T09:18:28.323</t>
  </si>
  <si>
    <t>How to generate Shipment return label from Fedex api</t>
  </si>
  <si>
    <t>&lt;salesforce&gt;&lt;fedex&gt;&lt;salesforce-service-cloud&gt;</t>
  </si>
  <si>
    <t>2019-04-04T08:42:50.900</t>
  </si>
  <si>
    <t>Change input value using javascript in a form built with Aura</t>
  </si>
  <si>
    <t>2019-04-05T14:32:07.177</t>
  </si>
  <si>
    <t>Is there a way to open new tab in navigation bar for custom lightning component with record name as tab label?</t>
  </si>
  <si>
    <t>2020-02-26T14:35:23.387</t>
  </si>
  <si>
    <t>2019-04-05T20:11:50.030</t>
  </si>
  <si>
    <t>change the expression in lwc component while iterating</t>
  </si>
  <si>
    <t>2019-04-06T08:13:25.630</t>
  </si>
  <si>
    <t>2019-04-08T21:15:02.963</t>
  </si>
  <si>
    <t>&lt;components&gt;&lt;salesforce&gt;&lt;salesforce-lightning&gt;&lt;lightning&gt;</t>
  </si>
  <si>
    <t>2019-04-07T14:08:43.107</t>
  </si>
  <si>
    <t>Can't push salesforce managed package</t>
  </si>
  <si>
    <t>2019-10-10T15:28:25.530</t>
  </si>
  <si>
    <t>&lt;salesforce&gt;&lt;apex&gt;&lt;visualforce&gt;&lt;salesforce-lightning&gt;</t>
  </si>
  <si>
    <t>2019-04-09T14:09:50.207</t>
  </si>
  <si>
    <t>How to change height of the map element on button click?</t>
  </si>
  <si>
    <t>2019-04-11T08:24:33.940</t>
  </si>
  <si>
    <t>2019-04-11T10:00:00.080</t>
  </si>
  <si>
    <t>&lt;javascript&gt;&lt;css&gt;&lt;salesforce&gt;&lt;salesforce-lightning&gt;&lt;aura-framework&gt;</t>
  </si>
  <si>
    <t>2019-04-11T02:44:47.600</t>
  </si>
  <si>
    <t>Salesforce create view with record type selection using url hacking</t>
  </si>
  <si>
    <t>2019-05-10T06:18:29.990</t>
  </si>
  <si>
    <t>2019-04-12T03:46:13.330</t>
  </si>
  <si>
    <t>Possible values in Salesforce Setup Audit Trail action column</t>
  </si>
  <si>
    <t>2019-04-12T03:52:17.677</t>
  </si>
  <si>
    <t>&lt;salesforce&gt;&lt;salesforce-communities&gt;&lt;salesforce-development&gt;&lt;salesforce-developer&gt;</t>
  </si>
  <si>
    <t>2019-04-12T08:15:54.673</t>
  </si>
  <si>
    <t>Apex and Visualforce Page - Data Display in Page</t>
  </si>
  <si>
    <t>2019-05-21T18:17:58.173</t>
  </si>
  <si>
    <t>&lt;salesforce&gt;&lt;apex&gt;&lt;apex-code&gt;&lt;visualforce&gt;&lt;salesforce-lightning&gt;</t>
  </si>
  <si>
    <t>2019-04-12T08:45:26.567</t>
  </si>
  <si>
    <t>How to get target object from a proxy object in Salesforce Lightning?</t>
  </si>
  <si>
    <t>2019-04-12T08:47:07.157</t>
  </si>
  <si>
    <t>2019-05-10T06:08:28.580</t>
  </si>
  <si>
    <t>2019-04-12T10:16:25.133</t>
  </si>
  <si>
    <t>How to add button on child row in lightning tree grid</t>
  </si>
  <si>
    <t>2019-05-09T18:08:40.673</t>
  </si>
  <si>
    <t>2019-04-17T14:00:52.410</t>
  </si>
  <si>
    <t>Shadow DOM not shown in Custom Element with Shadow Root when inspected on Salesforce (Rabbit hole)</t>
  </si>
  <si>
    <t>2019-11-25T17:17:58.220</t>
  </si>
  <si>
    <t>&lt;javascript&gt;&lt;html&gt;&lt;web-component&gt;&lt;shadow-dom&gt;&lt;salesforce-lightning&gt;</t>
  </si>
  <si>
    <t>2019-04-18T11:47:56.663</t>
  </si>
  <si>
    <t>How to implement reCAPTCHA V3 in salesforce lightning component?</t>
  </si>
  <si>
    <t>2019-06-28T01:20:22.623</t>
  </si>
  <si>
    <t>&lt;javascript&gt;&lt;salesforce&gt;&lt;visualforce&gt;&lt;salesforce-lightning&gt;&lt;recaptcha-v3&gt;</t>
  </si>
  <si>
    <t>2019-04-22T08:01:51.063</t>
  </si>
  <si>
    <t>How can i resolve this MarkerCluster checkin/ checkout error (leaflet salesforce)?</t>
  </si>
  <si>
    <t>2019-04-22T08:52:10.333</t>
  </si>
  <si>
    <t>2019-04-24T02:05:06.540</t>
  </si>
  <si>
    <t>&lt;javascript&gt;&lt;leaflet&gt;&lt;salesforce&gt;&lt;salesforce-lightning&gt;&lt;leaflet.markercluster&gt;</t>
  </si>
  <si>
    <t>2019-04-22T13:54:22.663</t>
  </si>
  <si>
    <t>The component doesn't work as expected when a new record is created</t>
  </si>
  <si>
    <t>2019-04-22T14:02:36.623</t>
  </si>
  <si>
    <t>&lt;web&gt;&lt;components&gt;&lt;salesforce-lightning&gt;&lt;lightning&gt;</t>
  </si>
  <si>
    <t>2019-04-25T14:09:24.543</t>
  </si>
  <si>
    <t>Window.close not Working in page Refernce Apex method</t>
  </si>
  <si>
    <t>2019-04-26T08:58:42.933</t>
  </si>
  <si>
    <t>&lt;salesforce&gt;&lt;apex&gt;&lt;apex-code&gt;&lt;visualforce&gt;&lt;salesforce-service-cloud&gt;</t>
  </si>
  <si>
    <t>2019-04-26T19:17:30.407</t>
  </si>
  <si>
    <t>Can I stop a record from being inserted in the object trigger without letting the user know in Salesforce?</t>
  </si>
  <si>
    <t>2019-04-28T05:48:35.127</t>
  </si>
  <si>
    <t>2019-06-01T15:54:07.403</t>
  </si>
  <si>
    <t>2019-04-26T22:13:26.130</t>
  </si>
  <si>
    <t>How to create a Test scenario for a code block with Test not running check</t>
  </si>
  <si>
    <t>2019-06-01T15:52:11.003</t>
  </si>
  <si>
    <t>2019-04-27T16:01:49.247</t>
  </si>
  <si>
    <t>How to sync data between salesforce and external systems?</t>
  </si>
  <si>
    <t>2019-05-01T11:59:03.700</t>
  </si>
  <si>
    <t>&lt;salesforce&gt;&lt;integration&gt;&lt;salesforce-lightning&gt;</t>
  </si>
  <si>
    <t>2019-04-29T02:14:56.363</t>
  </si>
  <si>
    <t>Salesforce component issue</t>
  </si>
  <si>
    <t>2019-08-12T22:14:07.670</t>
  </si>
  <si>
    <t>&lt;layout&gt;&lt;salesforce&gt;&lt;lightning&gt;</t>
  </si>
  <si>
    <t>2019-04-30T22:05:39.360</t>
  </si>
  <si>
    <t>Edit Custom Object via REST API in Salesforce</t>
  </si>
  <si>
    <t>2019-04-30T22:57:08.010</t>
  </si>
  <si>
    <t>2019-05-01T10:53:43.187</t>
  </si>
  <si>
    <t>Inserting a ContentVersion using Angularjs $http</t>
  </si>
  <si>
    <t>2019-05-01T12:38:24.700</t>
  </si>
  <si>
    <t>&lt;angularjs&gt;&lt;curl&gt;&lt;salesforce&gt;&lt;visualforce&gt;&lt;salesforce-chatter&gt;</t>
  </si>
  <si>
    <t>2019-05-06T09:17:38.503</t>
  </si>
  <si>
    <t>How to make a Salesforce page display more fields?</t>
  </si>
  <si>
    <t>2019-05-11T15:45:04.547</t>
  </si>
  <si>
    <t>2019-05-06T13:37:10.680</t>
  </si>
  <si>
    <t>How to use a promise in do-while loop waiting a callback to be completed</t>
  </si>
  <si>
    <t>2019-05-06T13:54:22.100</t>
  </si>
  <si>
    <t>2019-05-06T14:21:02.273</t>
  </si>
  <si>
    <t>&lt;javascript&gt;&lt;promise&gt;&lt;salesforce-lightning&gt;</t>
  </si>
  <si>
    <t>2019-05-10T15:30:23.387</t>
  </si>
  <si>
    <t>How to write test class for wrapper class for below code,</t>
  </si>
  <si>
    <t>&lt;apex&gt;&lt;salesforce-lightning&gt;&lt;test-class&gt;</t>
  </si>
  <si>
    <t>2019-05-13T11:40:04.003</t>
  </si>
  <si>
    <t>Node-Salesforce: What are possible options for execute function?</t>
  </si>
  <si>
    <t>2019-05-13T11:49:53.743</t>
  </si>
  <si>
    <t>2019-05-20T12:02:54.223</t>
  </si>
  <si>
    <t>&lt;node.js&gt;&lt;api&gt;&lt;salesforce&gt;&lt;salesforce-communities&gt;</t>
  </si>
  <si>
    <t>2019-05-13T18:36:57.690</t>
  </si>
  <si>
    <t>Salesforce Integration INVALID_SESSION_ID using Postman</t>
  </si>
  <si>
    <t>2019-05-14T16:51:11.597</t>
  </si>
  <si>
    <t>2019-10-18T14:40:16.067</t>
  </si>
  <si>
    <t>&lt;javascript&gt;&lt;api&gt;&lt;salesforce&gt;&lt;integration&gt;&lt;salesforce-lightning&gt;</t>
  </si>
  <si>
    <t>2019-05-14T09:49:16.463</t>
  </si>
  <si>
    <t>Salesforce: Use one of these records? on API response</t>
  </si>
  <si>
    <t>2019-05-19T16:49:49.883</t>
  </si>
  <si>
    <t>&lt;php&gt;&lt;salesforce&gt;&lt;salesforce-lightning&gt;</t>
  </si>
  <si>
    <t>2019-05-14T12:28:38.807</t>
  </si>
  <si>
    <t>Invalid Page URL with Custom Lightning Component</t>
  </si>
  <si>
    <t>2019-05-14T17:27:14.407</t>
  </si>
  <si>
    <t>2019-05-15T01:34:33.883</t>
  </si>
  <si>
    <t>Empty table generated with Handsontable in Salesforce Lightning Web component</t>
  </si>
  <si>
    <t>2019-11-01T12:31:40.933</t>
  </si>
  <si>
    <t>&lt;salesforce&gt;&lt;handsontable&gt;&lt;lightning&gt;</t>
  </si>
  <si>
    <t>2019-05-17T04:51:52.890</t>
  </si>
  <si>
    <t>2019-05-15T16:53:17.460</t>
  </si>
  <si>
    <t>Rendering Chart JS via a Slot in Lightning Web Components</t>
  </si>
  <si>
    <t>2019-05-29T07:26:16.997</t>
  </si>
  <si>
    <t>&lt;salesforce&gt;&lt;shadow-dom&gt;&lt;custom-element&gt;&lt;salesforce-lightning&gt;</t>
  </si>
  <si>
    <t>2019-05-16T04:31:00.690</t>
  </si>
  <si>
    <t>2019-05-15T17:05:43.700</t>
  </si>
  <si>
    <t>Content security policy error while loading apex iframe</t>
  </si>
  <si>
    <t>&lt;iframe&gt;&lt;salesforce&gt;&lt;content-security-policy&gt;&lt;salesforce-lightning&gt;</t>
  </si>
  <si>
    <t>2019-05-16T01:27:51.320</t>
  </si>
  <si>
    <t>Not able to call apex controller from lightning component's helper class</t>
  </si>
  <si>
    <t>2019-05-16T18:55:49.913</t>
  </si>
  <si>
    <t>2019-05-16T19:19:54.777</t>
  </si>
  <si>
    <t>2019-05-16T09:54:04.637</t>
  </si>
  <si>
    <t>Fullcalendar v4 give the following error on load in lightning web component</t>
  </si>
  <si>
    <t>2019-07-05T18:16:07.400</t>
  </si>
  <si>
    <t>&lt;salesforce&gt;&lt;fullcalendar&gt;&lt;salesforce-lightning&gt;</t>
  </si>
  <si>
    <t>2019-05-17T16:56:55.643</t>
  </si>
  <si>
    <t>Lightning Component, retrieving lookup record values in controller</t>
  </si>
  <si>
    <t>2019-05-18T13:50:47.100</t>
  </si>
  <si>
    <t>&lt;javascript&gt;&lt;salesforce&gt;&lt;field&gt;&lt;lightning&gt;</t>
  </si>
  <si>
    <t>2019-05-20T21:04:38.167</t>
  </si>
  <si>
    <t>Allow user to use only one Lightning Web Component instance</t>
  </si>
  <si>
    <t>2019-05-20T21:19:21.833</t>
  </si>
  <si>
    <t>2019-05-24T06:48:21.927</t>
  </si>
  <si>
    <t>2019-05-21T13:10:18.660</t>
  </si>
  <si>
    <t>Visual force page failed to show up in EU6 orgs in Lightning</t>
  </si>
  <si>
    <t>2019-05-21T17:26:58.517</t>
  </si>
  <si>
    <t>2019-05-21T17:46:40.940</t>
  </si>
  <si>
    <t>How can I embed a URL in an image in Salesforce surveys?</t>
  </si>
  <si>
    <t>2019-05-23T21:35:09.233</t>
  </si>
  <si>
    <t>2019-05-23T21:38:28.220</t>
  </si>
  <si>
    <t>&lt;salesforce&gt;&lt;rich-text-editor&gt;&lt;salesforce-lightning&gt;</t>
  </si>
  <si>
    <t>2019-05-22T19:52:50.640</t>
  </si>
  <si>
    <t>How to analyze and decide whether used or not in sfdc.com?</t>
  </si>
  <si>
    <t>2019-05-23T05:45:22.717</t>
  </si>
  <si>
    <t>2019-05-23T23:20:29.307</t>
  </si>
  <si>
    <t>Salesforce Lightning CORS issue: Failed to execute postMessage on DOMWindow</t>
  </si>
  <si>
    <t>2019-05-24T00:15:36.493</t>
  </si>
  <si>
    <t>2019-05-24T06:24:45.040</t>
  </si>
  <si>
    <t>&lt;cors&gt;&lt;salesforce&gt;&lt;cross-domain&gt;&lt;postmessage&gt;&lt;salesforce-lightning&gt;</t>
  </si>
  <si>
    <t>2019-05-24T14:59:06.660</t>
  </si>
  <si>
    <t>LWC rules for folders</t>
  </si>
  <si>
    <t>2019-05-26T09:47:51.037</t>
  </si>
  <si>
    <t>2019-05-26T10:55:51.273</t>
  </si>
  <si>
    <t>How to clear sfdx cache (if such thing exists)</t>
  </si>
  <si>
    <t>2019-05-26T11:03:20.023</t>
  </si>
  <si>
    <t>2019-05-27T14:04:43.370</t>
  </si>
  <si>
    <t>2019-05-28T20:18:53.710</t>
  </si>
  <si>
    <t>Is there a way to auto-submit the 'form' on initialization of the lightning component bundle?</t>
  </si>
  <si>
    <t>2019-05-29T18:23:21.910</t>
  </si>
  <si>
    <t>Custom object select field in Salesforce web-to-lead form</t>
  </si>
  <si>
    <t>2019-05-29T20:59:26.083</t>
  </si>
  <si>
    <t>2019-05-30T06:59:12.800</t>
  </si>
  <si>
    <t>Lightning out in react-native app webview</t>
  </si>
  <si>
    <t>2019-05-30T08:03:35.797</t>
  </si>
  <si>
    <t>&lt;react-native&gt;&lt;salesforce-lightning&gt;&lt;lightning&gt;&lt;salesforce-mobile-sdk&gt;</t>
  </si>
  <si>
    <t>2019-05-30T11:42:54.550</t>
  </si>
  <si>
    <t>Salesforce Validations - If Condition with And OR</t>
  </si>
  <si>
    <t>2019-05-30T12:32:07.420</t>
  </si>
  <si>
    <t>2019-05-30T14:51:31.043</t>
  </si>
  <si>
    <t>Why does URLFOR() function for a list view button function differently between sandboxes?</t>
  </si>
  <si>
    <t>2019-05-30T16:02:09.953</t>
  </si>
  <si>
    <t>2019-06-02T11:11:05.807</t>
  </si>
  <si>
    <t>AWS S3 File preview naming issue</t>
  </si>
  <si>
    <t>2019-06-02T21:47:10.283</t>
  </si>
  <si>
    <t>&lt;javascript&gt;&lt;apex&gt;&lt;salesforce-lightning&gt;</t>
  </si>
  <si>
    <t>2019-06-03T05:49:43.507</t>
  </si>
  <si>
    <t>Alert and confirm pop up is not working for particular code in apex</t>
  </si>
  <si>
    <t>2019-06-03T14:28:47.573</t>
  </si>
  <si>
    <t>How to display base64 string as a pdf in lightning component</t>
  </si>
  <si>
    <t>2019-10-02T13:07:47.363</t>
  </si>
  <si>
    <t>2019-06-03T16:08:08.150</t>
  </si>
  <si>
    <t>How to change a variable when an API property is changed?</t>
  </si>
  <si>
    <t>2019-06-03T16:13:36.227</t>
  </si>
  <si>
    <t>2019-06-04T09:05:11.243</t>
  </si>
  <si>
    <t>force:recordData not working on Quick Actions</t>
  </si>
  <si>
    <t>2019-06-04T12:32:00.523</t>
  </si>
  <si>
    <t>&lt;javascript&gt;&lt;salesforce&gt;&lt;lightning&gt;&lt;aura-framework&gt;</t>
  </si>
  <si>
    <t>2019-06-04T19:20:06.673</t>
  </si>
  <si>
    <t>Quick action tab is not visible in Account record page</t>
  </si>
  <si>
    <t>2019-06-05T17:03:34.843</t>
  </si>
  <si>
    <t>Salesforce formula Logic</t>
  </si>
  <si>
    <t>2019-06-06T06:13:06.900</t>
  </si>
  <si>
    <t>2020-04-21T19:02:53.810</t>
  </si>
  <si>
    <t>2019-06-07T17:08:39.293</t>
  </si>
  <si>
    <t>How to change button state and dispatch action to redux?</t>
  </si>
  <si>
    <t>2019-06-07T17:31:30.397</t>
  </si>
  <si>
    <t>2019-06-07T18:07:11.087</t>
  </si>
  <si>
    <t>&lt;reactjs&gt;&lt;redux&gt;&lt;react-redux&gt;&lt;salesforce-lightning&gt;</t>
  </si>
  <si>
    <t>2019-06-09T09:10:33.200</t>
  </si>
  <si>
    <t>Salesforce Classic Reports : I need to be able to create a field which subtracts value of one cell from the previous cell and display the difference</t>
  </si>
  <si>
    <t>2019-06-11T05:51:45.630</t>
  </si>
  <si>
    <t>2019-06-11T06:13:10.060</t>
  </si>
  <si>
    <t>Lookup field not showing create new record option Salesforce1</t>
  </si>
  <si>
    <t>2019-06-11T09:30:35.710</t>
  </si>
  <si>
    <t>How to navigate to Communities's Menu Item with LWC</t>
  </si>
  <si>
    <t>2020-02-05T21:35:18.833</t>
  </si>
  <si>
    <t>2019-06-11T16:58:06.947</t>
  </si>
  <si>
    <t>Trigger to delete Feedcomments generated from Feeditems - Chatter</t>
  </si>
  <si>
    <t>&lt;salesforce&gt;&lt;salesforce-chatter&gt;&lt;apex-trigger&gt;</t>
  </si>
  <si>
    <t>2019-06-11T21:13:27.180</t>
  </si>
  <si>
    <t>How to fetch all the data into a custom object when opportunity is close as won?</t>
  </si>
  <si>
    <t>2019-06-12T11:21:27.380</t>
  </si>
  <si>
    <t>Reports to be generated on profile and case record type</t>
  </si>
  <si>
    <t>2019-06-13T10:42:32.097</t>
  </si>
  <si>
    <t>Filtering not working properly with paging</t>
  </si>
  <si>
    <t>2019-06-13T18:06:52.737</t>
  </si>
  <si>
    <t>Salesforce DX - ERROR running force:source:push: The "path" argument must be of type string. Received type undefined</t>
  </si>
  <si>
    <t>2019-06-14T13:24:31.257</t>
  </si>
  <si>
    <t>salesforce seachbox to select value in selenium</t>
  </si>
  <si>
    <t>2019-06-14T17:36:12.850</t>
  </si>
  <si>
    <t>&lt;selenium&gt;&lt;selenium-webdriver&gt;&lt;salesforce&gt;&lt;selenium-chromedriver&gt;&lt;salesforce-lightning&gt;</t>
  </si>
  <si>
    <t>2019-06-17T16:25:35.543</t>
  </si>
  <si>
    <t>Issue with Salesforce Live Agent</t>
  </si>
  <si>
    <t>2019-06-18T21:11:10.113</t>
  </si>
  <si>
    <t>Static resource</t>
  </si>
  <si>
    <t>2019-06-19T02:55:22.863</t>
  </si>
  <si>
    <t>2019-06-19T07:32:15.360</t>
  </si>
  <si>
    <t>How to deal with nested empty JSON arrays with tidyjson in R</t>
  </si>
  <si>
    <t>2020-01-09T01:10:18.390</t>
  </si>
  <si>
    <t>2020-03-16T02:57:14.130</t>
  </si>
  <si>
    <t>&lt;r&gt;&lt;salesforce-lightning&gt;&lt;jsonlite&gt;</t>
  </si>
  <si>
    <t>2020-03-16T02:43:34.417</t>
  </si>
  <si>
    <t>2019-06-19T19:58:57.793</t>
  </si>
  <si>
    <t>If I have a transaction_id of an authorization request in Magento, can I use same that transaction id and token to capture funds in Salesforce?</t>
  </si>
  <si>
    <t>2019-06-20T02:52:19.773</t>
  </si>
  <si>
    <t>&lt;magento-1.9&gt;&lt;authorize.net&gt;&lt;salesforce-service-cloud&gt;&lt;authorize.net-cim&gt;</t>
  </si>
  <si>
    <t>2019-06-21T19:47:47.743</t>
  </si>
  <si>
    <t>Salesforce Reports: Condense multiselect values to one line</t>
  </si>
  <si>
    <t>2019-06-21T22:59:11.397</t>
  </si>
  <si>
    <t>&lt;salesforce&gt;&lt;report&gt;&lt;concatenation&gt;&lt;one-to-many&gt;&lt;salesforce-lightning&gt;</t>
  </si>
  <si>
    <t>2019-06-22T15:59:11.467</t>
  </si>
  <si>
    <t>Lightning auraif render issue</t>
  </si>
  <si>
    <t>2019-06-22T16:05:47.603</t>
  </si>
  <si>
    <t>2019-06-22T16:58:18.950</t>
  </si>
  <si>
    <t>Default Select list value in Combo box - LWC</t>
  </si>
  <si>
    <t>2019-08-02T21:41:32.430</t>
  </si>
  <si>
    <t>&lt;salesforce&gt;&lt;custom-element&gt;&lt;salesforce-lightning&gt;</t>
  </si>
  <si>
    <t>2019-06-23T08:00:55.623</t>
  </si>
  <si>
    <t>How to get average time since case was created in salesforce</t>
  </si>
  <si>
    <t>2019-06-25T07:33:44.143</t>
  </si>
  <si>
    <t>How to access Login History object from einstein analytics dataflow?</t>
  </si>
  <si>
    <t>&lt;salesforce-lightning&gt;&lt;salesforce-einstein&gt;</t>
  </si>
  <si>
    <t>2019-06-25T08:44:51.760</t>
  </si>
  <si>
    <t>Salesforce authentication failing even after extending same password by changing the setting on Salesforce</t>
  </si>
  <si>
    <t>2019-06-25T15:15:47.690</t>
  </si>
  <si>
    <t>How can we filter product options in salesforce cpq?</t>
  </si>
  <si>
    <t>2020-02-09T10:58:10.097</t>
  </si>
  <si>
    <t>2019-06-26T22:37:36.770</t>
  </si>
  <si>
    <t>lightning-formatted-date-time - showing previous date (LWC)</t>
  </si>
  <si>
    <t>2019-06-26T22:43:11.857</t>
  </si>
  <si>
    <t>2019-06-28T13:06:04.917</t>
  </si>
  <si>
    <t>2019-06-27T18:13:49.610</t>
  </si>
  <si>
    <t>LWC- How would i refresh the data of a lightning-datatable after a new record is created?</t>
  </si>
  <si>
    <t>2019-06-28T15:08:42.790</t>
  </si>
  <si>
    <t>2019-11-26T11:12:41.913</t>
  </si>
  <si>
    <t>2019-06-28T12:48:42.977</t>
  </si>
  <si>
    <t>2019-07-01T16:02:00.757</t>
  </si>
  <si>
    <t>I need help converting an Apex Page to Lightning Component</t>
  </si>
  <si>
    <t>2019-07-01T18:08:59.860</t>
  </si>
  <si>
    <t>&lt;javascript&gt;&lt;salesforce&gt;&lt;apex&gt;&lt;salesforce-lightning&gt;</t>
  </si>
  <si>
    <t>2019-07-02T12:07:12.150</t>
  </si>
  <si>
    <t>Using SObject Dates with lightning:formattedDateTime similar to ui:outputDateTime</t>
  </si>
  <si>
    <t>2019-07-03T18:55:02.357</t>
  </si>
  <si>
    <t>Controller not receiving Object from Lightning Component Init Handler</t>
  </si>
  <si>
    <t>2019-07-03T19:00:08.767</t>
  </si>
  <si>
    <t>2019-07-06T13:42:45.710</t>
  </si>
  <si>
    <t>2019-07-04T18:42:05.977</t>
  </si>
  <si>
    <t>two regex into same pattern</t>
  </si>
  <si>
    <t>2019-07-05T03:38:15.010</t>
  </si>
  <si>
    <t>Passing HtmlAttributes to &lt;aura:html&gt;</t>
  </si>
  <si>
    <t>&lt;html&gt;&lt;salesforce&gt;&lt;lightning&gt;&lt;aura-framework&gt;</t>
  </si>
  <si>
    <t>2019-07-05T05:23:40.783</t>
  </si>
  <si>
    <t>select only one checkbox at a time</t>
  </si>
  <si>
    <t>2019-07-05T10:04:46.597</t>
  </si>
  <si>
    <t>table thead header is not coming on every page in pdf</t>
  </si>
  <si>
    <t>2019-07-05T11:13:48.213</t>
  </si>
  <si>
    <t>&lt;pdf&gt;&lt;salesforce&gt;&lt;apex&gt;&lt;apex-code&gt;&lt;salesforce-communities&gt;</t>
  </si>
  <si>
    <t>2019-07-05T10:08:25.717</t>
  </si>
  <si>
    <t>Omni-Channel Log in and log out issue</t>
  </si>
  <si>
    <t>2019-07-05T17:56:38.170</t>
  </si>
  <si>
    <t>Populate two list with data</t>
  </si>
  <si>
    <t>2019-07-05T19:23:40.910</t>
  </si>
  <si>
    <t>&lt;salesforce&gt;&lt;apex-code&gt;&lt;salesforce-lightning&gt;</t>
  </si>
  <si>
    <t>2019-07-06T15:50:58.240</t>
  </si>
  <si>
    <t>how to use svg into lightning component in Salesforce</t>
  </si>
  <si>
    <t>2019-07-06T15:56:16.703</t>
  </si>
  <si>
    <t>2019-07-07T08:49:49.570</t>
  </si>
  <si>
    <t>&lt;javascript&gt;&lt;html&gt;&lt;svg&gt;&lt;salesforce&gt;&lt;salesforce-lightning&gt;</t>
  </si>
  <si>
    <t>2019-07-07T08:26:07.237</t>
  </si>
  <si>
    <t>Can you implement a Quick Action button from Community in Salesforce</t>
  </si>
  <si>
    <t>2020-01-15T17:18:51.740</t>
  </si>
  <si>
    <t>&lt;javascript&gt;&lt;salesforce-lightning&gt;&lt;salesforce-communities&gt;</t>
  </si>
  <si>
    <t>2019-07-07T09:42:54.307</t>
  </si>
  <si>
    <t>How to get copied content from clipboard in lightning component js</t>
  </si>
  <si>
    <t>2019-07-07T11:01:15.983</t>
  </si>
  <si>
    <t>2019-07-07T16:55:24.123</t>
  </si>
  <si>
    <t>Send JSON Object data in window.open in LWC Salesforce</t>
  </si>
  <si>
    <t>2019-07-07T17:03:51.010</t>
  </si>
  <si>
    <t>2019-11-03T05:24:02.580</t>
  </si>
  <si>
    <t>&lt;javascript&gt;&lt;json&gt;&lt;salesforce-lightning&gt;</t>
  </si>
  <si>
    <t>2019-07-08T05:49:54.257</t>
  </si>
  <si>
    <t>Push Notification not working for Lightning Standalone App</t>
  </si>
  <si>
    <t>2019-07-08T10:54:15.547</t>
  </si>
  <si>
    <t>2019-07-08T14:33:55.207</t>
  </si>
  <si>
    <t>How to group svg icons all in a single file</t>
  </si>
  <si>
    <t>&lt;html&gt;&lt;xml&gt;&lt;svg&gt;&lt;salesforce-lightning&gt;</t>
  </si>
  <si>
    <t>2019-07-08T14:41:04.730</t>
  </si>
  <si>
    <t>Create record in salesforce lightning API curl/php</t>
  </si>
  <si>
    <t>2019-07-08T15:55:53.967</t>
  </si>
  <si>
    <t>&lt;php&gt;&lt;rest&gt;&lt;curl&gt;&lt;salesforce&gt;&lt;salesforce-lightning&gt;</t>
  </si>
  <si>
    <t>2019-07-08T15:27:13.147</t>
  </si>
  <si>
    <t>Cannot use design-system-react</t>
  </si>
  <si>
    <t>2019-07-09T12:26:08.533</t>
  </si>
  <si>
    <t>Modify to delete Files in Lightning</t>
  </si>
  <si>
    <t>2019-07-09T18:36:46.523</t>
  </si>
  <si>
    <t>Display value as returned from controller method</t>
  </si>
  <si>
    <t>2019-07-09T18:48:46.467</t>
  </si>
  <si>
    <t>2019-07-14T14:49:23.397</t>
  </si>
  <si>
    <t>&lt;salesforce&gt;&lt;apex&gt;&lt;salesforce-lightning&gt;&lt;aura-framework&gt;</t>
  </si>
  <si>
    <t>2019-07-09T21:22:50.607</t>
  </si>
  <si>
    <t>2019-07-10T11:07:25.183</t>
  </si>
  <si>
    <t>Salesforce Bulk API Delete operator</t>
  </si>
  <si>
    <t>2019-07-10T19:16:52.817</t>
  </si>
  <si>
    <t>2020-04-08T16:00:26.230</t>
  </si>
  <si>
    <t>2019-07-11T04:20:40.510</t>
  </si>
  <si>
    <t>In SLDS, why the status bar of lightning datatable covers the date edit panel?</t>
  </si>
  <si>
    <t>2019-07-18T08:31:22.683</t>
  </si>
  <si>
    <t>2019-08-12T21:32:39.820</t>
  </si>
  <si>
    <t>2019-07-11T07:06:25.543</t>
  </si>
  <si>
    <t>I am trying to validate a string with a regular expression in the javascript controller?</t>
  </si>
  <si>
    <t>2019-07-11T07:10:03.283</t>
  </si>
  <si>
    <t>2019-07-11T07:18:47.497</t>
  </si>
  <si>
    <t>&lt;javascript&gt;&lt;regex&gt;&lt;salesforce-lightning&gt;</t>
  </si>
  <si>
    <t>2019-07-12T11:30:01.010</t>
  </si>
  <si>
    <t>How can i get all the approval process names for a specific object in salesforce</t>
  </si>
  <si>
    <t>2019-07-12T16:01:13.160</t>
  </si>
  <si>
    <t>2019-07-12T12:38:18.617</t>
  </si>
  <si>
    <t>Problem with $$OwnKey$$: 48 Mouse pointing entire table rather than the required row</t>
  </si>
  <si>
    <t>2019-07-12T14:25:48.483</t>
  </si>
  <si>
    <t>Get data using div element's onclick event in iteration</t>
  </si>
  <si>
    <t>2019-11-13T21:13:57.623</t>
  </si>
  <si>
    <t>&lt;html&gt;&lt;events&gt;&lt;salesforce&gt;&lt;salesforce-lightning&gt;</t>
  </si>
  <si>
    <t>2019-07-12T21:20:58.033</t>
  </si>
  <si>
    <t>2019-07-13T07:14:10.693</t>
  </si>
  <si>
    <t>Salesforce lightning Aura Component error</t>
  </si>
  <si>
    <t>2019-07-14T03:04:44.937</t>
  </si>
  <si>
    <t>2019-07-14T14:23:23.440</t>
  </si>
  <si>
    <t>2019-07-13T07:37:02.810</t>
  </si>
  <si>
    <t>Drupal-8 Call to a member function setRevisionable() on null</t>
  </si>
  <si>
    <t>2019-07-13T09:52:11.753</t>
  </si>
  <si>
    <t>2019-07-17T06:34:53.140</t>
  </si>
  <si>
    <t>&lt;drupal-8&gt;&lt;lightning&gt;</t>
  </si>
  <si>
    <t>2019-07-17T09:18:59.077</t>
  </si>
  <si>
    <t>Problem with deleting a CMP file of a Lightning Component</t>
  </si>
  <si>
    <t>2019-07-17T11:37:35.820</t>
  </si>
  <si>
    <t>2019-07-20T15:51:48.123</t>
  </si>
  <si>
    <t>Perform a single server call in lightning instead of multiple calls</t>
  </si>
  <si>
    <t>2019-07-21T07:42:04.997</t>
  </si>
  <si>
    <t>&lt;salesforce&gt;&lt;apex&gt;&lt;aura-framework&gt;</t>
  </si>
  <si>
    <t>2019-07-20T17:31:38.813</t>
  </si>
  <si>
    <t>2019-07-20T22:40:45.413</t>
  </si>
  <si>
    <t>How to handle action state "INCOMPLETE"</t>
  </si>
  <si>
    <t>2019-07-21T00:21:42.723</t>
  </si>
  <si>
    <t>2019-07-22T05:37:33.467</t>
  </si>
  <si>
    <t>Can I publish my existing Android Mobile App to Salesforce AppExchange</t>
  </si>
  <si>
    <t>&lt;mobile&gt;&lt;salesforce&gt;&lt;salesforce-lightning&gt;&lt;salesforce-communities&gt;</t>
  </si>
  <si>
    <t>2019-07-23T03:58:08.240</t>
  </si>
  <si>
    <t>How to chain server calls synchronously in lightning web components</t>
  </si>
  <si>
    <t>&lt;javascript&gt;&lt;salesforce&gt;&lt;salesforce-lightning&gt;&lt;sfdc&gt;</t>
  </si>
  <si>
    <t>2019-07-23T08:36:51.780</t>
  </si>
  <si>
    <t>Insertion of Related Records using Apex</t>
  </si>
  <si>
    <t>2019-07-23T18:27:48.793</t>
  </si>
  <si>
    <t>Building a custom list view lightning component from the data retrieved from the SOQL Query</t>
  </si>
  <si>
    <t>2019-07-24T14:20:16.590</t>
  </si>
  <si>
    <t>Salesforce ForceClient never receives the response</t>
  </si>
  <si>
    <t>&lt;c#&gt;&lt;.net&gt;&lt;asp.net-mvc&gt;&lt;salesforce&gt;&lt;salesforce-communities&gt;</t>
  </si>
  <si>
    <t>2019-07-25T01:50:09.967</t>
  </si>
  <si>
    <t>How to customize RemoteAccessAuthorizationPage in Salesforce?</t>
  </si>
  <si>
    <t>2019-07-25T01:59:06.767</t>
  </si>
  <si>
    <t>2019-07-25T02:43:55.030</t>
  </si>
  <si>
    <t>how to enable lightning experience for a user created</t>
  </si>
  <si>
    <t>2019-07-25T03:36:01.943</t>
  </si>
  <si>
    <t>2019-07-25T03:32:01.117</t>
  </si>
  <si>
    <t>How to customize Verify your identity (entering verification code) screen in Salesforce?</t>
  </si>
  <si>
    <t>2019-07-25T06:37:40.717</t>
  </si>
  <si>
    <t>2019-09-10T03:54:58.400</t>
  </si>
  <si>
    <t>2019-07-25T14:53:10.023</t>
  </si>
  <si>
    <t>Update case ownership immediately after a chat is transferred (Chat started from - Snap-ins in Salesforce)</t>
  </si>
  <si>
    <t>&lt;salesforce&gt;&lt;apex&gt;&lt;visualforce&gt;&lt;salesforce-lightning&gt;&lt;salesforce-service-cloud&gt;</t>
  </si>
  <si>
    <t>2019-07-25T15:38:49.727</t>
  </si>
  <si>
    <t>Is it not possible to use an SOQL query, from an outside system like a mobile app, to fetch Knowledge articles?</t>
  </si>
  <si>
    <t>2019-07-25T16:37:28.150</t>
  </si>
  <si>
    <t>&lt;salesforce&gt;&lt;salesforce-lightning&gt;&lt;salesforce-service-cloud&gt;&lt;knowledge-management&gt;</t>
  </si>
  <si>
    <t>2019-07-25T23:09:59.170</t>
  </si>
  <si>
    <t>How can I add a light effect to a part of the image in xamarin?</t>
  </si>
  <si>
    <t>&lt;xamarin&gt;&lt;image-processing&gt;&lt;graphics&gt;&lt;skiasharp&gt;&lt;lightning&gt;</t>
  </si>
  <si>
    <t>2019-07-26T10:30:39.733</t>
  </si>
  <si>
    <t>Connected App - Callback Url is not called after log in using customized community login page. Instead it gets redirected to Community Landing Page</t>
  </si>
  <si>
    <t>2019-07-26T12:45:45.670</t>
  </si>
  <si>
    <t>&lt;oauth-2.0&gt;&lt;salesforce&gt;&lt;salesforce-lightning&gt;&lt;salesforce-communities&gt;</t>
  </si>
  <si>
    <t>2019-07-26T11:58:54.587</t>
  </si>
  <si>
    <t>event firing but not being handled by the component</t>
  </si>
  <si>
    <t>2019-07-26T14:26:35.197</t>
  </si>
  <si>
    <t>2019-07-31T06:59:35.910</t>
  </si>
  <si>
    <t>&lt;javascript&gt;&lt;html&gt;&lt;salesforce&gt;&lt;salesforce-lightning&gt;</t>
  </si>
  <si>
    <t>2019-07-26T15:51:41.087</t>
  </si>
  <si>
    <t>Lightning-combobox getting cut off</t>
  </si>
  <si>
    <t>2019-07-26T17:25:02.880</t>
  </si>
  <si>
    <t>2019-07-27T20:51:40.673</t>
  </si>
  <si>
    <t>Timepicker is hidden by the container slds-box slds-theme--default</t>
  </si>
  <si>
    <t>2019-07-29T09:18:58.397</t>
  </si>
  <si>
    <t>Salesforce Custom Object: Invalid Type error Speaker</t>
  </si>
  <si>
    <t>2019-07-29T11:06:29.547</t>
  </si>
  <si>
    <t>2019-07-30T06:46:05.117</t>
  </si>
  <si>
    <t>Where do I find the data related to Campaigns in the Sitecore's SQL database?</t>
  </si>
  <si>
    <t>2019-08-01T15:29:19.467</t>
  </si>
  <si>
    <t>&lt;salesforce&gt;&lt;sitecore&gt;&lt;salesforce-lightning&gt;&lt;sitecore9&gt;&lt;sitecore-xdb&gt;</t>
  </si>
  <si>
    <t>2019-07-30T19:05:07.567</t>
  </si>
  <si>
    <t>Cannot activate a flow in Salesforce</t>
  </si>
  <si>
    <t>2019-07-30T20:19:21.453</t>
  </si>
  <si>
    <t>$A.log('CryptoAdapter was not registered') in higher Org, but not showing the same error in lower Org</t>
  </si>
  <si>
    <t>2019-07-31T11:55:53.203</t>
  </si>
  <si>
    <t>Pass dynamic variable in array attribute</t>
  </si>
  <si>
    <t>2019-07-31T19:05:16.203</t>
  </si>
  <si>
    <t>prevent page breaks within line when printing html</t>
  </si>
  <si>
    <t>&lt;html&gt;&lt;css&gt;&lt;printing&gt;&lt;page-break&gt;&lt;salesforce-lightning&gt;</t>
  </si>
  <si>
    <t>2019-08-01T07:44:43.580</t>
  </si>
  <si>
    <t>URL that should be opened using $A.get("e.force:navigateToURL") is being blocked by browser</t>
  </si>
  <si>
    <t>&lt;javascript&gt;&lt;salesforce&gt;&lt;salesforce-lightning&gt;&lt;aura-framework&gt;</t>
  </si>
  <si>
    <t>2019-08-01T12:33:52.267</t>
  </si>
  <si>
    <t>Proxy issue with lightning dynamic component</t>
  </si>
  <si>
    <t>2019-08-01T20:35:45.880</t>
  </si>
  <si>
    <t>2019-08-01T18:21:29.913</t>
  </si>
  <si>
    <t>In Salesforce Lightning Console- Can not add opportunity as sub tab for Case</t>
  </si>
  <si>
    <t>2019-08-02T06:14:19.377</t>
  </si>
  <si>
    <t>2019-08-02T08:47:59.417</t>
  </si>
  <si>
    <t>How to search for 18 digit salesforce Id using regex? example : you are invited REF&lt;18 digit SFDC ID&gt; for the interview</t>
  </si>
  <si>
    <t>2019-08-04T15:21:01.437</t>
  </si>
  <si>
    <t>2019-08-02T11:37:53.580</t>
  </si>
  <si>
    <t>Show csv data in lightning component</t>
  </si>
  <si>
    <t>2019-08-02T11:44:34.457</t>
  </si>
  <si>
    <t>2019-09-19T10:03:47.603</t>
  </si>
  <si>
    <t>2019-08-05T11:34:16.803</t>
  </si>
  <si>
    <t>Salesforce Lightning Web Component - The 'Static Resource' property doesn't exist on the component.LightningComponentBundle</t>
  </si>
  <si>
    <t>&lt;web&gt;&lt;components&gt;&lt;salesforce&gt;&lt;lightning&gt;</t>
  </si>
  <si>
    <t>2019-08-06T02:12:13.110</t>
  </si>
  <si>
    <t>Not able to open Attachments in Salesforce Lightning Chatter page iOS webview</t>
  </si>
  <si>
    <t>&lt;react-native&gt;&lt;salesforce&gt;&lt;wkwebview&gt;&lt;salesforce-chatter&gt;</t>
  </si>
  <si>
    <t>2019-08-06T09:13:15.613</t>
  </si>
  <si>
    <t>How to use onkeypress in Lightning web components?</t>
  </si>
  <si>
    <t>2019-11-03T05:36:58.270</t>
  </si>
  <si>
    <t>&lt;salesforce&gt;&lt;web-component&gt;&lt;salesforce-lightning&gt;</t>
  </si>
  <si>
    <t>2019-08-09T11:00:48.080</t>
  </si>
  <si>
    <t>How to create lightning page for a custom object?</t>
  </si>
  <si>
    <t>2019-08-09T13:21:26.307</t>
  </si>
  <si>
    <t>Adding a Unique Index When Duplicate Values Exist in the Column</t>
  </si>
  <si>
    <t>2019-08-09T13:46:31.520</t>
  </si>
  <si>
    <t>2019-08-14T11:07:21.073</t>
  </si>
  <si>
    <t>Leaflet event propagation and Salesforce Mobile</t>
  </si>
  <si>
    <t>2019-08-14T11:15:17.037</t>
  </si>
  <si>
    <t>&lt;javascript&gt;&lt;leaflet&gt;&lt;salesforce&gt;&lt;salesforce-lightning&gt;&lt;lightning&gt;</t>
  </si>
  <si>
    <t>2019-08-14T18:53:03.473</t>
  </si>
  <si>
    <t>Use the data from a visualforce button in the standar lightning components</t>
  </si>
  <si>
    <t>2019-08-15T21:42:26.803</t>
  </si>
  <si>
    <t>I'm receiving an uncaught type error when clicking on a date on fullcalendar</t>
  </si>
  <si>
    <t>2019-08-16T19:09:25.883</t>
  </si>
  <si>
    <t>&lt;fullcalendar&gt;&lt;salesforce-lightning&gt;&lt;fullcalendar-4&gt;</t>
  </si>
  <si>
    <t>2019-08-16T10:34:07.457</t>
  </si>
  <si>
    <t>SFDC Bulk API option in informatica session not working</t>
  </si>
  <si>
    <t>2019-08-17T14:48:07.713</t>
  </si>
  <si>
    <t>&lt;salesforce&gt;&lt;informatica&gt;&lt;informatica-powercenter&gt;&lt;salesforce-lightning&gt;</t>
  </si>
  <si>
    <t>2019-08-16T11:26:56.883</t>
  </si>
  <si>
    <t>How to concatenate two variables and assign to the label attributes of lightning-card in lightning web component</t>
  </si>
  <si>
    <t>2019-08-16T11:34:05.420</t>
  </si>
  <si>
    <t>2019-08-16T12:31:15.423</t>
  </si>
  <si>
    <t>2019-08-16T17:14:41.353</t>
  </si>
  <si>
    <t>How to add onclick functionality in lightning web component data table URL column</t>
  </si>
  <si>
    <t>2019-08-17T15:26:32.187</t>
  </si>
  <si>
    <t>2020-03-17T21:48:24.513</t>
  </si>
  <si>
    <t>2019-08-17T10:19:28.460</t>
  </si>
  <si>
    <t>Lightning Navigation To Custom Setting Record</t>
  </si>
  <si>
    <t>2019-08-19T14:18:04.993</t>
  </si>
  <si>
    <t>How to get Proxy object content?</t>
  </si>
  <si>
    <t>2019-08-19T14:29:06.443</t>
  </si>
  <si>
    <t>2020-02-04T14:33:14.327</t>
  </si>
  <si>
    <t>&lt;javascript&gt;&lt;salesforce&gt;&lt;apex&gt;&lt;salesforce-lightning&gt;&lt;salesforce-communities&gt;</t>
  </si>
  <si>
    <t>2019-08-19T15:17:20.120</t>
  </si>
  <si>
    <t>2019-08-20T14:26:31.143</t>
  </si>
  <si>
    <t>How to download a report as a CSV directly from Salesforce Lightning?</t>
  </si>
  <si>
    <t>2019-08-21T06:09:43.123</t>
  </si>
  <si>
    <t>&lt;python&gt;&lt;salesforce&gt;&lt;salesforce-lightning&gt;</t>
  </si>
  <si>
    <t>2019-08-21T14:35:33.303</t>
  </si>
  <si>
    <t>{"error":"unsupported_grant_type","error_description":"grant type not supported"} SalesForce Java</t>
  </si>
  <si>
    <t>2019-08-21T20:06:23.707</t>
  </si>
  <si>
    <t>&lt;java&gt;&lt;api&gt;&lt;selenium&gt;&lt;httpurlconnection&gt;&lt;salesforce-lightning&gt;</t>
  </si>
  <si>
    <t>2019-08-21T21:28:26.820</t>
  </si>
  <si>
    <t>Images in Sandbox Rich text area pointing to production Url</t>
  </si>
  <si>
    <t>&lt;salesforce&gt;&lt;salesforce-lightning&gt;&lt;apex-data-loader&gt;&lt;dataloader&gt;</t>
  </si>
  <si>
    <t>2019-08-23T06:22:55.413</t>
  </si>
  <si>
    <t>Recursion problem reading a file from salesforce aura helper</t>
  </si>
  <si>
    <t>2019-08-23T07:14:41.143</t>
  </si>
  <si>
    <t>&lt;javascript&gt;&lt;recursion&gt;&lt;salesforce&gt;&lt;es6-promise&gt;&lt;salesforce-lightning&gt;</t>
  </si>
  <si>
    <t>2019-08-23T09:12:34.610</t>
  </si>
  <si>
    <t>Console.log() it's not showing the result of a function</t>
  </si>
  <si>
    <t>2019-09-13T10:57:40.487</t>
  </si>
  <si>
    <t>&lt;javascript&gt;&lt;components&gt;&lt;salesforce&gt;&lt;lightning&gt;</t>
  </si>
  <si>
    <t>2019-08-23T12:05:17.600</t>
  </si>
  <si>
    <t>Salesforce Lightning Auto-Populated ID's (Parent to Child)</t>
  </si>
  <si>
    <t>2019-08-25T16:11:48.350</t>
  </si>
  <si>
    <t>While preview file I need to remove 'Show More' option in Lightning</t>
  </si>
  <si>
    <t>2019-08-25T17:26:11.417</t>
  </si>
  <si>
    <t>2019-08-26T06:33:04.190</t>
  </si>
  <si>
    <t>How can I modify the meta data of any field using apex</t>
  </si>
  <si>
    <t>2019-08-26T10:01:02.187</t>
  </si>
  <si>
    <t>2019-08-26T08:40:06.887</t>
  </si>
  <si>
    <t>Repeating Salesforce Workflow actions every x days</t>
  </si>
  <si>
    <t>2020-02-22T14:17:13.470</t>
  </si>
  <si>
    <t>&lt;salesforce&gt;&lt;workflow&gt;&lt;lightning&gt;</t>
  </si>
  <si>
    <t>2019-08-26T12:04:10.673</t>
  </si>
  <si>
    <t>How to get the image of the reports &amp; dashboard in salesforce using API?</t>
  </si>
  <si>
    <t>2019-08-26T12:24:24.950</t>
  </si>
  <si>
    <t>2019-08-28T05:51:19.427</t>
  </si>
  <si>
    <t>CPQ quote line showing multi-time</t>
  </si>
  <si>
    <t>&lt;salesforce&gt;&lt;salesforce-lightning&gt;&lt;salesforce-communities&gt;&lt;salesforce-chatter&gt;</t>
  </si>
  <si>
    <t>2019-08-28T07:26:19.737</t>
  </si>
  <si>
    <t>Network.getNetworkId() returning Null in test class</t>
  </si>
  <si>
    <t>&lt;salesforce&gt;&lt;apex&gt;&lt;salesforce-lightning&gt;&lt;salesforce-communities&gt;</t>
  </si>
  <si>
    <t>2019-09-02T10:10:08.693</t>
  </si>
  <si>
    <t>Uncaught (in promise) TypeError: c.createElement is not a function</t>
  </si>
  <si>
    <t>&lt;javascript&gt;&lt;reactjs&gt;&lt;salesforce-lightning&gt;</t>
  </si>
  <si>
    <t>2019-09-04T21:09:48.970</t>
  </si>
  <si>
    <t>Overriding the redirect on saving force:createRecord on Salesforce Lightning</t>
  </si>
  <si>
    <t>2019-09-05T02:18:49.280</t>
  </si>
  <si>
    <t>2019-09-05T23:27:12.860</t>
  </si>
  <si>
    <t>2019-09-06T00:22:44.503</t>
  </si>
  <si>
    <t>Customize ForgotPasswordInterstitial page in Salesforce</t>
  </si>
  <si>
    <t>2020-02-19T07:04:36.693</t>
  </si>
  <si>
    <t>2019-09-07T18:50:52.323</t>
  </si>
  <si>
    <t>Opportunity Validation Rule on Closed Won Opportunities</t>
  </si>
  <si>
    <t>2019-09-08T19:46:13.870</t>
  </si>
  <si>
    <t>&lt;validation&gt;&lt;salesforce&gt;&lt;salesforce-lightning&gt;</t>
  </si>
  <si>
    <t>2019-09-09T08:01:53.790</t>
  </si>
  <si>
    <t>Why the AudioUnit collect 940bytes per frame under the earphone with lightning plug</t>
  </si>
  <si>
    <t>2019-09-10T14:52:50.837</t>
  </si>
  <si>
    <t>&lt;objective-c&gt;&lt;iphone&gt;&lt;audio-recording&gt;&lt;audiounit&gt;&lt;lightning&gt;</t>
  </si>
  <si>
    <t>2019-09-09T09:07:48.893</t>
  </si>
  <si>
    <t>Connecting to third party API (basic auth)</t>
  </si>
  <si>
    <t>2019-09-09T11:04:33.427</t>
  </si>
  <si>
    <t>2019-09-10T03:44:36.507</t>
  </si>
  <si>
    <t>2019-09-09T16:46:36.747</t>
  </si>
  <si>
    <t>Creating a formula field</t>
  </si>
  <si>
    <t>2019-09-09T16:51:48.303</t>
  </si>
  <si>
    <t>2019-09-10T11:08:46.693</t>
  </si>
  <si>
    <t>2019-09-10T22:44:17.110</t>
  </si>
  <si>
    <t>Displaying Image from FeedItem in Custom Lightning Web Component</t>
  </si>
  <si>
    <t>2019-09-11T15:46:28.193</t>
  </si>
  <si>
    <t>Reassign a namespace in the same dev org</t>
  </si>
  <si>
    <t>2019-09-11T15:47:09.023</t>
  </si>
  <si>
    <t>2019-09-11T18:32:47.687</t>
  </si>
  <si>
    <t>Dynamic spring boot property values for salesforce connector</t>
  </si>
  <si>
    <t>2019-09-11T18:39:47.240</t>
  </si>
  <si>
    <t>&lt;java&gt;&lt;spring&gt;&lt;spring-boot&gt;&lt;properties&gt;&lt;salesforce-service-cloud&gt;</t>
  </si>
  <si>
    <t>2019-09-13T17:02:46.487</t>
  </si>
  <si>
    <t>Hide/show Button in LWC</t>
  </si>
  <si>
    <t>2019-09-13T17:17:13.443</t>
  </si>
  <si>
    <t>2019-12-13T10:54:40.810</t>
  </si>
  <si>
    <t>&lt;salesforce&gt;&lt;lwc&gt;</t>
  </si>
  <si>
    <t>2019-09-16T19:22:35.223</t>
  </si>
  <si>
    <t>Having an issue with my visualforce override</t>
  </si>
  <si>
    <t>2019-09-16T19:37:27.410</t>
  </si>
  <si>
    <t>2019-09-17T07:13:28.190</t>
  </si>
  <si>
    <t>Click method is not working on a Salesforce webpage after the new update of Chromedriver. How to handle this with the same method?</t>
  </si>
  <si>
    <t>2019-09-17T13:47:52.880</t>
  </si>
  <si>
    <t>2019-09-18T11:17:22.170</t>
  </si>
  <si>
    <t>&lt;java&gt;&lt;selenium-webdriver&gt;&lt;click&gt;&lt;selenium-chromedriver&gt;&lt;salesforce-lightning&gt;</t>
  </si>
  <si>
    <t>2019-09-17T22:45:58.187</t>
  </si>
  <si>
    <t>Aura root component not handling the application event started from its child (Lightning Component)</t>
  </si>
  <si>
    <t>2019-09-18T14:09:10.950</t>
  </si>
  <si>
    <t>&lt;javascript&gt;&lt;salesforce&gt;&lt;salesforce-lightning&gt;&lt;salesforce-communities&gt;&lt;salesforce-chatter&gt;</t>
  </si>
  <si>
    <t>2019-09-18T02:06:24.917</t>
  </si>
  <si>
    <t>Navigate from one LWC to another LWC</t>
  </si>
  <si>
    <t>2020-04-26T07:47:36.423</t>
  </si>
  <si>
    <t>&lt;salesforce&gt;&lt;salesforce-lightning&gt;&lt;lightning&gt;&lt;lwc&gt;</t>
  </si>
  <si>
    <t>2019-09-19T06:23:39.217</t>
  </si>
  <si>
    <t>Integrating GitLab-CI with SalesForce Chatter</t>
  </si>
  <si>
    <t>&lt;gitlab-ci&gt;&lt;salesforce-chatter&gt;</t>
  </si>
  <si>
    <t>2019-09-19T12:13:03.050</t>
  </si>
  <si>
    <t>How to use fieldset in lightning Component</t>
  </si>
  <si>
    <t>2019-09-24T12:30:18.770</t>
  </si>
  <si>
    <t>2019-09-19T20:34:52.497</t>
  </si>
  <si>
    <t>Not displayed. vuejs with lightning-container</t>
  </si>
  <si>
    <t>&lt;vue.js&gt;&lt;salesforce-lightning&gt;</t>
  </si>
  <si>
    <t>2019-09-19T21:10:19.163</t>
  </si>
  <si>
    <t>Set datatable column width (lightning community)</t>
  </si>
  <si>
    <t>2019-09-19T21:29:40.230</t>
  </si>
  <si>
    <t>&lt;javascript&gt;&lt;datatable&gt;&lt;salesforce&gt;&lt;lightning&gt;</t>
  </si>
  <si>
    <t>2019-09-20T01:13:43.957</t>
  </si>
  <si>
    <t>Unable to locate svg elements using xpath</t>
  </si>
  <si>
    <t>2019-09-20T01:46:04.870</t>
  </si>
  <si>
    <t>2019-09-20T07:31:21.617</t>
  </si>
  <si>
    <t>&lt;selenium&gt;&lt;svg&gt;&lt;xpath&gt;&lt;salesforce-lightning&gt;</t>
  </si>
  <si>
    <t>2019-09-20T07:30:24.107</t>
  </si>
  <si>
    <t>2019-09-20T12:59:38.903</t>
  </si>
  <si>
    <t>Issue facing while loading 3rd party Jquery library in lightning component</t>
  </si>
  <si>
    <t>&lt;apex&gt;&lt;salesforce-lightning&gt;&lt;aura-framework&gt;</t>
  </si>
  <si>
    <t>2019-09-20T14:31:11.260</t>
  </si>
  <si>
    <t>Salesforce - Re-direct to Quick Action</t>
  </si>
  <si>
    <t>2019-09-20T16:45:58.560</t>
  </si>
  <si>
    <t>Why does Selenium ExecuteScript method doesn't work anymore in Salesforce application but ExecuteAsyncScript works</t>
  </si>
  <si>
    <t>2019-09-25T03:36:11.053</t>
  </si>
  <si>
    <t>2019-09-20T23:10:00.833</t>
  </si>
  <si>
    <t>lightning component disable all other check-boxes when one is selected and post the selected image data to another lightning page</t>
  </si>
  <si>
    <t>2019-09-23T14:40:43.537</t>
  </si>
  <si>
    <t>2019-09-21T15:15:00.920</t>
  </si>
  <si>
    <t>How to skip the login page of Salesforce?</t>
  </si>
  <si>
    <t>2019-09-21T19:31:13.060</t>
  </si>
  <si>
    <t>2020-01-17T11:05:39.163</t>
  </si>
  <si>
    <t>&lt;java&gt;&lt;selenium&gt;&lt;salesforce&gt;&lt;rest-assured&gt;&lt;salesforce-lightning&gt;</t>
  </si>
  <si>
    <t>2019-09-22T20:22:04.340</t>
  </si>
  <si>
    <t>Can't get the Object Array into Controller Function called from the Aura Component &lt;ui:InputNumber&gt;</t>
  </si>
  <si>
    <t>2019-09-23T17:53:10.517</t>
  </si>
  <si>
    <t>&lt;arrays&gt;&lt;object&gt;&lt;controller&gt;&lt;salesforce-lightning&gt;</t>
  </si>
  <si>
    <t>2019-09-23T08:13:23.090</t>
  </si>
  <si>
    <t>What are the access levels on Salesforce orgs? How to get retrive Managed Package metadata?</t>
  </si>
  <si>
    <t>2019-09-26T14:29:02.490</t>
  </si>
  <si>
    <t>2019-09-24T03:31:17.493</t>
  </si>
  <si>
    <t>Selenium throwing null pointer for wait.until</t>
  </si>
  <si>
    <t>2019-09-24T04:21:17.527</t>
  </si>
  <si>
    <t>2019-10-28T20:54:08.640</t>
  </si>
  <si>
    <t>2019-09-24T13:16:39.010</t>
  </si>
  <si>
    <t>Salesforce Lightning Flow Builder lookup Error</t>
  </si>
  <si>
    <t>2019-09-28T12:50:12.810</t>
  </si>
  <si>
    <t>2019-09-24T13:39:32.487</t>
  </si>
  <si>
    <t>From Salesforce application need to send SMS/Message on Pager/Cell using Microsoft Graph API</t>
  </si>
  <si>
    <t>2019-09-24T15:34:06.913</t>
  </si>
  <si>
    <t>2019-09-25T03:10:03.470</t>
  </si>
  <si>
    <t>How do I authenticate the Salesforce token in Laravel?</t>
  </si>
  <si>
    <t>&lt;laravel&gt;&lt;authentication&gt;&lt;salesforce&gt;&lt;salesforce-lightning&gt;</t>
  </si>
  <si>
    <t>2019-09-25T04:03:09.330</t>
  </si>
  <si>
    <t>salesforce opportunity insight</t>
  </si>
  <si>
    <t>&lt;excel&gt;&lt;salesforce&gt;&lt;salesforce-communities&gt;&lt;salesforce-chatter&gt;</t>
  </si>
  <si>
    <t>2019-09-25T14:58:31.327</t>
  </si>
  <si>
    <t>How to pass event into a debounce function?</t>
  </si>
  <si>
    <t>2019-09-29T08:48:33.467</t>
  </si>
  <si>
    <t>&lt;javascript&gt;&lt;event-handling&gt;&lt;dom-events&gt;&lt;salesforce-lightning&gt;&lt;debounce&gt;</t>
  </si>
  <si>
    <t>2019-09-26T08:54:48.697</t>
  </si>
  <si>
    <t>2019-09-25T15:32:32.887</t>
  </si>
  <si>
    <t>Resizing a div by the left and right border in lightning component?</t>
  </si>
  <si>
    <t>2019-09-26T07:02:39.667</t>
  </si>
  <si>
    <t>CSS style not applying on dynamically injected html elements in LWC</t>
  </si>
  <si>
    <t>&lt;salesforce-lightning&gt;&lt;lwc&gt;</t>
  </si>
  <si>
    <t>2019-09-26T10:16:40.337</t>
  </si>
  <si>
    <t>Getting Bad request 400 upon rest post request from apex but works good in using postman</t>
  </si>
  <si>
    <t>2019-09-26T20:38:35.587</t>
  </si>
  <si>
    <t>&lt;rest&gt;&lt;salesforce&gt;&lt;integration&gt;&lt;apex&gt;&lt;salesforce-lightning&gt;</t>
  </si>
  <si>
    <t>2019-09-26T12:27:08.423</t>
  </si>
  <si>
    <t>how do I get the query string parameters in lightning component salesforce</t>
  </si>
  <si>
    <t>2019-09-26T12:34:46.220</t>
  </si>
  <si>
    <t>2019-09-26T14:35:02.180</t>
  </si>
  <si>
    <t>&lt;javascript&gt;&lt;salesforce&gt;&lt;salesforce-lightning&gt;&lt;salesforce-communities&gt;</t>
  </si>
  <si>
    <t>2019-09-26T13:18:46.613</t>
  </si>
  <si>
    <t>2019-09-26T13:42:56.780</t>
  </si>
  <si>
    <t>Using RxJs with LWC in Salesforce</t>
  </si>
  <si>
    <t>2019-09-26T13:53:31.660</t>
  </si>
  <si>
    <t>2019-11-01T11:06:24.470</t>
  </si>
  <si>
    <t>&lt;rxjs&gt;&lt;salesforce&gt;&lt;lwc&gt;</t>
  </si>
  <si>
    <t>2019-09-26T14:24:14.907</t>
  </si>
  <si>
    <t>Call search function when user is done Typing</t>
  </si>
  <si>
    <t>2019-09-26T15:29:30.207</t>
  </si>
  <si>
    <t>2019-09-26T15:40:43.360</t>
  </si>
  <si>
    <t>&lt;javascript&gt;&lt;events&gt;&lt;event-handling&gt;&lt;salesforce&gt;&lt;salesforce-lightning&gt;</t>
  </si>
  <si>
    <t>2019-09-26T15:24:57.273</t>
  </si>
  <si>
    <t>2019-09-28T03:39:26.803</t>
  </si>
  <si>
    <t>Call a link from APEX</t>
  </si>
  <si>
    <t>2019-09-28T11:14:26.160</t>
  </si>
  <si>
    <t>2019-09-28T07:56:06.030</t>
  </si>
  <si>
    <t>Apex salesforce pagereference for URL link mergefield</t>
  </si>
  <si>
    <t>2019-09-28T11:43:03.767</t>
  </si>
  <si>
    <t>&lt;report&gt;&lt;apex&gt;&lt;visualforce&gt;&lt;salesforce-lightning&gt;</t>
  </si>
  <si>
    <t>2019-09-28T16:17:05.453</t>
  </si>
  <si>
    <t>Have to double Click to get Selected in Aura Components</t>
  </si>
  <si>
    <t>&lt;javascript&gt;&lt;salesforce&gt;&lt;selected&gt;&lt;salesforce-lightning&gt;</t>
  </si>
  <si>
    <t>2019-09-29T13:23:37.297</t>
  </si>
  <si>
    <t>external jquery library not loading into lightning salesforce project</t>
  </si>
  <si>
    <t>2019-09-29T15:03:50.220</t>
  </si>
  <si>
    <t>&lt;javascript&gt;&lt;html&gt;&lt;salesforce-lightning&gt;&lt;salesforce-chatter&gt;&lt;mentionsinput.js&gt;</t>
  </si>
  <si>
    <t>2019-09-30T07:07:25.087</t>
  </si>
  <si>
    <t>Selenium getAttribute(href) return null value using java - Salesforce application</t>
  </si>
  <si>
    <t>2019-09-30T13:15:33.483</t>
  </si>
  <si>
    <t>&lt;java&gt;&lt;selenium&gt;&lt;salesforce-lightning&gt;</t>
  </si>
  <si>
    <t>2019-10-01T12:41:03.920</t>
  </si>
  <si>
    <t>LWC test using jest testing framework throws error - unknown public property "smalldevicesize" of element</t>
  </si>
  <si>
    <t>2019-10-07T06:55:14.840</t>
  </si>
  <si>
    <t>&lt;jestjs&gt;&lt;lwc&gt;</t>
  </si>
  <si>
    <t>2019-10-02T18:22:47.257</t>
  </si>
  <si>
    <t>selenium.WebDriverException: Returned value cannot be converted to WebElement</t>
  </si>
  <si>
    <t>2019-10-02T20:04:05.473</t>
  </si>
  <si>
    <t>2019-10-02T20:44:08.367</t>
  </si>
  <si>
    <t>&lt;selenium&gt;&lt;selenium-webdriver&gt;&lt;salesforce-lightning&gt;</t>
  </si>
  <si>
    <t>2019-10-04T03:46:59.640</t>
  </si>
  <si>
    <t>Fetch the Target record in NodeList using Lightning component</t>
  </si>
  <si>
    <t>&lt;javascript&gt;&lt;salesforce&gt;&lt;salesforce-lightning&gt;&lt;nodelist&gt;</t>
  </si>
  <si>
    <t>2019-10-05T15:06:30.077</t>
  </si>
  <si>
    <t>Do we have any event in lightning that fires after all the child components of a parent component has rendered?</t>
  </si>
  <si>
    <t>&lt;javascript&gt;&lt;events&gt;&lt;salesforce&gt;&lt;salesforce-lightning&gt;&lt;aura-framework&gt;</t>
  </si>
  <si>
    <t>2019-10-05T20:18:39.507</t>
  </si>
  <si>
    <t>How to implement client side pagination on json response with images URLs in Lightning?</t>
  </si>
  <si>
    <t>2019-10-05T20:37:48.677</t>
  </si>
  <si>
    <t>2019-10-07T06:47:15.493</t>
  </si>
  <si>
    <t>How to get Field Id from URL when creating new record from Related list in Salesforce</t>
  </si>
  <si>
    <t>2019-10-07T19:08:06.997</t>
  </si>
  <si>
    <t>How to convert lightning web component into pdf on buttom click</t>
  </si>
  <si>
    <t>2019-10-08T15:23:06.157</t>
  </si>
  <si>
    <t>Salesforce: How to get field value in aura attribute and use if statement in component</t>
  </si>
  <si>
    <t>2019-10-08T15:56:22.750</t>
  </si>
  <si>
    <t>2019-10-11T08:57:15.357</t>
  </si>
  <si>
    <t>&lt;components&gt;&lt;salesforce&gt;&lt;salesforce-lightning&gt;</t>
  </si>
  <si>
    <t>2019-10-08T15:30:53.597</t>
  </si>
  <si>
    <t>Salesforce login to user with lightning design - No headers</t>
  </si>
  <si>
    <t>2019-10-08T15:45:28.170</t>
  </si>
  <si>
    <t>2019-10-08T19:04:02.527</t>
  </si>
  <si>
    <t>How to calculate if Date is more than "2 years ago" with a Salesforce formula field?</t>
  </si>
  <si>
    <t>2019-10-09T07:24:34.510</t>
  </si>
  <si>
    <t>2019-10-09T08:39:13.973</t>
  </si>
  <si>
    <t>loading community url on ios webview after login to salesforce mobile sdk</t>
  </si>
  <si>
    <t>&lt;salesforce&gt;&lt;salesforce-communities&gt;&lt;salesforce-mobile-sdk&gt;</t>
  </si>
  <si>
    <t>2019-10-09T10:47:27.473</t>
  </si>
  <si>
    <t>Update ChildRecords when Parent Field Update Using Lightning Flow</t>
  </si>
  <si>
    <t>2019-10-09T11:17:28.610</t>
  </si>
  <si>
    <t>2019-10-10T14:55:52.413</t>
  </si>
  <si>
    <t>Salesforce Community Navigation Menu is not refreshing the entire page</t>
  </si>
  <si>
    <t>2020-05-29T03:12:43.367</t>
  </si>
  <si>
    <t>&lt;javascript&gt;&lt;jquery&gt;&lt;salesforce&gt;&lt;salesforce-lightning&gt;&lt;salesforce-communities&gt;</t>
  </si>
  <si>
    <t>2019-10-10T18:02:12.163</t>
  </si>
  <si>
    <t>Q: Salesforce: Communities: Display certain content at set time period in user life</t>
  </si>
  <si>
    <t>2019-10-11T10:28:53.543</t>
  </si>
  <si>
    <t>xpath clarification in Salesforce application</t>
  </si>
  <si>
    <t>2019-10-11T11:36:44.443</t>
  </si>
  <si>
    <t>&lt;selenium-webdriver&gt;&lt;xpath&gt;&lt;webdriver&gt;&lt;salesforce&gt;&lt;salesforce-lightning&gt;</t>
  </si>
  <si>
    <t>2019-10-11T10:33:24.207</t>
  </si>
  <si>
    <t>2019-10-11T15:47:00.520</t>
  </si>
  <si>
    <t>Process Automation SuperBadge Step 5 - How to properly validate when opportunity is Negotiation/Review</t>
  </si>
  <si>
    <t>2019-11-21T22:14:11.933</t>
  </si>
  <si>
    <t>2019-10-14T06:57:33.117</t>
  </si>
  <si>
    <t>Flow does not show the toast message and is redirected to other screen</t>
  </si>
  <si>
    <t>&lt;toast&gt;&lt;visualforce&gt;&lt;flow&gt;&lt;salesforce-lightning&gt;</t>
  </si>
  <si>
    <t>2019-10-14T07:47:13.480</t>
  </si>
  <si>
    <t>Salesforce Softphone - remove popout/expand icon</t>
  </si>
  <si>
    <t>2019-10-14T13:18:38.310</t>
  </si>
  <si>
    <t>2019-10-14T08:36:33.783</t>
  </si>
  <si>
    <t>Can i create a sql table populated with Salesforce objects?</t>
  </si>
  <si>
    <t>2019-10-14T10:39:09.387</t>
  </si>
  <si>
    <t>2019-10-14T10:03:10.387</t>
  </si>
  <si>
    <t>Unable to take screenshot using html2canvas in lightning</t>
  </si>
  <si>
    <t>2019-10-15T11:23:49.793</t>
  </si>
  <si>
    <t>2019-11-12T13:39:49.727</t>
  </si>
  <si>
    <t>&lt;javascript&gt;&lt;html&gt;&lt;salesforce&gt;&lt;html2canvas&gt;&lt;salesforce-lightning&gt;</t>
  </si>
  <si>
    <t>2019-10-14T11:57:51.980</t>
  </si>
  <si>
    <t>Is there any possibility to make my visualforce page visible in visualforce component only in specific conditions</t>
  </si>
  <si>
    <t>2019-10-20T12:18:30.410</t>
  </si>
  <si>
    <t>&lt;salesforce&gt;&lt;visualforce&gt;&lt;salesforce-lightning&gt;</t>
  </si>
  <si>
    <t>2019-10-15T11:06:04.480</t>
  </si>
  <si>
    <t>2019-10-14T18:34:37.547</t>
  </si>
  <si>
    <t>I am getting a list view of images instead displaying in grid format</t>
  </si>
  <si>
    <t>user12216307</t>
  </si>
  <si>
    <t>2019-10-16T13:59:28.817</t>
  </si>
  <si>
    <t>&lt;javascript&gt;&lt;json&gt;&lt;apex&gt;&lt;salesforce-lightning&gt;</t>
  </si>
  <si>
    <t>2019-10-16T15:35:43.927</t>
  </si>
  <si>
    <t>Restrict App launcher visibility to user profile other than system admin in salesforce</t>
  </si>
  <si>
    <t>2019-10-17T09:10:45.380</t>
  </si>
  <si>
    <t>Customer Reply not saved on Email Message object (Email-to-Case Salesforce)</t>
  </si>
  <si>
    <t>&lt;object&gt;&lt;salesforce&gt;&lt;case&gt;&lt;salesforce-lightning&gt;&lt;lightning&gt;</t>
  </si>
  <si>
    <t>2019-10-17T10:03:17.520</t>
  </si>
  <si>
    <t>Lightning dashboard subscriptions</t>
  </si>
  <si>
    <t>2019-10-23T14:41:49.903</t>
  </si>
  <si>
    <t>2019-10-17T12:15:16.780</t>
  </si>
  <si>
    <t>How to solve whitescreen issue on mobile device of Salesforce application?</t>
  </si>
  <si>
    <t>&lt;salesforce&gt;&lt;salesforce-lightning&gt;&lt;salesforce-chatter&gt;&lt;salesforce-mobile-sdk&gt;</t>
  </si>
  <si>
    <t>2019-10-17T17:56:15.983</t>
  </si>
  <si>
    <t>Can Heroku be deployed in the Canadian data center, with no data leaving Canada? (Heroku Private Spaces)</t>
  </si>
  <si>
    <t>2019-10-21T10:25:03.057</t>
  </si>
  <si>
    <t>&lt;heroku&gt;&lt;salesforce&gt;&lt;lightning&gt;</t>
  </si>
  <si>
    <t>2019-10-17T18:51:13.100</t>
  </si>
  <si>
    <t>Trying to see custom fields on a custom object created through metadata api in salesforce</t>
  </si>
  <si>
    <t>2019-10-17T18:57:10.817</t>
  </si>
  <si>
    <t>&lt;c#&gt;&lt;api&gt;&lt;salesforce&gt;&lt;metadata&gt;&lt;salesforce-lightning&gt;</t>
  </si>
  <si>
    <t>2019-10-18T11:26:39.980</t>
  </si>
  <si>
    <t>Highlighting elements is not working in selenium java using javascript</t>
  </si>
  <si>
    <t>2019-11-19T11:28:39.203</t>
  </si>
  <si>
    <t>&lt;javascript&gt;&lt;java&gt;&lt;salesforce-lightning&gt;</t>
  </si>
  <si>
    <t>2019-10-18T19:26:13.470</t>
  </si>
  <si>
    <t>Lightning Input field's value is undefined, even if it has value</t>
  </si>
  <si>
    <t>2019-10-19T23:05:48.687</t>
  </si>
  <si>
    <t>&lt;javascript&gt;&lt;salesforce&gt;&lt;undefined&gt;&lt;apex&gt;&lt;lightning&gt;</t>
  </si>
  <si>
    <t>2019-10-19T12:41:11.470</t>
  </si>
  <si>
    <t>Manipulating DOM from a custom component in salesforce lightning</t>
  </si>
  <si>
    <t>2019-10-20T12:53:24.960</t>
  </si>
  <si>
    <t>Why does Excel tables lose their structure when pasted to Rich Text Area inside Lightning Component while it works with Classic?</t>
  </si>
  <si>
    <t>2019-10-20T13:52:09.813</t>
  </si>
  <si>
    <t>LWC deployment Error while deploying from VS Code</t>
  </si>
  <si>
    <t>2019-10-20T17:44:49.770</t>
  </si>
  <si>
    <t>2020-03-23T06:45:16.893</t>
  </si>
  <si>
    <t>&lt;visual-studio-code&gt;&lt;salesforce&gt;&lt;salesforce-lightning&gt;&lt;lightning&gt;</t>
  </si>
  <si>
    <t>2019-10-21T07:33:35.170</t>
  </si>
  <si>
    <t>I have created a lightning component which has embedded dashboard</t>
  </si>
  <si>
    <t>2019-10-21T07:58:30.733</t>
  </si>
  <si>
    <t>2019-10-21T09:04:51.693</t>
  </si>
  <si>
    <t>how to collect all muted feed item list in salesforce soql</t>
  </si>
  <si>
    <t>2019-10-22T18:28:12.087</t>
  </si>
  <si>
    <t>Neovis.js not rendering completely in Salesforce Lightning Web Component</t>
  </si>
  <si>
    <t>2019-10-29T18:39:30.410</t>
  </si>
  <si>
    <t>&lt;neo4j&gt;&lt;salesforce&gt;&lt;vis.js&gt;&lt;salesforce-lightning&gt;</t>
  </si>
  <si>
    <t>2019-10-23T15:51:40.750</t>
  </si>
  <si>
    <t>How to retrieve the value of a field in client Javascript, salesforce LWC</t>
  </si>
  <si>
    <t>2019-10-23T18:20:00.443</t>
  </si>
  <si>
    <t>2019-10-24T09:53:29.483</t>
  </si>
  <si>
    <t>Is there any possibility to have custom error messages when you try to submit an approval for an opportunity?</t>
  </si>
  <si>
    <t>2019-10-25T15:17:09.810</t>
  </si>
  <si>
    <t>Custom Labels in Lightning Component for different languages</t>
  </si>
  <si>
    <t>2019-10-26T21:56:10.987</t>
  </si>
  <si>
    <t>How to make dashboard snapshot post to chatter in salesforce?</t>
  </si>
  <si>
    <t>2019-10-29T18:31:22.503</t>
  </si>
  <si>
    <t>How to avoid the Salesforce Developer Console to override the next simbol when typing code?</t>
  </si>
  <si>
    <t>2019-10-30T13:46:42.390</t>
  </si>
  <si>
    <t>Salesforce Low bandwidth tools</t>
  </si>
  <si>
    <t>2019-10-30T23:03:51.587</t>
  </si>
  <si>
    <t>&lt;salesforce&gt;&lt;web-component&gt;&lt;apex&gt;&lt;apex-code&gt;&lt;salesforce-lightning&gt;</t>
  </si>
  <si>
    <t>2019-10-30T21:34:33.427</t>
  </si>
  <si>
    <t>2019-10-30T18:49:35.040</t>
  </si>
  <si>
    <t>angular project using salesforce lightning</t>
  </si>
  <si>
    <t>2020-01-22T09:08:21.190</t>
  </si>
  <si>
    <t>&lt;angular&gt;&lt;salesforce&gt;&lt;salesforce-lightning&gt;</t>
  </si>
  <si>
    <t>2019-10-31T08:13:46.737</t>
  </si>
  <si>
    <t>salesforce lightning this.template.querySelector not working</t>
  </si>
  <si>
    <t>2019-11-07T14:42:03.837</t>
  </si>
  <si>
    <t>2020-05-26T04:53:55.270</t>
  </si>
  <si>
    <t>2019-10-31T13:07:50.970</t>
  </si>
  <si>
    <t>Issue with lightning carousel</t>
  </si>
  <si>
    <t>2019-11-10T03:50:22.003</t>
  </si>
  <si>
    <t>2020-04-23T10:55:35.320</t>
  </si>
  <si>
    <t>&lt;salesforce&gt;&lt;carousel&gt;&lt;salesforce-lightning&gt;&lt;lwc&gt;</t>
  </si>
  <si>
    <t>2019-10-31T18:31:03.250</t>
  </si>
  <si>
    <t>My images are showing up as list rather than slide show in my lwc</t>
  </si>
  <si>
    <t>&lt;javascript&gt;&lt;html&gt;&lt;salesforce&gt;&lt;salesforce-lightning&gt;&lt;lwc&gt;</t>
  </si>
  <si>
    <t>2019-11-01T13:38:05.903</t>
  </si>
  <si>
    <t>Creating Custom Object in Salesforce Lightning using Selenium Webdriver</t>
  </si>
  <si>
    <t>2019-11-01T14:11:37.967</t>
  </si>
  <si>
    <t>2019-12-04T22:58:21.513</t>
  </si>
  <si>
    <t>&lt;selenium&gt;&lt;salesforce-lightning&gt;</t>
  </si>
  <si>
    <t>2019-11-02T21:24:32.003</t>
  </si>
  <si>
    <t>Salesforce noobie - where are the crud pages for custom objects?</t>
  </si>
  <si>
    <t>2019-11-05T03:56:29.987</t>
  </si>
  <si>
    <t>2019-11-03T06:21:58.460</t>
  </si>
  <si>
    <t>how to fetch array of input values from html to JS</t>
  </si>
  <si>
    <t>2019-11-03T08:14:17.140</t>
  </si>
  <si>
    <t>&lt;javascript&gt;&lt;html&gt;&lt;arrays&gt;&lt;salesforce-lightning&gt;</t>
  </si>
  <si>
    <t>2019-11-07T10:22:17.457</t>
  </si>
  <si>
    <t>Settings page opens in a new tab in Salesforce</t>
  </si>
  <si>
    <t>2019-11-09T03:39:35.537</t>
  </si>
  <si>
    <t>Replace Javascript button to Lightning Component</t>
  </si>
  <si>
    <t>2019-11-11T02:38:06.237</t>
  </si>
  <si>
    <t>Sort by option is disabled in standard knowledge component</t>
  </si>
  <si>
    <t>&lt;lighting&gt;&lt;salesforce-lightning&gt;</t>
  </si>
  <si>
    <t>2019-11-11T06:08:19.387</t>
  </si>
  <si>
    <t>Deployment issue with knowledge page layout required fields</t>
  </si>
  <si>
    <t>2019-11-11T09:53:56.687</t>
  </si>
  <si>
    <t>Unable to test setter/getter method inside of LWC using jest testing framework</t>
  </si>
  <si>
    <t>2019-11-15T09:51:38.803</t>
  </si>
  <si>
    <t>&lt;testing&gt;&lt;jestjs&gt;&lt;getter-setter&gt;&lt;lwc&gt;</t>
  </si>
  <si>
    <t>2019-11-11T13:42:45.860</t>
  </si>
  <si>
    <t>How to import data into a Salesforce sandbox from a Snowflake database or AWS S3 by API and Python code?</t>
  </si>
  <si>
    <t>2019-11-11T17:33:25.113</t>
  </si>
  <si>
    <t>2019-11-15T11:16:26.797</t>
  </si>
  <si>
    <t>&lt;python-3.x&gt;&lt;salesforce&gt;&lt;sandbox&gt;&lt;snowflake-cloud-data-platform&gt;&lt;salesforce-service-cloud&gt;</t>
  </si>
  <si>
    <t>2019-11-12T15:17:22.747</t>
  </si>
  <si>
    <t>How to set-up a RMM in marketing cloud to create a case in Service Cloud</t>
  </si>
  <si>
    <t>&lt;salesforce&gt;&lt;salesforce-service-cloud&gt;&lt;salesforce-marketing-cloud&gt;</t>
  </si>
  <si>
    <t>2019-11-13T07:25:43.497</t>
  </si>
  <si>
    <t>How to use default lightning email template in salesforce</t>
  </si>
  <si>
    <t>&lt;email&gt;&lt;salesforce-lightning&gt;</t>
  </si>
  <si>
    <t>2019-11-13T07:59:06.487</t>
  </si>
  <si>
    <t>Get ID of lightning:button that was used in the onsuccess attribute on a Lightning:recordEditForm</t>
  </si>
  <si>
    <t>2019-11-13T14:20:51.723</t>
  </si>
  <si>
    <t>How to apply some simple styles to tds of "datatable" of lightning web component in playground?</t>
  </si>
  <si>
    <t>2019-11-26T15:36:16.833</t>
  </si>
  <si>
    <t>2019-11-13T16:03:44.453</t>
  </si>
  <si>
    <t>Can we integrate LWC component into REACT JS</t>
  </si>
  <si>
    <t>&lt;reactjs&gt;&lt;salesforce&gt;&lt;lwc&gt;</t>
  </si>
  <si>
    <t>2019-11-15T09:47:25.463</t>
  </si>
  <si>
    <t>How to open Send Email global action in popup from lightning component</t>
  </si>
  <si>
    <t>2019-11-16T09:31:36.433</t>
  </si>
  <si>
    <t>2019-11-15T23:01:04.740</t>
  </si>
  <si>
    <t>Why do Visualforce pages require invalid HTML? (at times)</t>
  </si>
  <si>
    <t>2019-11-16T00:21:14.060</t>
  </si>
  <si>
    <t>2019-11-16T04:01:06.827</t>
  </si>
  <si>
    <t>Outlook Web Add-in</t>
  </si>
  <si>
    <t>2019-11-25T06:23:48.383</t>
  </si>
  <si>
    <t>&lt;azure-web-sites&gt;&lt;salesforce-communities&gt;</t>
  </si>
  <si>
    <t>2019-11-18T11:37:13.880</t>
  </si>
  <si>
    <t>Multiple Salesforce IDP for single Service provider configuration</t>
  </si>
  <si>
    <t>2019-11-19T05:08:03.213</t>
  </si>
  <si>
    <t>&lt;java&gt;&lt;salesforce&gt;&lt;single-sign-on&gt;&lt;salesforce-lightning&gt;&lt;service-provider&gt;</t>
  </si>
  <si>
    <t>2019-11-18T12:14:27.450</t>
  </si>
  <si>
    <t>How to move a button to center in salesforce lightning component</t>
  </si>
  <si>
    <t>2019-11-18T13:38:36.333</t>
  </si>
  <si>
    <t>2019-11-20T09:15:14.320</t>
  </si>
  <si>
    <t>2019-11-19T20:38:31.117</t>
  </si>
  <si>
    <t>SyntaxError: Cannot use import statement outside a module in JEST LWC</t>
  </si>
  <si>
    <t>2019-11-20T19:18:03.657</t>
  </si>
  <si>
    <t>2020-01-21T04:32:34.540</t>
  </si>
  <si>
    <t>2019-11-20T11:00:58.007</t>
  </si>
  <si>
    <t>how to pass SAML attributes from service provider(Salesforce) to Visualforce page Controller</t>
  </si>
  <si>
    <t>2019-11-20T23:39:01.027</t>
  </si>
  <si>
    <t>&lt;salesforce&gt;&lt;single-sign-on&gt;&lt;visualforce&gt;&lt;salesforce-lightning&gt;&lt;salesforce-communities&gt;</t>
  </si>
  <si>
    <t>2019-11-20T17:16:51.457</t>
  </si>
  <si>
    <t>Salesforce - Add If-Else statement in custom HTML email template in Lightning</t>
  </si>
  <si>
    <t>2019-11-27T15:33:12.113</t>
  </si>
  <si>
    <t>2019-11-21T10:49:14.960</t>
  </si>
  <si>
    <t>How to fetch all the address from any entity (given entity id) in salesforce</t>
  </si>
  <si>
    <t>2019-11-21T19:31:39.573</t>
  </si>
  <si>
    <t>Cannot assign to read only property 'disconnectedHandler' of object '[object Object]'</t>
  </si>
  <si>
    <t>&lt;javascript&gt;&lt;salesforce&gt;&lt;lwc&gt;</t>
  </si>
  <si>
    <t>2019-11-22T11:19:26.857</t>
  </si>
  <si>
    <t>Transition Effect Using Lightning Controller</t>
  </si>
  <si>
    <t>2019-11-24T22:18:31.383</t>
  </si>
  <si>
    <t>Salesforce Oauth Error. 1814 : An unexpected error has occured during authentication</t>
  </si>
  <si>
    <t>2019-11-24T22:32:56.433</t>
  </si>
  <si>
    <t>2019-11-25T09:52:47.117</t>
  </si>
  <si>
    <t>How can we get table size in Salesforce using CData driver?</t>
  </si>
  <si>
    <t>2020-05-28T06:04:30.350</t>
  </si>
  <si>
    <t>2020-05-28T16:15:23.357</t>
  </si>
  <si>
    <t>&lt;salesforce&gt;&lt;cdata&gt;&lt;salesforce-lightning&gt;&lt;cdata-drivers&gt;</t>
  </si>
  <si>
    <t>2019-11-25T10:07:54.853</t>
  </si>
  <si>
    <t>How to avoid errors from onchange methods on lightning-input?</t>
  </si>
  <si>
    <t>2019-12-03T13:44:07.300</t>
  </si>
  <si>
    <t>2019-11-26T02:55:51.330</t>
  </si>
  <si>
    <t>Salesforce: Dynamically grabbing record id's in a Lightning Component</t>
  </si>
  <si>
    <t>2019-12-04T12:58:35.143</t>
  </si>
  <si>
    <t>2019-11-26T14:35:18.613</t>
  </si>
  <si>
    <t>SOQL Query for Left Join for custom objects</t>
  </si>
  <si>
    <t>2019-11-27T06:30:48.923</t>
  </si>
  <si>
    <t>&lt;salesforce&gt;&lt;soql&gt;&lt;salesforce-lightning&gt;</t>
  </si>
  <si>
    <t>2019-11-26T16:05:31.623</t>
  </si>
  <si>
    <t>2019-11-27T03:18:21.187</t>
  </si>
  <si>
    <t>Nested Rows inside table with shared headers - Aura Iteration</t>
  </si>
  <si>
    <t>2019-11-27T03:43:32.327</t>
  </si>
  <si>
    <t>&lt;html&gt;&lt;html-table&gt;&lt;iteration&gt;&lt;aura-framework&gt;</t>
  </si>
  <si>
    <t>2019-11-28T06:32:24.777</t>
  </si>
  <si>
    <t>on clicking any pencil icons to update the record, the currency data fields that are in SKK change to USD</t>
  </si>
  <si>
    <t>&lt;currency&gt;&lt;salesforce-lightning&gt;</t>
  </si>
  <si>
    <t>2019-11-28T13:08:57.947</t>
  </si>
  <si>
    <t>Salesforce DX: Single Project with multiple package directories vs. Multiple projects</t>
  </si>
  <si>
    <t>2019-12-02T10:43:40.443</t>
  </si>
  <si>
    <t>&lt;visual-studio-code&gt;&lt;salesforce&gt;&lt;salesforce-lightning&gt;&lt;salesforce-communities&gt;</t>
  </si>
  <si>
    <t>2019-11-29T19:53:49.653</t>
  </si>
  <si>
    <t>Salesforce community SAML sso not working for users created through manually</t>
  </si>
  <si>
    <t>2019-11-29T20:05:13.697</t>
  </si>
  <si>
    <t>2019-12-02T13:56:30.177</t>
  </si>
  <si>
    <t>Closable custom Lightning tabs in Salesforce</t>
  </si>
  <si>
    <t>&lt;tabs&gt;&lt;salesforce&gt;&lt;lighting&gt;&lt;aura-framework&gt;&lt;lwc&gt;</t>
  </si>
  <si>
    <t>2019-12-03T04:36:06.477</t>
  </si>
  <si>
    <t>Custom Activity Data Binding with Salesforce Objects</t>
  </si>
  <si>
    <t>&lt;salesforce&gt;&lt;salesforce-service-cloud&gt;&lt;salesforce-communities&gt;&lt;salesforce-marketing-cloud&gt;</t>
  </si>
  <si>
    <t>2019-12-03T05:57:20.640</t>
  </si>
  <si>
    <t>I am unable to see activity history and open activities in related list for classic view in salesforce</t>
  </si>
  <si>
    <t>2019-12-04T11:35:33.007</t>
  </si>
  <si>
    <t>How to launch Sales-force app from developer trial account?</t>
  </si>
  <si>
    <t>2019-12-04T18:27:32.700</t>
  </si>
  <si>
    <t>SDK not binding on page when a Color variant is changed - added JS script that works in console but not in a content asset (Demandware)</t>
  </si>
  <si>
    <t>2019-12-04T19:15:17.143</t>
  </si>
  <si>
    <t>&lt;javascript&gt;&lt;html&gt;&lt;salesforce&gt;&lt;salesforce-communities&gt;&lt;demandware&gt;</t>
  </si>
  <si>
    <t>2019-12-05T18:41:30.593</t>
  </si>
  <si>
    <t>Salesforce Lightning Design System 2 row grid content</t>
  </si>
  <si>
    <t>&lt;responsive-design&gt;&lt;salesforce&gt;&lt;salesforce-lightning&gt;</t>
  </si>
  <si>
    <t>2019-12-05T20:41:09.107</t>
  </si>
  <si>
    <t>Embed Lightning-input with lightning-icon in LWC</t>
  </si>
  <si>
    <t>2019-12-05T21:39:09.183</t>
  </si>
  <si>
    <t>2019-12-17T11:08:01.477</t>
  </si>
  <si>
    <t>&lt;salesforce&gt;&lt;lightning&gt;&lt;lwc&gt;</t>
  </si>
  <si>
    <t>2019-12-15T18:23:38.097</t>
  </si>
  <si>
    <t>2019-12-07T05:40:20.197</t>
  </si>
  <si>
    <t>Workflow multi email alert not sending in salesforce</t>
  </si>
  <si>
    <t>&lt;salesforce&gt;&lt;workflow&gt;&lt;salesforce-lightning&gt;</t>
  </si>
  <si>
    <t>2019-12-08T08:19:19.243</t>
  </si>
  <si>
    <t>Not being able to close the dynamic lightning component</t>
  </si>
  <si>
    <t>2020-02-12T07:08:10.433</t>
  </si>
  <si>
    <t>2019-12-09T10:02:00.847</t>
  </si>
  <si>
    <t>How to access liquid variables provided in desk.com in service cloud community visual force pages?</t>
  </si>
  <si>
    <t>2019-12-09T10:13:47.040</t>
  </si>
  <si>
    <t>2019-12-09T15:02:19.990</t>
  </si>
  <si>
    <t>Synthetic LWC Shadow DOM Slots vs Native shadow DOM Slots</t>
  </si>
  <si>
    <t>2019-12-10T17:02:42.773</t>
  </si>
  <si>
    <t>&lt;javascript&gt;&lt;web-component&gt;&lt;shadow-dom&gt;&lt;salesforce-lightning&gt;&lt;lwc&gt;</t>
  </si>
  <si>
    <t>2019-12-10T06:24:29.927</t>
  </si>
  <si>
    <t>Accept button to take ownership of custom object records in community portal salesforce</t>
  </si>
  <si>
    <t>&lt;salesforce&gt;&lt;lightning&gt;&lt;salesforce-communities&gt;</t>
  </si>
  <si>
    <t>2019-12-10T08:09:02.690</t>
  </si>
  <si>
    <t>Salesforce method is not fully executed</t>
  </si>
  <si>
    <t>2019-12-10T23:30:44.973</t>
  </si>
  <si>
    <t>2019-12-17T01:42:48.910</t>
  </si>
  <si>
    <t>&lt;salesforce&gt;&lt;apex&gt;&lt;salesforce-communities&gt;</t>
  </si>
  <si>
    <t>2019-12-10T13:48:39.470</t>
  </si>
  <si>
    <t>CANNOT CREATE NEW RECORD USING LWC - SALESFORCE</t>
  </si>
  <si>
    <t>2019-12-15T12:43:42.620</t>
  </si>
  <si>
    <t>2019-12-11T09:18:20.383</t>
  </si>
  <si>
    <t>How to create an upsert bulk job for 'Account' object in Salesforce? what will be the externalIdFieldName?</t>
  </si>
  <si>
    <t>2019-12-15T03:38:38.037</t>
  </si>
  <si>
    <t>&lt;api&gt;&lt;salesforce&gt;&lt;salesforce-lightning&gt;&lt;salesforce-service-cloud&gt;&lt;salesforce-communities&gt;</t>
  </si>
  <si>
    <t>2019-12-11T10:09:33.593</t>
  </si>
  <si>
    <t>Salesforce LWC Uncaught (in promise) TypeError: Cannot read property 'Symbol(ViewModel)' of undefined</t>
  </si>
  <si>
    <t>2019-12-13T14:10:31.630</t>
  </si>
  <si>
    <t>&lt;javascript&gt;&lt;salesforce&gt;&lt;salesforce-lightning&gt;&lt;lwc&gt;</t>
  </si>
  <si>
    <t>2019-12-11T20:15:30.423</t>
  </si>
  <si>
    <t>is there a way to set dynamic field names in lightning:input like below?</t>
  </si>
  <si>
    <t>2019-12-15T17:22:08.587</t>
  </si>
  <si>
    <t>Convert HTML5 to Lightning Web Component</t>
  </si>
  <si>
    <t>2019-12-17T02:18:30.863</t>
  </si>
  <si>
    <t>2019-12-16T06:39:34.523</t>
  </si>
  <si>
    <t>Invalid username, user not active' - salesforce2hadoop</t>
  </si>
  <si>
    <t>&lt;hadoop&gt;&lt;salesforce&gt;&lt;hadoop2&gt;&lt;hadoop-plugins&gt;&lt;salesforce-communities&gt;</t>
  </si>
  <si>
    <t>2019-12-16T07:32:04.387</t>
  </si>
  <si>
    <t>Cases with type "question" not showing in customer service Topic Detail page's Question tab</t>
  </si>
  <si>
    <t>2019-12-16T08:04:32.547</t>
  </si>
  <si>
    <t>2019-12-17T08:21:09.830</t>
  </si>
  <si>
    <t>Salesforce LWC - error message when using querySelector on a datalist element</t>
  </si>
  <si>
    <t>2019-12-17T08:40:46.297</t>
  </si>
  <si>
    <t>2019-12-18T10:01:48.513</t>
  </si>
  <si>
    <t>Incremental/Partial Deployment using SalesforceDX</t>
  </si>
  <si>
    <t>2019-12-19T20:04:30.450</t>
  </si>
  <si>
    <t>&lt;salesforce&gt;&lt;salesforce-service-cloud&gt;&lt;salesforce-communities&gt;&lt;sfdc&gt;&lt;sfdc-migration-tool&gt;</t>
  </si>
  <si>
    <t>2019-12-18T13:17:18.917</t>
  </si>
  <si>
    <t>Customize list views with sharing settings in salesforce</t>
  </si>
  <si>
    <t>2019-12-19T20:01:19.930</t>
  </si>
  <si>
    <t>&lt;listview&gt;&lt;salesforce&gt;&lt;apex&gt;&lt;salesforce-lightning&gt;</t>
  </si>
  <si>
    <t>2019-12-18T19:54:44.740</t>
  </si>
  <si>
    <t>Update Information Using DML in Aura</t>
  </si>
  <si>
    <t>2019-12-30T15:44:01.203</t>
  </si>
  <si>
    <t>&lt;salesforce&gt;&lt;aura-framework&gt;&lt;aura.js&gt;&lt;lwc&gt;</t>
  </si>
  <si>
    <t>2019-12-19T09:38:03.463</t>
  </si>
  <si>
    <t>Redirecting to specific record on click of custom notification</t>
  </si>
  <si>
    <t>2019-12-19T15:15:35.360</t>
  </si>
  <si>
    <t>How to Integrate Roles Field from "Account Contact Relationship" to Contacts Object Fieldset</t>
  </si>
  <si>
    <t>2020-02-10T00:04:05.263</t>
  </si>
  <si>
    <t>&lt;salesforce&gt;&lt;contacts&gt;&lt;account&gt;&lt;salesforce-lightning&gt;&lt;lwc&gt;</t>
  </si>
  <si>
    <t>2019-12-20T03:00:23.137</t>
  </si>
  <si>
    <t>Opening the VF page in a new Tab Lightning</t>
  </si>
  <si>
    <t>2019-12-22T06:24:39.270</t>
  </si>
  <si>
    <t>How to create Salesforce incremental package.xml automatically?</t>
  </si>
  <si>
    <t>2019-12-27T08:23:59.860</t>
  </si>
  <si>
    <t>&lt;salesforce&gt;&lt;salesforce-communities&gt;&lt;sfdc&gt;&lt;sfdc-metadata-api&gt;&lt;sfdc-migration-tool&gt;</t>
  </si>
  <si>
    <t>2019-12-23T10:28:34.800</t>
  </si>
  <si>
    <t>How to Make knowledge article body visible to guest users in salesforce community?</t>
  </si>
  <si>
    <t>2019-12-23T15:33:55.220</t>
  </si>
  <si>
    <t>After deploying a fully functional Aura Component Bundle to some other environment, it always throws error 'Cannot read property __ of undefined'</t>
  </si>
  <si>
    <t>2019-12-31T17:59:33.157</t>
  </si>
  <si>
    <t>2019-12-31T07:37:26.847</t>
  </si>
  <si>
    <t>2019-12-24T06:16:28.550</t>
  </si>
  <si>
    <t>Drill Down Issue in Reports after click on Bar Chart Salesforce</t>
  </si>
  <si>
    <t>&lt;salesforce&gt;&lt;report&gt;&lt;salesforce-lightning&gt;</t>
  </si>
  <si>
    <t>2019-12-25T04:13:29.607</t>
  </si>
  <si>
    <t>lwc-services is not recognized as an internal or external command</t>
  </si>
  <si>
    <t>2020-01-19T07:15:50.600</t>
  </si>
  <si>
    <t>2019-12-27T06:22:05.690</t>
  </si>
  <si>
    <t>Run lwc open source app on HTTPS instead of HTTP</t>
  </si>
  <si>
    <t>&lt;lwc&gt;</t>
  </si>
  <si>
    <t>2019-12-29T02:11:13.233</t>
  </si>
  <si>
    <t>Unable to read and upload file using FileReader object in Lightning component</t>
  </si>
  <si>
    <t>2020-05-23T12:41:50.120</t>
  </si>
  <si>
    <t>2019-12-30T00:57:41.973</t>
  </si>
  <si>
    <t>Salesforce LWC / Google Maps</t>
  </si>
  <si>
    <t>2020-01-15T20:07:52.030</t>
  </si>
  <si>
    <t>&lt;google-maps&gt;&lt;salesforce&gt;&lt;salesforce-lightning&gt;&lt;lwc&gt;</t>
  </si>
  <si>
    <t>2019-12-30T08:35:08.993</t>
  </si>
  <si>
    <t>HTML table Infinite Scrolling</t>
  </si>
  <si>
    <t>&lt;html&gt;&lt;html-table&gt;&lt;salesforce-lightning&gt;</t>
  </si>
  <si>
    <t>2019-12-30T16:31:40.170</t>
  </si>
  <si>
    <t>Opening a VF Page in new tab/window</t>
  </si>
  <si>
    <t>2019-12-31T01:30:16.517</t>
  </si>
  <si>
    <t>Salesforce "Record is not createable INSUFFICIENT_ACCESS" error</t>
  </si>
  <si>
    <t>2019-12-31T04:45:55.433</t>
  </si>
  <si>
    <t>2019-12-31T13:32:49.517</t>
  </si>
  <si>
    <t>Mobiscroll calendar working inside a Salesforce LWC?</t>
  </si>
  <si>
    <t>2019-12-31T13:38:04.060</t>
  </si>
  <si>
    <t>&lt;mobiscroll&gt;&lt;lwc&gt;</t>
  </si>
  <si>
    <t>2020-01-01T10:30:13.503</t>
  </si>
  <si>
    <t>How remove the header - **Caution: This email originated from an outside address** in mails</t>
  </si>
  <si>
    <t>&lt;salesforce&gt;&lt;salesforce-lightning&gt;&lt;salesforce-service-cloud&gt;&lt;salesforce-communities&gt;&lt;salesforce-chatter&gt;</t>
  </si>
  <si>
    <t>2020-01-07T07:33:22.517</t>
  </si>
  <si>
    <t>Error when create event series in Salesforce with REST API</t>
  </si>
  <si>
    <t>2020-01-07T07:45:41.023</t>
  </si>
  <si>
    <t>&lt;salesforce&gt;&lt;salesforce-lightning&gt;&lt;recurring-events&gt;</t>
  </si>
  <si>
    <t>2020-01-07T09:10:40.077</t>
  </si>
  <si>
    <t>call controller function from dynamically created dom element</t>
  </si>
  <si>
    <t>2020-01-07T09:52:03.817</t>
  </si>
  <si>
    <t>&lt;javascript&gt;&lt;salesforce-lightning&gt;&lt;aura-framework&gt;</t>
  </si>
  <si>
    <t>2020-01-08T06:05:52.320</t>
  </si>
  <si>
    <t>Create Batch Apex to update multiple objects</t>
  </si>
  <si>
    <t>2020-01-08T17:34:54.497</t>
  </si>
  <si>
    <t>&lt;salesforce&gt;&lt;apex-code&gt;&lt;salesforce-communities&gt;</t>
  </si>
  <si>
    <t>2020-01-08T11:52:52.047</t>
  </si>
  <si>
    <t>Can we Call Salesforce Intent API from JavaScript?</t>
  </si>
  <si>
    <t>&lt;javascript&gt;&lt;salesforce&gt;&lt;salesforce-lightning&gt;&lt;salesforce-einstein&gt;</t>
  </si>
  <si>
    <t>2020-01-09T21:53:37.243</t>
  </si>
  <si>
    <t>Add record to Campaign object in Salesforce using force:recordData</t>
  </si>
  <si>
    <t>2020-01-12T02:58:30.257</t>
  </si>
  <si>
    <t>2020-01-12T14:32:40.820</t>
  </si>
  <si>
    <t>Is there a way to retrieve a PageReference parameter from a Lightning Component?</t>
  </si>
  <si>
    <t>2020-01-13T13:10:31.557</t>
  </si>
  <si>
    <t>what is the rate limit by SFCC/Demandware for OCAPIs?</t>
  </si>
  <si>
    <t>2020-01-14T14:10:52.650</t>
  </si>
  <si>
    <t>&lt;salesforce&gt;&lt;salesforce-communities&gt;&lt;demandware&gt;&lt;salesforce-development&gt;&lt;salesforce-developer&gt;</t>
  </si>
  <si>
    <t>2020-01-13T19:03:15.760</t>
  </si>
  <si>
    <t>Unable to make SalesForce REST API call using nforce</t>
  </si>
  <si>
    <t>&lt;heroku&gt;&lt;salesforce&gt;&lt;salesforce-service-cloud&gt;&lt;heroku-api&gt;&lt;jsforce&gt;</t>
  </si>
  <si>
    <t>2020-01-14T07:45:27.473</t>
  </si>
  <si>
    <t>Salesforce Reports: Alternative solution to find Unique Count Value on Salesforce Reports</t>
  </si>
  <si>
    <t>2020-01-14T08:11:52.327</t>
  </si>
  <si>
    <t>2020-01-14T08:42:35.427</t>
  </si>
  <si>
    <t>Community user receiving First exception on row 0; first error: INSUFFICIENT_ACCESS_OR_READONLY, null: []" error on EventRelation</t>
  </si>
  <si>
    <t>2020-01-14T11:17:48.033</t>
  </si>
  <si>
    <t>2020-01-16T13:56:08.567</t>
  </si>
  <si>
    <t>Sales force - Test Apex Class List</t>
  </si>
  <si>
    <t>2020-01-16T23:20:17.160</t>
  </si>
  <si>
    <t>&lt;unit-testing&gt;&lt;salesforce&gt;&lt;apex&gt;&lt;salesforce-lightning&gt;</t>
  </si>
  <si>
    <t>2020-01-16T13:56:23.923</t>
  </si>
  <si>
    <t>Salesforce Trigger</t>
  </si>
  <si>
    <t>2020-01-17T05:09:07.697</t>
  </si>
  <si>
    <t>2020-01-17T09:44:24.103</t>
  </si>
  <si>
    <t>Disable background view when popup</t>
  </si>
  <si>
    <t>2020-01-17T20:27:44.837</t>
  </si>
  <si>
    <t>Salesforce Content delivery in Lightning</t>
  </si>
  <si>
    <t>2020-01-21T03:53:23.690</t>
  </si>
  <si>
    <t>Missing button Customizable Campaign Influence in Lightning</t>
  </si>
  <si>
    <t>2020-01-22T07:05:52.447</t>
  </si>
  <si>
    <t>render vf page as pdf which is showing the content of the standard dashboard page</t>
  </si>
  <si>
    <t>2020-01-22T11:22:55.823</t>
  </si>
  <si>
    <t>&lt;salesforce&gt;&lt;visualforce&gt;&lt;salesforce-service-cloud&gt;&lt;salesforce-communities&gt;</t>
  </si>
  <si>
    <t>2020-01-22T10:23:00.613</t>
  </si>
  <si>
    <t>Can we Check through API or Query that Agent is Logged in Ommni channel in Salesforce or not</t>
  </si>
  <si>
    <t>&lt;salesforce&gt;&lt;salesforce-lightning&gt;&lt;salesforce-chatter&gt;&lt;sfdc&gt;&lt;aura-framework&gt;</t>
  </si>
  <si>
    <t>2020-01-22T22:46:34.043</t>
  </si>
  <si>
    <t>How to grant Connected App Access to a user profile using the API?</t>
  </si>
  <si>
    <t>2020-01-23T13:51:30.683</t>
  </si>
  <si>
    <t>Salesforce, edit the add functionality of related entity</t>
  </si>
  <si>
    <t>2020-01-23T15:18:35.863</t>
  </si>
  <si>
    <t>Not able to send custom message/buttons from agent to client chat window Salesforce live agent api</t>
  </si>
  <si>
    <t>2020-01-24T13:24:29.137</t>
  </si>
  <si>
    <t>How to give Image path from Static Resource in Community using Design Attribute</t>
  </si>
  <si>
    <t>2020-01-28T10:52:34.530</t>
  </si>
  <si>
    <t>&lt;salesforce&gt;&lt;salesforce-communities&gt;&lt;lightning&gt;</t>
  </si>
  <si>
    <t>2020-01-27T07:37:07.500</t>
  </si>
  <si>
    <t>lightening button not visibile in oppertuinty object</t>
  </si>
  <si>
    <t>&lt;salesforce-lightning&gt;&lt;salesforce-service-cloud&gt;</t>
  </si>
  <si>
    <t>2020-01-27T10:29:05.940</t>
  </si>
  <si>
    <t>Salesforce buttons on Lightning</t>
  </si>
  <si>
    <t>2020-01-27T15:29:26.530</t>
  </si>
  <si>
    <t>2020-01-27T13:34:55.983</t>
  </si>
  <si>
    <t>LWC not update view when change @track value</t>
  </si>
  <si>
    <t>2020-02-04T14:24:28.427</t>
  </si>
  <si>
    <t>&lt;decorator&gt;&lt;lightning&gt;&lt;lwc&gt;</t>
  </si>
  <si>
    <t>2020-01-28T06:58:15.510</t>
  </si>
  <si>
    <t>Accept button is not showing on Case List Views in Salesforce Lightning</t>
  </si>
  <si>
    <t>2020-01-28T09:00:58.093</t>
  </si>
  <si>
    <t>2020-01-28T11:37:51.340</t>
  </si>
  <si>
    <t>2020-01-29T07:16:44.313</t>
  </si>
  <si>
    <t>how to use carousel in Lightning web component see below code + need some sample example how to implement in lwc</t>
  </si>
  <si>
    <t>2020-02-27T09:34:21.833</t>
  </si>
  <si>
    <t>2020-01-29T10:30:16.753</t>
  </si>
  <si>
    <t>Using Flow in Salesforce Lightning. All records that meet the filter criteria are ready to be updated when the next Screen or Wait element is executed</t>
  </si>
  <si>
    <t>2020-01-30T04:57:29.147</t>
  </si>
  <si>
    <t>how to add an attachment to the sendEmail quickaction apI through lightning component?</t>
  </si>
  <si>
    <t>2020-02-07T06:32:26.460</t>
  </si>
  <si>
    <t>2020-01-30T05:13:32.340</t>
  </si>
  <si>
    <t>Apex Class and Apex Trigger is invisible in Salesforce Developer Console</t>
  </si>
  <si>
    <t>&lt;salesforce&gt;&lt;apex&gt;&lt;apex-code&gt;&lt;developer-console&gt;&lt;salesforce-communities&gt;</t>
  </si>
  <si>
    <t>2020-01-31T14:14:33.187</t>
  </si>
  <si>
    <t>get lookup object recordId in helper.js in salesforce</t>
  </si>
  <si>
    <t>&lt;javascript&gt;&lt;java&gt;&lt;sql&gt;&lt;salesforce&gt;&lt;aura-framework&gt;</t>
  </si>
  <si>
    <t>2020-02-03T17:31:02.883</t>
  </si>
  <si>
    <t>How to take test.salesforce.com while deployment as salesforce login url for api connection logic app?</t>
  </si>
  <si>
    <t>2020-02-04T08:19:38.650</t>
  </si>
  <si>
    <t>&lt;azure&gt;&lt;salesforce&gt;&lt;azure-logic-apps&gt;&lt;salesforce-service-cloud&gt;</t>
  </si>
  <si>
    <t>2020-02-10T15:02:55.127</t>
  </si>
  <si>
    <t>An email can't have more than 1 sender email quick action in lighting</t>
  </si>
  <si>
    <t>&lt;salesforce&gt;&lt;lighting&gt;&lt;salesforce-lightning&gt;&lt;force.com&gt;</t>
  </si>
  <si>
    <t>2020-02-10T17:06:31.700</t>
  </si>
  <si>
    <t>test class for ConnectAPI in Salesforce?</t>
  </si>
  <si>
    <t>2020-02-10T19:39:14.343</t>
  </si>
  <si>
    <t>2020-02-11T19:21:36.840</t>
  </si>
  <si>
    <t>How to display page object field values in Lightning Component?</t>
  </si>
  <si>
    <t>2020-02-11T19:49:30.360</t>
  </si>
  <si>
    <t>Configure PIWIK to run in Salesforce Lightning</t>
  </si>
  <si>
    <t>&lt;javascript&gt;&lt;salesforce-lightning&gt;&lt;aura-framework&gt;&lt;aura.js&gt;&lt;piwiktracker&gt;</t>
  </si>
  <si>
    <t>2020-02-12T05:32:16.823</t>
  </si>
  <si>
    <t>Can we create new Search Layout in Lightning SalesForce?</t>
  </si>
  <si>
    <t>2020-02-12T11:36:55.090</t>
  </si>
  <si>
    <t>2020-02-14T00:30:01.920</t>
  </si>
  <si>
    <t>Emails aren't showing entire message</t>
  </si>
  <si>
    <t>2020-02-14T17:05:28.813</t>
  </si>
  <si>
    <t>LWC Related List Inline Editing with Dynamic Columns</t>
  </si>
  <si>
    <t>2020-02-16T18:46:39.737</t>
  </si>
  <si>
    <t>2020-02-20T04:15:37.577</t>
  </si>
  <si>
    <t>promise resolution in imperative APEX call</t>
  </si>
  <si>
    <t>2020-02-20T04:21:27.013</t>
  </si>
  <si>
    <t>2020-02-20T22:26:47.973</t>
  </si>
  <si>
    <t>&lt;promise&gt;&lt;lwc&gt;</t>
  </si>
  <si>
    <t>2020-02-22T02:55:56.953</t>
  </si>
  <si>
    <t>Salesforce Bulk API upload via postman</t>
  </si>
  <si>
    <t>2020-02-22T22:29:58.653</t>
  </si>
  <si>
    <t>Trackable array sorting in Lightning web components</t>
  </si>
  <si>
    <t>2020-02-23T11:43:56.667</t>
  </si>
  <si>
    <t>After Insert trigger on ContentDocumentLink runs twice for 1 record. How to prevent the same?</t>
  </si>
  <si>
    <t>2020-02-24T01:44:54.403</t>
  </si>
  <si>
    <t>2020-02-23T20:53:35.197</t>
  </si>
  <si>
    <t>Leaflet.draw in Node with LWC configuration issues</t>
  </si>
  <si>
    <t>&lt;html&gt;&lt;node.js&gt;&lt;leaflet&gt;&lt;salesforce-lightning&gt;</t>
  </si>
  <si>
    <t>2020-02-24T06:06:06.023</t>
  </si>
  <si>
    <t>Salesforce Not loading D3 V3 Script</t>
  </si>
  <si>
    <t>2020-02-26T21:09:46.150</t>
  </si>
  <si>
    <t>&lt;d3.js&gt;&lt;static&gt;&lt;salesforce&gt;&lt;salesforce-lightning&gt;&lt;lwc&gt;</t>
  </si>
  <si>
    <t>2020-02-26T06:26:37.120</t>
  </si>
  <si>
    <t>Salesforce and Mulesoft Integration || Read Excel file</t>
  </si>
  <si>
    <t>2020-02-26T17:01:49.737</t>
  </si>
  <si>
    <t>&lt;migration&gt;&lt;salesforce-lightning&gt;&lt;mulesoft&gt;</t>
  </si>
  <si>
    <t>2020-02-27T07:36:03.653</t>
  </si>
  <si>
    <t>Salesforce Lightning Component - Styling Spinner Modal Box</t>
  </si>
  <si>
    <t>&lt;css&gt;&lt;components&gt;&lt;salesforce&gt;&lt;flow&gt;&lt;lightning&gt;</t>
  </si>
  <si>
    <t>2020-02-27T13:25:51.353</t>
  </si>
  <si>
    <t>How to remove hard returns from DocuSign JavaScript to create a Salesforce custom button</t>
  </si>
  <si>
    <t>2020-02-27T23:06:48.327</t>
  </si>
  <si>
    <t>&lt;javascript&gt;&lt;docusignapi&gt;&lt;salesforce-lightning&gt;</t>
  </si>
  <si>
    <t>2020-02-28T05:37:51.093</t>
  </si>
  <si>
    <t>Display base64 data in Ifram is not working in lightning Experience</t>
  </si>
  <si>
    <t>&lt;iframe&gt;&lt;apex&gt;&lt;content-security-policy&gt;&lt;visualforce&gt;&lt;salesforce-lightning&gt;</t>
  </si>
  <si>
    <t>2020-02-28T14:23:21.920</t>
  </si>
  <si>
    <t>Error: Cannot use import statement outside a module in Locker Console Salesforce Lightning</t>
  </si>
  <si>
    <t>&lt;javascript&gt;&lt;salesforce-lightning&gt;&lt;lightning&gt;&lt;salesforce-communities&gt;</t>
  </si>
  <si>
    <t>2020-03-03T05:28:09.103</t>
  </si>
  <si>
    <t>Alias in where query in SOQL</t>
  </si>
  <si>
    <t>2020-03-03T06:54:15.517</t>
  </si>
  <si>
    <t>2020-03-03T07:06:45.687</t>
  </si>
  <si>
    <t>&lt;salesforce&gt;&lt;soql&gt;&lt;salesforce-lightning&gt;&lt;salesforce-service-cloud&gt;&lt;salesforce-communities&gt;</t>
  </si>
  <si>
    <t>2020-03-04T20:57:13.000</t>
  </si>
  <si>
    <t>How to test contentdocumentlink trigger for Salesforce Prod deployment</t>
  </si>
  <si>
    <t>2020-03-04T21:37:46.863</t>
  </si>
  <si>
    <t>2020-03-05T16:43:50.570</t>
  </si>
  <si>
    <t>&lt;salesforce&gt;&lt;apex&gt;&lt;salesforce-lightning&gt;&lt;salesforce-service-cloud&gt;&lt;salesforce-communities&gt;</t>
  </si>
  <si>
    <t>2020-03-04T23:53:58.637</t>
  </si>
  <si>
    <t>2020-03-05T11:01:12.147</t>
  </si>
  <si>
    <t>Using custom metadata type</t>
  </si>
  <si>
    <t>2020-05-23T05:46:22.503</t>
  </si>
  <si>
    <t>&lt;javascript&gt;&lt;sfdc&gt;&lt;lwc&gt;</t>
  </si>
  <si>
    <t>2020-03-05T18:15:40.373</t>
  </si>
  <si>
    <t>Does Salesforce ant generate html report for testLevel="RunLocalTests"?</t>
  </si>
  <si>
    <t>&lt;ant&gt;&lt;salesforce&gt;&lt;salesforce-communities&gt;&lt;sfdc&gt;&lt;sfdc-migration-tool&gt;</t>
  </si>
  <si>
    <t>2020-03-05T23:48:40.317</t>
  </si>
  <si>
    <t>Automation testing for bypassing the credit card details</t>
  </si>
  <si>
    <t>&lt;javascript&gt;&lt;java&gt;&lt;ui-automation&gt;&lt;salesforce-lightning&gt;&lt;salesforce-communities&gt;</t>
  </si>
  <si>
    <t>2020-03-06T15:50:11.567</t>
  </si>
  <si>
    <t>What is the best way to sort through salesforce records to see if you need to assign tasks to people</t>
  </si>
  <si>
    <t>2020-03-09T05:02:18.340</t>
  </si>
  <si>
    <t>await client.queryasync taking too long</t>
  </si>
  <si>
    <t>2020-03-10T12:48:41.970</t>
  </si>
  <si>
    <t>&lt;c#&gt;&lt;asp.net-mvc-4&gt;&lt;salesforce&gt;&lt;salesforce-communities&gt;</t>
  </si>
  <si>
    <t>2020-03-09T06:56:43.350</t>
  </si>
  <si>
    <t>Unable to login Portal community after activating Critical update</t>
  </si>
  <si>
    <t>2020-03-09T13:49:13.120</t>
  </si>
  <si>
    <t>2020-03-09T22:27:55.547</t>
  </si>
  <si>
    <t>How to read Map&lt;String,List&lt;String&gt;&gt; and get key and values in LWC JavaScript?</t>
  </si>
  <si>
    <t>2020-03-25T23:32:39.607</t>
  </si>
  <si>
    <t>2020-03-10T10:05:34.590</t>
  </si>
  <si>
    <t>2020-03-12T05:46:07.153</t>
  </si>
  <si>
    <t>How to upload multiple files in selenium for validation?</t>
  </si>
  <si>
    <t>2020-03-12T06:40:03.703</t>
  </si>
  <si>
    <t>2020-03-12T12:08:02.127</t>
  </si>
  <si>
    <t>&lt;java&gt;&lt;selenium&gt;&lt;apex&gt;&lt;lightning&gt;</t>
  </si>
  <si>
    <t>2020-03-12T07:38:47.983</t>
  </si>
  <si>
    <t>Not able to receive message as a batch from the channel subscribed using aiosfstream, Python library for salesforce</t>
  </si>
  <si>
    <t>2020-03-12T07:44:40.013</t>
  </si>
  <si>
    <t>2020-03-13T06:57:42.120</t>
  </si>
  <si>
    <t>&lt;apache-kafka&gt;&lt;salesforce&gt;&lt;python-asyncio&gt;&lt;python-3.7&gt;&lt;salesforce-lightning&gt;</t>
  </si>
  <si>
    <t>2020-03-13T06:15:16.890</t>
  </si>
  <si>
    <t>How do I fetch all metadata of Salesforce using Powershell script</t>
  </si>
  <si>
    <t>2020-03-18T01:35:13.623</t>
  </si>
  <si>
    <t>&lt;powershell&gt;&lt;scripting&gt;&lt;salesforce&gt;&lt;salesforce-lightning&gt;</t>
  </si>
  <si>
    <t>2020-03-13T08:29:38.947</t>
  </si>
  <si>
    <t>How important that, Field level assertion for the sales force lightening web application?</t>
  </si>
  <si>
    <t>&lt;selenium-webdriver&gt;&lt;salesforce&gt;&lt;ui-automation&gt;&lt;salesforce-lightning&gt;&lt;webautomation&gt;</t>
  </si>
  <si>
    <t>2020-03-15T14:14:08.647</t>
  </si>
  <si>
    <t>Missing resource value for @salesforce/Schema/User.Name" Error</t>
  </si>
  <si>
    <t>2020-03-24T15:11:41.177</t>
  </si>
  <si>
    <t>2020-03-16T15:40:25.063</t>
  </si>
  <si>
    <t>2020-03-16T13:23:33.360</t>
  </si>
  <si>
    <t>Call js method from jQuery function</t>
  </si>
  <si>
    <t>2020-03-21T17:46:28.400</t>
  </si>
  <si>
    <t>&lt;jquery&gt;&lt;ecmascript-6&gt;&lt;salesforce&gt;&lt;fullcalendar&gt;&lt;lwc&gt;</t>
  </si>
  <si>
    <t>2020-03-17T02:36:41.263</t>
  </si>
  <si>
    <t>Salesforce REST API how to avoid leaking sensitive data in query parameter</t>
  </si>
  <si>
    <t>2020-03-21T21:29:31.987</t>
  </si>
  <si>
    <t>2020-03-20T19:54:42.143</t>
  </si>
  <si>
    <t>2020-03-17T04:46:27.177</t>
  </si>
  <si>
    <t>Manipulating the DOM within an iFrame within Salesforce Lightning Communities</t>
  </si>
  <si>
    <t>2020-03-18T19:26:17.987</t>
  </si>
  <si>
    <t>get fields of custom lookup relation using conga in salesforce</t>
  </si>
  <si>
    <t>2020-03-19T18:41:46.617</t>
  </si>
  <si>
    <t>Refresh Datatable in for:each loop: Lightning Web Components</t>
  </si>
  <si>
    <t>2020-03-20T03:30:59.253</t>
  </si>
  <si>
    <t>2020-03-20T19:38:13.250</t>
  </si>
  <si>
    <t>&lt;salesforce&gt;&lt;apex&gt;&lt;apex-code&gt;&lt;salesforce-lightning&gt;&lt;lwc&gt;</t>
  </si>
  <si>
    <t>2020-03-20T05:55:55.523</t>
  </si>
  <si>
    <t>How can I add rows or delete row dynamically in Lightening data table</t>
  </si>
  <si>
    <t>&lt;apex&gt;&lt;salesforce-lightning&gt;&lt;aura-framework&gt;&lt;aura.js&gt;</t>
  </si>
  <si>
    <t>2020-03-20T14:58:53.930</t>
  </si>
  <si>
    <t>Webpack loader error: Salesforce Lightning Design React App</t>
  </si>
  <si>
    <t>2020-03-20T15:51:10.507</t>
  </si>
  <si>
    <t>&lt;javascript&gt;&lt;reactjs&gt;&lt;webpack&gt;&lt;salesforce&gt;&lt;salesforce-lightning&gt;</t>
  </si>
  <si>
    <t>2020-03-22T16:35:07.967</t>
  </si>
  <si>
    <t>Why user doesn't finds his data available when user goes to Physical store after placing Online details from App to Salesforce.com</t>
  </si>
  <si>
    <t>2020-03-22T21:25:16.167</t>
  </si>
  <si>
    <t>2020-03-22T17:01:21.753</t>
  </si>
  <si>
    <t>2020-03-24T06:12:39.627</t>
  </si>
  <si>
    <t>How to jest test lightning-pills in LWC</t>
  </si>
  <si>
    <t>2020-03-24T11:46:40.730</t>
  </si>
  <si>
    <t>2020-04-03T14:48:28.000</t>
  </si>
  <si>
    <t>&lt;javascript&gt;&lt;jestjs&gt;&lt;lwc&gt;</t>
  </si>
  <si>
    <t>2020-03-24T17:44:40.407</t>
  </si>
  <si>
    <t>Salesforce formula</t>
  </si>
  <si>
    <t>2020-03-24T19:50:19.827</t>
  </si>
  <si>
    <t>lightning:container with Google Maps</t>
  </si>
  <si>
    <t>2020-03-25T13:11:23.147</t>
  </si>
  <si>
    <t>&lt;salesforce&gt;&lt;containers&gt;&lt;salesforce-lightning&gt;</t>
  </si>
  <si>
    <t>2020-03-27T13:39:21.000</t>
  </si>
  <si>
    <t>Dynamic mapping in Salesforce - generate JSON request for call third-party API</t>
  </si>
  <si>
    <t>2020-03-27T14:48:16.963</t>
  </si>
  <si>
    <t>2020-03-28T20:52:56.287</t>
  </si>
  <si>
    <t>Column label in not displayed in the datatable</t>
  </si>
  <si>
    <t>2020-03-31T07:27:22.607</t>
  </si>
  <si>
    <t>Access/Update Object or Array data in Lightning Web Component</t>
  </si>
  <si>
    <t>2020-04-02T01:13:02.040</t>
  </si>
  <si>
    <t>Toast Messages not displayed</t>
  </si>
  <si>
    <t>2020-04-03T12:01:33.857</t>
  </si>
  <si>
    <t>Can we get the days between the dates in SAQL or in dashboard like this</t>
  </si>
  <si>
    <t>&lt;salesforce-communities&gt;&lt;salesforce-einstein&gt;</t>
  </si>
  <si>
    <t>2020-04-03T14:43:02.623</t>
  </si>
  <si>
    <t>Google reCaptcha v2 in lightning communities</t>
  </si>
  <si>
    <t>&lt;css&gt;&lt;recaptcha&gt;&lt;salesforce-lightning&gt;&lt;salesforce-communities&gt;</t>
  </si>
  <si>
    <t>2020-04-03T16:32:11.313</t>
  </si>
  <si>
    <t>Salesforce Lightning App - Best Practice for adding 'readonly' identifiers to elements</t>
  </si>
  <si>
    <t>&lt;selenium&gt;&lt;salesforce&gt;&lt;salesforce-lightning&gt;</t>
  </si>
  <si>
    <t>2020-04-03T16:38:03.513</t>
  </si>
  <si>
    <t>Custom Javascript Button on List View Help -- Salesforce</t>
  </si>
  <si>
    <t>2020-04-03T19:26:06.877</t>
  </si>
  <si>
    <t>Developer Sandbox - Community User not appearing in Public Group/Role After Creating User</t>
  </si>
  <si>
    <t>2020-04-03T22:49:49.413</t>
  </si>
  <si>
    <t>Salesforce: Checkbox that evaluates Lead field against text list</t>
  </si>
  <si>
    <t>2020-04-04T21:08:13.287</t>
  </si>
  <si>
    <t>&lt;salesforce&gt;&lt;salesforce-lightning&gt;&lt;salesforce-marketing-cloud&gt;</t>
  </si>
  <si>
    <t>2020-04-06T11:01:41.080</t>
  </si>
  <si>
    <t>How to call salesforce apex method with continuation annotation from another apex method</t>
  </si>
  <si>
    <t>2020-04-07T07:19:18.817</t>
  </si>
  <si>
    <t>Outlook sync deleting event and creating new in Salesforce</t>
  </si>
  <si>
    <t>2020-04-07T09:05:40.260</t>
  </si>
  <si>
    <t>Puppeteer error :uploadFile is not a function</t>
  </si>
  <si>
    <t>2020-04-07T10:04:31.647</t>
  </si>
  <si>
    <t>&lt;file-upload&gt;&lt;puppeteer&gt;&lt;salesforce-lightning&gt;</t>
  </si>
  <si>
    <t>2020-04-08T06:38:43.420</t>
  </si>
  <si>
    <t>How to add more actions in the Health cloud Patient List view</t>
  </si>
  <si>
    <t>2020-04-19T19:15:38.003</t>
  </si>
  <si>
    <t>2020-04-08T16:53:04.773</t>
  </si>
  <si>
    <t>How to get a list of all the attached files of the specific sobject record?</t>
  </si>
  <si>
    <t>2020-04-09T07:41:14.083</t>
  </si>
  <si>
    <t>&lt;rest&gt;&lt;api&gt;&lt;salesforce&gt;&lt;salesforce-lightning&gt;&lt;salesforce-chatter&gt;</t>
  </si>
  <si>
    <t>2020-04-09T17:41:26.847</t>
  </si>
  <si>
    <t>How to change the Date format as DD-MM-YYYY in salesforce lightning data table?</t>
  </si>
  <si>
    <t>2020-04-09T19:28:36.167</t>
  </si>
  <si>
    <t>2020-04-10T15:27:15.173</t>
  </si>
  <si>
    <t>How to upload files and attachments to the sobject record using REST API?</t>
  </si>
  <si>
    <t>2020-04-10T21:16:20.653</t>
  </si>
  <si>
    <t>2020-04-13T10:41:51.583</t>
  </si>
  <si>
    <t>Salesforce Lightning Sync</t>
  </si>
  <si>
    <t>2020-04-15T13:36:44.177</t>
  </si>
  <si>
    <t>&lt;synchronization&gt;&lt;google-contacts-api&gt;&lt;salesforce-lightning&gt;</t>
  </si>
  <si>
    <t>2020-04-13T13:27:43.950</t>
  </si>
  <si>
    <t>Fire third party API request when lead is updated in Salesforce</t>
  </si>
  <si>
    <t>2020-04-14T09:54:00.270</t>
  </si>
  <si>
    <t>How to get the URL to a specific record page in render function?</t>
  </si>
  <si>
    <t>2020-04-14T09:55:45.477</t>
  </si>
  <si>
    <t>2020-04-14T10:04:11.413</t>
  </si>
  <si>
    <t>&lt;javascript&gt;&lt;jquery&gt;&lt;datatables&gt;&lt;salesforce&gt;&lt;lwc&gt;</t>
  </si>
  <si>
    <t>2020-04-14T11:25:33.780</t>
  </si>
  <si>
    <t>I am trying to use dataTables.buttons.min.js and buttons.colVis.min.js in jquery datatable lwc but it is not loaded</t>
  </si>
  <si>
    <t>2020-04-19T18:14:52.587</t>
  </si>
  <si>
    <t>2020-04-14T12:42:33.630</t>
  </si>
  <si>
    <t>Editable Tree Component Available</t>
  </si>
  <si>
    <t>&lt;salesforce-lightning&gt;&lt;ng-lightning&gt;</t>
  </si>
  <si>
    <t>2020-04-14T13:01:18.063</t>
  </si>
  <si>
    <t>How to upload a Salesforce File using REST API properly?</t>
  </si>
  <si>
    <t>2020-04-15T15:37:14.087</t>
  </si>
  <si>
    <t>2020-04-14T14:43:45.783</t>
  </si>
  <si>
    <t>How do I capture XHR request count with Selenium Java?</t>
  </si>
  <si>
    <t>&lt;selenium-webdriver&gt;&lt;salesforce-lightning&gt;</t>
  </si>
  <si>
    <t>2020-04-15T03:58:40.860</t>
  </si>
  <si>
    <t>Why i need to set the parentId for each record for Queueable Apex</t>
  </si>
  <si>
    <t>2020-04-15T07:45:06.623</t>
  </si>
  <si>
    <t>&lt;salesforce&gt;&lt;salesforce-service-cloud&gt;&lt;apex-trigger&gt;</t>
  </si>
  <si>
    <t>2020-04-15T05:45:55.380</t>
  </si>
  <si>
    <t>Extract Salesforce Objects and Load them into SQLLite Database Tables- Python3</t>
  </si>
  <si>
    <t>&lt;python-3.x&gt;&lt;sqlite&gt;&lt;salesforce&gt;&lt;salesforce-lightning&gt;</t>
  </si>
  <si>
    <t>2020-04-15T10:38:41.980</t>
  </si>
  <si>
    <t>Code Coverage Failure Your code coverage is 72%. You need at least 75% coverage to complete this deployment</t>
  </si>
  <si>
    <t>2020-04-16T06:33:05.350</t>
  </si>
  <si>
    <t>&lt;salesforce&gt;&lt;code-coverage&gt;&lt;apex&gt;&lt;salesforce-lightning&gt;</t>
  </si>
  <si>
    <t>2020-04-15T21:04:53.343</t>
  </si>
  <si>
    <t>Set Salesforce Variable from D3 on click event in LWC</t>
  </si>
  <si>
    <t>&lt;d3.js&gt;&lt;salesforce&gt;&lt;salesforce-lightning&gt;&lt;lwc&gt;</t>
  </si>
  <si>
    <t>2020-04-16T03:34:35.363</t>
  </si>
  <si>
    <t>Change default "Required" or "Pattern" Error text of lightning-input</t>
  </si>
  <si>
    <t>2020-04-16T14:12:16.587</t>
  </si>
  <si>
    <t>2020-04-16T14:35:53.927</t>
  </si>
  <si>
    <t>Controller Stuck at component.get("v.recordId")</t>
  </si>
  <si>
    <t>2020-04-16T22:33:35.283</t>
  </si>
  <si>
    <t>2020-04-17T23:17:57.457</t>
  </si>
  <si>
    <t>How to add ability to view and report on whether every Action/Activity has an attachment added in</t>
  </si>
  <si>
    <t>2020-04-18T00:07:49.920</t>
  </si>
  <si>
    <t>2020-04-18T00:54:27.350</t>
  </si>
  <si>
    <t>In process builder how to create a new criteria that checks if the Case owner has changed and also that the owner is not a Queue</t>
  </si>
  <si>
    <t>2020-04-18T06:04:03.960</t>
  </si>
  <si>
    <t>2020-04-19T18:42:09.183</t>
  </si>
  <si>
    <t>2020-04-18T05:44:50.963</t>
  </si>
  <si>
    <t>SalesForce Live Agent Chat - How Do I Listen For When A User Completes A Pre-Chat Form And Starts A Session?</t>
  </si>
  <si>
    <t>&lt;salesforce&gt;&lt;salesforce-lightning&gt;&lt;salesforce-service-cloud&gt;&lt;salesforce-chatter&gt;</t>
  </si>
  <si>
    <t>2020-04-18T09:54:26.553</t>
  </si>
  <si>
    <t>FORM POST TO EXTERNAL URL -NEED HTTP BUT ALWAYS IN HTTPS-</t>
  </si>
  <si>
    <t>2020-04-18T09:56:05.623</t>
  </si>
  <si>
    <t>&lt;forms&gt;&lt;http&gt;&lt;https&gt;&lt;salesforce-lightning&gt;</t>
  </si>
  <si>
    <t>2020-04-20T14:57:35.467</t>
  </si>
  <si>
    <t>Viewer access to Dashboard folders</t>
  </si>
  <si>
    <t>&lt;triggers&gt;&lt;report&gt;&lt;admin&gt;&lt;apex&gt;&lt;salesforce-lightning&gt;</t>
  </si>
  <si>
    <t>2020-04-20T18:06:07.113</t>
  </si>
  <si>
    <t>Where to put a clear coach email action so if it is changed to a queue it's cleared out</t>
  </si>
  <si>
    <t>2020-04-20T19:38:28.490</t>
  </si>
  <si>
    <t>Dynamic sql in Salesforce marketing cloud</t>
  </si>
  <si>
    <t>2020-04-20T21:23:58.293</t>
  </si>
  <si>
    <t>&lt;salesforce&gt;&lt;salesforce-communities&gt;&lt;salesforce-marketing-cloud&gt;</t>
  </si>
  <si>
    <t>2020-04-20T21:53:09.750</t>
  </si>
  <si>
    <t>Showing a loading indicator while calling Apex in Salesforce LWC</t>
  </si>
  <si>
    <t>2020-04-21T09:19:10.343</t>
  </si>
  <si>
    <t>&lt;salesforce&gt;&lt;apex&gt;&lt;salesforce-lightning&gt;&lt;lwc&gt;</t>
  </si>
  <si>
    <t>2020-04-21T12:11:27.460</t>
  </si>
  <si>
    <t>Need to click Save button twice on detail page while doing inline editing</t>
  </si>
  <si>
    <t>2020-04-21T12:31:27.723</t>
  </si>
  <si>
    <t>2020-04-21T18:30:05.220</t>
  </si>
  <si>
    <t>It is possible to install Salesforce cli through command line?</t>
  </si>
  <si>
    <t>2020-04-22T11:20:46.447</t>
  </si>
  <si>
    <t>&lt;salesforce&gt;&lt;salesforce-lightning&gt;&lt;salesforce-service-cloud&gt;&lt;salesforce-cli&gt;</t>
  </si>
  <si>
    <t>2020-04-21T18:45:31.533</t>
  </si>
  <si>
    <t>How to prepare a report on average days cases are open</t>
  </si>
  <si>
    <t>&lt;report&gt;&lt;admin&gt;&lt;apex&gt;&lt;salesforce-lightning&gt;&lt;salesforce-service-cloud&gt;</t>
  </si>
  <si>
    <t>2020-04-22T10:16:54.123</t>
  </si>
  <si>
    <t>how to delete all records excluding 0th record in array index</t>
  </si>
  <si>
    <t>2020-04-22T18:25:07.417</t>
  </si>
  <si>
    <t>2020-04-26T18:10:49.253</t>
  </si>
  <si>
    <t>2020-04-22T16:06:26.210</t>
  </si>
  <si>
    <t>2020-04-22T10:58:13.027</t>
  </si>
  <si>
    <t>Handle the actions after clicking Save button for standard new/edit record modal</t>
  </si>
  <si>
    <t>2020-04-25T07:35:23.207</t>
  </si>
  <si>
    <t>No MODULE named markup://lgc:bg found : [markup://c:accountManagerApex]</t>
  </si>
  <si>
    <t>2020-04-28T09:46:08.223</t>
  </si>
  <si>
    <t>2020-04-27T06:27:43.787</t>
  </si>
  <si>
    <t>I want to display a 'loading' spinner until data is loaded completely from the server. How to do this in javascript for salesforce lwc?</t>
  </si>
  <si>
    <t>2020-04-27T07:59:19.533</t>
  </si>
  <si>
    <t>2020-04-27T08:05:20.370</t>
  </si>
  <si>
    <t>Salesforce Full Calendar Tooltip being created but not displaying</t>
  </si>
  <si>
    <t>2020-04-28T12:57:52.290</t>
  </si>
  <si>
    <t>&lt;salesforce&gt;&lt;salesforce-lightning&gt;&lt;fullcalendar-4&gt;&lt;fullcalendar-scheduler&gt;&lt;jquery-ui-tooltip&gt;</t>
  </si>
  <si>
    <t>2020-04-27T15:37:55.063</t>
  </si>
  <si>
    <t>How to upload the file to the user`s 'Files' tab using system admin token (REST API)?</t>
  </si>
  <si>
    <t>2020-04-28T20:22:23.373</t>
  </si>
  <si>
    <t>2020-04-27T23:02:13.740</t>
  </si>
  <si>
    <t>Salesforce LWC Jest Tests Effect on Apex Code Coverage</t>
  </si>
  <si>
    <t>2020-04-28T08:24:04.173</t>
  </si>
  <si>
    <t>&lt;jestjs&gt;&lt;salesforce&gt;&lt;apex&gt;&lt;lwc&gt;</t>
  </si>
  <si>
    <t>2020-04-28T13:30:10.660</t>
  </si>
  <si>
    <t>How to get user`s files from 'Files' tab using system admin token (REST API)?</t>
  </si>
  <si>
    <t>2020-04-28T20:10:27.690</t>
  </si>
  <si>
    <t>2020-04-28T15:09:30.183</t>
  </si>
  <si>
    <t>Event after Standard Modal Component is closed in a lwc</t>
  </si>
  <si>
    <t>&lt;modal-dialog&gt;&lt;salesforce&gt;&lt;salesforce-lightning&gt;&lt;lwc&gt;</t>
  </si>
  <si>
    <t>2020-04-28T18:12:14.737</t>
  </si>
  <si>
    <t>APEX replay debugger truncates variable values in visual studio code</t>
  </si>
  <si>
    <t>2020-04-29T02:11:56.653</t>
  </si>
  <si>
    <t>&lt;salesforce&gt;&lt;apex&gt;&lt;vscode-debugger&gt;&lt;lwc&gt;</t>
  </si>
  <si>
    <t>2020-04-28T20:53:30.170</t>
  </si>
  <si>
    <t>TWILIO Salesforce Plugin - How to send to +447 when using 07</t>
  </si>
  <si>
    <t>2020-04-28T23:08:38.100</t>
  </si>
  <si>
    <t>How do i add a related record to a lightning page layout</t>
  </si>
  <si>
    <t>2020-05-01T21:02:34.127</t>
  </si>
  <si>
    <t>2020-04-29T04:12:46.377</t>
  </si>
  <si>
    <t>Is there a way to pass multiple (and different) parameters to an Apex Controller class from JS in Lightning Web Components (LWC)?</t>
  </si>
  <si>
    <t>2020-04-29T08:41:57.667</t>
  </si>
  <si>
    <t>2020-04-29T09:46:31.667</t>
  </si>
  <si>
    <t>&lt;javascript&gt;&lt;salesforce&gt;&lt;apex&gt;&lt;lightning&gt;&lt;lwc&gt;</t>
  </si>
  <si>
    <t>2020-04-29T15:31:36.457</t>
  </si>
  <si>
    <t>Deployment of LWC is too slow in WebStorm</t>
  </si>
  <si>
    <t>&lt;salesforce&gt;&lt;webstorm&gt;&lt;lightning&gt;&lt;lwc&gt;</t>
  </si>
  <si>
    <t>2020-04-29T16:49:09.487</t>
  </si>
  <si>
    <t>Empty JSON values (LWC)</t>
  </si>
  <si>
    <t>&lt;apex&gt;&lt;salesforce-lightning&gt;&lt;lwc&gt;</t>
  </si>
  <si>
    <t>2020-04-29T18:53:52.200</t>
  </si>
  <si>
    <t>Salesforce marketing cloud - Custom Journey Activity end points not executing</t>
  </si>
  <si>
    <t>2020-04-30T18:29:38.513</t>
  </si>
  <si>
    <t>2020-04-30T02:53:30.843</t>
  </si>
  <si>
    <t>LWC Passing List Parameters to Apex Controller</t>
  </si>
  <si>
    <t>2020-04-30T15:12:38.503</t>
  </si>
  <si>
    <t>forEach is not a function in lightning</t>
  </si>
  <si>
    <t>2020-04-30T15:13:45.900</t>
  </si>
  <si>
    <t>2020-04-30T19:58:53.817</t>
  </si>
  <si>
    <t>How to write Test class to test a field on an attachment or file insert?</t>
  </si>
  <si>
    <t>2020-05-01T20:50:21.510</t>
  </si>
  <si>
    <t>2020-05-01T06:33:05.983</t>
  </si>
  <si>
    <t>How to create custom URL in apex to get Json response from third party application</t>
  </si>
  <si>
    <t>2020-05-01T20:16:06.663</t>
  </si>
  <si>
    <t>2020-05-02T10:23:55.793</t>
  </si>
  <si>
    <t>Get element or the id from native js event in aura lightning</t>
  </si>
  <si>
    <t>2020-05-04T07:17:46.023</t>
  </si>
  <si>
    <t>2020-05-04T01:01:56.827</t>
  </si>
  <si>
    <t>You don't have any Messaging permission set licenses - Set Up Facebook Messenger Channels in Messaging Salesforce</t>
  </si>
  <si>
    <t>&lt;salesforce&gt;&lt;facebook-messenger&gt;&lt;salesforce-lightning&gt;&lt;salesforce-service-cloud&gt;</t>
  </si>
  <si>
    <t>2020-05-04T09:13:14.810</t>
  </si>
  <si>
    <t>How do I generating code-coverage for salesforce locally</t>
  </si>
  <si>
    <t>2020-05-07T01:41:23.647</t>
  </si>
  <si>
    <t>&lt;git&gt;&lt;salesforce&gt;&lt;cloud&gt;&lt;salesforce-communities&gt;</t>
  </si>
  <si>
    <t>2020-05-04T14:20:39.943</t>
  </si>
  <si>
    <t>Locker Service and Tooltip on FullCalendar V4</t>
  </si>
  <si>
    <t>&lt;salesforce&gt;&lt;fullcalendar&gt;&lt;salesforce-lightning&gt;&lt;fullcalendar-4&gt;</t>
  </si>
  <si>
    <t>2020-05-04T16:36:32.820</t>
  </si>
  <si>
    <t>How do I bypass the login page when I am testing Salesforce Lightning using Selenium Webdriver?</t>
  </si>
  <si>
    <t>2020-05-04T17:24:38.223</t>
  </si>
  <si>
    <t>&lt;selenium&gt;&lt;selenium-webdriver&gt;&lt;salesforce&gt;&lt;salesforce-lightning&gt;</t>
  </si>
  <si>
    <t>2020-05-06T03:27:59.830</t>
  </si>
  <si>
    <t>Salesforce health cloud: Create a patient record using rest api</t>
  </si>
  <si>
    <t>2020-05-08T12:09:22.877</t>
  </si>
  <si>
    <t>2020-05-06T11:41:09.837</t>
  </si>
  <si>
    <t>Lightning Component to integrate Uber rides/cab application with Salesforce online</t>
  </si>
  <si>
    <t>&lt;uber-api&gt;&lt;salesforce-lightning&gt;</t>
  </si>
  <si>
    <t>2020-05-06T15:47:56.383</t>
  </si>
  <si>
    <t>custom object lookup relationship soql query to get sobject</t>
  </si>
  <si>
    <t>2020-05-07T10:40:25.293</t>
  </si>
  <si>
    <t>2020-05-06T17:48:03.627</t>
  </si>
  <si>
    <t>google recaptcha image selector styling in lightning communities</t>
  </si>
  <si>
    <t>2020-05-06T19:15:30.113</t>
  </si>
  <si>
    <t>&lt;recaptcha&gt;&lt;salesforce-lightning&gt;&lt;salesforce-communities&gt;</t>
  </si>
  <si>
    <t>2020-05-06T18:10:18.907</t>
  </si>
  <si>
    <t>Lightening component recordUpdated method binding triggers stale data event</t>
  </si>
  <si>
    <t>2020-05-08T07:52:00.350</t>
  </si>
  <si>
    <t>&lt;salesforce&gt;&lt;updates&gt;&lt;lwc&gt;</t>
  </si>
  <si>
    <t>2020-05-06T18:26:29.117</t>
  </si>
  <si>
    <t>Selenium not inputting the whole text to a text box/text area</t>
  </si>
  <si>
    <t>2020-05-07T12:04:13.997</t>
  </si>
  <si>
    <t>2020-05-07T19:19:13.417</t>
  </si>
  <si>
    <t>2020-05-07T00:24:19.620</t>
  </si>
  <si>
    <t>Salesforce: retrieve images via REST API from RFT fields in custom objects</t>
  </si>
  <si>
    <t>2020-05-07T00:59:55.243</t>
  </si>
  <si>
    <t>&lt;r&gt;&lt;salesforce&gt;&lt;salesforce-lightning&gt;</t>
  </si>
  <si>
    <t>2020-05-07T11:44:42.653</t>
  </si>
  <si>
    <t>error ocuring while giving command to run lightning CLI .what can be done on this?</t>
  </si>
  <si>
    <t>&lt;node.js&gt;&lt;npm&gt;&lt;lightning&gt;</t>
  </si>
  <si>
    <t>2020-05-07T13:29:08.120</t>
  </si>
  <si>
    <t>How we can add smart search functionality in lwc</t>
  </si>
  <si>
    <t>2020-05-07T14:42:20.050</t>
  </si>
  <si>
    <t>Apply Salesforce Community Theme branding to lightning button in LWC</t>
  </si>
  <si>
    <t>&lt;salesforce-lightning&gt;&lt;lightning&gt;&lt;salesforce-communities&gt;&lt;lwc&gt;</t>
  </si>
  <si>
    <t>2020-05-07T18:19:34.630</t>
  </si>
  <si>
    <t>SalesForce Live Agent - Can You Pass A Custom Variable From Live Agent Config To The Front-End?</t>
  </si>
  <si>
    <t>2020-05-07T21:43:42.040</t>
  </si>
  <si>
    <t>SalesForce SOAPUI Login call fails with SocketTimeoutException</t>
  </si>
  <si>
    <t>2020-05-07T22:21:19.497</t>
  </si>
  <si>
    <t>&lt;salesforce&gt;&lt;soapui&gt;&lt;salesforce-communities&gt;</t>
  </si>
  <si>
    <t>2020-05-08T05:51:04.343</t>
  </si>
  <si>
    <t>Apply Standard Design Community Tokens in the Lightning Web Component (LWC)</t>
  </si>
  <si>
    <t>2020-05-08T08:14:23.937</t>
  </si>
  <si>
    <t>Email to case reply-to field</t>
  </si>
  <si>
    <t>&lt;salesforce&gt;&lt;email-integration&gt;&lt;salesforce-lightning&gt;&lt;salesforce-chatter&gt;</t>
  </si>
  <si>
    <t>2020-05-08T10:13:42.707</t>
  </si>
  <si>
    <t>Deploying communities using package.xml</t>
  </si>
  <si>
    <t>&lt;deployment&gt;&lt;salesforce-communities&gt;</t>
  </si>
  <si>
    <t>2020-05-08T11:10:46.343</t>
  </si>
  <si>
    <t>Payoneer API to send and receive payments via salesforce</t>
  </si>
  <si>
    <t>&lt;api&gt;&lt;salesforce&gt;&lt;payment&gt;&lt;salesforce-service-cloud&gt;</t>
  </si>
  <si>
    <t>2020-05-08T16:05:06.787</t>
  </si>
  <si>
    <t>Map values once pushed in are persisting between LWC template transitions</t>
  </si>
  <si>
    <t>&lt;javascript&gt;&lt;css&gt;&lt;maps&gt;&lt;lwc&gt;</t>
  </si>
  <si>
    <t>2020-05-08T22:32:34.213</t>
  </si>
  <si>
    <t>DML not allowed with PermissionSetTabSetting</t>
  </si>
  <si>
    <t>&lt;salesforce&gt;&lt;apex&gt;&lt;salesforce-lightning&gt;&lt;salesforce-communities&gt;&lt;permissionset&gt;</t>
  </si>
  <si>
    <t>2020-05-10T09:25:38.570</t>
  </si>
  <si>
    <t>test class error:Method does not exist or incorrect signature: test.setCurrentPage(System.PageReference)</t>
  </si>
  <si>
    <t>&lt;salesforce&gt;&lt;apex&gt;&lt;force.com&gt;&lt;lightning&gt;&lt;test-class&gt;</t>
  </si>
  <si>
    <t>2020-05-11T17:14:12.747</t>
  </si>
  <si>
    <t>OmniScript Designer Javascript and HTML css customization in Vlocity</t>
  </si>
  <si>
    <t>&lt;javascript&gt;&lt;html&gt;&lt;css&gt;&lt;salesforce&gt;&lt;lwc&gt;</t>
  </si>
  <si>
    <t>2020-05-12T10:33:58.670</t>
  </si>
  <si>
    <t>Need details for Library team member permission in salesforce</t>
  </si>
  <si>
    <t>&lt;salesforce&gt;&lt;salesforce-lightning&gt;&lt;salesforce-communities&gt;&lt;sfdc&gt;</t>
  </si>
  <si>
    <t>2020-05-12T18:24:02.740</t>
  </si>
  <si>
    <t>Is it possible to list all the ContentWorkspaces (including private ones) using admin token with 'Query All Files' perms?</t>
  </si>
  <si>
    <t>&lt;api&gt;&lt;rest&gt;&lt;salesforce&gt;&lt;salesforce-lightning&gt;</t>
  </si>
  <si>
    <t>2020-05-13T16:57:52.537</t>
  </si>
  <si>
    <t>Question on Inline editing for 1 permission set on a Salesforce custom object.is this only at the Org level?</t>
  </si>
  <si>
    <t>2020-05-14T03:45:37.297</t>
  </si>
  <si>
    <t>2020-05-14T05:50:11.513</t>
  </si>
  <si>
    <t>Salesforce lightning custom label not getting updated even after page load</t>
  </si>
  <si>
    <t>2020-05-15T11:11:57.327</t>
  </si>
  <si>
    <t>I have downloaded SFRA project from github but dont know when I try to npm install I am getting this error. What is solution for this?</t>
  </si>
  <si>
    <t>&lt;node.js&gt;&lt;github&gt;&lt;npm&gt;&lt;node-modules&gt;&lt;salesforce-service-cloud&gt;</t>
  </si>
  <si>
    <t>2020-05-15T11:59:15.460</t>
  </si>
  <si>
    <t>Can we integrate XLSX and Syncfusion Library with LWC</t>
  </si>
  <si>
    <t>2020-05-18T12:54:52.303</t>
  </si>
  <si>
    <t>&lt;syncfusion&gt;&lt;js-xlsx&gt;&lt;lwc&gt;&lt;ej2-syncfusion&gt;</t>
  </si>
  <si>
    <t>2020-05-15T13:53:06.140</t>
  </si>
  <si>
    <t>Salesforce Bulk Upsert throws Duplicate error</t>
  </si>
  <si>
    <t>2020-05-20T09:47:35.957</t>
  </si>
  <si>
    <t>&lt;salesforce&gt;&lt;upsert&gt;&lt;salesforce-lightning&gt;&lt;restapi&gt;</t>
  </si>
  <si>
    <t>2020-05-15T17:24:43.637</t>
  </si>
  <si>
    <t>How to include multiple import js file into another js file</t>
  </si>
  <si>
    <t>2020-05-15T18:03:14.517</t>
  </si>
  <si>
    <t>2020-05-15T19:52:13.397</t>
  </si>
  <si>
    <t>How to keep Quick Action window open on intra-page link</t>
  </si>
  <si>
    <t>2020-05-16T09:55:46.263</t>
  </si>
  <si>
    <t>Custom setting is null on trigger but available in Apex class</t>
  </si>
  <si>
    <t>2020-05-17T15:16:26.080</t>
  </si>
  <si>
    <t>What is LWC equivalent of HTMLElement.getProperty('attributeName')?</t>
  </si>
  <si>
    <t>2020-05-17T15:21:27.513</t>
  </si>
  <si>
    <t>&lt;javascript&gt;&lt;html&gt;&lt;salesforce-lightning&gt;&lt;lwc&gt;</t>
  </si>
  <si>
    <t>2020-05-18T12:24:15.630</t>
  </si>
  <si>
    <t>Jest test for LWC Cannot find module 'c/hello' from 'hello.test.js</t>
  </si>
  <si>
    <t>2020-05-19T06:50:55.667</t>
  </si>
  <si>
    <t>2020-05-20T01:57:01.817</t>
  </si>
  <si>
    <t>Salesforce: How to show a NAME in smart capture using data extension</t>
  </si>
  <si>
    <t>2020-05-20T07:36:44.017</t>
  </si>
  <si>
    <t>2020-05-20T18:33:47.390</t>
  </si>
  <si>
    <t>LWC Jest XMLHttpRequest from static resource</t>
  </si>
  <si>
    <t>2020-05-20T21:37:03.607</t>
  </si>
  <si>
    <t>&lt;jestjs&gt;&lt;salesforce&gt;&lt;salesforce-lightning&gt;&lt;lwc&gt;</t>
  </si>
  <si>
    <t>2020-05-21T06:50:43.883</t>
  </si>
  <si>
    <t>How to embed LWC/VF page in Angular based button click event UI in Vlocity</t>
  </si>
  <si>
    <t>&lt;angularjs&gt;&lt;angular&gt;&lt;salesforce&gt;&lt;visualforce&gt;&lt;lwc&gt;</t>
  </si>
  <si>
    <t>2020-05-21T10:41:03.503</t>
  </si>
  <si>
    <t>How to validate a salesforce react input component?</t>
  </si>
  <si>
    <t>2020-05-21T15:49:05.207</t>
  </si>
  <si>
    <t>How to get metadata of Salesforce Objects using Python if the object name is dynamic?</t>
  </si>
  <si>
    <t>2020-05-22T18:08:58.737</t>
  </si>
  <si>
    <t>&lt;python&gt;&lt;python-3.x&gt;&lt;salesforce&gt;&lt;salesforce-lightning&gt;</t>
  </si>
  <si>
    <t>2020-05-22T03:26:59.520</t>
  </si>
  <si>
    <t>Access reports saved in users personal folders</t>
  </si>
  <si>
    <t>2020-05-23T10:08:43.047</t>
  </si>
  <si>
    <t>2020-05-22T07:46:52.287</t>
  </si>
  <si>
    <t>Lightning for outlook Addin configuration is editable?</t>
  </si>
  <si>
    <t>&lt;for-loop&gt;&lt;outlook&gt;&lt;salesforce&gt;&lt;lightning&gt;</t>
  </si>
  <si>
    <t>2020-05-23T19:24:49.360</t>
  </si>
  <si>
    <t>Table Column Resize Salesforce lightning slds</t>
  </si>
  <si>
    <t>2020-05-23T21:18:08.867</t>
  </si>
  <si>
    <t>2020-05-25T16:01:08.153</t>
  </si>
  <si>
    <t>Salesforce Oauth Authentication from lightning component</t>
  </si>
  <si>
    <t>2020-05-26T08:45:37.613</t>
  </si>
  <si>
    <t>How to get Field Service Dispatcher/Resource license in Scratch org?</t>
  </si>
  <si>
    <t>2020-05-26T10:30:24.067</t>
  </si>
  <si>
    <t>I want to put a validation on date picker in aura lightning component</t>
  </si>
  <si>
    <t>2020-05-26T13:01:50.300</t>
  </si>
  <si>
    <t>How to include moment Js in Lightning Web Component? I have used the below code</t>
  </si>
  <si>
    <t>2020-05-29T05:05:58.337</t>
  </si>
  <si>
    <t>2020-05-29T05:06:39.373</t>
  </si>
  <si>
    <t>2020-05-26T21:04:10.763</t>
  </si>
  <si>
    <t>Why is it impossible to fetch all the records of the SObject 'ObjectPermissions'?</t>
  </si>
  <si>
    <t>&lt;api&gt;&lt;rest&gt;&lt;salesforce&gt;&lt;salesforce-lightning&gt;&lt;soql&gt;</t>
  </si>
  <si>
    <t>2020-05-27T05:37:29.293</t>
  </si>
  <si>
    <t>how to update checkbox value as checked in salesforce using lwc</t>
  </si>
  <si>
    <t>2020-05-27T17:30:44.733</t>
  </si>
  <si>
    <t>Displaying large text in Salesforce</t>
  </si>
  <si>
    <t>2020-05-27T18:18:37.007</t>
  </si>
  <si>
    <t>2020-05-27T17:53:27.380</t>
  </si>
  <si>
    <t>In IE,a lightning component is not loading.Getting error like "Failed to initialize a component [Expected identifier]"</t>
  </si>
  <si>
    <t>&lt;internet-explorer-11&gt;&lt;salesforce-lightning&gt;&lt;lightning&gt;&lt;aura-framework&gt;</t>
  </si>
  <si>
    <t>2020-05-28T14:00:50.470</t>
  </si>
  <si>
    <t>"Invalid field for upsert, must be an External Id custom or standard indexed field: Name" error</t>
  </si>
  <si>
    <t>2020-05-28T19:17:47.233</t>
  </si>
  <si>
    <t>2020-05-28T21:14:56.070</t>
  </si>
  <si>
    <t>What is the authorization URL if authorizing against a sandbox environment?</t>
  </si>
  <si>
    <t>2020-05-28T22:29:42.590</t>
  </si>
  <si>
    <t>&lt;oauth-2.0&gt;&lt;salesforce&gt;&lt;salesforce-lightning&gt;</t>
  </si>
  <si>
    <t>2020-05-28T21:19:55.687</t>
  </si>
  <si>
    <t>How do I Get Records (including Referenced Objects) from sales force in Azure Logic Apps through Sales Force Connector?</t>
  </si>
  <si>
    <t>&lt;azure-logic-apps&gt;&lt;salesforce-lightning&gt;&lt;azure-connect&gt;</t>
  </si>
  <si>
    <t>2020-05-28T22:24:48.807</t>
  </si>
  <si>
    <t>Conga Composer IF statement with static text and merge field?</t>
  </si>
  <si>
    <t>2020-05-29T01:02:00.377</t>
  </si>
  <si>
    <t>LWC - Javascript object is not reactive with Wrapper class object</t>
  </si>
  <si>
    <t>&lt;javascript&gt;&lt;wrapper&gt;&lt;salesforce-lightning&gt;&lt;lwc&gt;</t>
  </si>
  <si>
    <t>2020-05-29T06:18:56.997</t>
  </si>
  <si>
    <t>How to enable Aura for this class</t>
  </si>
  <si>
    <t>2020-05-29T07:07:02.097</t>
  </si>
  <si>
    <t>2020-05-29T06:42:58.240</t>
  </si>
  <si>
    <t>Open a Subtab in a Lightning Console App from another Tab</t>
  </si>
  <si>
    <t>2020-05-29T08:11:57.947</t>
  </si>
  <si>
    <t>LWC - wrapper object values are nullified on input tag value change</t>
  </si>
  <si>
    <t>2020-05-29T09:54:19.590</t>
  </si>
  <si>
    <t>2020-05-30T07:32:08.843</t>
  </si>
  <si>
    <t>How to display a link inside lightning:map description?</t>
  </si>
  <si>
    <t>2020-05-30T07:34:50.833</t>
  </si>
  <si>
    <t>&lt;javascript&gt;&lt;html&gt;&lt;salesforce&gt;&lt;dom-events&gt;&lt;salesforce-lightning&gt;</t>
  </si>
  <si>
    <t>2020-05-30T08:50:13.767</t>
  </si>
  <si>
    <t>Pass the value onchange lightning:select from lightning component to flow builder</t>
  </si>
  <si>
    <t>2020-05-30T19:07:16.980</t>
  </si>
  <si>
    <t>Lightning Web Component Reactive and Non Reactive Properties</t>
  </si>
  <si>
    <t>2020-05-30T21:34:00.373</t>
  </si>
  <si>
    <t>Vinyl</t>
  </si>
  <si>
    <t>2014-01-10T11:06:39.517</t>
  </si>
  <si>
    <t>Vinyl: compose record type aliases</t>
  </si>
  <si>
    <t>2014-01-10T11:32:21.720</t>
  </si>
  <si>
    <t>&lt;haskell&gt;&lt;type-level-computation&gt;&lt;vinyl&gt;</t>
  </si>
  <si>
    <t>2014-01-29T17:10:01.230</t>
  </si>
  <si>
    <t>Haskell: refer to type of value at compile time</t>
  </si>
  <si>
    <t>2014-02-03T04:18:41.923</t>
  </si>
  <si>
    <t>&lt;haskell&gt;&lt;types&gt;&lt;vinyl&gt;</t>
  </si>
  <si>
    <t>2014-02-19T04:30:01.337</t>
  </si>
  <si>
    <t>Problems with ISubset in vinyl</t>
  </si>
  <si>
    <t>2014-02-19T08:00:01.170</t>
  </si>
  <si>
    <t>&lt;haskell&gt;&lt;vinyl&gt;</t>
  </si>
  <si>
    <t>2014-02-19T06:19:05.847</t>
  </si>
  <si>
    <t>2014-03-04T04:42:24.763</t>
  </si>
  <si>
    <t>Filter vinyl records by type</t>
  </si>
  <si>
    <t>2017-08-06T00:54:00.200</t>
  </si>
  <si>
    <t>2014-03-11T07:51:47.707</t>
  </si>
  <si>
    <t>Proxies, type level symbols, and JSON</t>
  </si>
  <si>
    <t>2014-03-16T03:33:46.817</t>
  </si>
  <si>
    <t>&lt;haskell&gt;&lt;types&gt;&lt;proxy&gt;&lt;vinyl&gt;</t>
  </si>
  <si>
    <t>2014-03-11T09:16:41.287</t>
  </si>
  <si>
    <t>2015-03-04T21:46:11.600</t>
  </si>
  <si>
    <t>Declare a constraint that holds for Vinyl records having a specific field</t>
  </si>
  <si>
    <t>2015-03-12T09:48:59.500</t>
  </si>
  <si>
    <t>2015-03-13T16:06:54.650</t>
  </si>
  <si>
    <t>&lt;haskell&gt;&lt;type-constraints&gt;&lt;vinyl&gt;</t>
  </si>
  <si>
    <t>2015-04-05T14:03:37.550</t>
  </si>
  <si>
    <t>Vinyl: rtraverse with a function requiring a constraint shared by all fields</t>
  </si>
  <si>
    <t>2015-04-05T16:59:46.820</t>
  </si>
  <si>
    <t>2015-04-05T14:40:12.263</t>
  </si>
  <si>
    <t>2015-04-27T20:17:56.833</t>
  </si>
  <si>
    <t>Weakening vinyl's RecAll constraint through entailment</t>
  </si>
  <si>
    <t>2015-04-28T04:08:12.920</t>
  </si>
  <si>
    <t>&lt;haskell&gt;&lt;constraints&gt;&lt;ghc&gt;&lt;vinyl&gt;</t>
  </si>
  <si>
    <t>2015-05-04T08:05:08.910</t>
  </si>
  <si>
    <t>vinyl-ftp does not upload the exists folder</t>
  </si>
  <si>
    <t>2015-05-04T08:31:30.747</t>
  </si>
  <si>
    <t>&lt;ftp&gt;&lt;vinyl&gt;</t>
  </si>
  <si>
    <t>2015-08-31T08:27:22.910</t>
  </si>
  <si>
    <t>Gulp vinyl ftp - Remove local deleted files</t>
  </si>
  <si>
    <t>2017-03-10T21:32:39.330</t>
  </si>
  <si>
    <t>&lt;ftp&gt;&lt;gulp&gt;&lt;vinyl&gt;</t>
  </si>
  <si>
    <t>2015-10-29T18:38:20.807</t>
  </si>
  <si>
    <t>2016-01-15T15:05:49.647</t>
  </si>
  <si>
    <t>How can process.stdin be used as the start point for a gulp task?</t>
  </si>
  <si>
    <t>2016-01-15T15:54:49.487</t>
  </si>
  <si>
    <t>&lt;node.js&gt;&lt;gulp&gt;&lt;vinyl&gt;</t>
  </si>
  <si>
    <t>2016-02-11T15:35:32.033</t>
  </si>
  <si>
    <t>My gulp plugin with through2 returns file in strange XML-like format</t>
  </si>
  <si>
    <t>2016-02-11T17:28:02.103</t>
  </si>
  <si>
    <t>&lt;javascript&gt;&lt;node.js&gt;&lt;gulp&gt;&lt;vinyl&gt;</t>
  </si>
  <si>
    <t>2016-02-11T17:22:51.800</t>
  </si>
  <si>
    <t>2016-04-21T10:22:48.120</t>
  </si>
  <si>
    <t>vinyl ftp Cannot create a file when that file already exists</t>
  </si>
  <si>
    <t>2016-04-21T13:16:18.600</t>
  </si>
  <si>
    <t>2016-04-22T09:33:53.710</t>
  </si>
  <si>
    <t>2016-08-25T16:01:23.347</t>
  </si>
  <si>
    <t>Why does vinyl.isVinyl() return false for vinyl files emitted by gulp?</t>
  </si>
  <si>
    <t>2016-08-25T17:08:31.250</t>
  </si>
  <si>
    <t>&lt;javascript&gt;&lt;gulp&gt;&lt;gulp-plugin&gt;&lt;vinyl&gt;&lt;through2&gt;</t>
  </si>
  <si>
    <t>2016-08-25T16:56:27.890</t>
  </si>
  <si>
    <t>2016-11-08T10:47:33.563</t>
  </si>
  <si>
    <t>Gulp Task completes with no error but no file is saved to destination</t>
  </si>
  <si>
    <t>2016-11-08T12:22:04.083</t>
  </si>
  <si>
    <t>2016-11-08T14:12:28.303</t>
  </si>
  <si>
    <t>2017-01-13T16:21:33.677</t>
  </si>
  <si>
    <t>Gulp vinyl ftp - how to use clean function?</t>
  </si>
  <si>
    <t>2017-01-13T20:30:35.433</t>
  </si>
  <si>
    <t>2017-09-12T14:49:54.097</t>
  </si>
  <si>
    <t>&lt;node.js&gt;&lt;ftp&gt;&lt;gulp&gt;&lt;vinyl&gt;&lt;vinyl-ftp&gt;</t>
  </si>
  <si>
    <t>2017-01-13T20:23:23.247</t>
  </si>
  <si>
    <t>2017-04-01T13:14:22.693</t>
  </si>
  <si>
    <t>How to use objects list as gulp source stream</t>
  </si>
  <si>
    <t>2017-04-09T13:31:17.273</t>
  </si>
  <si>
    <t>&lt;javascript&gt;&lt;node.js&gt;&lt;gulp&gt;&lt;node-streams&gt;&lt;vinyl&gt;</t>
  </si>
  <si>
    <t>2017-04-01T13:27:17.270</t>
  </si>
  <si>
    <t>2017-06-02T19:04:55.250</t>
  </si>
  <si>
    <t>How to generalize an Opaleye Query in Haskell (Using Vinyl)?</t>
  </si>
  <si>
    <t>2017-06-02T20:38:16.593</t>
  </si>
  <si>
    <t>2017-06-02T21:03:51.223</t>
  </si>
  <si>
    <t>&lt;postgresql&gt;&lt;haskell&gt;&lt;vinyl&gt;&lt;opaleye&gt;</t>
  </si>
  <si>
    <t>2017-06-30T16:27:51.107</t>
  </si>
  <si>
    <t>througt module accepts only 8/16 files</t>
  </si>
  <si>
    <t>2017-07-01T13:26:08.817</t>
  </si>
  <si>
    <t>2017-08-03T02:07:07.670</t>
  </si>
  <si>
    <t>How can I constrain Vinyl / Composite Records?</t>
  </si>
  <si>
    <t>2017-08-03T19:08:54.927</t>
  </si>
  <si>
    <t>2017-08-04T08:12:54.977</t>
  </si>
  <si>
    <t>&lt;haskell&gt;&lt;types&gt;&lt;hlist&gt;&lt;extensible&gt;&lt;vinyl&gt;</t>
  </si>
  <si>
    <t>2017-08-03T06:06:13.470</t>
  </si>
  <si>
    <t>2017-11-30T02:04:15.567</t>
  </si>
  <si>
    <t>Pattern synonym binds differently from normal pattern</t>
  </si>
  <si>
    <t>2017-11-30T16:38:10.440</t>
  </si>
  <si>
    <t>&lt;haskell&gt;&lt;singleton-type&gt;&lt;vinyl&gt;</t>
  </si>
  <si>
    <t>2020-03-20T18:44:15.167</t>
  </si>
  <si>
    <t>Clip-path inset circle</t>
  </si>
  <si>
    <t>2020-03-20T20:38:29.143</t>
  </si>
  <si>
    <t>&lt;css&gt;&lt;geometry&gt;&lt;clip-path&gt;&lt;vinyl&gt;</t>
  </si>
  <si>
    <t>2020-03-20T19:29:21.683</t>
  </si>
  <si>
    <t>2020-05-13T12:57:27.707</t>
  </si>
  <si>
    <t>Gulp ignore specified file in subfolder</t>
  </si>
  <si>
    <t>&lt;node.js&gt;&lt;cordova&gt;&lt;gulp&gt;&lt;vinyl&gt;</t>
  </si>
  <si>
    <t>Zoho</t>
  </si>
  <si>
    <t>2008-11-28T18:18:37.777</t>
  </si>
  <si>
    <t>Experiences with Zoho Creator?</t>
  </si>
  <si>
    <t>2013-05-24T10:49:28.397</t>
  </si>
  <si>
    <t>&lt;database&gt;&lt;zoho&gt;</t>
  </si>
  <si>
    <t>2013-05-24T23:57:00.807</t>
  </si>
  <si>
    <t>2009-03-01T00:39:41.493</t>
  </si>
  <si>
    <t>2009-08-11T07:14:15.627</t>
  </si>
  <si>
    <t>Integrating CRM with Google maps</t>
  </si>
  <si>
    <t>2016-03-10T19:37:25.257</t>
  </si>
  <si>
    <t>&lt;google-maps&gt;&lt;crm&gt;&lt;mashup&gt;&lt;zoho&gt;</t>
  </si>
  <si>
    <t>2009-11-17T00:01:28.040</t>
  </si>
  <si>
    <t>2010-01-07T18:15:21.567</t>
  </si>
  <si>
    <t>Using Javascript/jQuery to access HTML elements with improper id attribute</t>
  </si>
  <si>
    <t>2010-01-07T18:30:44.297</t>
  </si>
  <si>
    <t>&lt;javascript&gt;&lt;jquery&gt;&lt;html&gt;&lt;zoho&gt;</t>
  </si>
  <si>
    <t>2010-01-07T18:24:57.617</t>
  </si>
  <si>
    <t>2010-03-04T05:28:31.303</t>
  </si>
  <si>
    <t>XCelsius using ZOHO webservice</t>
  </si>
  <si>
    <t>2010-11-23T01:13:45.727</t>
  </si>
  <si>
    <t>&lt;web-services&gt;&lt;zoho&gt;&lt;xcelsius&gt;</t>
  </si>
  <si>
    <t>2010-09-13T13:00:36.890</t>
  </si>
  <si>
    <t>Simple Integration - ZohoCRM, HighriseHQ, PipelineDeals</t>
  </si>
  <si>
    <t>user53791</t>
  </si>
  <si>
    <t>2014-08-08T14:58:39.410</t>
  </si>
  <si>
    <t>&lt;crm&gt;&lt;zoho&gt;</t>
  </si>
  <si>
    <t>2010-10-11T13:15:17.003</t>
  </si>
  <si>
    <t>APIs for implementing Document Editing and viewing features for a web app?</t>
  </si>
  <si>
    <t>2019-06-21T17:47:33.380</t>
  </si>
  <si>
    <t>&lt;c#&gt;&lt;.net&gt;&lt;asp.net&gt;&lt;content-management-system&gt;&lt;zoho&gt;</t>
  </si>
  <si>
    <t>2010-12-13T18:16:56.180</t>
  </si>
  <si>
    <t>Floating exponent exponentiation algorithm</t>
  </si>
  <si>
    <t>2020-03-10T00:33:30.663</t>
  </si>
  <si>
    <t>2020-03-10T05:46:20.427</t>
  </si>
  <si>
    <t>&lt;algorithm&gt;&lt;math&gt;&lt;zoho&gt;&lt;exponentiation&gt;</t>
  </si>
  <si>
    <t>2010-12-14T12:35:12.507</t>
  </si>
  <si>
    <t>2010-12-14T13:46:43.457</t>
  </si>
  <si>
    <t>How to implement exponentiation of a rational number without nth root?</t>
  </si>
  <si>
    <t>2010-12-14T14:00:54.890</t>
  </si>
  <si>
    <t>2010-12-14T14:17:41.833</t>
  </si>
  <si>
    <t>&lt;math&gt;&lt;exponentiation&gt;&lt;zoho&gt;</t>
  </si>
  <si>
    <t>2010-12-29T17:25:28.227</t>
  </si>
  <si>
    <t>Open documents in browser with zoho api</t>
  </si>
  <si>
    <t>2014-04-15T05:12:01.357</t>
  </si>
  <si>
    <t>&lt;api&gt;&lt;document&gt;&lt;zoho&gt;</t>
  </si>
  <si>
    <t>2010-12-29T17:33:53.903</t>
  </si>
  <si>
    <t>2011-01-04T22:02:19.983</t>
  </si>
  <si>
    <t>Send php form to 2 locations</t>
  </si>
  <si>
    <t>2011-04-19T12:52:40.703</t>
  </si>
  <si>
    <t>&lt;php&gt;&lt;jquery&gt;&lt;ajax&gt;&lt;forms&gt;&lt;zoho&gt;</t>
  </si>
  <si>
    <t>2011-01-04T22:13:01.987</t>
  </si>
  <si>
    <t>2011-01-26T12:36:10.067</t>
  </si>
  <si>
    <t>Moodle - Zoho CRM Integration</t>
  </si>
  <si>
    <t>2011-03-14T00:10:37.070</t>
  </si>
  <si>
    <t>&lt;moodle&gt;&lt;zoho&gt;</t>
  </si>
  <si>
    <t>2011-04-05T13:48:48.147</t>
  </si>
  <si>
    <t>Link between zoho crm and Moodle</t>
  </si>
  <si>
    <t>2011-05-18T12:42:55.100</t>
  </si>
  <si>
    <t>&lt;crm&gt;&lt;moodle&gt;&lt;zoho&gt;</t>
  </si>
  <si>
    <t>2011-10-06T19:54:30.677</t>
  </si>
  <si>
    <t>How could I 'attach' an ASP.NET byte array to a 'file' type input field on a form?</t>
  </si>
  <si>
    <t>2011-10-06T19:57:26.953</t>
  </si>
  <si>
    <t>&lt;javascript&gt;&lt;asp.net&gt;&lt;forms&gt;&lt;bytearray&gt;&lt;zoho&gt;</t>
  </si>
  <si>
    <t>2011-11-04T05:06:28.453</t>
  </si>
  <si>
    <t>convert xml response (from ZohoCRM) to simple "key=value" pairs (for SurveyGizmo) using php or Zoho Creator</t>
  </si>
  <si>
    <t>2011-11-04T19:06:41.667</t>
  </si>
  <si>
    <t>&lt;php&gt;&lt;xml-parsing&gt;&lt;key-value&gt;&lt;survey&gt;&lt;zoho&gt;</t>
  </si>
  <si>
    <t>2011-11-14T14:49:45.207</t>
  </si>
  <si>
    <t>Posting data in PHP Curl</t>
  </si>
  <si>
    <t>2011-11-14T15:27:13.153</t>
  </si>
  <si>
    <t>&lt;php&gt;&lt;post&gt;&lt;file-upload&gt;&lt;curl&gt;&lt;zoho&gt;</t>
  </si>
  <si>
    <t>2011-11-14T15:02:03.943</t>
  </si>
  <si>
    <t>2012-01-24T00:18:45.720</t>
  </si>
  <si>
    <t>Zoho Remote API - cannot save files back to our server - "Document format not supported. Error in saving content."</t>
  </si>
  <si>
    <t>2012-03-14T09:24:39.837</t>
  </si>
  <si>
    <t>&lt;java&gt;&lt;zoho&gt;</t>
  </si>
  <si>
    <t>2012-02-21T04:35:08.527</t>
  </si>
  <si>
    <t>cant call api method using xml in url</t>
  </si>
  <si>
    <t>2012-07-08T16:49:02.187</t>
  </si>
  <si>
    <t>&lt;php&gt;&lt;api&gt;&lt;curl&gt;&lt;zoho&gt;</t>
  </si>
  <si>
    <t>2012-02-22T08:08:29.763</t>
  </si>
  <si>
    <t>Can servers block curl requests?</t>
  </si>
  <si>
    <t>2018-03-26T17:08:34.133</t>
  </si>
  <si>
    <t>2018-09-14T16:18:42.130</t>
  </si>
  <si>
    <t>&lt;php&gt;&lt;curl&gt;&lt;zoho&gt;</t>
  </si>
  <si>
    <t>2012-02-22T08:18:48.623</t>
  </si>
  <si>
    <t>2012-03-31T20:32:08.067</t>
  </si>
  <si>
    <t>Using PHP to insert records to Zoho CRM via the API</t>
  </si>
  <si>
    <t>2014-09-05T05:53:56.597</t>
  </si>
  <si>
    <t>&lt;api&gt;&lt;crm&gt;&lt;zoho&gt;</t>
  </si>
  <si>
    <t>2012-04-06T10:04:59.993</t>
  </si>
  <si>
    <t>SQL Query Issue Sum</t>
  </si>
  <si>
    <t>2012-04-06T11:56:11.983</t>
  </si>
  <si>
    <t>&lt;sql&gt;&lt;zoho&gt;</t>
  </si>
  <si>
    <t>2012-05-20T11:46:39.077</t>
  </si>
  <si>
    <t>UrlFetchApp fetch post to Zoho Creator API, Zoho needs the session to be closed</t>
  </si>
  <si>
    <t>2012-05-21T15:17:44.110</t>
  </si>
  <si>
    <t>2013-03-19T15:11:51.740</t>
  </si>
  <si>
    <t>&lt;google-apps-script&gt;&lt;zoho&gt;</t>
  </si>
  <si>
    <t>2012-12-25T06:44:43.597</t>
  </si>
  <si>
    <t>2012-05-21T17:52:41.960</t>
  </si>
  <si>
    <t>How to build a Bridge and sync magento and zoho both ways</t>
  </si>
  <si>
    <t>2012-05-21T18:06:03.060</t>
  </si>
  <si>
    <t>2015-07-23T04:18:28.623</t>
  </si>
  <si>
    <t>&lt;magento&gt;&lt;integration&gt;&lt;magento-1.6&gt;&lt;zoho&gt;</t>
  </si>
  <si>
    <t>2012-05-21T18:10:16.387</t>
  </si>
  <si>
    <t>2012-05-28T11:47:03.750</t>
  </si>
  <si>
    <t>Get Zoho CRM PickList (Lead Source,Industry, Currency , etc..) values via API</t>
  </si>
  <si>
    <t>2012-05-29T13:10:23.513</t>
  </si>
  <si>
    <t>&lt;c#&gt;&lt;api&gt;&lt;zoho&gt;</t>
  </si>
  <si>
    <t>2012-06-06T18:20:10.907</t>
  </si>
  <si>
    <t>simple xml not working on live server</t>
  </si>
  <si>
    <t>2012-06-06T18:48:02.607</t>
  </si>
  <si>
    <t>&lt;php&gt;&lt;simplexml&gt;&lt;zoho&gt;</t>
  </si>
  <si>
    <t>2012-06-06T23:46:37.443</t>
  </si>
  <si>
    <t>Is this a normal xml format?</t>
  </si>
  <si>
    <t>2012-06-07T00:08:23.583</t>
  </si>
  <si>
    <t>2012-06-07T13:18:00.500</t>
  </si>
  <si>
    <t>&lt;c#&gt;&lt;xml&gt;&lt;zoho&gt;&lt;xml-formatting&gt;</t>
  </si>
  <si>
    <t>2012-06-07T11:06:02.067</t>
  </si>
  <si>
    <t>Save Zoho Creator form in crm and in mysql database</t>
  </si>
  <si>
    <t>2012-12-26T20:26:42.420</t>
  </si>
  <si>
    <t>&lt;zoho&gt;</t>
  </si>
  <si>
    <t>2012-06-23T16:19:21.843</t>
  </si>
  <si>
    <t>Insert Data from MySQL to Zoho Reports with the Upload Tool</t>
  </si>
  <si>
    <t>2012-06-24T04:30:00.607</t>
  </si>
  <si>
    <t>&lt;mysql&gt;&lt;zoho&gt;</t>
  </si>
  <si>
    <t>2012-07-05T21:15:10.043</t>
  </si>
  <si>
    <t>Posting Data from form (xml) to Zoho CRM with php and cURL</t>
  </si>
  <si>
    <t>2012-09-13T10:57:43.350</t>
  </si>
  <si>
    <t>&lt;curl&gt;&lt;zoho&gt;</t>
  </si>
  <si>
    <t>2012-08-17T11:16:14.037</t>
  </si>
  <si>
    <t>Assembla Redmine JIRA Zoho Yodiz review and/or alternatives</t>
  </si>
  <si>
    <t>2012-08-20T12:49:27.303</t>
  </si>
  <si>
    <t>2012-09-19T08:28:21.710</t>
  </si>
  <si>
    <t>&lt;project-management&gt;&lt;jira&gt;&lt;redmine&gt;&lt;assembla&gt;&lt;zoho&gt;</t>
  </si>
  <si>
    <t>2012-09-24T23:38:58.843</t>
  </si>
  <si>
    <t>2012-09-08T16:51:33.453</t>
  </si>
  <si>
    <t>2012-08-20T01:02:10.807</t>
  </si>
  <si>
    <t>Zoho API inserRecord using Curl and XML, not returning an error and not adding the "Potential"</t>
  </si>
  <si>
    <t>2012-09-13T10:44:37.307</t>
  </si>
  <si>
    <t>&lt;xml&gt;&lt;curl&gt;&lt;zoho&gt;</t>
  </si>
  <si>
    <t>2012-08-23T08:12:53.220</t>
  </si>
  <si>
    <t>Losing tags and data when parsing XML string with Simple XML</t>
  </si>
  <si>
    <t>2012-08-23T08:38:50.083</t>
  </si>
  <si>
    <t>&lt;php&gt;&lt;xml&gt;&lt;parsing&gt;&lt;simplexml&gt;&lt;zoho&gt;</t>
  </si>
  <si>
    <t>2012-08-23T08:20:33.677</t>
  </si>
  <si>
    <t>2012-09-07T13:12:21.617</t>
  </si>
  <si>
    <t>how to get zoho editor in AjaXplorer?</t>
  </si>
  <si>
    <t>2015-03-13T11:59:58.563</t>
  </si>
  <si>
    <t>&lt;editor&gt;&lt;zoho&gt;&lt;pydio&gt;</t>
  </si>
  <si>
    <t>2012-09-10T12:46:38.037</t>
  </si>
  <si>
    <t>2012-09-13T18:09:57.273</t>
  </si>
  <si>
    <t>XML error Open quote is expected for attribute "value" when programming in PHP</t>
  </si>
  <si>
    <t>2012-09-13T18:28:11.347</t>
  </si>
  <si>
    <t>&lt;php&gt;&lt;xml&gt;&lt;zoho&gt;</t>
  </si>
  <si>
    <t>2012-12-11T17:29:12.003</t>
  </si>
  <si>
    <t>Get XML data from Zoho Creator API</t>
  </si>
  <si>
    <t>2013-01-09T21:26:26.787</t>
  </si>
  <si>
    <t>&lt;xml&gt;&lt;xmlhttprequest&gt;&lt;zoho&gt;</t>
  </si>
  <si>
    <t>2012-12-26T20:15:43.490</t>
  </si>
  <si>
    <t>2012-12-12T07:18:51.590</t>
  </si>
  <si>
    <t>Rails ActionMailer configuration for Zoho</t>
  </si>
  <si>
    <t>2012-12-12T17:11:19.283</t>
  </si>
  <si>
    <t>2018-03-16T00:32:29.887</t>
  </si>
  <si>
    <t>&lt;ruby-on-rails&gt;&lt;ruby-on-rails-3&gt;&lt;actionmailer&gt;&lt;zoho&gt;</t>
  </si>
  <si>
    <t>2013-01-30T23:55:17.687</t>
  </si>
  <si>
    <t>2013-01-23T08:40:29.350</t>
  </si>
  <si>
    <t>show users list in zoho crm</t>
  </si>
  <si>
    <t>2013-01-23T19:59:12.027</t>
  </si>
  <si>
    <t>2013-01-26T07:23:23.177</t>
  </si>
  <si>
    <t>How to open a child browser window and then execute a script on the newly loaded child browser page to click a link in it</t>
  </si>
  <si>
    <t>2013-01-27T07:03:12.217</t>
  </si>
  <si>
    <t>&lt;javascript&gt;&lt;url&gt;&lt;popup&gt;&lt;zoho&gt;</t>
  </si>
  <si>
    <t>2013-01-26T07:44:21.453</t>
  </si>
  <si>
    <t>2013-02-27T07:57:41.880</t>
  </si>
  <si>
    <t>bryntum component integration</t>
  </si>
  <si>
    <t>2013-02-27T08:35:35.240</t>
  </si>
  <si>
    <t>2013-02-27T08:40:26.060</t>
  </si>
  <si>
    <t>&lt;php&gt;&lt;extjs&gt;&lt;schedule&gt;&lt;zoho&gt;</t>
  </si>
  <si>
    <t>2013-03-05T13:02:28.140</t>
  </si>
  <si>
    <t>Fetching data from event table in zoho crm</t>
  </si>
  <si>
    <t>2013-03-05T13:03:52.313</t>
  </si>
  <si>
    <t>2013-03-11T11:58:23.427</t>
  </si>
  <si>
    <t>&lt;events&gt;&lt;fetch&gt;&lt;crm&gt;&lt;zoho&gt;</t>
  </si>
  <si>
    <t>2013-04-02T12:00:47.843</t>
  </si>
  <si>
    <t>UrlFetchApp.fetch with API</t>
  </si>
  <si>
    <t>2013-04-02T13:58:52.503</t>
  </si>
  <si>
    <t>2013-04-14T16:22:30.267</t>
  </si>
  <si>
    <t>Phpmailer from address failed</t>
  </si>
  <si>
    <t>2013-04-14T16:22:56.417</t>
  </si>
  <si>
    <t>2018-03-16T15:50:41.527</t>
  </si>
  <si>
    <t>&lt;php&gt;&lt;smtp&gt;&lt;phpmailer&gt;&lt;zoho&gt;</t>
  </si>
  <si>
    <t>2013-04-21T16:39:05.413</t>
  </si>
  <si>
    <t>2013-04-18T15:36:41.153</t>
  </si>
  <si>
    <t>Restsharp will not populate my class with a Zoho CRM request</t>
  </si>
  <si>
    <t>2013-04-18T15:38:13.107</t>
  </si>
  <si>
    <t>&lt;c#&gt;&lt;.net&gt;&lt;restsharp&gt;&lt;zoho&gt;</t>
  </si>
  <si>
    <t>2013-04-24T19:52:59.913</t>
  </si>
  <si>
    <t>Zoho CRM lead insert via PHP</t>
  </si>
  <si>
    <t>2016-01-30T14:09:37.487</t>
  </si>
  <si>
    <t>2013-04-24T20:03:52.453</t>
  </si>
  <si>
    <t>2013-04-30T17:51:04.067</t>
  </si>
  <si>
    <t>Using PayPal and zoho creator for credit card charge</t>
  </si>
  <si>
    <t>2020-01-03T20:40:43.090</t>
  </si>
  <si>
    <t>&lt;post&gt;&lt;paypal&gt;&lt;credit-card&gt;&lt;zoho&gt;</t>
  </si>
  <si>
    <t>2013-05-29T16:55:39.240</t>
  </si>
  <si>
    <t>Rails EOFError (end of file reached) when saving a devise user</t>
  </si>
  <si>
    <t>2014-10-29T16:13:39.787</t>
  </si>
  <si>
    <t>2018-05-28T16:43:17.990</t>
  </si>
  <si>
    <t>&lt;ruby-on-rails&gt;&lt;ruby-on-rails-3&gt;&lt;smtp&gt;&lt;zoho&gt;</t>
  </si>
  <si>
    <t>2013-05-30T03:11:24.500</t>
  </si>
  <si>
    <t>2013-06-04T07:02:51.990</t>
  </si>
  <si>
    <t>Sync the zoho crm with sql database using c# code</t>
  </si>
  <si>
    <t>2013-07-30T16:07:56.570</t>
  </si>
  <si>
    <t>&lt;c#&gt;&lt;zoho&gt;</t>
  </si>
  <si>
    <t>2013-07-29T16:49:27.137</t>
  </si>
  <si>
    <t>2013-06-15T17:51:08.853</t>
  </si>
  <si>
    <t>Parsing a complex JSON result with C#</t>
  </si>
  <si>
    <t>2013-07-02T18:23:30.453</t>
  </si>
  <si>
    <t>2014-04-14T05:33:11.083</t>
  </si>
  <si>
    <t>&lt;c#&gt;&lt;.net&gt;&lt;json&gt;&lt;serialization&gt;&lt;zoho&gt;</t>
  </si>
  <si>
    <t>2013-06-21T08:46:01.403</t>
  </si>
  <si>
    <t>2013-06-20T17:45:08.020</t>
  </si>
  <si>
    <t>Automatically Login to Zoho Applications</t>
  </si>
  <si>
    <t>2013-06-21T04:57:25.583</t>
  </si>
  <si>
    <t>&lt;javascript&gt;&lt;jquery&gt;&lt;single-sign-on&gt;&lt;zoho&gt;</t>
  </si>
  <si>
    <t>2013-06-24T10:40:44.067</t>
  </si>
  <si>
    <t>Insert Lead in ZOHO CRM usinh PHP cURL</t>
  </si>
  <si>
    <t>2014-09-05T05:57:01.507</t>
  </si>
  <si>
    <t>2013-08-07T07:01:15.400</t>
  </si>
  <si>
    <t>Zoho XML formatting issue</t>
  </si>
  <si>
    <t>2016-11-09T10:30:59.590</t>
  </si>
  <si>
    <t>&lt;xml&gt;&lt;zoho&gt;</t>
  </si>
  <si>
    <t>2013-08-14T14:40:54.393</t>
  </si>
  <si>
    <t>Zoho email forwarding</t>
  </si>
  <si>
    <t>2013-08-14T14:46:02.567</t>
  </si>
  <si>
    <t>2015-12-30T00:50:15.020</t>
  </si>
  <si>
    <t>&lt;email&gt;&lt;gmail&gt;&lt;forwarding&gt;&lt;zoho&gt;</t>
  </si>
  <si>
    <t>2013-10-27T20:57:49.800</t>
  </si>
  <si>
    <t>2013-08-20T12:58:05.637</t>
  </si>
  <si>
    <t>Send email through Zoho SMTP</t>
  </si>
  <si>
    <t>2018-05-30T21:57:13.950</t>
  </si>
  <si>
    <t>&lt;django&gt;&lt;email&gt;&lt;smtp&gt;&lt;zoho&gt;</t>
  </si>
  <si>
    <t>2013-08-22T09:10:05.233</t>
  </si>
  <si>
    <t>2013-09-01T09:47:04.170</t>
  </si>
  <si>
    <t>Query to select Single Best Record based on a Column Value</t>
  </si>
  <si>
    <t>2013-09-01T09:48:54.957</t>
  </si>
  <si>
    <t>2013-09-01T17:22:54.813</t>
  </si>
  <si>
    <t>&lt;sql&gt;&lt;database&gt;&lt;zoho&gt;</t>
  </si>
  <si>
    <t>2013-09-04T15:13:29.267</t>
  </si>
  <si>
    <t>Where to store XML or PHP file when linking Zoho CRM to Kashflow</t>
  </si>
  <si>
    <t>2013-09-04T16:49:56.533</t>
  </si>
  <si>
    <t>2013-09-05T17:18:58.097</t>
  </si>
  <si>
    <t>&lt;php&gt;&lt;mysql&gt;&lt;xml&gt;&lt;api&gt;&lt;zoho&gt;</t>
  </si>
  <si>
    <t>2013-09-04T21:25:20.183</t>
  </si>
  <si>
    <t>Using JavaScript for form confirmation message (with Zoho contact form)</t>
  </si>
  <si>
    <t>2013-09-04T22:00:27.390</t>
  </si>
  <si>
    <t>2013-09-12T18:40:42.007</t>
  </si>
  <si>
    <t>&lt;javascript&gt;&lt;forms&gt;&lt;onsubmit&gt;&lt;confirmation&gt;&lt;zoho&gt;</t>
  </si>
  <si>
    <t>2013-09-10T23:49:44.530</t>
  </si>
  <si>
    <t>Unable to parse datatype error when sending a Curl POSted XML</t>
  </si>
  <si>
    <t>2013-09-17T12:06:57.347</t>
  </si>
  <si>
    <t>&lt;php&gt;&lt;xml&gt;&lt;curl&gt;&lt;zoho&gt;</t>
  </si>
  <si>
    <t>2013-09-17T11:01:23.290</t>
  </si>
  <si>
    <t>2013-10-01T06:38:24.597</t>
  </si>
  <si>
    <t>XML Data Fetching Code</t>
  </si>
  <si>
    <t>2013-10-01T06:40:39.860</t>
  </si>
  <si>
    <t>2013-10-01T06:57:02.957</t>
  </si>
  <si>
    <t>&lt;javascript&gt;&lt;php&gt;&lt;jquery&gt;&lt;xml&gt;&lt;zoho&gt;</t>
  </si>
  <si>
    <t>2013-10-10T07:28:45.163</t>
  </si>
  <si>
    <t>Integration of ZOHO CRM with MySQL using PHP...!</t>
  </si>
  <si>
    <t>2016-12-08T10:18:03.963</t>
  </si>
  <si>
    <t>&lt;php&gt;&lt;mysql&gt;&lt;xml&gt;&lt;curl&gt;&lt;zoho&gt;</t>
  </si>
  <si>
    <t>2013-10-17T16:18:06.800</t>
  </si>
  <si>
    <t>connecting with zoho inside java application and sending contact information to ZOHO CRM Contacts</t>
  </si>
  <si>
    <t>2013-10-17T23:00:32.923</t>
  </si>
  <si>
    <t>&lt;java&gt;&lt;xml&gt;&lt;zoho&gt;</t>
  </si>
  <si>
    <t>2013-10-21T12:51:51.333</t>
  </si>
  <si>
    <t>posting a custom html form data into zoho crm</t>
  </si>
  <si>
    <t>2019-02-23T02:17:19.873</t>
  </si>
  <si>
    <t>&lt;forms&gt;&lt;web&gt;&lt;crm&gt;&lt;zoho&gt;</t>
  </si>
  <si>
    <t>2013-11-24T15:52:34.153</t>
  </si>
  <si>
    <t>Getting no response on Zoho API CRM</t>
  </si>
  <si>
    <t>2014-07-15T13:35:34.217</t>
  </si>
  <si>
    <t>&lt;php&gt;&lt;zoho&gt;</t>
  </si>
  <si>
    <t>2013-11-25T01:39:57.503</t>
  </si>
  <si>
    <t>Send email using smtp but operation timed out using ZOHO</t>
  </si>
  <si>
    <t>2013-11-25T01:43:39.030</t>
  </si>
  <si>
    <t>2014-08-09T08:40:55.953</t>
  </si>
  <si>
    <t>&lt;vb.net&gt;&lt;email&gt;&lt;smtp&gt;&lt;zoho&gt;</t>
  </si>
  <si>
    <t>2013-12-19T22:40:41.497</t>
  </si>
  <si>
    <t>Zoho Creator: Sort sub-form records in both Main Forms and Views/Reports</t>
  </si>
  <si>
    <t>2014-02-18T21:36:47.013</t>
  </si>
  <si>
    <t>2014-04-12T00:14:25.840</t>
  </si>
  <si>
    <t>&lt;sorting&gt;&lt;subform&gt;&lt;zoho&gt;</t>
  </si>
  <si>
    <t>2014-01-03T04:51:31.247</t>
  </si>
  <si>
    <t>2014-01-17T04:31:42.143</t>
  </si>
  <si>
    <t>Python 2 Zoho Post Error?</t>
  </si>
  <si>
    <t>2014-01-17T07:33:18.663</t>
  </si>
  <si>
    <t>&lt;python&gt;&lt;crm&gt;&lt;zoho&gt;</t>
  </si>
  <si>
    <t>2014-01-23T17:11:32.543</t>
  </si>
  <si>
    <t>Custom Json to XML convert in PreFlow</t>
  </si>
  <si>
    <t>2018-02-09T01:34:17.500</t>
  </si>
  <si>
    <t>&lt;apigee&gt;&lt;zoho&gt;</t>
  </si>
  <si>
    <t>2014-01-27T12:04:08.523</t>
  </si>
  <si>
    <t>2014-01-31T06:04:33.803</t>
  </si>
  <si>
    <t>Integration with ZOHO invoice</t>
  </si>
  <si>
    <t>2014-09-01T08:32:52.640</t>
  </si>
  <si>
    <t>&lt;php&gt;&lt;curl&gt;&lt;invoice&gt;&lt;zoho&gt;</t>
  </si>
  <si>
    <t>2014-01-31T12:23:07.957</t>
  </si>
  <si>
    <t>2014-02-27T09:48:48.450</t>
  </si>
  <si>
    <t>Image is not displaying in Zoho page why?</t>
  </si>
  <si>
    <t>2014-02-27T09:52:19.193</t>
  </si>
  <si>
    <t>2014-02-28T03:57:40.993</t>
  </si>
  <si>
    <t>2014-03-03T11:41:50.263</t>
  </si>
  <si>
    <t>zoho crm api insert/update Leads</t>
  </si>
  <si>
    <t>2014-03-03T12:32:39.607</t>
  </si>
  <si>
    <t>2016-09-23T13:17:33.683</t>
  </si>
  <si>
    <t>&lt;xml&gt;&lt;api&gt;&lt;crm&gt;&lt;zoho&gt;</t>
  </si>
  <si>
    <t>2014-03-05T03:22:45.550</t>
  </si>
  <si>
    <t>Can I Filter the Report which is Embedded in a Page and This Page comes when I click the stateless form Button?</t>
  </si>
  <si>
    <t>2014-03-15T02:03:20.297</t>
  </si>
  <si>
    <t>2014-03-24T13:37:29.557</t>
  </si>
  <si>
    <t>Zoho Invoice API not working</t>
  </si>
  <si>
    <t>2014-05-14T07:39:46.587</t>
  </si>
  <si>
    <t>2014-04-04T11:29:07.357</t>
  </si>
  <si>
    <t>How can I get all records of a field from a form?</t>
  </si>
  <si>
    <t>2014-05-14T17:59:26.500</t>
  </si>
  <si>
    <t>2014-04-10T11:10:55.053</t>
  </si>
  <si>
    <t>Reviecing email from zoho mail server</t>
  </si>
  <si>
    <t>2014-04-10T11:14:55.353</t>
  </si>
  <si>
    <t>&lt;java&gt;&lt;email&gt;&lt;javamail&gt;&lt;zoho&gt;</t>
  </si>
  <si>
    <t>2014-04-14T14:23:12.737</t>
  </si>
  <si>
    <t>Uploading files to Zoho API with PHP Curl</t>
  </si>
  <si>
    <t>2014-04-14T16:53:12.070</t>
  </si>
  <si>
    <t>2018-08-22T09:27:36.057</t>
  </si>
  <si>
    <t>2014-04-15T07:35:25.877</t>
  </si>
  <si>
    <t>2014-04-15T02:04:55.023</t>
  </si>
  <si>
    <t>Zoho Creator with Bootstrap, jQuery, or other custom HTML</t>
  </si>
  <si>
    <t>2014-06-25T06:50:41.010</t>
  </si>
  <si>
    <t>2014-04-18T00:20:51.373</t>
  </si>
  <si>
    <t>Wordpress on XAMPP setting up Zoho mail</t>
  </si>
  <si>
    <t>2014-06-30T23:28:37.537</t>
  </si>
  <si>
    <t>&lt;wordpress&gt;&lt;xampp&gt;&lt;zoho&gt;&lt;sendmail.exe&gt;</t>
  </si>
  <si>
    <t>2014-04-23T03:02:56.910</t>
  </si>
  <si>
    <t>Codeigniter SMTP Email Error</t>
  </si>
  <si>
    <t>2014-04-23T04:14:50.810</t>
  </si>
  <si>
    <t>2015-03-09T19:33:32.020</t>
  </si>
  <si>
    <t>&lt;php&gt;&lt;codeigniter&gt;&lt;email&gt;&lt;smtp&gt;&lt;zoho&gt;</t>
  </si>
  <si>
    <t>2014-04-23T04:51:09.087</t>
  </si>
  <si>
    <t>2014-05-14T21:28:49.857</t>
  </si>
  <si>
    <t>PHP - 553 Relaying disallowed with Zoho mail and MyBB</t>
  </si>
  <si>
    <t>2014-05-14T22:35:57.130</t>
  </si>
  <si>
    <t>2015-07-29T20:04:57.993</t>
  </si>
  <si>
    <t>&lt;php&gt;&lt;sendmail&gt;&lt;mybb&gt;&lt;zoho&gt;&lt;msmtp&gt;</t>
  </si>
  <si>
    <t>2014-07-03T16:34:29.517</t>
  </si>
  <si>
    <t>Zoho email limitations?</t>
  </si>
  <si>
    <t>2014-07-03T16:41:49.823</t>
  </si>
  <si>
    <t>&lt;ruby-on-rails&gt;&lt;email&gt;&lt;gmail&gt;&lt;sendmail&gt;&lt;zoho&gt;</t>
  </si>
  <si>
    <t>2014-08-01T10:06:21.483</t>
  </si>
  <si>
    <t>ZOHO Report API - Bulk import using CSV</t>
  </si>
  <si>
    <t>2015-05-05T06:17:14.920</t>
  </si>
  <si>
    <t>&lt;ruby&gt;&lt;zoho&gt;</t>
  </si>
  <si>
    <t>2014-08-21T22:28:16.440</t>
  </si>
  <si>
    <t>ZOHO Creator: How do I add uploaded images from and Image Field to a Page</t>
  </si>
  <si>
    <t>2014-08-23T07:15:35.973</t>
  </si>
  <si>
    <t>&lt;image&gt;&lt;file-upload&gt;&lt;zoho&gt;&lt;imagefield&gt;</t>
  </si>
  <si>
    <t>2014-09-08T19:38:51.307</t>
  </si>
  <si>
    <t>Deserialize JSON with varying data structure</t>
  </si>
  <si>
    <t>2014-09-08T20:24:35.023</t>
  </si>
  <si>
    <t>2014-09-08T20:33:46.920</t>
  </si>
  <si>
    <t>&lt;c#&gt;&lt;json&gt;&lt;json.net&gt;&lt;zoho&gt;</t>
  </si>
  <si>
    <t>2014-09-08T20:23:45.283</t>
  </si>
  <si>
    <t>2014-09-19T13:35:18.353</t>
  </si>
  <si>
    <t>How to Disable delete button from a subform Zoho Creator</t>
  </si>
  <si>
    <t>2019-06-18T04:12:17.003</t>
  </si>
  <si>
    <t>2020-01-03T14:22:41.227</t>
  </si>
  <si>
    <t>&lt;subform&gt;&lt;zoho&gt;</t>
  </si>
  <si>
    <t>2014-09-19T19:58:31.443</t>
  </si>
  <si>
    <t>2014-10-07T11:51:43.210</t>
  </si>
  <si>
    <t>Similar way to PHP Sessions in Zoho Creator</t>
  </si>
  <si>
    <t>2014-10-07T21:06:35.337</t>
  </si>
  <si>
    <t>2014-10-20T22:02:41.123</t>
  </si>
  <si>
    <t>415 error when trying to "send a document for signature - from template" using Zoho Creator and DocuSign API</t>
  </si>
  <si>
    <t>2014-10-21T18:12:56.807</t>
  </si>
  <si>
    <t>&lt;api&gt;&lt;docusignapi&gt;&lt;zoho&gt;</t>
  </si>
  <si>
    <t>2014-10-27T15:09:11.663</t>
  </si>
  <si>
    <t>Can we embed our API code In Zoho CRM to integrate any other web application with Zoho CRM like Xero, DocuSign, Fedex and more others</t>
  </si>
  <si>
    <t>2014-10-28T08:49:10.110</t>
  </si>
  <si>
    <t>&lt;php&gt;&lt;crm&gt;&lt;docusignapi&gt;&lt;zoho&gt;</t>
  </si>
  <si>
    <t>2014-10-29T15:30:04.643</t>
  </si>
  <si>
    <t>I made some customization in Zoho CRM module and now I want to reuse these customization in another Zoho CRM</t>
  </si>
  <si>
    <t>2014-11-05T03:38:02.637</t>
  </si>
  <si>
    <t>2017-01-26T10:26:05.527</t>
  </si>
  <si>
    <t>&lt;functional-programming&gt;&lt;crm&gt;&lt;zoho&gt;</t>
  </si>
  <si>
    <t>2014-11-03T10:42:29.913</t>
  </si>
  <si>
    <t>How to use smtp server in phplist</t>
  </si>
  <si>
    <t>2015-09-21T22:58:59.883</t>
  </si>
  <si>
    <t>&lt;php&gt;&lt;smtp&gt;&lt;zoho&gt;&lt;phplist&gt;</t>
  </si>
  <si>
    <t>2014-11-10T16:55:18.113</t>
  </si>
  <si>
    <t>phpmailer zoho SMTP auth failed</t>
  </si>
  <si>
    <t>2014-12-04T23:19:45.563</t>
  </si>
  <si>
    <t>Is it possible to do a ROW_NUMBER() OVER (PARTITION ..) in ZoHo reports?</t>
  </si>
  <si>
    <t>2014-12-04T23:43:40.323</t>
  </si>
  <si>
    <t>2014-12-11T06:46:30.953</t>
  </si>
  <si>
    <t>How to track django user details using zoho CRM</t>
  </si>
  <si>
    <t>2014-12-16T05:55:22.523</t>
  </si>
  <si>
    <t>&lt;python&gt;&lt;django&gt;&lt;crm&gt;&lt;zoho&gt;</t>
  </si>
  <si>
    <t>2014-12-11T13:44:07.890</t>
  </si>
  <si>
    <t>Join tables to find churn and new customer</t>
  </si>
  <si>
    <t>2014-12-11T23:33:38.247</t>
  </si>
  <si>
    <t>&lt;sql&gt;&lt;join&gt;&lt;zoho&gt;</t>
  </si>
  <si>
    <t>2015-01-02T21:37:45.770</t>
  </si>
  <si>
    <t>Rename items in PostgreSQL or any SQL</t>
  </si>
  <si>
    <t>2015-01-03T11:49:45.883</t>
  </si>
  <si>
    <t>2015-01-03T21:47:29.037</t>
  </si>
  <si>
    <t>&lt;mysql&gt;&lt;sql&gt;&lt;postgresql&gt;&lt;zoho&gt;</t>
  </si>
  <si>
    <t>2015-01-03T04:40:33.967</t>
  </si>
  <si>
    <t>2015-01-13T12:55:05.490</t>
  </si>
  <si>
    <t>How to auto populate data from Zoho crm to Zoho creator</t>
  </si>
  <si>
    <t>2015-06-14T09:50:59.070</t>
  </si>
  <si>
    <t>2015-06-05T16:57:05.880</t>
  </si>
  <si>
    <t>2015-01-19T07:37:23.173</t>
  </si>
  <si>
    <t>Send data from zoho crm to zoho creator form using webhook</t>
  </si>
  <si>
    <t>2016-02-18T15:42:01.647</t>
  </si>
  <si>
    <t>&lt;webhooks&gt;&lt;zoho&gt;</t>
  </si>
  <si>
    <t>2015-06-05T17:08:36.333</t>
  </si>
  <si>
    <t>2015-01-22T07:37:04.397</t>
  </si>
  <si>
    <t>Testing Zoho Mail server from ssh</t>
  </si>
  <si>
    <t>2015-01-27T13:28:50.983</t>
  </si>
  <si>
    <t>&lt;email&gt;&lt;ssh&gt;&lt;mail-server&gt;&lt;zoho&gt;</t>
  </si>
  <si>
    <t>2015-01-22T07:52:04.890</t>
  </si>
  <si>
    <t>In telnet, what replaces &lt;starts TLS negotiation&gt;?</t>
  </si>
  <si>
    <t>2015-01-27T13:41:29.127</t>
  </si>
  <si>
    <t>&lt;telnet&gt;&lt;zoho&gt;</t>
  </si>
  <si>
    <t>2015-02-01T04:02:33.260</t>
  </si>
  <si>
    <t>Using the CASE statement not showing the pecent</t>
  </si>
  <si>
    <t>2015-02-01T04:13:03.607</t>
  </si>
  <si>
    <t>2015-02-01T06:17:59.243</t>
  </si>
  <si>
    <t>&lt;postgresql&gt;&lt;case-statement&gt;&lt;zoho&gt;</t>
  </si>
  <si>
    <t>2015-02-08T10:50:37.237</t>
  </si>
  <si>
    <t>How to get all objects using RubyZoho API</t>
  </si>
  <si>
    <t>2015-02-15T12:25:04.830</t>
  </si>
  <si>
    <t>&lt;ruby&gt;&lt;rspec&gt;&lt;zoho&gt;</t>
  </si>
  <si>
    <t>2015-02-09T08:10:02.947</t>
  </si>
  <si>
    <t>2015-02-19T15:19:29.940</t>
  </si>
  <si>
    <t>Zoho Recruit API redirecting to their homepage</t>
  </si>
  <si>
    <t>2015-02-19T22:14:36.187</t>
  </si>
  <si>
    <t>&lt;php&gt;&lt;html&gt;&lt;json&gt;&lt;zoho&gt;</t>
  </si>
  <si>
    <t>2015-04-15T18:45:54.840</t>
  </si>
  <si>
    <t>How to join on timestamp columns with tolerance</t>
  </si>
  <si>
    <t>2015-04-16T20:29:42.367</t>
  </si>
  <si>
    <t>&lt;mysql&gt;&lt;sql&gt;&lt;postgresql&gt;&lt;zoho&gt;&lt;fuzzy-comparison&gt;</t>
  </si>
  <si>
    <t>2015-04-15T19:06:14.123</t>
  </si>
  <si>
    <t>2015-05-02T14:37:22.470</t>
  </si>
  <si>
    <t>QuickBooks Desktop Sync with Zoho CRM, Bidirectionally</t>
  </si>
  <si>
    <t>2015-05-05T00:34:48.393</t>
  </si>
  <si>
    <t>2018-04-25T20:17:00.603</t>
  </si>
  <si>
    <t>&lt;php&gt;&lt;node.js&gt;&lt;quickbooks&gt;&lt;zoho&gt;</t>
  </si>
  <si>
    <t>2015-05-12T14:22:21.113</t>
  </si>
  <si>
    <t>Parse Json in Zoho Creator</t>
  </si>
  <si>
    <t>2015-05-13T22:11:20.733</t>
  </si>
  <si>
    <t>&lt;json&gt;&lt;getjson&gt;&lt;zoho&gt;</t>
  </si>
  <si>
    <t>2015-05-15T09:54:18.580</t>
  </si>
  <si>
    <t>Read-only access for Gmail IMAP to connect</t>
  </si>
  <si>
    <t>2015-05-15T16:21:25.773</t>
  </si>
  <si>
    <t>2015-05-18T05:35:46.510</t>
  </si>
  <si>
    <t>How to configure blat using office365 setting</t>
  </si>
  <si>
    <t>2016-06-17T10:09:32.533</t>
  </si>
  <si>
    <t>&lt;office365&gt;&lt;zoho&gt;&lt;blat&gt;</t>
  </si>
  <si>
    <t>2015-05-22T19:52:22.497</t>
  </si>
  <si>
    <t>Zoho Creator making a custom function for a report</t>
  </si>
  <si>
    <t>2017-04-06T06:45:29.327</t>
  </si>
  <si>
    <t>&lt;scripting&gt;&lt;custom-action&gt;&lt;zoho&gt;</t>
  </si>
  <si>
    <t>2015-05-26T13:41:14.697</t>
  </si>
  <si>
    <t>Correcting a webhook: Zoho People to Freshbooks</t>
  </si>
  <si>
    <t>&lt;xml&gt;&lt;api&gt;&lt;zoho&gt;</t>
  </si>
  <si>
    <t>2015-05-27T15:53:42.587</t>
  </si>
  <si>
    <t>How to display a value from a SimpleXML object (the array notation is confusing me)</t>
  </si>
  <si>
    <t>2015-05-27T16:07:27.183</t>
  </si>
  <si>
    <t>2015-05-27T18:15:24.617</t>
  </si>
  <si>
    <t>&lt;php&gt;&lt;arrays&gt;&lt;xml&gt;&lt;simplexml&gt;&lt;zoho&gt;</t>
  </si>
  <si>
    <t>2015-05-27T16:27:02.117</t>
  </si>
  <si>
    <t>2015-07-15T15:26:51.640</t>
  </si>
  <si>
    <t>7127 code error - Zoho Reports Bulk Import API</t>
  </si>
  <si>
    <t>2015-07-15T16:14:38.597</t>
  </si>
  <si>
    <t>&lt;php&gt;&lt;curl&gt;&lt;report&gt;&lt;zoho&gt;</t>
  </si>
  <si>
    <t>2015-07-17T18:03:39.090</t>
  </si>
  <si>
    <t>SMTP not working in CI 3.0 while same code is working in CI 2.*</t>
  </si>
  <si>
    <t>2015-07-20T08:15:23.240</t>
  </si>
  <si>
    <t>&lt;php&gt;&lt;codeigniter&gt;&lt;email&gt;&lt;ssl&gt;&lt;zoho&gt;</t>
  </si>
  <si>
    <t>2015-07-19T12:52:13.420</t>
  </si>
  <si>
    <t>(grails) com.sun.mail.smtp.SMTPSendFailedException: 553 Relaying disallowed as zoho mail</t>
  </si>
  <si>
    <t>2018-02-13T23:10:26.607</t>
  </si>
  <si>
    <t>&lt;grails&gt;&lt;smtp&gt;&lt;grails-plugin&gt;&lt;zoho&gt;</t>
  </si>
  <si>
    <t>2015-12-11T19:06:23.913</t>
  </si>
  <si>
    <t>2015-07-27T16:12:21.360</t>
  </si>
  <si>
    <t>Update Zoho creator record from URL</t>
  </si>
  <si>
    <t>2015-07-30T08:15:32.743</t>
  </si>
  <si>
    <t>&lt;url-parameters&gt;&lt;zoho&gt;</t>
  </si>
  <si>
    <t>2015-08-10T08:22:42.437</t>
  </si>
  <si>
    <t>How to get data from custom modules in ZOHO CRM API?</t>
  </si>
  <si>
    <t>user2252365</t>
  </si>
  <si>
    <t>2015-08-10T08:34:42.600</t>
  </si>
  <si>
    <t>2017-07-20T19:36:51.270</t>
  </si>
  <si>
    <t>2015-08-11T13:21:11.547</t>
  </si>
  <si>
    <t>Get data from request URL</t>
  </si>
  <si>
    <t>2015-08-11T13:31:18.757</t>
  </si>
  <si>
    <t>2015-08-14T08:10:15.923</t>
  </si>
  <si>
    <t>&lt;php&gt;&lt;wordpress&gt;&lt;httprequest&gt;&lt;http-get&gt;&lt;zoho&gt;</t>
  </si>
  <si>
    <t>2015-08-12T13:58:59.027</t>
  </si>
  <si>
    <t>Æøå in returned JSON result - the data doesn't look like it's supposed to</t>
  </si>
  <si>
    <t>2015-08-12T14:09:18.673</t>
  </si>
  <si>
    <t>2015-08-12T14:12:55.300</t>
  </si>
  <si>
    <t>&lt;php&gt;&lt;json&gt;&lt;wordpress&gt;&lt;utf-8&gt;&lt;zoho&gt;</t>
  </si>
  <si>
    <t>2015-08-13T13:51:26.177</t>
  </si>
  <si>
    <t>Can't deserialize Zoho Docs API response</t>
  </si>
  <si>
    <t>2015-08-13T17:30:38.247</t>
  </si>
  <si>
    <t>&lt;c#&gt;&lt;json&gt;&lt;serialization&gt;&lt;json.net&gt;&lt;zoho&gt;</t>
  </si>
  <si>
    <t>2015-08-17T06:44:41.793</t>
  </si>
  <si>
    <t>Unable to configure zoho invoice/books app in my admin account</t>
  </si>
  <si>
    <t>2015-08-27T12:20:14.447</t>
  </si>
  <si>
    <t>&lt;configuration&gt;&lt;crm&gt;&lt;invoice&gt;&lt;zoho&gt;</t>
  </si>
  <si>
    <t>2015-08-25T10:31:41.047</t>
  </si>
  <si>
    <t>Zoho Books API adding Estimates</t>
  </si>
  <si>
    <t>2015-08-27T12:18:54.513</t>
  </si>
  <si>
    <t>&lt;php&gt;&lt;curl&gt;&lt;zoho&gt;&lt;zohobooks&gt;</t>
  </si>
  <si>
    <t>2015-08-26T02:16:03.750</t>
  </si>
  <si>
    <t>2015-08-26T11:26:25.320</t>
  </si>
  <si>
    <t>How do you create unique assignments/workflows in Zoho Creator</t>
  </si>
  <si>
    <t>2016-03-30T07:16:46.513</t>
  </si>
  <si>
    <t>2015-09-08T20:42:11.603</t>
  </si>
  <si>
    <t>PHPmailier delivered as spam</t>
  </si>
  <si>
    <t>2015-09-08T20:52:35.673</t>
  </si>
  <si>
    <t>&lt;phpmailer&gt;&lt;spam-prevention&gt;&lt;self-hosting&gt;&lt;zoho&gt;</t>
  </si>
  <si>
    <t>2015-09-12T15:51:30.303</t>
  </si>
  <si>
    <t>`The operation has timed out.` exception when sending mail using ZOHO SMTP configuration</t>
  </si>
  <si>
    <t>2017-05-23T12:14:12.537</t>
  </si>
  <si>
    <t>2017-08-22T22:24:14.660</t>
  </si>
  <si>
    <t>&lt;c#&gt;&lt;.net&gt;&lt;email&gt;&lt;smtp&gt;&lt;zoho&gt;</t>
  </si>
  <si>
    <t>2015-09-19T11:28:40.973</t>
  </si>
  <si>
    <t>DATA Not accepted from server</t>
  </si>
  <si>
    <t>2017-01-27T04:48:14.080</t>
  </si>
  <si>
    <t>&lt;php&gt;&lt;smtp&gt;&lt;digital-ocean&gt;&lt;opencart2.x&gt;&lt;zoho&gt;</t>
  </si>
  <si>
    <t>2015-10-08T12:39:14.367</t>
  </si>
  <si>
    <t>How to save uploaded file in Rails 2</t>
  </si>
  <si>
    <t>2015-10-09T07:57:31.043</t>
  </si>
  <si>
    <t>2015-10-23T13:34:39.120</t>
  </si>
  <si>
    <t>&lt;ruby-on-rails&gt;&lt;ruby&gt;&lt;file-upload&gt;&lt;zoho&gt;</t>
  </si>
  <si>
    <t>2015-10-12T13:53:41.443</t>
  </si>
  <si>
    <t>Connection error while reading zoho email using mail-listerner2</t>
  </si>
  <si>
    <t>&lt;node.js&gt;&lt;imap&gt;&lt;zoho&gt;</t>
  </si>
  <si>
    <t>2015-10-28T20:32:09.133</t>
  </si>
  <si>
    <t>SMTPDataError at /accounts/signup/ (553, b'Relaying disallowed as webmaster@localhost')</t>
  </si>
  <si>
    <t>2015-10-28T20:41:09.810</t>
  </si>
  <si>
    <t>&lt;django&gt;&lt;smtp&gt;&lt;django-allauth&gt;&lt;zoho&gt;</t>
  </si>
  <si>
    <t>2015-12-04T10:05:04.590</t>
  </si>
  <si>
    <t>I want to send email through zohomail using spring mvc Is this configuration correct for zoho mail to send an email</t>
  </si>
  <si>
    <t>2015-12-04T10:43:35.163</t>
  </si>
  <si>
    <t>2017-03-13T13:34:26.410</t>
  </si>
  <si>
    <t>&lt;java&gt;&lt;email&gt;&lt;spring-mvc&gt;&lt;zoho&gt;</t>
  </si>
  <si>
    <t>2015-12-11T19:01:09.393</t>
  </si>
  <si>
    <t>2015-12-08T19:36:35.333</t>
  </si>
  <si>
    <t>Q: Zoho CRM: Create relationship (lookup) with Lead/Contact email not ID</t>
  </si>
  <si>
    <t>2015-12-08T20:04:39.227</t>
  </si>
  <si>
    <t>2015-12-17T19:38:50.083</t>
  </si>
  <si>
    <t>2015-12-09T06:44:01.870</t>
  </si>
  <si>
    <t>django mail webform not connection to mail server</t>
  </si>
  <si>
    <t>2015-12-09T08:34:58.670</t>
  </si>
  <si>
    <t>2015-12-09T08:21:31.620</t>
  </si>
  <si>
    <t>2015-12-29T03:58:48.713</t>
  </si>
  <si>
    <t>Parsing XML Returned By ZoHo CRM API</t>
  </si>
  <si>
    <t>2015-12-29T21:23:16.850</t>
  </si>
  <si>
    <t>2016-12-24T20:31:20.393</t>
  </si>
  <si>
    <t>&lt;php&gt;&lt;xml&gt;&lt;xpath&gt;&lt;zoho&gt;</t>
  </si>
  <si>
    <t>2016-01-19T15:38:39.403</t>
  </si>
  <si>
    <t>Need to send mail from my server and also from a 3rd party provider</t>
  </si>
  <si>
    <t>2016-01-21T11:21:19.277</t>
  </si>
  <si>
    <t>&lt;php&gt;&lt;email&gt;&lt;phpmailer&gt;&lt;spf&gt;&lt;zoho&gt;</t>
  </si>
  <si>
    <t>2016-01-23T11:53:17.907</t>
  </si>
  <si>
    <t>Sending a mail using SSL from a zohomail account</t>
  </si>
  <si>
    <t>2018-12-30T23:22:36.513</t>
  </si>
  <si>
    <t>2019-07-19T10:50:28.903</t>
  </si>
  <si>
    <t>&lt;java&gt;&lt;email&gt;&lt;ssl&gt;&lt;zoho&gt;</t>
  </si>
  <si>
    <t>2016-01-24T02:22:38.360</t>
  </si>
  <si>
    <t>Using json.loads() on data returned from Zoho Creator - extra_data() error</t>
  </si>
  <si>
    <t>2016-01-24T02:24:43.200</t>
  </si>
  <si>
    <t>&lt;python&gt;&lt;json&gt;&lt;python-requests&gt;&lt;zoho&gt;</t>
  </si>
  <si>
    <t>2016-01-27T15:33:59.953</t>
  </si>
  <si>
    <t>Zoho global variables or workaround for that</t>
  </si>
  <si>
    <t>2016-01-27T15:40:58.923</t>
  </si>
  <si>
    <t>2016-02-01T09:04:04.403</t>
  </si>
  <si>
    <t>&lt;global-variables&gt;&lt;zoho&gt;</t>
  </si>
  <si>
    <t>2016-02-08T09:09:08.470</t>
  </si>
  <si>
    <t>Push information in the zoho subscriptions from zoho crm</t>
  </si>
  <si>
    <t>2016-02-09T11:56:07.767</t>
  </si>
  <si>
    <t>2016-02-15T16:27:52.987</t>
  </si>
  <si>
    <t>Is it possible to link Linkedin with Zoho CRM?</t>
  </si>
  <si>
    <t>2016-02-18T18:00:11.677</t>
  </si>
  <si>
    <t>&lt;api&gt;&lt;linkedin&gt;&lt;crm&gt;&lt;zoho&gt;</t>
  </si>
  <si>
    <t>2016-02-23T05:54:37.373</t>
  </si>
  <si>
    <t>zoho remote api normal form server side code</t>
  </si>
  <si>
    <t>2016-02-29T07:10:08.123</t>
  </si>
  <si>
    <t>2016-02-26T10:38:12.417</t>
  </si>
  <si>
    <t>2016-02-25T05:13:25.727</t>
  </si>
  <si>
    <t>ZOHO CRM - Does it support JSON Posts?</t>
  </si>
  <si>
    <t>2016-02-25T07:43:11.777</t>
  </si>
  <si>
    <t>2016-02-26T19:41:56.737</t>
  </si>
  <si>
    <t>Google Spreadsheet - Get records from Zoho</t>
  </si>
  <si>
    <t>2016-02-26T20:41:56.070</t>
  </si>
  <si>
    <t>2020-04-25T12:46:02.133</t>
  </si>
  <si>
    <t>&lt;javascript&gt;&lt;google-apps-script&gt;&lt;zoho&gt;</t>
  </si>
  <si>
    <t>2016-02-26T20:40:27.310</t>
  </si>
  <si>
    <t>2016-03-02T09:01:00.240</t>
  </si>
  <si>
    <t>Error with ampersand in XML in Zoho API</t>
  </si>
  <si>
    <t>2016-03-07T08:20:08.373</t>
  </si>
  <si>
    <t>2016-03-02T14:38:11.507</t>
  </si>
  <si>
    <t>2016-03-08T04:49:36.170</t>
  </si>
  <si>
    <t>Gravity Form Zoho CRM add-on not working for checkbox fields</t>
  </si>
  <si>
    <t>2018-10-19T07:01:35.067</t>
  </si>
  <si>
    <t>&lt;wordpress&gt;&lt;crm&gt;&lt;gravity-forms-plugin&gt;&lt;zoho&gt;</t>
  </si>
  <si>
    <t>2016-03-16T07:07:24.510</t>
  </si>
  <si>
    <t>How to embed Zoho forms in edit record mode in my website</t>
  </si>
  <si>
    <t>2016-06-07T10:20:54.467</t>
  </si>
  <si>
    <t>2016-03-31T19:23:49.040</t>
  </si>
  <si>
    <t>Send e-mail from Python through Zoho</t>
  </si>
  <si>
    <t>2016-03-31T20:57:32.787</t>
  </si>
  <si>
    <t>&lt;python&gt;&lt;imap&gt;&lt;zoho&gt;</t>
  </si>
  <si>
    <t>2016-04-10T09:38:15.053</t>
  </si>
  <si>
    <t>Gitlab page and CNAME records conflict</t>
  </si>
  <si>
    <t>2017-04-23T14:10:06.240</t>
  </si>
  <si>
    <t>&lt;dns&gt;&lt;gitlab&gt;&lt;cname&gt;&lt;zoho&gt;&lt;mx-record&gt;</t>
  </si>
  <si>
    <t>2016-04-12T06:37:22.373</t>
  </si>
  <si>
    <t>Fetching data from estimates in zoho invoices</t>
  </si>
  <si>
    <t>2016-07-12T05:01:36.020</t>
  </si>
  <si>
    <t>2016-05-04T07:19:20.340</t>
  </si>
  <si>
    <t>How to json decode in zoho</t>
  </si>
  <si>
    <t>2016-05-04T07:36:00.860</t>
  </si>
  <si>
    <t>2016-11-15T06:21:51.703</t>
  </si>
  <si>
    <t>2016-05-04T07:34:37.333</t>
  </si>
  <si>
    <t>2016-05-11T10:28:40.650</t>
  </si>
  <si>
    <t>How to remove html tags in zoho creator</t>
  </si>
  <si>
    <t>2016-05-11T11:36:57.340</t>
  </si>
  <si>
    <t>2016-05-27T04:48:42.987</t>
  </si>
  <si>
    <t>Zoho CRM - nodejs integration: Get more than 20 leads-contacts-potentials with a module</t>
  </si>
  <si>
    <t>2016-05-27T12:06:27.867</t>
  </si>
  <si>
    <t>&lt;node.js&gt;&lt;get&gt;&lt;crm&gt;&lt;zoho&gt;</t>
  </si>
  <si>
    <t>2016-06-08T02:19:51.430</t>
  </si>
  <si>
    <t>zoho email imap connection using node-imap is getting timeout in aws instance</t>
  </si>
  <si>
    <t>&lt;node.js&gt;&lt;amazon-web-services&gt;&lt;imap&gt;&lt;zoho&gt;</t>
  </si>
  <si>
    <t>2016-06-09T10:44:01.233</t>
  </si>
  <si>
    <t>Zoho crm API sometimes returns error</t>
  </si>
  <si>
    <t>2016-10-13T12:54:14.103</t>
  </si>
  <si>
    <t>2016-06-20T06:28:23.440</t>
  </si>
  <si>
    <t>How to integrate reckon account API?</t>
  </si>
  <si>
    <t>2016-06-20T07:07:03.810</t>
  </si>
  <si>
    <t>2017-05-02T02:50:36.090</t>
  </si>
  <si>
    <t>&lt;crm&gt;&lt;quickbooks&gt;&lt;zoho&gt;</t>
  </si>
  <si>
    <t>2016-06-22T16:44:11.920</t>
  </si>
  <si>
    <t>Error while sending email through smtp by zoho mail</t>
  </si>
  <si>
    <t>2016-06-23T10:06:45.370</t>
  </si>
  <si>
    <t>&lt;c#-4.0&gt;&lt;smtp&gt;&lt;zoho&gt;</t>
  </si>
  <si>
    <t>2016-06-24T05:35:50.020</t>
  </si>
  <si>
    <t>403 forbidden is returned while executing php curl</t>
  </si>
  <si>
    <t>2016-06-24T06:15:03.287</t>
  </si>
  <si>
    <t>2016-07-08T10:07:25.590</t>
  </si>
  <si>
    <t>How to get data from my MySQL database into Zoho Books.?</t>
  </si>
  <si>
    <t>2016-07-08T12:12:28.993</t>
  </si>
  <si>
    <t>2016-07-11T16:14:46.647</t>
  </si>
  <si>
    <t>&lt;mysql&gt;&lt;database&gt;&lt;zoho&gt;</t>
  </si>
  <si>
    <t>2016-07-08T17:20:56.040</t>
  </si>
  <si>
    <t>2016-07-13T03:25:56.010</t>
  </si>
  <si>
    <t>ZOHO CRM Webhook fails with HTTP error - 1</t>
  </si>
  <si>
    <t>2016-07-23T21:55:06.187</t>
  </si>
  <si>
    <t>2016-07-23T21:56:24.060</t>
  </si>
  <si>
    <t>2016-07-24T19:47:09.750</t>
  </si>
  <si>
    <t>How do I retrieve the last record entered in Zoho using their REST API</t>
  </si>
  <si>
    <t>2016-07-26T15:53:16.750</t>
  </si>
  <si>
    <t>2016-12-06T00:36:59.850</t>
  </si>
  <si>
    <t>&lt;php&gt;&lt;rest&gt;&lt;zoho&gt;</t>
  </si>
  <si>
    <t>2016-08-05T05:03:35.643</t>
  </si>
  <si>
    <t>How to add new Customer in ZOHO INVOICE using API? I use the Following POST methode to create the new Customer..But i wont Work</t>
  </si>
  <si>
    <t>2016-08-05T05:08:55.130</t>
  </si>
  <si>
    <t>2016-08-06T08:15:09.627</t>
  </si>
  <si>
    <t>2016-08-05T13:47:37.953</t>
  </si>
  <si>
    <t>2016-08-10T07:00:19.670</t>
  </si>
  <si>
    <t>Duplicate Dates in Column Grouped using Group By</t>
  </si>
  <si>
    <t>2018-10-15T12:09:47.413</t>
  </si>
  <si>
    <t>&lt;sql&gt;&lt;group-by&gt;&lt;duplicates&gt;&lt;zoho&gt;</t>
  </si>
  <si>
    <t>2016-08-10T07:46:43.010</t>
  </si>
  <si>
    <t>2016-08-15T08:30:08.630</t>
  </si>
  <si>
    <t>Email settings for custom domain in Microsoft Azure</t>
  </si>
  <si>
    <t>2019-01-19T04:10:33.987</t>
  </si>
  <si>
    <t>&lt;email&gt;&lt;azure&gt;&lt;dns&gt;&lt;zoho&gt;</t>
  </si>
  <si>
    <t>2017-02-20T23:28:17.230</t>
  </si>
  <si>
    <t>2016-08-23T15:14:36.580</t>
  </si>
  <si>
    <t>Limit 60 requests by minute in for loop with node JS</t>
  </si>
  <si>
    <t>2016-08-23T16:03:33.350</t>
  </si>
  <si>
    <t>&lt;node.js&gt;&lt;for-loop&gt;&lt;zoho&gt;</t>
  </si>
  <si>
    <t>2016-08-23T18:43:03.450</t>
  </si>
  <si>
    <t>Post XML data to Zoho CRM from android</t>
  </si>
  <si>
    <t>2016-08-23T21:00:09.203</t>
  </si>
  <si>
    <t>&lt;java&gt;&lt;android&gt;&lt;xml&gt;&lt;zoho&gt;</t>
  </si>
  <si>
    <t>2016-08-23T20:51:54.703</t>
  </si>
  <si>
    <t>2016-08-25T09:51:26.693</t>
  </si>
  <si>
    <t>How to create custom function in zoho crm?</t>
  </si>
  <si>
    <t>2016-12-27T05:46:22.283</t>
  </si>
  <si>
    <t>2016-10-15T22:41:03.563</t>
  </si>
  <si>
    <t>Adding record to Zoho creator</t>
  </si>
  <si>
    <t>2016-10-19T08:52:26.943</t>
  </si>
  <si>
    <t>&lt;c#&gt;&lt;asp.net&gt;&lt;zoho&gt;</t>
  </si>
  <si>
    <t>2016-11-07T17:47:00.880</t>
  </si>
  <si>
    <t>Zoho sync data between crm and mysql</t>
  </si>
  <si>
    <t>2020-01-03T13:45:28.640</t>
  </si>
  <si>
    <t>2016-11-22T15:07:01.817</t>
  </si>
  <si>
    <t>2016-11-10T07:34:59.597</t>
  </si>
  <si>
    <t>Error 4600 Zoho CRM Insert Record using cURL</t>
  </si>
  <si>
    <t>2018-11-02T15:42:14.327</t>
  </si>
  <si>
    <t>&lt;php&gt;&lt;curl&gt;&lt;crm&gt;&lt;zoho&gt;</t>
  </si>
  <si>
    <t>2016-11-24T03:12:17.880</t>
  </si>
  <si>
    <t>How do I use deluge to parse the products list in a Zoho Sales Order (or PO, quote, invoice, etc.)?</t>
  </si>
  <si>
    <t>2017-03-23T01:20:19.047</t>
  </si>
  <si>
    <t>2020-01-03T08:53:41.687</t>
  </si>
  <si>
    <t>2017-03-15T14:21:24.667</t>
  </si>
  <si>
    <t>2016-11-25T04:20:48.273</t>
  </si>
  <si>
    <t>How to include json as a query parameter in Zapier app</t>
  </si>
  <si>
    <t>2017-05-08T09:34:11.923</t>
  </si>
  <si>
    <t>&lt;zoho&gt;&lt;zapier&gt;</t>
  </si>
  <si>
    <t>2016-12-01T12:08:45.850</t>
  </si>
  <si>
    <t>I am trying to parse the following complex JSON from the Zoho CRM API in VB</t>
  </si>
  <si>
    <t>2017-05-23T11:53:01.437</t>
  </si>
  <si>
    <t>2016-12-01T15:53:24.880</t>
  </si>
  <si>
    <t>&lt;.net&gt;&lt;vb.net&gt;&lt;json.net&gt;&lt;zoho&gt;</t>
  </si>
  <si>
    <t>2016-12-02T14:37:13.367</t>
  </si>
  <si>
    <t>SQL Join resulting in multiple duplicate entries</t>
  </si>
  <si>
    <t>2016-12-02T14:41:42.777</t>
  </si>
  <si>
    <t>&lt;sql&gt;&lt;left-join&gt;&lt;zoho&gt;</t>
  </si>
  <si>
    <t>2017-02-02T04:17:58.270</t>
  </si>
  <si>
    <t>Advanced Rest Client with ZOHO: POST verb</t>
  </si>
  <si>
    <t>2017-02-03T10:06:51.707</t>
  </si>
  <si>
    <t>&lt;html&gt;&lt;rest&gt;&lt;api&gt;&lt;zoho&gt;</t>
  </si>
  <si>
    <t>2017-02-17T10:29:44.263</t>
  </si>
  <si>
    <t>Match multiple rows one table with multiple columns of another table mysql</t>
  </si>
  <si>
    <t>2017-02-17T10:59:23.493</t>
  </si>
  <si>
    <t>2017-02-17T11:06:51.267</t>
  </si>
  <si>
    <t>2017-02-18T10:33:25.677</t>
  </si>
  <si>
    <t>Logging into zoho remotely using WordPress</t>
  </si>
  <si>
    <t>2017-02-21T13:21:48.633</t>
  </si>
  <si>
    <t>&lt;wordpress&gt;&lt;zoho&gt;</t>
  </si>
  <si>
    <t>2017-03-02T16:15:13.607</t>
  </si>
  <si>
    <t>Jhipster - Configuring Email with Zoho - Error 553 Relaying disallowed</t>
  </si>
  <si>
    <t>2017-03-02T16:30:40.113</t>
  </si>
  <si>
    <t>&lt;email&gt;&lt;installation&gt;&lt;smtp&gt;&lt;jhipster&gt;&lt;zoho&gt;</t>
  </si>
  <si>
    <t>2017-03-02T16:23:21.030</t>
  </si>
  <si>
    <t>2017-03-13T04:52:02.873</t>
  </si>
  <si>
    <t>Zoho CRM API simpleXMLelement get multiple product IDs</t>
  </si>
  <si>
    <t>2017-03-14T10:34:58.350</t>
  </si>
  <si>
    <t>&lt;php&gt;&lt;object&gt;&lt;simplexml&gt;&lt;crm&gt;&lt;zoho&gt;</t>
  </si>
  <si>
    <t>2017-04-02T16:06:19.393</t>
  </si>
  <si>
    <t>Triggered for every new email in Inbox, Getting by IMAP</t>
  </si>
  <si>
    <t>&lt;php&gt;&lt;email&gt;&lt;imap&gt;&lt;zoho&gt;</t>
  </si>
  <si>
    <t>2017-04-04T08:21:47.637</t>
  </si>
  <si>
    <t>How to read Whole url or Read URL parameters using ZOHO Creator form script?</t>
  </si>
  <si>
    <t>user7797072</t>
  </si>
  <si>
    <t>2017-04-04T11:29:27.063</t>
  </si>
  <si>
    <t>2017-04-08T20:16:32.810</t>
  </si>
  <si>
    <t>POST method for zoho books using Json for Swift 3</t>
  </si>
  <si>
    <t>2017-04-12T12:01:57.680</t>
  </si>
  <si>
    <t>&lt;json&gt;&lt;swift&gt;&lt;post&gt;&lt;zoho&gt;</t>
  </si>
  <si>
    <t>2017-04-26T12:41:49.337</t>
  </si>
  <si>
    <t>Zoho ActionMailer Rails 5.0.1</t>
  </si>
  <si>
    <t>2017-04-29T07:31:06.923</t>
  </si>
  <si>
    <t>&lt;ruby-on-rails&gt;&lt;email&gt;&lt;ruby-on-rails-5&gt;&lt;actionmailer&gt;&lt;zoho&gt;</t>
  </si>
  <si>
    <t>2017-05-03T06:36:43.927</t>
  </si>
  <si>
    <t>Connection timeout error when sending mail from Zohomail using Nodemailer</t>
  </si>
  <si>
    <t>2017-05-03T13:11:21.363</t>
  </si>
  <si>
    <t>&lt;node.js&gt;&lt;smtp&gt;&lt;nodemailer&gt;&lt;zoho&gt;&lt;cloud9&gt;</t>
  </si>
  <si>
    <t>2017-05-03T06:58:32.243</t>
  </si>
  <si>
    <t>2017-05-07T23:01:49.893</t>
  </si>
  <si>
    <t>{"code":14,"message":"Invalid value passed for authtoken."}</t>
  </si>
  <si>
    <t>&lt;php&gt;&lt;wordpress&gt;&lt;zoho&gt;</t>
  </si>
  <si>
    <t>2017-05-11T04:25:29.110</t>
  </si>
  <si>
    <t>Zoho Auth-token response in json</t>
  </si>
  <si>
    <t>&lt;json&gt;&lt;zoho&gt;</t>
  </si>
  <si>
    <t>2017-05-11T07:00:28.380</t>
  </si>
  <si>
    <t>Xml Node value never change error</t>
  </si>
  <si>
    <t>2017-05-12T01:44:47.603</t>
  </si>
  <si>
    <t>&lt;c#&gt;&lt;xml&gt;&lt;datatable&gt;&lt;zoho&gt;</t>
  </si>
  <si>
    <t>2017-05-11T07:18:02.937</t>
  </si>
  <si>
    <t>2017-05-19T12:23:19.413</t>
  </si>
  <si>
    <t>Last "available" month with data in SQL</t>
  </si>
  <si>
    <t>2017-05-19T21:17:50.417</t>
  </si>
  <si>
    <t>&lt;sql&gt;&lt;date&gt;&lt;zoho&gt;</t>
  </si>
  <si>
    <t>2017-06-13T15:02:19.180</t>
  </si>
  <si>
    <t>zoho creator get records from zoho project</t>
  </si>
  <si>
    <t>2018-08-03T15:55:11.400</t>
  </si>
  <si>
    <t>2020-04-15T18:23:11.743</t>
  </si>
  <si>
    <t>&lt;task&gt;&lt;projects&gt;&lt;zoho&gt;</t>
  </si>
  <si>
    <t>2017-07-03T07:05:07.967</t>
  </si>
  <si>
    <t>2017-06-14T04:19:36.267</t>
  </si>
  <si>
    <t>How to control pop up that embeds a payment system?</t>
  </si>
  <si>
    <t>2017-06-14T17:45:35.833</t>
  </si>
  <si>
    <t>&lt;oracle-adf&gt;&lt;jdeveloper&gt;&lt;zoho&gt;</t>
  </si>
  <si>
    <t>2017-06-14T18:19:24.807</t>
  </si>
  <si>
    <t>When trying to send 10 emails (host is zoho) one after another (using PHP) I get an error</t>
  </si>
  <si>
    <t>2017-06-14T19:00:01.370</t>
  </si>
  <si>
    <t>&lt;php&gt;&lt;email&gt;&lt;zoho&gt;</t>
  </si>
  <si>
    <t>2017-06-14T18:56:40.457</t>
  </si>
  <si>
    <t>2017-06-22T20:36:43.507</t>
  </si>
  <si>
    <t>Rails Zoho configuration sending mails via console but not from mailer class</t>
  </si>
  <si>
    <t>2017-06-22T21:14:36.867</t>
  </si>
  <si>
    <t>2017-06-28T11:46:04.120</t>
  </si>
  <si>
    <t>&lt;ruby-on-rails-3&gt;&lt;actionmailer&gt;&lt;zoho&gt;</t>
  </si>
  <si>
    <t>2017-06-28T21:57:02.653</t>
  </si>
  <si>
    <t>Get all invoices assigned to a customer in Zoho Books</t>
  </si>
  <si>
    <t>2020-04-24T09:59:57.683</t>
  </si>
  <si>
    <t>&lt;zoho&gt;&lt;zohobooks&gt;</t>
  </si>
  <si>
    <t>2017-07-06T13:34:56.050</t>
  </si>
  <si>
    <t>Zoho Creator - Retrieving the actual text value of a Form's Lookup Dropdown field</t>
  </si>
  <si>
    <t>2020-04-16T06:55:01.413</t>
  </si>
  <si>
    <t>&lt;field&gt;&lt;lookup&gt;&lt;zoho&gt;&lt;deluge&gt;</t>
  </si>
  <si>
    <t>2017-07-18T18:36:34.483</t>
  </si>
  <si>
    <t>Zoho Reports API - Error Code 7005</t>
  </si>
  <si>
    <t>&lt;android&gt;&lt;zoho&gt;</t>
  </si>
  <si>
    <t>2017-07-19T23:03:12.630</t>
  </si>
  <si>
    <t>get leads information from Zoho crm using api</t>
  </si>
  <si>
    <t>2017-07-19T23:27:05.670</t>
  </si>
  <si>
    <t>2017-07-26T10:32:07.603</t>
  </si>
  <si>
    <t>ZOHO smtp SMTPAuthenticationError at / (535, 'Authentication Failed') Django app</t>
  </si>
  <si>
    <t>2017-07-26T10:35:21.567</t>
  </si>
  <si>
    <t>2020-04-17T20:16:28.543</t>
  </si>
  <si>
    <t>&lt;django&gt;&lt;smtp&gt;&lt;zoho&gt;</t>
  </si>
  <si>
    <t>2017-07-26T12:54:49.087</t>
  </si>
  <si>
    <t>2017-08-01T16:11:59.297</t>
  </si>
  <si>
    <t>Submit Form POST using VB .NET</t>
  </si>
  <si>
    <t>2020-04-11T05:29:23.470</t>
  </si>
  <si>
    <t>&lt;vb.net&gt;&lt;post&gt;&lt;webrequest&gt;&lt;zoho&gt;</t>
  </si>
  <si>
    <t>2017-08-04T13:10:12.463</t>
  </si>
  <si>
    <t>Rails Zoho Net::SMTPAuthenticationError: 530</t>
  </si>
  <si>
    <t>2017-08-06T12:42:39.183</t>
  </si>
  <si>
    <t>2018-06-16T03:36:35.490</t>
  </si>
  <si>
    <t>&lt;ruby-on-rails-5&gt;&lt;actionmailer&gt;&lt;zoho&gt;</t>
  </si>
  <si>
    <t>2017-08-06T18:08:51.367</t>
  </si>
  <si>
    <t>Cannot use Javamail with Zoho</t>
  </si>
  <si>
    <t>&lt;spring-mvc&gt;&lt;javamail&gt;&lt;zoho&gt;</t>
  </si>
  <si>
    <t>2017-08-08T08:59:32.817</t>
  </si>
  <si>
    <t>How to parsing Json in Zoho CRM</t>
  </si>
  <si>
    <t>2017-08-08T09:06:23.833</t>
  </si>
  <si>
    <t>2017-08-19T13:38:05.083</t>
  </si>
  <si>
    <t>Nodemailer with ZOHO mail</t>
  </si>
  <si>
    <t>2019-06-07T03:58:59.827</t>
  </si>
  <si>
    <t>&lt;node.js&gt;&lt;nodemailer&gt;&lt;zoho&gt;</t>
  </si>
  <si>
    <t>2017-08-19T15:22:07.907</t>
  </si>
  <si>
    <t>2017-08-22T18:39:42.397</t>
  </si>
  <si>
    <t>Zoho Bill "tax_type" field on REST endpoint</t>
  </si>
  <si>
    <t>2017-08-28T13:50:58.410</t>
  </si>
  <si>
    <t>2017-08-29T05:05:27.270</t>
  </si>
  <si>
    <t>&lt;json&gt;&lt;rest&gt;&lt;zoho&gt;</t>
  </si>
  <si>
    <t>2017-08-23T17:59:18.403</t>
  </si>
  <si>
    <t>Unable to send mail using zoho smtp server</t>
  </si>
  <si>
    <t>2017-08-25T02:58:50.780</t>
  </si>
  <si>
    <t>2017-08-24T05:21:18.790</t>
  </si>
  <si>
    <t>ZOHO CRM - How to find and merge all the duplicate records in bulk?</t>
  </si>
  <si>
    <t>2019-08-01T14:52:23.450</t>
  </si>
  <si>
    <t>2019-07-18T10:56:36.880</t>
  </si>
  <si>
    <t>2017-08-25T04:17:21.717</t>
  </si>
  <si>
    <t>unable to parse xml data when description is large</t>
  </si>
  <si>
    <t>2017-08-25T05:07:51.000</t>
  </si>
  <si>
    <t>&lt;php&gt;&lt;xml&gt;&lt;xml-parsing&gt;&lt;zoho&gt;</t>
  </si>
  <si>
    <t>2017-08-26T14:31:27.807</t>
  </si>
  <si>
    <t>python 2 code VS python 3 ,zoho crm api</t>
  </si>
  <si>
    <t>2017-08-26T14:34:41.790</t>
  </si>
  <si>
    <t>&lt;python-2.7&gt;&lt;python-3.x&gt;&lt;urllib&gt;&lt;zoho&gt;</t>
  </si>
  <si>
    <t>2017-08-26T14:52:47.373</t>
  </si>
  <si>
    <t>2017-08-28T22:16:12.713</t>
  </si>
  <si>
    <t>Open Activities - New Event - Zoho CRM API</t>
  </si>
  <si>
    <t>2017-08-29T12:42:54.630</t>
  </si>
  <si>
    <t>2017-08-29T23:32:57.193</t>
  </si>
  <si>
    <t>How to integrate Zoho Crm with twilio using Php</t>
  </si>
  <si>
    <t>2017-08-30T03:07:27.710</t>
  </si>
  <si>
    <t>&lt;php&gt;&lt;twilio&gt;&lt;integration&gt;&lt;crm&gt;&lt;zoho&gt;</t>
  </si>
  <si>
    <t>2017-09-01T05:22:02.047</t>
  </si>
  <si>
    <t>Send mail with zoho smtp server in codeigniter from Google app engine</t>
  </si>
  <si>
    <t>2017-09-01T06:40:25.733</t>
  </si>
  <si>
    <t>2017-09-01T06:42:18.753</t>
  </si>
  <si>
    <t>2017-09-12T08:16:16.213</t>
  </si>
  <si>
    <t>nodemailer and zoho email issue '530 Must issue a STARTTLS command first.'</t>
  </si>
  <si>
    <t>2017-09-12T09:04:47.433</t>
  </si>
  <si>
    <t>2017-09-15T13:40:59.500</t>
  </si>
  <si>
    <t>How to create a record on Zoho CRM through API (insertRecords method)</t>
  </si>
  <si>
    <t>&lt;python&gt;&lt;xml&gt;&lt;zoho&gt;</t>
  </si>
  <si>
    <t>2017-09-22T10:16:32.240</t>
  </si>
  <si>
    <t>How to handle special character (e.g : '&amp;', '-' etc) in zoho api searchRecords?</t>
  </si>
  <si>
    <t>2018-09-21T19:00:04.760</t>
  </si>
  <si>
    <t>&lt;php&gt;&lt;zoho&gt;&lt;php-curl&gt;</t>
  </si>
  <si>
    <t>2018-09-21T15:29:56.503</t>
  </si>
  <si>
    <t>2017-09-26T04:45:53.903</t>
  </si>
  <si>
    <t>Zoho API file upload error "Unable to process your request. Please verify whether you have provided proper file."</t>
  </si>
  <si>
    <t>2018-10-23T04:59:28.697</t>
  </si>
  <si>
    <t>&lt;api&gt;&lt;zoho&gt;</t>
  </si>
  <si>
    <t>2017-09-29T05:12:05.233</t>
  </si>
  <si>
    <t>Zoho Data Insert Error: "Unable to process your request. Please verify whether you have entered proper method name,parameter and parameter values."</t>
  </si>
  <si>
    <t>2017-09-29T05:34:14.083</t>
  </si>
  <si>
    <t>&lt;php&gt;&lt;api&gt;&lt;zoho&gt;</t>
  </si>
  <si>
    <t>2017-09-29T06:58:57.900</t>
  </si>
  <si>
    <t>How do i connect ZOHO CRM with Zapier using php code?</t>
  </si>
  <si>
    <t>2017-09-29T07:10:59.863</t>
  </si>
  <si>
    <t>2017-10-02T19:43:03.797</t>
  </si>
  <si>
    <t>&lt;integration&gt;&lt;zapier&gt;&lt;zoho&gt;</t>
  </si>
  <si>
    <t>2017-10-13T22:43:22.890</t>
  </si>
  <si>
    <t>How to read and get events from zoho calendar using CalDav in node.js</t>
  </si>
  <si>
    <t>2017-10-14T01:31:53.243</t>
  </si>
  <si>
    <t>2017-10-16T21:13:30.530</t>
  </si>
  <si>
    <t>&lt;node.js&gt;&lt;zoho&gt;&lt;caldav&gt;</t>
  </si>
  <si>
    <t>2017-10-17T20:20:44.090</t>
  </si>
  <si>
    <t>Not able to get the Caldav URL for Zoho calendar</t>
  </si>
  <si>
    <t>2017-10-17T20:55:32.243</t>
  </si>
  <si>
    <t>&lt;javascript&gt;&lt;node.js&gt;&lt;zoho&gt;&lt;caldav&gt;</t>
  </si>
  <si>
    <t>2017-10-18T05:36:43.693</t>
  </si>
  <si>
    <t>How to handle exception and continue executing the try in try catch in java?</t>
  </si>
  <si>
    <t>&lt;java&gt;&lt;exception&gt;&lt;exception-handling&gt;&lt;try-catch&gt;&lt;zoho&gt;</t>
  </si>
  <si>
    <t>2017-10-18T05:43:08.857</t>
  </si>
  <si>
    <t>2017-10-29T22:15:19.853</t>
  </si>
  <si>
    <t>Integrate Docusign with a zoho CRM custom module</t>
  </si>
  <si>
    <t>2017-10-29T22:24:49.287</t>
  </si>
  <si>
    <t>&lt;module&gt;&lt;crm&gt;&lt;docusignapi&gt;&lt;zoho&gt;</t>
  </si>
  <si>
    <t>2017-11-17T19:46:01.183</t>
  </si>
  <si>
    <t>REST API Call from VB ( ZOHO CREATOR )</t>
  </si>
  <si>
    <t>2017-11-17T20:16:55.200</t>
  </si>
  <si>
    <t>&lt;c#&gt;&lt;vb.net&gt;&lt;httpwebrequest&gt;&lt;zoho&gt;</t>
  </si>
  <si>
    <t>2017-11-19T14:38:12.887</t>
  </si>
  <si>
    <t>Web request with input type fields</t>
  </si>
  <si>
    <t>2017-11-19T15:35:01.323</t>
  </si>
  <si>
    <t>&lt;c#&gt;&lt;rest&gt;&lt;httpwebrequest&gt;&lt;zoho&gt;</t>
  </si>
  <si>
    <t>2017-11-20T13:59:16.740</t>
  </si>
  <si>
    <t>Connection timeout error in sending an smtp mail through zoho</t>
  </si>
  <si>
    <t>2017-11-20T16:27:59.297</t>
  </si>
  <si>
    <t>&lt;django&gt;&lt;email&gt;&lt;smtp&gt;&lt;timeout&gt;&lt;zoho&gt;</t>
  </si>
  <si>
    <t>2017-11-26T15:44:44.937</t>
  </si>
  <si>
    <t>Quotes to replace in string API</t>
  </si>
  <si>
    <t>2019-07-01T07:27:21.727</t>
  </si>
  <si>
    <t>&lt;vb.net&gt;&lt;ebay-api&gt;&lt;zoho&gt;</t>
  </si>
  <si>
    <t>2018-01-05T01:16:16.473</t>
  </si>
  <si>
    <t>Returning Array of Objects shows only one object in next step</t>
  </si>
  <si>
    <t>2018-01-05T01:52:54.270</t>
  </si>
  <si>
    <t>&lt;zapier&gt;&lt;zoho&gt;</t>
  </si>
  <si>
    <t>2018-01-26T01:23:28.840</t>
  </si>
  <si>
    <t>Getting the $_SESSION empty after filling with data from DB</t>
  </si>
  <si>
    <t>2018-01-26T14:32:50.470</t>
  </si>
  <si>
    <t>&lt;php&gt;&lt;html&gt;&lt;rest&gt;&lt;google-chrome&gt;&lt;zoho&gt;</t>
  </si>
  <si>
    <t>2018-02-05T17:33:45.130</t>
  </si>
  <si>
    <t>Docusign - X-HTTP-Method-Override from POST to PUT - in view of updating envelope status to void</t>
  </si>
  <si>
    <t>2018-02-05T17:37:08.273</t>
  </si>
  <si>
    <t>2018-02-12T20:01:05.343</t>
  </si>
  <si>
    <t>&lt;docusignapi&gt;&lt;zoho&gt;</t>
  </si>
  <si>
    <t>2018-02-06T11:07:37.060</t>
  </si>
  <si>
    <t>Swift_TransportException while sending email</t>
  </si>
  <si>
    <t>2018-02-06T11:28:36.997</t>
  </si>
  <si>
    <t>&lt;yii2&gt;&lt;zoho&gt;</t>
  </si>
  <si>
    <t>2018-02-07T20:10:32.590</t>
  </si>
  <si>
    <t>Updating a Value in a Another Form (Zoho Creator)</t>
  </si>
  <si>
    <t>2020-01-03T14:25:20.527</t>
  </si>
  <si>
    <t>&lt;zoho&gt;&lt;deluge&gt;</t>
  </si>
  <si>
    <t>2018-02-13T07:06:23.847</t>
  </si>
  <si>
    <t>Working with zoho api's</t>
  </si>
  <si>
    <t>&lt;rest&gt;&lt;api&gt;&lt;get&gt;&lt;postman&gt;&lt;zoho&gt;</t>
  </si>
  <si>
    <t>2018-02-17T04:04:53.243</t>
  </si>
  <si>
    <t>How to create a bug using zoho API via postman?</t>
  </si>
  <si>
    <t>2018-02-17T06:41:29.793</t>
  </si>
  <si>
    <t>&lt;api&gt;&lt;post&gt;&lt;postman&gt;&lt;zoho&gt;</t>
  </si>
  <si>
    <t>2018-02-19T11:48:36.150</t>
  </si>
  <si>
    <t>How can I send email through ZOHO api using PHP?</t>
  </si>
  <si>
    <t>2019-09-11T10:35:17.117</t>
  </si>
  <si>
    <t>&lt;php&gt;&lt;rest&gt;&lt;api&gt;&lt;email&gt;&lt;zoho&gt;</t>
  </si>
  <si>
    <t>2018-02-19T13:21:11.440</t>
  </si>
  <si>
    <t>2018-02-19T13:10:27.093</t>
  </si>
  <si>
    <t>SQL Query: Current and Previous month values in two columns</t>
  </si>
  <si>
    <t>2018-03-03T12:38:35.107</t>
  </si>
  <si>
    <t>2018-02-19T17:39:35.770</t>
  </si>
  <si>
    <t>Rest API giving NULL in response</t>
  </si>
  <si>
    <t>2018-02-19T18:19:44.507</t>
  </si>
  <si>
    <t>2018-02-20T10:29:39.003</t>
  </si>
  <si>
    <t>&lt;php&gt;&lt;rest&gt;&lt;curl&gt;&lt;postman&gt;&lt;zoho&gt;</t>
  </si>
  <si>
    <t>2018-02-20T09:28:21.617</t>
  </si>
  <si>
    <t>How to solve Zoho Project API General error 6500?</t>
  </si>
  <si>
    <t>2018-02-20T10:54:22.763</t>
  </si>
  <si>
    <t>2018-06-18T15:03:23.607</t>
  </si>
  <si>
    <t>&lt;php&gt;&lt;rest&gt;&lt;post&gt;&lt;yii2&gt;&lt;zoho&gt;</t>
  </si>
  <si>
    <t>2018-02-20T10:44:51.367</t>
  </si>
  <si>
    <t>2018-02-21T11:08:22.107</t>
  </si>
  <si>
    <t>Store Data to ZOHO CRM using LARAVEL and ZOHO CRM API</t>
  </si>
  <si>
    <t>2018-05-03T08:19:00.970</t>
  </si>
  <si>
    <t>&lt;api&gt;&lt;laravel-5&gt;&lt;crm&gt;&lt;zoho&gt;</t>
  </si>
  <si>
    <t>2018-02-21T20:23:15.813</t>
  </si>
  <si>
    <t>Zoho Projects API Timesheet - General Error 6500 - Adding time entry</t>
  </si>
  <si>
    <t>2018-02-21T22:12:03.153</t>
  </si>
  <si>
    <t>2018-06-18T15:12:13.863</t>
  </si>
  <si>
    <t>2018-02-22T17:05:23.507</t>
  </si>
  <si>
    <t>SQL Query: Joining of Two tables Using LEFT OR RIGHT OR INNER JOIN only - Need NULL values</t>
  </si>
  <si>
    <t>2018-02-22T18:04:52.380</t>
  </si>
  <si>
    <t>2018-02-26T03:57:17.153</t>
  </si>
  <si>
    <t>SQL Query: JOIN Three tables thenNot showing the results after joining the 3rd table</t>
  </si>
  <si>
    <t>2018-02-26T04:12:37.370</t>
  </si>
  <si>
    <t>2018-02-27T07:02:06.257</t>
  </si>
  <si>
    <t>Assigning variables to xml data</t>
  </si>
  <si>
    <t>2018-02-27T07:06:36.547</t>
  </si>
  <si>
    <t>2018-03-01T14:10:42.810</t>
  </si>
  <si>
    <t>SQL Query: Finding Overdue Start Date and Overdue Amount from a table</t>
  </si>
  <si>
    <t>2018-03-02T02:12:48.767</t>
  </si>
  <si>
    <t>2018-03-15T11:35:47.707</t>
  </si>
  <si>
    <t>Zoho Integration - How to Push data To Zoho CRM in XML Format Using PHP</t>
  </si>
  <si>
    <t>user9321822</t>
  </si>
  <si>
    <t>2018-03-15T11:44:22.493</t>
  </si>
  <si>
    <t>2019-05-20T08:42:17.263</t>
  </si>
  <si>
    <t>2018-03-21T17:03:25.830</t>
  </si>
  <si>
    <t>SQL Query: Identifying Loan Non Starters and Finding Ten Payments made</t>
  </si>
  <si>
    <t>2018-03-22T06:56:26.487</t>
  </si>
  <si>
    <t>2018-04-12T01:41:19.567</t>
  </si>
  <si>
    <t>2018-03-29T08:06:15.727</t>
  </si>
  <si>
    <t>Count various records and display sum in Zoho</t>
  </si>
  <si>
    <t>2018-03-31T03:31:16.067</t>
  </si>
  <si>
    <t>&lt;aggregate-functions&gt;&lt;biginteger&gt;&lt;zoho&gt;&lt;deluge&gt;</t>
  </si>
  <si>
    <t>2018-04-11T08:51:22.290</t>
  </si>
  <si>
    <t>Trying to access database from my local server</t>
  </si>
  <si>
    <t>2018-04-11T09:24:09.980</t>
  </si>
  <si>
    <t>&lt;python&gt;&lt;django&gt;&lt;server&gt;&lt;zoho&gt;</t>
  </si>
  <si>
    <t>2018-04-23T15:39:02.877</t>
  </si>
  <si>
    <t>Embedding Zoho ASAP into website using Javascript</t>
  </si>
  <si>
    <t>2018-04-24T15:53:15.047</t>
  </si>
  <si>
    <t>&lt;javascript&gt;&lt;iframe&gt;&lt;zoho&gt;</t>
  </si>
  <si>
    <t>2018-04-25T16:51:20.843</t>
  </si>
  <si>
    <t>client id not not event exception just after zoho salesiq xhr call</t>
  </si>
  <si>
    <t>2018-04-25T17:26:32.883</t>
  </si>
  <si>
    <t>2019-05-15T06:40:55.047</t>
  </si>
  <si>
    <t>&lt;reactjs&gt;&lt;chat&gt;&lt;zoho&gt;</t>
  </si>
  <si>
    <t>2018-04-25T18:08:47.110</t>
  </si>
  <si>
    <t>In RubyZoho, how to set Task.related_to Lead.id?</t>
  </si>
  <si>
    <t>2018-04-28T15:46:42.843</t>
  </si>
  <si>
    <t>2018-04-28T20:36:02.440</t>
  </si>
  <si>
    <t>2018-05-04T06:52:54.677</t>
  </si>
  <si>
    <t>Rocket Chat smtp outgoing email settings with zoho not working</t>
  </si>
  <si>
    <t>2018-05-04T07:16:22.127</t>
  </si>
  <si>
    <t>&lt;email&gt;&lt;smtp&gt;&lt;zoho&gt;&lt;rocket.chat&gt;</t>
  </si>
  <si>
    <t>2018-05-10T07:30:55.783</t>
  </si>
  <si>
    <t>How to integrate Zoho in ReactJS</t>
  </si>
  <si>
    <t>2018-05-17T09:05:15.280</t>
  </si>
  <si>
    <t>2018-07-31T17:00:04.563</t>
  </si>
  <si>
    <t>&lt;reactjs&gt;&lt;zoho&gt;</t>
  </si>
  <si>
    <t>2018-05-17T06:35:13.973</t>
  </si>
  <si>
    <t>2018-05-11T19:30:02.933</t>
  </si>
  <si>
    <t>Deserialize JSON with vb.net</t>
  </si>
  <si>
    <t>2018-05-11T19:41:37.287</t>
  </si>
  <si>
    <t>&lt;json&gt;&lt;vb.net&gt;&lt;api&gt;&lt;zoho&gt;</t>
  </si>
  <si>
    <t>2018-05-16T19:10:05.723</t>
  </si>
  <si>
    <t>PHP cURL file from web to another API on the web</t>
  </si>
  <si>
    <t>2018-05-16T19:33:29.323</t>
  </si>
  <si>
    <t>&lt;php&gt;&lt;rest&gt;&lt;curl&gt;&lt;zoho&gt;</t>
  </si>
  <si>
    <t>2018-05-18T09:22:28.483</t>
  </si>
  <si>
    <t>Amazon WorkMail issue with delivering mails to Route53</t>
  </si>
  <si>
    <t>2018-05-19T15:01:46.947</t>
  </si>
  <si>
    <t>&lt;amazon-web-services&gt;&lt;amazon-route53&gt;&lt;zoho&gt;&lt;amazon-workmail&gt;</t>
  </si>
  <si>
    <t>2018-05-19T17:12:13.280</t>
  </si>
  <si>
    <t>how to make express port to listen to nodemailer port</t>
  </si>
  <si>
    <t>2018-05-19T17:21:13.960</t>
  </si>
  <si>
    <t>&lt;node.js&gt;&lt;express&gt;&lt;nodemailer&gt;&lt;zoho&gt;&lt;cloud9&gt;</t>
  </si>
  <si>
    <t>2018-05-23T14:54:51.670</t>
  </si>
  <si>
    <t>Codeigniter Zoho Mail Sending Mails</t>
  </si>
  <si>
    <t>2019-01-22T18:09:37.137</t>
  </si>
  <si>
    <t>&lt;php&gt;&lt;codeigniter&gt;&lt;email&gt;&lt;zoho&gt;</t>
  </si>
  <si>
    <t>2018-05-24T14:57:14.927</t>
  </si>
  <si>
    <t>Push GCLID to ZOHO crm</t>
  </si>
  <si>
    <t>2019-03-12T09:13:23.197</t>
  </si>
  <si>
    <t>2019-03-12T10:05:41.390</t>
  </si>
  <si>
    <t>&lt;integration&gt;&lt;google-adwords&gt;&lt;zoho&gt;</t>
  </si>
  <si>
    <t>2018-05-29T19:23:05.783</t>
  </si>
  <si>
    <t>GuzzleHTTP Response 400 Status</t>
  </si>
  <si>
    <t>2018-05-29T19:45:53.567</t>
  </si>
  <si>
    <t>2018-05-29T19:50:42.443</t>
  </si>
  <si>
    <t>&lt;php&gt;&lt;zoho&gt;&lt;guzzlehttp&gt;</t>
  </si>
  <si>
    <t>2018-06-01T02:27:02.360</t>
  </si>
  <si>
    <t>Zoho Creator API Integration Basic Authorization postUrl()</t>
  </si>
  <si>
    <t>2018-06-01T02:32:16.327</t>
  </si>
  <si>
    <t>2018-06-02T02:05:58.533</t>
  </si>
  <si>
    <t>&lt;ssl&gt;&lt;zoho&gt;</t>
  </si>
  <si>
    <t>2018-06-08T01:46:36.173</t>
  </si>
  <si>
    <t>PHP: How to fix error Unable to parse XML data?</t>
  </si>
  <si>
    <t>2018-06-08T02:26:30.507</t>
  </si>
  <si>
    <t>2018-06-08T09:19:35.530</t>
  </si>
  <si>
    <t>2018-06-18T21:12:40.333</t>
  </si>
  <si>
    <t>2018-06-10T11:16:43.503</t>
  </si>
  <si>
    <t>Complex Comparison in C</t>
  </si>
  <si>
    <t>2018-06-10T11:18:29.160</t>
  </si>
  <si>
    <t>2018-06-10T11:37:06.710</t>
  </si>
  <si>
    <t>&lt;c&gt;&lt;zoho&gt;</t>
  </si>
  <si>
    <t>2018-06-10T11:22:49.997</t>
  </si>
  <si>
    <t>2018-06-14T06:08:31.903</t>
  </si>
  <si>
    <t>Zoho API v2 login issue</t>
  </si>
  <si>
    <t>2019-02-28T10:13:48.910</t>
  </si>
  <si>
    <t>&lt;oauth&gt;&lt;oauth-2.0&gt;&lt;zoho&gt;</t>
  </si>
  <si>
    <t>2018-06-15T09:17:30.377</t>
  </si>
  <si>
    <t>Cookiebot Cookie Consent Script</t>
  </si>
  <si>
    <t>2018-06-15T09:43:30.620</t>
  </si>
  <si>
    <t>2018-07-16T08:07:56.727</t>
  </si>
  <si>
    <t>&lt;javascript&gt;&lt;angular&gt;&lt;cookies&gt;&lt;zoho&gt;</t>
  </si>
  <si>
    <t>2018-06-22T04:41:33.387</t>
  </si>
  <si>
    <t>Inserting record in zoho api v2 in PHP</t>
  </si>
  <si>
    <t>2018-09-26T03:32:45.803</t>
  </si>
  <si>
    <t>2019-09-30T06:08:28.300</t>
  </si>
  <si>
    <t>2018-06-23T12:00:45.430</t>
  </si>
  <si>
    <t>How do I add two spf records?</t>
  </si>
  <si>
    <t>2020-01-27T09:52:02.393</t>
  </si>
  <si>
    <t>&lt;dns&gt;&lt;smtp&gt;&lt;spf&gt;&lt;zoho&gt;</t>
  </si>
  <si>
    <t>2018-06-23T12:59:33.660</t>
  </si>
  <si>
    <t>2018-06-28T09:20:44.573</t>
  </si>
  <si>
    <t>Create purchase order in zoho books via API in Ruby on Rails</t>
  </si>
  <si>
    <t>2018-06-28T09:59:23.417</t>
  </si>
  <si>
    <t>2018-07-06T09:24:05.427</t>
  </si>
  <si>
    <t>&lt;ruby-on-rails&gt;&lt;ruby&gt;&lt;zoho&gt;&lt;zohobooks&gt;</t>
  </si>
  <si>
    <t>2018-07-12T10:42:01.450</t>
  </si>
  <si>
    <t>Error in Zoho CRM Deluge Script on searching record</t>
  </si>
  <si>
    <t>2019-05-11T18:43:28.950</t>
  </si>
  <si>
    <t>2018-07-12T18:13:08.060</t>
  </si>
  <si>
    <t>Codeigniter SMTP error</t>
  </si>
  <si>
    <t>2018-07-12T18:28:46.263</t>
  </si>
  <si>
    <t>2018-07-12T18:31:37.367</t>
  </si>
  <si>
    <t>&lt;php&gt;&lt;codeigniter&gt;&lt;smtp&gt;&lt;zoho&gt;</t>
  </si>
  <si>
    <t>2018-07-15T21:12:55.557</t>
  </si>
  <si>
    <t>Zoho API V2 Update Record</t>
  </si>
  <si>
    <t>2018-07-15T21:41:22.460</t>
  </si>
  <si>
    <t>2019-09-18T09:40:42.937</t>
  </si>
  <si>
    <t>&lt;php&gt;&lt;json&gt;&lt;zoho&gt;</t>
  </si>
  <si>
    <t>2018-07-16T13:01:14.700</t>
  </si>
  <si>
    <t>2018-07-16T11:19:04.130</t>
  </si>
  <si>
    <t>Yii2-curl oAuth2 with zoho</t>
  </si>
  <si>
    <t>2018-07-19T17:14:01.927</t>
  </si>
  <si>
    <t>&lt;url&gt;&lt;yii2&gt;&lt;uri&gt;&lt;yii2-advanced-app&gt;&lt;zoho&gt;</t>
  </si>
  <si>
    <t>2018-07-19T10:46:22.163</t>
  </si>
  <si>
    <t>2018-07-17T20:16:21.957</t>
  </si>
  <si>
    <t>Relaying dissalowed Spring boot with Zoho</t>
  </si>
  <si>
    <t>2019-03-23T21:23:08.090</t>
  </si>
  <si>
    <t>&lt;spring-boot&gt;&lt;javamail&gt;&lt;zoho&gt;</t>
  </si>
  <si>
    <t>2018-07-19T21:32:05.893</t>
  </si>
  <si>
    <t>How to reference the PHP SDK for Zoho API Version 2</t>
  </si>
  <si>
    <t>&lt;php&gt;&lt;api&gt;&lt;sdk&gt;&lt;zoho&gt;</t>
  </si>
  <si>
    <t>2018-07-22T11:18:10.987</t>
  </si>
  <si>
    <t>LAG and LEAD alternative in SQL syntax</t>
  </si>
  <si>
    <t>2018-07-22T14:46:38.407</t>
  </si>
  <si>
    <t>&lt;sql&gt;&lt;sql-server&gt;&lt;database&gt;&lt;select&gt;&lt;zoho&gt;</t>
  </si>
  <si>
    <t>2018-07-22T14:40:37.080</t>
  </si>
  <si>
    <t>2018-07-23T13:32:28.667</t>
  </si>
  <si>
    <t>Zoho V2 Rest API Search Criteria</t>
  </si>
  <si>
    <t>2020-02-08T11:12:43.477</t>
  </si>
  <si>
    <t>&lt;search&gt;&lt;crm&gt;&lt;criteria&gt;&lt;zoho&gt;</t>
  </si>
  <si>
    <t>2018-07-30T22:29:11.610</t>
  </si>
  <si>
    <t>Zoho Projects API - Auth token</t>
  </si>
  <si>
    <t>2019-02-07T16:58:38.683</t>
  </si>
  <si>
    <t>&lt;rest&gt;&lt;api&gt;&lt;zoho&gt;</t>
  </si>
  <si>
    <t>2018-07-31T11:36:08.683</t>
  </si>
  <si>
    <t>Is it possible to send info from react form to zoho crm?</t>
  </si>
  <si>
    <t>2018-08-30T16:05:29.290</t>
  </si>
  <si>
    <t>2018-08-02T08:57:54.103</t>
  </si>
  <si>
    <t>Create Zoho campaign with api gives error</t>
  </si>
  <si>
    <t>2018-08-02T19:35:37.383</t>
  </si>
  <si>
    <t>2018-08-03T04:38:54.133</t>
  </si>
  <si>
    <t>Integration Between dot Net Application With Zoho Desk?</t>
  </si>
  <si>
    <t>2018-08-03T04:55:08.143</t>
  </si>
  <si>
    <t>&lt;.net&gt;&lt;zoho&gt;</t>
  </si>
  <si>
    <t>2018-08-03T18:27:48.783</t>
  </si>
  <si>
    <t>How do verify my domain for Zoho Mail using AWS Route 53?</t>
  </si>
  <si>
    <t>2018-08-04T01:37:41.087</t>
  </si>
  <si>
    <t>&lt;dns&gt;&lt;amazon-route53&gt;&lt;domain-name&gt;&lt;zoho&gt;</t>
  </si>
  <si>
    <t>2018-08-03T21:52:18.140</t>
  </si>
  <si>
    <t>2018-08-13T18:15:03.143</t>
  </si>
  <si>
    <t>Issue when UPSERTing a record to Zoho CRM</t>
  </si>
  <si>
    <t>2018-08-18T06:56:13.910</t>
  </si>
  <si>
    <t>2018-08-16T11:55:12.933</t>
  </si>
  <si>
    <t>Uncaught Error: Class 'GuzzleHttp\Client' not found</t>
  </si>
  <si>
    <t>2020-02-06T12:54:01.653</t>
  </si>
  <si>
    <t>&lt;magento2&gt;&lt;zoho&gt;</t>
  </si>
  <si>
    <t>2018-08-22T10:28:55.593</t>
  </si>
  <si>
    <t>Login to Zoho CRM with http call</t>
  </si>
  <si>
    <t>2019-03-07T15:32:06.193</t>
  </si>
  <si>
    <t>&lt;http&gt;&lt;zoho&gt;</t>
  </si>
  <si>
    <t>2018-08-22T19:19:56.923</t>
  </si>
  <si>
    <t>Nodemailer Missing credentials for "PLAIN"</t>
  </si>
  <si>
    <t>2020-05-09T19:42:43.950</t>
  </si>
  <si>
    <t>&lt;nodemailer&gt;&lt;zoho&gt;</t>
  </si>
  <si>
    <t>2018-08-23T15:02:58.697</t>
  </si>
  <si>
    <t>2018-08-26T03:51:46.083</t>
  </si>
  <si>
    <t>SQL Query for Running Closing Balance Based on Opening, Credit &amp; Debit Amounts in Zoho Reports</t>
  </si>
  <si>
    <t>2018-09-01T02:57:13.307</t>
  </si>
  <si>
    <t>2018-08-27T20:53:59.080</t>
  </si>
  <si>
    <t>Retrieve record-Id of html data POST to CRM</t>
  </si>
  <si>
    <t>2018-08-27T21:38:02.917</t>
  </si>
  <si>
    <t>&lt;php&gt;&lt;xml&gt;&lt;forms&gt;&lt;php-curl&gt;&lt;zoho&gt;</t>
  </si>
  <si>
    <t>2018-08-29T18:04:40.213</t>
  </si>
  <si>
    <t>Symfony 4 &amp; Zoho SKD 2.0</t>
  </si>
  <si>
    <t>2018-08-29T23:47:29.483</t>
  </si>
  <si>
    <t>&lt;symfony&gt;&lt;auth0&gt;&lt;zoho&gt;</t>
  </si>
  <si>
    <t>2018-09-03T07:23:29.553</t>
  </si>
  <si>
    <t>Zoho Deluge : How can I insert line breaks or start a new line to e-mail message?</t>
  </si>
  <si>
    <t>2018-09-04T09:50:01.720</t>
  </si>
  <si>
    <t>2018-09-03T07:35:52.453</t>
  </si>
  <si>
    <t>Zoho Deluge : How to send an Email</t>
  </si>
  <si>
    <t>2018-10-17T03:44:21.543</t>
  </si>
  <si>
    <t>2018-09-04T10:15:16.700</t>
  </si>
  <si>
    <t>Parse/Decode response (Json format?) - PHP Curl</t>
  </si>
  <si>
    <t>2018-09-18T13:24:09.870</t>
  </si>
  <si>
    <t>&lt;php&gt;&lt;json&gt;&lt;parsing&gt;&lt;curl&gt;&lt;zoho&gt;</t>
  </si>
  <si>
    <t>2018-09-11T12:57:10.267</t>
  </si>
  <si>
    <t>2018-09-12T11:40:00.300</t>
  </si>
  <si>
    <t>Update a record in the ZohoCRM using PHP SDK based on ID</t>
  </si>
  <si>
    <t>2018-09-14T16:55:29.210</t>
  </si>
  <si>
    <t>&lt;php&gt;&lt;laravel&gt;&lt;api&gt;&lt;zoho&gt;</t>
  </si>
  <si>
    <t>2018-09-12T13:34:13.233</t>
  </si>
  <si>
    <t>Zoho Creator -- Get calendar date from calendar report and paste into another form</t>
  </si>
  <si>
    <t>2018-09-14T13:50:56.620</t>
  </si>
  <si>
    <t>2018-09-17T14:55:42.273</t>
  </si>
  <si>
    <t>Integration of Zoho CRM and Moodle</t>
  </si>
  <si>
    <t>2018-09-17T16:46:13.097</t>
  </si>
  <si>
    <t>&lt;integration&gt;&lt;crm&gt;&lt;moodle&gt;&lt;zoho&gt;</t>
  </si>
  <si>
    <t>2018-09-20T08:46:46.087</t>
  </si>
  <si>
    <t>Zoho JSON result into CSV file</t>
  </si>
  <si>
    <t>2018-09-20T09:01:02.783</t>
  </si>
  <si>
    <t>2018-09-20T09:40:21.007</t>
  </si>
  <si>
    <t>&lt;php&gt;&lt;json&gt;&lt;csv&gt;&lt;zoho&gt;</t>
  </si>
  <si>
    <t>2018-09-25T06:54:51.437</t>
  </si>
  <si>
    <t>File upload to zoho contacts in C#.Net</t>
  </si>
  <si>
    <t>2018-09-25T08:13:34.317</t>
  </si>
  <si>
    <t>2018-09-25T13:12:50.687</t>
  </si>
  <si>
    <t>Update records Zoho api v2 symbols</t>
  </si>
  <si>
    <t>2018-09-25T14:37:18.373</t>
  </si>
  <si>
    <t>2018-10-29T20:39:55.220</t>
  </si>
  <si>
    <t>2018-09-26T05:46:57.987</t>
  </si>
  <si>
    <t>How to get Zoho Books Contact by zcrm_vendor_id</t>
  </si>
  <si>
    <t>2018-09-26T07:05:58.253</t>
  </si>
  <si>
    <t>&lt;api&gt;&lt;zoho&gt;&lt;zohobooks&gt;</t>
  </si>
  <si>
    <t>2018-09-27T10:11:00.163</t>
  </si>
  <si>
    <t>Zoho OAuth 2.0 Refresh token multiple times</t>
  </si>
  <si>
    <t>2018-11-09T12:06:49.017</t>
  </si>
  <si>
    <t>&lt;java&gt;&lt;oauth-2.0&gt;&lt;access-token&gt;&lt;zoho&gt;&lt;refresh-token&gt;</t>
  </si>
  <si>
    <t>2018-09-30T04:00:19.450</t>
  </si>
  <si>
    <t>Problem with Zoho Invocing API {"code":1038,"message":"JSON is not well formed»}</t>
  </si>
  <si>
    <t>2019-10-30T17:47:25.467</t>
  </si>
  <si>
    <t>&lt;python&gt;&lt;api&gt;&lt;zoho&gt;</t>
  </si>
  <si>
    <t>2018-10-16T13:41:31.227</t>
  </si>
  <si>
    <t>Substringing a QR code and enter automatically in a form field in Zoho</t>
  </si>
  <si>
    <t>2018-10-16T17:15:13.880</t>
  </si>
  <si>
    <t>&lt;javascript&gt;&lt;arrays&gt;&lt;zoho&gt;</t>
  </si>
  <si>
    <t>2018-10-19T10:42:38.973</t>
  </si>
  <si>
    <t>CORS request with Electron</t>
  </si>
  <si>
    <t>2018-10-19T10:47:48.127</t>
  </si>
  <si>
    <t>&lt;cors&gt;&lt;electron&gt;&lt;fetch-api&gt;&lt;zoho&gt;</t>
  </si>
  <si>
    <t>2018-10-23T22:13:33.063</t>
  </si>
  <si>
    <t>How can I populate an embedded website form with URL parameters using Javascript?</t>
  </si>
  <si>
    <t>2018-10-23T22:31:29.220</t>
  </si>
  <si>
    <t>&lt;javascript&gt;&lt;url&gt;&lt;parameters&gt;&lt;squarespace&gt;&lt;zoho&gt;</t>
  </si>
  <si>
    <t>2018-10-26T20:31:44.017</t>
  </si>
  <si>
    <t>How can I dynamically update 'src' in &lt;script src=&gt; in Squarespace</t>
  </si>
  <si>
    <t>2018-10-26T20:52:41.260</t>
  </si>
  <si>
    <t>2018-10-26T21:40:48.817</t>
  </si>
  <si>
    <t>2018-10-27T23:29:21.937</t>
  </si>
  <si>
    <t>Zoho Api Oauth v.2 | Why does it want to sign in at the User Authorization Request?</t>
  </si>
  <si>
    <t>2018-10-29T20:22:20.190</t>
  </si>
  <si>
    <t>2018-10-31T11:33:17.930</t>
  </si>
  <si>
    <t>Zoho API-V2 Add Attactmetn URL</t>
  </si>
  <si>
    <t>2020-05-06T16:25:37.260</t>
  </si>
  <si>
    <t>2018-11-01T04:52:03.890</t>
  </si>
  <si>
    <t>Integrate ZOHO API with Laravel 5.7</t>
  </si>
  <si>
    <t>2018-11-06T18:08:14.363</t>
  </si>
  <si>
    <t>2018-11-01T20:47:26.537</t>
  </si>
  <si>
    <t>Google Domain, Zoho Email, MailGun Delivery: SPF Entries error</t>
  </si>
  <si>
    <t>2018-11-02T15:29:22.283</t>
  </si>
  <si>
    <t>&lt;mailgun&gt;&lt;zoho&gt;&lt;google-domains&gt;</t>
  </si>
  <si>
    <t>2018-11-21T13:35:24.527</t>
  </si>
  <si>
    <t>Zoho CRM api v2 list of required fields for each module</t>
  </si>
  <si>
    <t>2019-05-10T16:15:07.673</t>
  </si>
  <si>
    <t>&lt;ruby-on-rails&gt;&lt;crm&gt;&lt;zoho&gt;</t>
  </si>
  <si>
    <t>2018-11-25T23:13:56.620</t>
  </si>
  <si>
    <t>Nodejs Zoho API v2 "zcrmsdk" how to specify module in "configuration.properties" file for AWS Lambda</t>
  </si>
  <si>
    <t>2020-02-09T11:21:38.777</t>
  </si>
  <si>
    <t>&lt;node.js&gt;&lt;oauth&gt;&lt;aws-lambda&gt;&lt;zoho&gt;</t>
  </si>
  <si>
    <t>2018-11-27T16:40:38.767</t>
  </si>
  <si>
    <t>Zoho API: Get the user that is making the request</t>
  </si>
  <si>
    <t>2019-02-03T00:46:16.337</t>
  </si>
  <si>
    <t>2019-01-30T21:29:03.647</t>
  </si>
  <si>
    <t>2018-11-29T17:53:59.757</t>
  </si>
  <si>
    <t>Zoho data structure setup for e-commerce referral program</t>
  </si>
  <si>
    <t>2018-11-29T18:18:09.243</t>
  </si>
  <si>
    <t>2018-12-07T06:39:28.590</t>
  </si>
  <si>
    <t>How to add -d JSONString='{} in postman</t>
  </si>
  <si>
    <t>2018-12-07T08:44:22.493</t>
  </si>
  <si>
    <t>2018-12-08T05:08:04.377</t>
  </si>
  <si>
    <t>&lt;json&gt;&lt;api&gt;&lt;postman&gt;&lt;zoho&gt;</t>
  </si>
  <si>
    <t>2018-12-10T14:04:38.603</t>
  </si>
  <si>
    <t>Zoho crm :STUCK on Step 3: Generate Access Token and Refresh Token</t>
  </si>
  <si>
    <t>2019-06-17T17:37:34.677</t>
  </si>
  <si>
    <t>2018-12-12T21:13:07.610</t>
  </si>
  <si>
    <t>Zoho CRM Hide Fields</t>
  </si>
  <si>
    <t>&lt;javascript&gt;&lt;google-chrome-extension&gt;&lt;javascript-events&gt;&lt;zoho&gt;</t>
  </si>
  <si>
    <t>2018-12-16T11:51:41.320</t>
  </si>
  <si>
    <t>Zoho Mail API authtoken issue</t>
  </si>
  <si>
    <t>2018-12-16T12:27:34.357</t>
  </si>
  <si>
    <t>&lt;javascript&gt;&lt;angular&gt;&lt;http&gt;&lt;https&gt;&lt;zoho&gt;</t>
  </si>
  <si>
    <t>2018-12-27T11:30:47.167</t>
  </si>
  <si>
    <t>Retrieve Zoho Mail using Zoho CRM API</t>
  </si>
  <si>
    <t>2019-09-24T15:03:07.910</t>
  </si>
  <si>
    <t>2019-01-05T05:20:35.390</t>
  </si>
  <si>
    <t>Get the customer details in the Hosted Payment Page &amp; return url</t>
  </si>
  <si>
    <t>2019-01-05T05:32:30.613</t>
  </si>
  <si>
    <t>2019-01-08T05:42:48.633</t>
  </si>
  <si>
    <t>&lt;payment-gateway&gt;&lt;zoho&gt;</t>
  </si>
  <si>
    <t>2019-01-06T10:37:16.767</t>
  </si>
  <si>
    <t>Can ZOHO deluge script getUrl() function read HTTP response headers?</t>
  </si>
  <si>
    <t>2020-01-02T13:36:18.240</t>
  </si>
  <si>
    <t>&lt;amazon-web-services&gt;&lt;zoho&gt;&lt;deluge&gt;</t>
  </si>
  <si>
    <t>2019-01-07T18:09:28.393</t>
  </si>
  <si>
    <t>Zoho mail says 535 Authentication Failed in Node Js</t>
  </si>
  <si>
    <t>2019-01-08T01:42:49.193</t>
  </si>
  <si>
    <t>2019-07-23T00:19:39.377</t>
  </si>
  <si>
    <t>2019-01-08T03:36:13.757</t>
  </si>
  <si>
    <t>2019-01-09T15:16:10.887</t>
  </si>
  <si>
    <t>How to reference resource file in java maven project running in docker container</t>
  </si>
  <si>
    <t>2019-01-09T17:16:42.010</t>
  </si>
  <si>
    <t>2020-03-18T01:47:18.230</t>
  </si>
  <si>
    <t>&lt;java&gt;&lt;maven&gt;&lt;spring-boot&gt;&lt;docker&gt;&lt;zoho&gt;</t>
  </si>
  <si>
    <t>2019-01-12T15:55:10.607</t>
  </si>
  <si>
    <t>What can cause a user to be able to only see one row in a report? Browser issue?</t>
  </si>
  <si>
    <t>2019-02-06T17:02:13.890</t>
  </si>
  <si>
    <t>2019-01-16T11:28:36.963</t>
  </si>
  <si>
    <t>Django ZoHo Python SDK v2 CRM Problem initialisation</t>
  </si>
  <si>
    <t>2019-01-16T20:37:50.580</t>
  </si>
  <si>
    <t>2019-10-31T18:56:36.930</t>
  </si>
  <si>
    <t>&lt;django&gt;&lt;sdk&gt;&lt;crm&gt;&lt;zoho&gt;</t>
  </si>
  <si>
    <t>2019-01-28T16:58:39.763</t>
  </si>
  <si>
    <t>Zoho Books to Google Sheets API</t>
  </si>
  <si>
    <t>&lt;api&gt;&lt;google-apps-script&gt;&lt;google-sheets&gt;&lt;google-sheets-api&gt;&lt;zoho&gt;</t>
  </si>
  <si>
    <t>2019-02-06T07:18:35.367</t>
  </si>
  <si>
    <t>Zoho CRM API v2- Current user API (users?type=CurrentUser) returns 403</t>
  </si>
  <si>
    <t>2019-02-06T08:32:02.950</t>
  </si>
  <si>
    <t>2019-02-06T22:10:52.467</t>
  </si>
  <si>
    <t>Flask with Zoho - SMTPServerDisconnected: please run connect() first</t>
  </si>
  <si>
    <t>2019-02-08T22:01:06.543</t>
  </si>
  <si>
    <t>&lt;python&gt;&lt;flask&gt;&lt;smtp&gt;&lt;zoho&gt;&lt;flask-mail&gt;</t>
  </si>
  <si>
    <t>2019-02-13T09:38:56.803</t>
  </si>
  <si>
    <t>Zoho workdrive api "General Exception" error</t>
  </si>
  <si>
    <t>2019-03-04T13:24:53.140</t>
  </si>
  <si>
    <t>2020-01-30T16:59:54.463</t>
  </si>
  <si>
    <t>2019-03-04T10:38:56.727</t>
  </si>
  <si>
    <t>2019-02-14T17:12:33.977</t>
  </si>
  <si>
    <t>Zoho response returning false</t>
  </si>
  <si>
    <t>2019-02-19T15:13:54.807</t>
  </si>
  <si>
    <t>2019-02-19T15:37:16.657</t>
  </si>
  <si>
    <t>2019-02-19T15:26:52.080</t>
  </si>
  <si>
    <t>2019-02-18T06:18:10.783</t>
  </si>
  <si>
    <t>Zoho desk invalid oauth</t>
  </si>
  <si>
    <t>2019-02-26T21:41:48.687</t>
  </si>
  <si>
    <t>Zoho Inventory API json</t>
  </si>
  <si>
    <t>2019-03-27T13:23:15.177</t>
  </si>
  <si>
    <t>&lt;api&gt;&lt;postman&gt;&lt;zoho&gt;</t>
  </si>
  <si>
    <t>2019-03-02T15:30:35.937</t>
  </si>
  <si>
    <t>Zoho Crm API2 Created_By &amp; Modifed_BY not updated by request</t>
  </si>
  <si>
    <t>2019-03-27T11:44:46.727</t>
  </si>
  <si>
    <t>&lt;php&gt;&lt;crm&gt;&lt;zoho&gt;</t>
  </si>
  <si>
    <t>2019-03-05T03:53:36.890</t>
  </si>
  <si>
    <t>zoho books custom function with deluge</t>
  </si>
  <si>
    <t>2020-01-03T08:47:24.390</t>
  </si>
  <si>
    <t>2019-03-08T14:01:54.153</t>
  </si>
  <si>
    <t>Zoho creator ,Invalid JSON payload received, when trying to integrate creator-form-data to google sheet</t>
  </si>
  <si>
    <t>2019-03-15T09:45:48.893</t>
  </si>
  <si>
    <t>&lt;google-sheets&gt;&lt;zoho&gt;</t>
  </si>
  <si>
    <t>2019-03-12T07:53:39.937</t>
  </si>
  <si>
    <t>Forward mail through two mx records</t>
  </si>
  <si>
    <t>&lt;email&gt;&lt;dns&gt;&lt;html-email&gt;&lt;web-hosting&gt;&lt;zoho&gt;</t>
  </si>
  <si>
    <t>2019-03-18T09:17:43.970</t>
  </si>
  <si>
    <t>Accessing multiple JSON objects in deluge script</t>
  </si>
  <si>
    <t>2019-03-26T08:07:47.383</t>
  </si>
  <si>
    <t>&lt;json&gt;&lt;zoho&gt;&lt;deluge&gt;</t>
  </si>
  <si>
    <t>2019-03-21T07:23:42.517</t>
  </si>
  <si>
    <t>Error sending mail with Firebase, Nodemailer and Zoho</t>
  </si>
  <si>
    <t>&lt;firebase&gt;&lt;google-cloud-functions&gt;&lt;nodemailer&gt;&lt;zoho&gt;</t>
  </si>
  <si>
    <t>2019-03-21T10:08:21.600</t>
  </si>
  <si>
    <t>2019-04-02T22:27:22.657</t>
  </si>
  <si>
    <t>Did I reinvent the wheel with multiple user access to 3rd party API within Google Apps Script?</t>
  </si>
  <si>
    <t>2019-04-02T22:57:51.637</t>
  </si>
  <si>
    <t>&lt;rest&gt;&lt;google-apps-script&gt;&lt;google-sheets&gt;&lt;zoho&gt;</t>
  </si>
  <si>
    <t>2019-04-04T11:27:21.620</t>
  </si>
  <si>
    <t>Emails not sending from smtp.zoho.com in c#</t>
  </si>
  <si>
    <t>2019-04-05T11:49:09.270</t>
  </si>
  <si>
    <t>2020-02-07T14:29:47.623</t>
  </si>
  <si>
    <t>&lt;c#&gt;&lt;asp.net-mvc&gt;&lt;zoho&gt;</t>
  </si>
  <si>
    <t>2019-04-04T15:59:38.420</t>
  </si>
  <si>
    <t>PHP JSON Decoding To Array To Grab Specific Key Values (All fields same name)</t>
  </si>
  <si>
    <t>2019-04-04T19:23:25.310</t>
  </si>
  <si>
    <t>&lt;php&gt;&lt;arrays&gt;&lt;json&gt;&lt;zoho&gt;</t>
  </si>
  <si>
    <t>2019-04-04T16:06:22.140</t>
  </si>
  <si>
    <t>2019-04-25T16:13:58.997</t>
  </si>
  <si>
    <t>No 'Access-Control-Allow-Origin' header is present on the requested resource in angular app</t>
  </si>
  <si>
    <t>2019-04-25T16:20:43.047</t>
  </si>
  <si>
    <t>2019-04-25T16:41:52.830</t>
  </si>
  <si>
    <t>&lt;node.js&gt;&lt;angular&gt;&lt;azure&gt;&lt;zoho&gt;</t>
  </si>
  <si>
    <t>2019-05-12T23:17:08.433</t>
  </si>
  <si>
    <t>Zoho Creator in iframe adds blank lines - how do we stop that behavior</t>
  </si>
  <si>
    <t>2019-05-13T15:08:25.493</t>
  </si>
  <si>
    <t>&lt;iframe&gt;&lt;zoho&gt;</t>
  </si>
  <si>
    <t>2019-05-20T06:46:43.047</t>
  </si>
  <si>
    <t>Oauth2 access token returns "invalid client" error</t>
  </si>
  <si>
    <t>2019-05-20T11:15:00.813</t>
  </si>
  <si>
    <t>&lt;api&gt;&lt;curl&gt;&lt;oauth-2.0&gt;&lt;access-token&gt;&lt;zoho&gt;</t>
  </si>
  <si>
    <t>2019-05-23T13:56:32.717</t>
  </si>
  <si>
    <t>Zoho Books Custom function to update a field and input a value</t>
  </si>
  <si>
    <t>2020-01-03T08:55:25.820</t>
  </si>
  <si>
    <t>2019-05-25T14:43:17.323</t>
  </si>
  <si>
    <t>How to get refresh token and token from zohocrm api v2?</t>
  </si>
  <si>
    <t>2019-05-28T07:19:46.057</t>
  </si>
  <si>
    <t>Webhook integration between Podio and Zoho people</t>
  </si>
  <si>
    <t>&lt;podio&gt;&lt;zoho&gt;</t>
  </si>
  <si>
    <t>2019-05-29T07:38:00.117</t>
  </si>
  <si>
    <t>Error in creating record in zohocrm contacts using php 7.1</t>
  </si>
  <si>
    <t>2019-05-29T07:43:18.840</t>
  </si>
  <si>
    <t>2019-05-31T08:37:22.493</t>
  </si>
  <si>
    <t>2019-06-06T01:42:40.050</t>
  </si>
  <si>
    <t>How to get grant token automatic</t>
  </si>
  <si>
    <t>2019-06-11T11:13:40.803</t>
  </si>
  <si>
    <t>Zoho Subscription Integration with angular 5</t>
  </si>
  <si>
    <t>2019-06-11T11:44:04.847</t>
  </si>
  <si>
    <t>&lt;angular&gt;&lt;zoho&gt;</t>
  </si>
  <si>
    <t>2019-06-12T21:07:57.867</t>
  </si>
  <si>
    <t>Import data from Zoho Analytics to Python</t>
  </si>
  <si>
    <t>2019-06-13T02:11:22.950</t>
  </si>
  <si>
    <t>2019-06-13T12:58:13.977</t>
  </si>
  <si>
    <t>&lt;python&gt;&lt;api&gt;&lt;python-2.x&gt;&lt;zoho&gt;</t>
  </si>
  <si>
    <t>2019-06-13T04:59:42.580</t>
  </si>
  <si>
    <t>When i am submitting my form data into zoho leads then in console i am getting content security policy error</t>
  </si>
  <si>
    <t>2019-06-17T10:41:54.787</t>
  </si>
  <si>
    <t>&lt;javascript&gt;&lt;zoho&gt;</t>
  </si>
  <si>
    <t>2019-06-13T20:15:19.610</t>
  </si>
  <si>
    <t>Trying to connect to an API and opened MySQL port so it would work, but terminal just hangs</t>
  </si>
  <si>
    <t>&lt;python&gt;&lt;django&gt;&lt;networking&gt;&lt;zoho&gt;</t>
  </si>
  <si>
    <t>2019-06-17T14:23:15.767</t>
  </si>
  <si>
    <t>Why is the Symfony Mailer Component returning an empty response?</t>
  </si>
  <si>
    <t>2019-08-03T10:20:11.973</t>
  </si>
  <si>
    <t>&lt;symfony&gt;&lt;components&gt;&lt;mailer&gt;&lt;zoho&gt;&lt;dsn&gt;</t>
  </si>
  <si>
    <t>2019-06-19T13:53:36.920</t>
  </si>
  <si>
    <t>Django can no longer find base.html after third-pary API call</t>
  </si>
  <si>
    <t>2019-06-19T14:22:13.380</t>
  </si>
  <si>
    <t>&lt;python&gt;&lt;django&gt;&lt;zoho&gt;</t>
  </si>
  <si>
    <t>2019-06-20T04:52:52.537</t>
  </si>
  <si>
    <t>How to setup flask mail with zoho mail</t>
  </si>
  <si>
    <t>2019-07-11T23:23:49.283</t>
  </si>
  <si>
    <t>&lt;python&gt;&lt;zoho&gt;&lt;flask-mail&gt;</t>
  </si>
  <si>
    <t>2019-06-21T09:38:17.890</t>
  </si>
  <si>
    <t>Zoho crm api v2 for php</t>
  </si>
  <si>
    <t>2019-06-22T08:02:27.930</t>
  </si>
  <si>
    <t>2019-10-11T14:31:45.150</t>
  </si>
  <si>
    <t>2019-06-24T17:41:57.027</t>
  </si>
  <si>
    <t>Zoho with NodeMailer not working error code: 'EDNS'</t>
  </si>
  <si>
    <t>2019-08-28T11:42:57.313</t>
  </si>
  <si>
    <t>&lt;javascript&gt;&lt;nodemailer&gt;&lt;zoho&gt;</t>
  </si>
  <si>
    <t>2019-06-24T21:33:42.623</t>
  </si>
  <si>
    <t>GCP project created by an app authorized by me, but I do not have access to it?</t>
  </si>
  <si>
    <t>2019-06-24T22:00:39.987</t>
  </si>
  <si>
    <t>&lt;google-apps-script&gt;&lt;google-cloud-platform&gt;&lt;zoho&gt;&lt;google-apps-script-api&gt;</t>
  </si>
  <si>
    <t>2019-06-25T02:22:57.540</t>
  </si>
  <si>
    <t>Upgrade from Zoho APIv1 to APIV2 -&gt; requests are not saving data</t>
  </si>
  <si>
    <t>2019-08-02T01:32:04.700</t>
  </si>
  <si>
    <t>2019-06-28T15:10:09.363</t>
  </si>
  <si>
    <t>Zoho CRM - link to Zoho Forms from email in function</t>
  </si>
  <si>
    <t>2019-06-29T08:39:22.467</t>
  </si>
  <si>
    <t>How to access crmplus zoho account?</t>
  </si>
  <si>
    <t>2019-07-01T10:20:51.623</t>
  </si>
  <si>
    <t>Unable to generate access token from grant token in zoho</t>
  </si>
  <si>
    <t>2019-07-01T10:39:58.580</t>
  </si>
  <si>
    <t>2019-07-31T18:51:35.320</t>
  </si>
  <si>
    <t>2019-07-02T00:56:15.807</t>
  </si>
  <si>
    <t>"Invalid legacy scope provided" error when attempting to access a Google API from web app?</t>
  </si>
  <si>
    <t>2019-07-02T16:34:48.070</t>
  </si>
  <si>
    <t>2019-07-02T16:49:31.807</t>
  </si>
  <si>
    <t>&lt;json&gt;&lt;rest&gt;&lt;google-apps-script&gt;&lt;google-cloud-platform&gt;&lt;zoho&gt;</t>
  </si>
  <si>
    <t>2019-07-02T06:20:06.927</t>
  </si>
  <si>
    <t>Zoho People API Today Birthday</t>
  </si>
  <si>
    <t>2019-10-21T05:54:19.217</t>
  </si>
  <si>
    <t>2019-07-03T15:14:18.620</t>
  </si>
  <si>
    <t>oauth response with restsharp for zoho</t>
  </si>
  <si>
    <t>2019-07-27T13:35:47.017</t>
  </si>
  <si>
    <t>&lt;oauth-2.0&gt;&lt;zoho&gt;</t>
  </si>
  <si>
    <t>2019-07-03T18:15:28.480</t>
  </si>
  <si>
    <t>How to export views with image links from ZohoDB record?</t>
  </si>
  <si>
    <t>2019-07-05T12:26:01.337</t>
  </si>
  <si>
    <t>How can I upload a file using ZOHO CRM V2 to my custom file upload Fields?</t>
  </si>
  <si>
    <t>2019-07-07T04:25:30.487</t>
  </si>
  <si>
    <t>&lt;php&gt;&lt;crm&gt;&lt;php-curl&gt;&lt;zoho&gt;</t>
  </si>
  <si>
    <t>2019-07-15T07:31:53.890</t>
  </si>
  <si>
    <t>ZOHO CRM Not getting refresh token in response</t>
  </si>
  <si>
    <t>2019-07-17T04:55:20.213</t>
  </si>
  <si>
    <t>2019-12-02T14:21:51.220</t>
  </si>
  <si>
    <t>&lt;swift&gt;&lt;oauth-2.0&gt;&lt;crm&gt;&lt;zoho&gt;&lt;refresh-token&gt;</t>
  </si>
  <si>
    <t>2019-12-02T13:42:12.267</t>
  </si>
  <si>
    <t>2019-07-17T13:20:36.297</t>
  </si>
  <si>
    <t>How to reply to an email using zoho mail API</t>
  </si>
  <si>
    <t>2019-07-22T09:44:21.390</t>
  </si>
  <si>
    <t>Populate cost field based on selection of look up field</t>
  </si>
  <si>
    <t>2019-07-29T06:31:15.820</t>
  </si>
  <si>
    <t>How Iscontain can return string</t>
  </si>
  <si>
    <t>2019-07-29T06:31:43.760</t>
  </si>
  <si>
    <t>2019-07-29T06:33:20.290</t>
  </si>
  <si>
    <t>2019-07-31T01:47:11.990</t>
  </si>
  <si>
    <t>How do I fix a php file_get_contents warning caused by a negative number in JSON content?</t>
  </si>
  <si>
    <t>2019-07-31T03:13:52.917</t>
  </si>
  <si>
    <t>&lt;php&gt;&lt;file-get-contents&gt;&lt;zoho&gt;</t>
  </si>
  <si>
    <t>2019-08-05T13:42:57.257</t>
  </si>
  <si>
    <t>How to send 'JSON' in post request using deluge?</t>
  </si>
  <si>
    <t>2019-08-05T14:29:53.320</t>
  </si>
  <si>
    <t>2019-08-06T13:37:48.837</t>
  </si>
  <si>
    <t>2019-08-06T06:00:57.080</t>
  </si>
  <si>
    <t>Slideshare api getting 'Failed API Validation' error response</t>
  </si>
  <si>
    <t>2020-01-02T12:14:40.653</t>
  </si>
  <si>
    <t>&lt;api&gt;&lt;linkedin-api&gt;&lt;zoho&gt;&lt;deluge&gt;</t>
  </si>
  <si>
    <t>2020-01-02T09:09:39.430</t>
  </si>
  <si>
    <t>2019-08-07T23:52:32.673</t>
  </si>
  <si>
    <t>Pushing visitor data from DialogFlow to ZohoCRM</t>
  </si>
  <si>
    <t>2019-08-08T09:22:09.397</t>
  </si>
  <si>
    <t>2019-08-19T12:59:35.917</t>
  </si>
  <si>
    <t>&lt;dialogflow&gt;&lt;crm&gt;&lt;zoho&gt;</t>
  </si>
  <si>
    <t>2019-08-08T10:23:50.517</t>
  </si>
  <si>
    <t>Merge rows with the same name using MYSQL</t>
  </si>
  <si>
    <t>2019-08-08T12:16:23.453</t>
  </si>
  <si>
    <t>2019-08-08T10:28:11.510</t>
  </si>
  <si>
    <t>2019-08-16T11:21:43.650</t>
  </si>
  <si>
    <t>How to get over 200 records from zoho server via ZCRMSDK in Net core?</t>
  </si>
  <si>
    <t>2019-08-16T13:50:07.083</t>
  </si>
  <si>
    <t>2019-10-10T13:44:32.593</t>
  </si>
  <si>
    <t>&lt;api&gt;&lt;sdk&gt;&lt;crm&gt;&lt;zoho&gt;</t>
  </si>
  <si>
    <t>2019-08-28T07:17:29.077</t>
  </si>
  <si>
    <t>I have a problem with Zoho Integration (JS SDK)</t>
  </si>
  <si>
    <t>2019-09-03T06:02:04.320</t>
  </si>
  <si>
    <t>&lt;javascript&gt;&lt;crm&gt;&lt;zoho&gt;</t>
  </si>
  <si>
    <t>2019-09-02T19:48:16.390</t>
  </si>
  <si>
    <t>Fetch data from ZOHO CREATOR API with python using requests library</t>
  </si>
  <si>
    <t>2019-09-02T21:55:20.763</t>
  </si>
  <si>
    <t>2020-03-16T23:14:18.877</t>
  </si>
  <si>
    <t>&lt;python&gt;&lt;html&gt;&lt;python-requests&gt;&lt;zoho&gt;</t>
  </si>
  <si>
    <t>2019-09-10T20:25:40.227</t>
  </si>
  <si>
    <t>2019-09-07T07:43:38.990</t>
  </si>
  <si>
    <t>In Zoho Creator unable to pass the decision from Zoho Workflow (deluge script) to Zoho Form</t>
  </si>
  <si>
    <t>2019-09-25T11:44:54.137</t>
  </si>
  <si>
    <t>2019-09-12T07:01:55.787</t>
  </si>
  <si>
    <t>How can we use PHPMailer with Zoho oAuth?</t>
  </si>
  <si>
    <t>2019-09-12T08:02:21.033</t>
  </si>
  <si>
    <t>&lt;php&gt;&lt;oauth&gt;&lt;zoho&gt;</t>
  </si>
  <si>
    <t>2019-09-19T13:04:08.010</t>
  </si>
  <si>
    <t>Zoho Rest Invoice API Return 400 Error, Java HttpClient</t>
  </si>
  <si>
    <t>2019-10-11T08:28:00.193</t>
  </si>
  <si>
    <t>&lt;java&gt;&lt;spring-boot&gt;&lt;invoice&gt;&lt;zoho&gt;</t>
  </si>
  <si>
    <t>2019-09-23T01:04:17.107</t>
  </si>
  <si>
    <t>Redirect to Zoho matched Customer Record with Deluge function</t>
  </si>
  <si>
    <t>2020-01-03T10:53:40.630</t>
  </si>
  <si>
    <t>2019-09-25T09:32:16.587</t>
  </si>
  <si>
    <t>2019-09-25T05:59:23.673</t>
  </si>
  <si>
    <t>Making HTTPS POST call is not working in AWS production env</t>
  </si>
  <si>
    <t>2019-09-25T07:50:57.010</t>
  </si>
  <si>
    <t>2019-10-24T12:46:16.920</t>
  </si>
  <si>
    <t>&lt;node.js&gt;&lt;aws-lambda&gt;&lt;node-modules&gt;&lt;zoho&gt;</t>
  </si>
  <si>
    <t>2019-09-25T16:17:53.973</t>
  </si>
  <si>
    <t>ZOHO CRM (SDK) using Laravel: How to make Authentication request initializing the Zoho SDK and store the Access Token for one session?</t>
  </si>
  <si>
    <t>2019-09-25T17:10:27.323</t>
  </si>
  <si>
    <t>&lt;php&gt;&lt;laravel&gt;&lt;sdk&gt;&lt;restful-authentication&gt;&lt;zoho&gt;</t>
  </si>
  <si>
    <t>2019-09-26T11:33:02.873</t>
  </si>
  <si>
    <t>How to submit html form from API Nodejs + Expressjs</t>
  </si>
  <si>
    <t>2019-09-26T13:20:52.697</t>
  </si>
  <si>
    <t>&lt;node.js&gt;&lt;forms&gt;&lt;express&gt;&lt;zoho&gt;</t>
  </si>
  <si>
    <t>2019-09-27T12:28:42.600</t>
  </si>
  <si>
    <t>Adding google analytics data it Zoho CRM leads information</t>
  </si>
  <si>
    <t>2019-09-29T06:01:03.620</t>
  </si>
  <si>
    <t>&lt;google-analytics&gt;&lt;analytics&gt;&lt;google-analytics-api&gt;&lt;crm&gt;&lt;zoho&gt;</t>
  </si>
  <si>
    <t>2019-09-30T14:37:10.983</t>
  </si>
  <si>
    <t>How to remove error: self signed certificate in certificate chain for Node.js Mail Sender for Zoho Mail</t>
  </si>
  <si>
    <t>&lt;node.js&gt;&lt;ssl&gt;&lt;nodemailer&gt;&lt;self-signed&gt;&lt;zoho&gt;</t>
  </si>
  <si>
    <t>2019-10-05T13:14:22.507</t>
  </si>
  <si>
    <t>client id for multiple users issue with zoho integration</t>
  </si>
  <si>
    <t>2019-10-06T07:32:08.627</t>
  </si>
  <si>
    <t>unable to create zoho oauth client id with global scope</t>
  </si>
  <si>
    <t>2019-10-10T11:00:45.950</t>
  </si>
  <si>
    <t>2019-10-07T13:47:11.973</t>
  </si>
  <si>
    <t>How to integrate zoho 'Mobilisten' to xcode 11</t>
  </si>
  <si>
    <t>2019-10-07T14:16:39.587</t>
  </si>
  <si>
    <t>2019-10-15T20:06:10.447</t>
  </si>
  <si>
    <t>&lt;ios&gt;&lt;ios13&gt;&lt;xcode11&gt;&lt;zoho&gt;</t>
  </si>
  <si>
    <t>2019-10-09T12:15:12.930</t>
  </si>
  <si>
    <t>Advantage JDBC , Unexpected EOF while reading from socket?</t>
  </si>
  <si>
    <t>&lt;jdbc&gt;&lt;zoho&gt;&lt;advantage-database-server&gt;</t>
  </si>
  <si>
    <t>2019-10-11T11:59:11.147</t>
  </si>
  <si>
    <t>Sub-Field inside a Field in ZOHO CRM</t>
  </si>
  <si>
    <t>2019-10-11T17:05:07.943</t>
  </si>
  <si>
    <t>How to create multiple products (item lines) in zoho books API when creating an invoice</t>
  </si>
  <si>
    <t>2019-10-11T17:06:59.163</t>
  </si>
  <si>
    <t>2019-12-17T10:38:53.937</t>
  </si>
  <si>
    <t>&lt;php&gt;&lt;laravel&gt;&lt;api&gt;&lt;zoho&gt;&lt;zohobooks&gt;</t>
  </si>
  <si>
    <t>2019-10-13T09:05:21.787</t>
  </si>
  <si>
    <t>Setting up Scheduled refreshes from Data in Zoho CRM</t>
  </si>
  <si>
    <t>2019-10-14T06:40:08.943</t>
  </si>
  <si>
    <t>&lt;powerbi&gt;&lt;zoho&gt;</t>
  </si>
  <si>
    <t>2019-10-15T12:30:19.613</t>
  </si>
  <si>
    <t>How to create a Courier Price calculator in wordpress based on geolocation?</t>
  </si>
  <si>
    <t>2019-10-15T15:42:37.027</t>
  </si>
  <si>
    <t>2019-10-17T10:26:56.887</t>
  </si>
  <si>
    <t>Connection could not be established with host (Zoho) using Yii2 SwiftMailer</t>
  </si>
  <si>
    <t>2019-10-18T07:35:30.843</t>
  </si>
  <si>
    <t>&lt;yii2&gt;&lt;yii2-advanced-app&gt;&lt;swiftmailer&gt;&lt;zoho&gt;&lt;godaddy-api&gt;</t>
  </si>
  <si>
    <t>2019-10-18T15:42:21.717</t>
  </si>
  <si>
    <t>Know what data I have in a list of ZOHO CREATOR</t>
  </si>
  <si>
    <t>2019-10-22T20:18:25.513</t>
  </si>
  <si>
    <t>Fetch visitor data from zoho in Dialogflow Fulfillment</t>
  </si>
  <si>
    <t>&lt;zoho&gt;&lt;dialogflow-fulfillment&gt;</t>
  </si>
  <si>
    <t>2019-11-04T05:43:00.227</t>
  </si>
  <si>
    <t>What is Authorized Redirect URI?</t>
  </si>
  <si>
    <t>2019-11-04T07:37:34.177</t>
  </si>
  <si>
    <t>&lt;firebase&gt;&lt;google-cloud-firestore&gt;&lt;crm&gt;&lt;zoho&gt;&lt;vercel&gt;</t>
  </si>
  <si>
    <t>2019-11-05T16:01:56.117</t>
  </si>
  <si>
    <t>Using NuxtJS for Zoho CRM Widgets</t>
  </si>
  <si>
    <t>2019-11-08T16:34:24.967</t>
  </si>
  <si>
    <t>2020-01-23T12:57:33.657</t>
  </si>
  <si>
    <t>&lt;javascript&gt;&lt;vue.js&gt;&lt;nuxt.js&gt;&lt;zoho&gt;</t>
  </si>
  <si>
    <t>2019-11-06T21:42:22.847</t>
  </si>
  <si>
    <t>Error: Message failed: 553 Relaying disallowed as @ . - NodeMail Zoho</t>
  </si>
  <si>
    <t>2019-11-08T20:05:21.510</t>
  </si>
  <si>
    <t>Calculated YTD using date column and group by multiple column?</t>
  </si>
  <si>
    <t>2019-11-08T21:17:46.273</t>
  </si>
  <si>
    <t>&lt;sql&gt;&lt;group-by&gt;&lt;sum&gt;&lt;zoho&gt;</t>
  </si>
  <si>
    <t>2019-11-09T21:22:43.727</t>
  </si>
  <si>
    <t>Forward SMS from Twilio to Email using Zoho Deluge</t>
  </si>
  <si>
    <t>2020-01-03T14:29:10.380</t>
  </si>
  <si>
    <t>&lt;email&gt;&lt;sms&gt;&lt;twilio&gt;&lt;zoho&gt;</t>
  </si>
  <si>
    <t>2019-11-12T03:28:02.960</t>
  </si>
  <si>
    <t>2019-11-13T19:31:38.940</t>
  </si>
  <si>
    <t>how insert lookup field in Zoho via PHP-SDK APIv2</t>
  </si>
  <si>
    <t>2019-11-18T07:22:59.677</t>
  </si>
  <si>
    <t>2019-11-14T13:45:36.233</t>
  </si>
  <si>
    <t>Missing Token zoho desk integration</t>
  </si>
  <si>
    <t>2019-11-14T17:15:56.400</t>
  </si>
  <si>
    <t>&lt;python-3.x&gt;&lt;oauth-2.0&gt;&lt;zoho&gt;</t>
  </si>
  <si>
    <t>2019-11-15T12:36:52.563</t>
  </si>
  <si>
    <t>Get document list by their request_status for example "completed" in Zoho api PHP?</t>
  </si>
  <si>
    <t>2019-11-16T06:53:50.600</t>
  </si>
  <si>
    <t>2019-11-26T11:37:18.777</t>
  </si>
  <si>
    <t>2019-11-26T11:13:27.090</t>
  </si>
  <si>
    <t>2019-11-19T05:45:49.597</t>
  </si>
  <si>
    <t>Displaying JSON output from an API call in Ruby using VScode</t>
  </si>
  <si>
    <t>2019-11-19T11:59:44.710</t>
  </si>
  <si>
    <t>&lt;ruby&gt;&lt;api&gt;&lt;zoho&gt;</t>
  </si>
  <si>
    <t>2019-11-19T06:39:24.337</t>
  </si>
  <si>
    <t>2019-11-19T05:52:20.060</t>
  </si>
  <si>
    <t>zoho crm attendance and timesheet data in qlikview</t>
  </si>
  <si>
    <t>&lt;qlikview&gt;&lt;zoho&gt;</t>
  </si>
  <si>
    <t>2019-11-19T11:50:36.320</t>
  </si>
  <si>
    <t>How to implement Zoho Subscriptions webhook hash validation?</t>
  </si>
  <si>
    <t>&lt;.net&gt;&lt;hash&gt;&lt;webhooks&gt;&lt;zoho&gt;</t>
  </si>
  <si>
    <t>2019-11-26T18:05:18.260</t>
  </si>
  <si>
    <t>Unable to extract attendance data in JSON postman</t>
  </si>
  <si>
    <t>2019-11-27T04:24:44.070</t>
  </si>
  <si>
    <t>2019-11-27T09:00:11.383</t>
  </si>
  <si>
    <t>2019-11-26T19:40:54.670</t>
  </si>
  <si>
    <t>The field is not available for search in zoho cdk</t>
  </si>
  <si>
    <t>2019-11-27T04:29:47.427</t>
  </si>
  <si>
    <t>Attendance API from zoho people in postman</t>
  </si>
  <si>
    <t>&lt;json&gt;&lt;api&gt;&lt;postman&gt;&lt;data-extraction&gt;&lt;zoho&gt;</t>
  </si>
  <si>
    <t>2019-11-27T17:31:45.290</t>
  </si>
  <si>
    <t>Permission denied when try to fetch records from zoho people</t>
  </si>
  <si>
    <t>2019-12-18T18:23:43.873</t>
  </si>
  <si>
    <t>&lt;api&gt;&lt;postman&gt;&lt;zoho&gt;&lt;postman-collection-runner&gt;&lt;postman-pre-request-script&gt;</t>
  </si>
  <si>
    <t>2019-12-02T07:15:22.387</t>
  </si>
  <si>
    <t>How to use Zoho CRM API V2 from PHP page?</t>
  </si>
  <si>
    <t>2019-12-07T05:54:36.503</t>
  </si>
  <si>
    <t>&lt;php&gt;&lt;html&gt;&lt;crm&gt;&lt;zoho&gt;</t>
  </si>
  <si>
    <t>2019-12-02T08:15:15.517</t>
  </si>
  <si>
    <t>2019-12-05T16:39:24.350</t>
  </si>
  <si>
    <t>using oath2 to access square inventory counts via zoho analytics</t>
  </si>
  <si>
    <t>&lt;oauth-2.0&gt;&lt;zoho&gt;&lt;square&gt;</t>
  </si>
  <si>
    <t>2019-12-09T13:09:40.950</t>
  </si>
  <si>
    <t>How Can I bypass Zoho Creator Records Run limit?</t>
  </si>
  <si>
    <t>&lt;function&gt;&lt;loops&gt;&lt;range&gt;&lt;record&gt;&lt;zoho&gt;</t>
  </si>
  <si>
    <t>2019-12-10T14:03:47.410</t>
  </si>
  <si>
    <t>ZOHO API response, not getting POJO</t>
  </si>
  <si>
    <t>2019-12-10T14:21:43.960</t>
  </si>
  <si>
    <t>&lt;android&gt;&lt;api&gt;&lt;retrofit&gt;&lt;zoho&gt;&lt;jsonschema2pojo&gt;</t>
  </si>
  <si>
    <t>2019-12-13T10:38:30.797</t>
  </si>
  <si>
    <t>How to verify call-signature hash value in GraphQL?</t>
  </si>
  <si>
    <t>&lt;httprequest&gt;&lt;zoho&gt;&lt;gql&gt;</t>
  </si>
  <si>
    <t>2019-12-13T21:25:08.827</t>
  </si>
  <si>
    <t>Cloudflare is blocking me from my wordpress site for trying to add a javascript code snippet from a zoho chat plugin</t>
  </si>
  <si>
    <t>2019-12-16T14:51:14.927</t>
  </si>
  <si>
    <t>2019-12-16T18:53:38.430</t>
  </si>
  <si>
    <t>&lt;javascript&gt;&lt;wordpress&gt;&lt;cloudflare&gt;&lt;zoho&gt;</t>
  </si>
  <si>
    <t>2019-12-17T06:49:03.397</t>
  </si>
  <si>
    <t>How to call Zoho mail inbox api in nodejs application?</t>
  </si>
  <si>
    <t>2019-12-19T13:36:02.087</t>
  </si>
  <si>
    <t>2019-12-21T08:05:59.997</t>
  </si>
  <si>
    <t>To select all fields from Zoho modules in CRM v2 apis</t>
  </si>
  <si>
    <t>2019-12-27T07:56:12.213</t>
  </si>
  <si>
    <t>2019-12-31T07:54:08.993</t>
  </si>
  <si>
    <t>zoho crm v1 to v2 migration api update using curl functions</t>
  </si>
  <si>
    <t>&lt;php&gt;&lt;api&gt;&lt;postman&gt;&lt;zoho&gt;</t>
  </si>
  <si>
    <t>2020-01-10T10:54:03.153</t>
  </si>
  <si>
    <t>How to use non-aggregate columns used in the SELECT clause without using it in GROUP BY clause?</t>
  </si>
  <si>
    <t>2020-01-10T11:15:57.870</t>
  </si>
  <si>
    <t>2020-01-11T11:14:07.040</t>
  </si>
  <si>
    <t>&lt;sql&gt;&lt;sql-server&gt;&lt;zoho&gt;</t>
  </si>
  <si>
    <t>2020-01-15T06:33:51.557</t>
  </si>
  <si>
    <t>How to create Zoho Webhook by using Oauth token</t>
  </si>
  <si>
    <t>&lt;oauth&gt;&lt;automation&gt;&lt;webhooks&gt;&lt;zoho&gt;</t>
  </si>
  <si>
    <t>2020-01-18T08:06:44.910</t>
  </si>
  <si>
    <t>How to convert or migrate Zoho API Version 1 code to API version 2 using php (insert Leads)</t>
  </si>
  <si>
    <t>2020-01-18T08:22:05.280</t>
  </si>
  <si>
    <t>&lt;php&gt;&lt;dynamics-crm&gt;&lt;zoho&gt;</t>
  </si>
  <si>
    <t>2020-01-22T05:01:16.973</t>
  </si>
  <si>
    <t>Simplify the query or rewriting the query by omitting UNION ALL?</t>
  </si>
  <si>
    <t>2020-01-22T05:40:37.133</t>
  </si>
  <si>
    <t>2020-01-22T07:02:08.277</t>
  </si>
  <si>
    <t>2020-01-22T05:22:10.110</t>
  </si>
  <si>
    <t>2020-01-22T11:22:30.797</t>
  </si>
  <si>
    <t>Unable to run the Rest API Using Php and Curl</t>
  </si>
  <si>
    <t>2020-01-27T13:55:51.370</t>
  </si>
  <si>
    <t>2020-01-27T21:01:48.913</t>
  </si>
  <si>
    <t>2020-01-23T09:25:08.497</t>
  </si>
  <si>
    <t>How to update blueprint transition stage via v2 Api (Zoho Crm)</t>
  </si>
  <si>
    <t>2020-01-31T14:06:39.633</t>
  </si>
  <si>
    <t>T_CONSTANT_ENCAPSED_STRING Zoho</t>
  </si>
  <si>
    <t>2020-01-31T14:14:34.390</t>
  </si>
  <si>
    <t>2020-02-09T19:54:22.027</t>
  </si>
  <si>
    <t>How to pass the Zoho-oauthtoken in the Header using Guzzle on Laravel?</t>
  </si>
  <si>
    <t>2020-02-10T14:13:07.647</t>
  </si>
  <si>
    <t>2020-02-10T15:25:16.960</t>
  </si>
  <si>
    <t>&lt;laravel&gt;&lt;http-headers&gt;&lt;guzzle&gt;&lt;octobercms&gt;&lt;zoho&gt;</t>
  </si>
  <si>
    <t>2020-02-11T12:16:18.637</t>
  </si>
  <si>
    <t>How to send zoho creator file field in zoho crm attacment</t>
  </si>
  <si>
    <t>2020-02-11T13:05:48.117</t>
  </si>
  <si>
    <t>2020-02-24T15:28:40.243</t>
  </si>
  <si>
    <t>Zoho subscription validate webhook signature NodeJS</t>
  </si>
  <si>
    <t>2020-02-24T15:34:51.187</t>
  </si>
  <si>
    <t>2020-02-25T22:06:09.150</t>
  </si>
  <si>
    <t>&lt;node.js&gt;&lt;webhooks&gt;&lt;signature&gt;&lt;hmac&gt;&lt;zoho&gt;</t>
  </si>
  <si>
    <t>2020-02-25T22:00:01.467</t>
  </si>
  <si>
    <t>2020-02-25T07:15:48.067</t>
  </si>
  <si>
    <t>Pulling Data from Linkedin &amp; Instagram in Zoho Analytics</t>
  </si>
  <si>
    <t>&lt;api&gt;&lt;analytics&gt;&lt;zoho&gt;</t>
  </si>
  <si>
    <t>2020-02-25T13:46:57.380</t>
  </si>
  <si>
    <t>Administrative Quarantined Message</t>
  </si>
  <si>
    <t>&lt;asp.net&gt;&lt;server&gt;&lt;zoho&gt;&lt;zohobooks&gt;</t>
  </si>
  <si>
    <t>2020-03-02T19:19:55.730</t>
  </si>
  <si>
    <t>Zoho CRM Custom Function Deluge Script update a date field with year of different date field</t>
  </si>
  <si>
    <t>2020-03-04T17:04:11.717</t>
  </si>
  <si>
    <t>&lt;crm&gt;&lt;zoho&gt;&lt;custom-function&gt;&lt;deluge&gt;</t>
  </si>
  <si>
    <t>2020-03-15T04:18:01.333</t>
  </si>
  <si>
    <t>How to get full image URL from the Zoho Inventory via the API?</t>
  </si>
  <si>
    <t>2020-03-18T02:06:10.420</t>
  </si>
  <si>
    <t>&lt;image&gt;&lt;api&gt;&lt;inventory&gt;&lt;zoho&gt;</t>
  </si>
  <si>
    <t>2020-03-16T12:27:12.043</t>
  </si>
  <si>
    <t>How to get Zoho Books Module Fields via Zoho Books API</t>
  </si>
  <si>
    <t>2020-03-20T18:34:20.390</t>
  </si>
  <si>
    <t>Generating zoho ticket using google apps script</t>
  </si>
  <si>
    <t>2020-03-21T18:16:51.703</t>
  </si>
  <si>
    <t>2020-03-26T13:35:55.883</t>
  </si>
  <si>
    <t>2020-03-24T09:01:45.360</t>
  </si>
  <si>
    <t>External script in Gatsby</t>
  </si>
  <si>
    <t>2020-03-24T11:05:30.913</t>
  </si>
  <si>
    <t>2020-03-26T00:22:37.180</t>
  </si>
  <si>
    <t>&lt;reactjs&gt;&lt;gatsby&gt;&lt;zoho&gt;</t>
  </si>
  <si>
    <t>2020-03-24T11:42:33.433</t>
  </si>
  <si>
    <t>2020-03-26T00:43:22.280</t>
  </si>
  <si>
    <t>Excel VB Send Active Workbook as PDF using Zoho mail [CDO]</t>
  </si>
  <si>
    <t>2020-03-26T02:31:47.640</t>
  </si>
  <si>
    <t>&lt;excel&gt;&lt;vba&gt;&lt;zoho&gt;</t>
  </si>
  <si>
    <t>2020-04-02T11:30:35.870</t>
  </si>
  <si>
    <t>Is it possible to hide/unhide or enable/disable a custom button based on conditional statements in Zoho CRM?</t>
  </si>
  <si>
    <t>2020-05-09T23:35:49.220</t>
  </si>
  <si>
    <t>2020-04-08T12:00:42.363</t>
  </si>
  <si>
    <t>Zoho lead api not saving data for a field</t>
  </si>
  <si>
    <t>2020-04-08T12:40:15.723</t>
  </si>
  <si>
    <t>2020-04-11T22:00:18.860</t>
  </si>
  <si>
    <t>How to retrieve Zoho mails using Zoho mail api's in Node.js?</t>
  </si>
  <si>
    <t>2020-04-20T12:06:30.677</t>
  </si>
  <si>
    <t>&lt;node.js&gt;&lt;email&gt;&lt;zoho&gt;</t>
  </si>
  <si>
    <t>2020-04-19T18:49:52.037</t>
  </si>
  <si>
    <t>Twilio incoming sms not working in Zoho CRM</t>
  </si>
  <si>
    <t>2020-04-19T20:55:02.963</t>
  </si>
  <si>
    <t>&lt;twilio&gt;&lt;zoho&gt;&lt;twilio-twiml&gt;&lt;twilio-programmable-chat&gt;</t>
  </si>
  <si>
    <t>2020-04-21T14:23:51.917</t>
  </si>
  <si>
    <t>Integrate Zoho Chatbot to Angular and appear after login</t>
  </si>
  <si>
    <t>2020-04-28T19:06:59.667</t>
  </si>
  <si>
    <t>How to integrate Zoho CRM with Messagebird</t>
  </si>
  <si>
    <t>2020-04-29T02:18:35.780</t>
  </si>
  <si>
    <t>&lt;integration&gt;&lt;zoho&gt;&lt;messagebird&gt;</t>
  </si>
  <si>
    <t>2020-04-29T19:21:07.217</t>
  </si>
  <si>
    <t>C# - Parsing response content results from Zoho Creator Rest API</t>
  </si>
  <si>
    <t>2020-04-29T21:32:07.520</t>
  </si>
  <si>
    <t>&lt;c#&gt;&lt;rest&gt;&lt;api&gt;&lt;zoho&gt;</t>
  </si>
  <si>
    <t>2020-05-03T18:20:23.747</t>
  </si>
  <si>
    <t>prefill zoho meeting username &amp; email on iframe embed</t>
  </si>
  <si>
    <t>&lt;zoho&gt;&lt;meeting-request&gt;</t>
  </si>
  <si>
    <t>2020-05-05T16:37:54.510</t>
  </si>
  <si>
    <t>Joining 2 data columns</t>
  </si>
  <si>
    <t>2020-05-06T06:13:28.663</t>
  </si>
  <si>
    <t>&lt;postgresql&gt;&lt;zoho&gt;</t>
  </si>
  <si>
    <t>2020-05-08T02:49:46.423</t>
  </si>
  <si>
    <t>Get email sender profile picture (Zoho)</t>
  </si>
  <si>
    <t>&lt;javascript&gt;&lt;email&gt;&lt;web-scraping&gt;&lt;zoho&gt;</t>
  </si>
  <si>
    <t>2020-05-13T03:46:35.493</t>
  </si>
  <si>
    <t>No Content Exception Error in Zoho Api v2 in php sdk</t>
  </si>
  <si>
    <t>2020-05-13T16:24:58.643</t>
  </si>
  <si>
    <t>2020-05-15T11:32:58.320</t>
  </si>
  <si>
    <t>XML RPC API error code :2945 message INVALID_TICKET</t>
  </si>
  <si>
    <t>2020-05-22T18:08:58.117</t>
  </si>
  <si>
    <t>How To Add Zoho CRM Leads with the Zoho CRM v2 API</t>
  </si>
  <si>
    <t>2020-05-27T14:00:06.497</t>
  </si>
  <si>
    <t>&lt;curl&gt;&lt;oauth-2.0&gt;&lt;crm&gt;&lt;zoho&gt;&lt;lead&gt;</t>
  </si>
  <si>
    <t>2020-05-25T09:44:56.947</t>
  </si>
  <si>
    <t>ZOHO API v2 Insert Lead with Guzzle 6.2 (Laravel) using API records</t>
  </si>
  <si>
    <t>2020-05-25T14:02:53.340</t>
  </si>
  <si>
    <t>&lt;laravel&gt;&lt;zoho&gt;&lt;guzzle6&gt;</t>
  </si>
  <si>
    <t>2020-05-25T12:33:25.817</t>
  </si>
  <si>
    <t>Zoho Deluge : how do i update table using large json file</t>
  </si>
  <si>
    <t>2020-05-26T06:22:15.117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</si>
</sst>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2" numFmtId="0" xfId="0" applyFont="1"/>
    <xf quotePrefix="1"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19.14"/>
    <col customWidth="1" min="4" max="4" width="75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Z1" s="1" t="s">
        <v>23</v>
      </c>
    </row>
    <row r="2">
      <c r="A2" s="3" t="str">
        <f>HYPERLINK("https://stackoverflow.com/q/8522884", "8522884")</f>
        <v>8522884</v>
      </c>
      <c r="B2" s="1" t="s">
        <v>24</v>
      </c>
      <c r="C2" s="1" t="s">
        <v>25</v>
      </c>
      <c r="D2" s="2" t="s">
        <v>26</v>
      </c>
      <c r="E2" s="1">
        <v>1.0</v>
      </c>
      <c r="I2" s="1">
        <v>0.0</v>
      </c>
      <c r="J2" s="1">
        <v>3176.0</v>
      </c>
      <c r="L2" s="1">
        <v>506236.0</v>
      </c>
      <c r="N2" s="1">
        <v>4215429.0</v>
      </c>
      <c r="P2" s="1" t="s">
        <v>27</v>
      </c>
      <c r="Q2" s="1" t="s">
        <v>27</v>
      </c>
      <c r="R2" s="1" t="s">
        <v>28</v>
      </c>
      <c r="S2" s="1">
        <v>1.0</v>
      </c>
      <c r="T2" s="1">
        <v>0.0</v>
      </c>
      <c r="X2" s="1" t="s">
        <v>29</v>
      </c>
    </row>
    <row r="3">
      <c r="A3" s="3" t="str">
        <f>HYPERLINK("https://stackoverflow.com/q/9481841", "9481841")</f>
        <v>9481841</v>
      </c>
      <c r="B3" s="1" t="s">
        <v>24</v>
      </c>
      <c r="C3" s="1" t="s">
        <v>30</v>
      </c>
      <c r="D3" s="2" t="s">
        <v>31</v>
      </c>
      <c r="E3" s="1">
        <v>1.0</v>
      </c>
      <c r="I3" s="1">
        <v>0.0</v>
      </c>
      <c r="J3" s="1">
        <v>834.0</v>
      </c>
      <c r="L3" s="1">
        <v>1237842.0</v>
      </c>
      <c r="N3" s="1">
        <v>4490.0</v>
      </c>
      <c r="P3" s="1" t="s">
        <v>32</v>
      </c>
      <c r="Q3" s="1" t="s">
        <v>32</v>
      </c>
      <c r="R3" s="1" t="s">
        <v>33</v>
      </c>
      <c r="S3" s="1">
        <v>1.0</v>
      </c>
      <c r="T3" s="1">
        <v>0.0</v>
      </c>
      <c r="X3" s="1" t="s">
        <v>29</v>
      </c>
    </row>
    <row r="4">
      <c r="A4" s="3" t="str">
        <f>HYPERLINK("https://stackoverflow.com/q/19102367", "19102367")</f>
        <v>19102367</v>
      </c>
      <c r="B4" s="1" t="s">
        <v>24</v>
      </c>
      <c r="C4" s="1" t="s">
        <v>34</v>
      </c>
      <c r="D4" s="2" t="s">
        <v>35</v>
      </c>
      <c r="E4" s="1">
        <v>1.0</v>
      </c>
      <c r="I4" s="1">
        <v>0.0</v>
      </c>
      <c r="J4" s="1">
        <v>209.0</v>
      </c>
      <c r="L4" s="1">
        <v>1980475.0</v>
      </c>
      <c r="N4" s="1">
        <v>4490.0</v>
      </c>
      <c r="P4" s="1" t="s">
        <v>36</v>
      </c>
      <c r="Q4" s="1" t="s">
        <v>37</v>
      </c>
      <c r="R4" s="1" t="s">
        <v>38</v>
      </c>
      <c r="S4" s="1">
        <v>2.0</v>
      </c>
      <c r="T4" s="1">
        <v>0.0</v>
      </c>
      <c r="X4" s="1" t="s">
        <v>29</v>
      </c>
    </row>
    <row r="5">
      <c r="A5" s="3" t="str">
        <f>HYPERLINK("https://stackoverflow.com/q/37124035", "37124035")</f>
        <v>37124035</v>
      </c>
      <c r="B5" s="1" t="s">
        <v>24</v>
      </c>
      <c r="C5" s="1" t="s">
        <v>39</v>
      </c>
      <c r="D5" s="2" t="s">
        <v>40</v>
      </c>
      <c r="E5" s="1">
        <v>1.0</v>
      </c>
      <c r="I5" s="1">
        <v>0.0</v>
      </c>
      <c r="J5" s="1">
        <v>249.0</v>
      </c>
      <c r="L5" s="1">
        <v>6162609.0</v>
      </c>
      <c r="N5" s="1">
        <v>4490.0</v>
      </c>
      <c r="P5" s="1" t="s">
        <v>41</v>
      </c>
      <c r="Q5" s="1" t="s">
        <v>41</v>
      </c>
      <c r="R5" s="1" t="s">
        <v>42</v>
      </c>
      <c r="S5" s="1">
        <v>1.0</v>
      </c>
      <c r="T5" s="1">
        <v>1.0</v>
      </c>
      <c r="X5" s="1" t="s">
        <v>29</v>
      </c>
    </row>
    <row r="6">
      <c r="A6" s="3" t="str">
        <f>HYPERLINK("https://stackoverflow.com/q/39471301", "39471301")</f>
        <v>39471301</v>
      </c>
      <c r="B6" s="1" t="s">
        <v>24</v>
      </c>
      <c r="C6" s="1" t="s">
        <v>43</v>
      </c>
      <c r="D6" s="2" t="s">
        <v>44</v>
      </c>
      <c r="E6" s="1">
        <v>1.0</v>
      </c>
      <c r="F6" s="1">
        <v>3.947215E7</v>
      </c>
      <c r="I6" s="1">
        <v>0.0</v>
      </c>
      <c r="J6" s="1">
        <v>134.0</v>
      </c>
      <c r="L6" s="1">
        <v>6529584.0</v>
      </c>
      <c r="N6" s="1">
        <v>4490.0</v>
      </c>
      <c r="P6" s="1" t="s">
        <v>45</v>
      </c>
      <c r="Q6" s="1" t="s">
        <v>45</v>
      </c>
      <c r="R6" s="1" t="s">
        <v>46</v>
      </c>
      <c r="S6" s="1">
        <v>2.0</v>
      </c>
      <c r="T6" s="1">
        <v>1.0</v>
      </c>
      <c r="X6" s="1" t="s">
        <v>29</v>
      </c>
      <c r="Z6" s="1" t="s">
        <v>47</v>
      </c>
    </row>
    <row r="7">
      <c r="A7" s="3" t="str">
        <f>HYPERLINK("https://stackoverflow.com/q/44588977", "44588977")</f>
        <v>44588977</v>
      </c>
      <c r="B7" s="1" t="s">
        <v>24</v>
      </c>
      <c r="C7" s="1" t="s">
        <v>48</v>
      </c>
      <c r="D7" s="2" t="s">
        <v>49</v>
      </c>
      <c r="E7" s="1">
        <v>1.0</v>
      </c>
      <c r="I7" s="1">
        <v>0.0</v>
      </c>
      <c r="J7" s="1">
        <v>181.0</v>
      </c>
      <c r="L7" s="1">
        <v>4746359.0</v>
      </c>
      <c r="Q7" s="1" t="s">
        <v>50</v>
      </c>
      <c r="R7" s="1" t="s">
        <v>51</v>
      </c>
      <c r="S7" s="1">
        <v>1.0</v>
      </c>
      <c r="T7" s="1">
        <v>0.0</v>
      </c>
      <c r="X7" s="1" t="s">
        <v>29</v>
      </c>
    </row>
    <row r="8">
      <c r="A8" s="3" t="str">
        <f>HYPERLINK("https://stackoverflow.com/q/54639927", "54639927")</f>
        <v>54639927</v>
      </c>
      <c r="B8" s="1" t="s">
        <v>24</v>
      </c>
      <c r="C8" s="1" t="s">
        <v>52</v>
      </c>
      <c r="D8" s="2" t="s">
        <v>53</v>
      </c>
      <c r="E8" s="1">
        <v>1.0</v>
      </c>
      <c r="I8" s="1">
        <v>0.0</v>
      </c>
      <c r="J8" s="1">
        <v>623.0</v>
      </c>
      <c r="L8" s="1">
        <v>2608854.0</v>
      </c>
      <c r="Q8" s="1" t="s">
        <v>54</v>
      </c>
      <c r="R8" s="1" t="s">
        <v>55</v>
      </c>
      <c r="S8" s="1">
        <v>1.0</v>
      </c>
      <c r="T8" s="1">
        <v>0.0</v>
      </c>
      <c r="X8" s="1" t="s">
        <v>56</v>
      </c>
    </row>
    <row r="9">
      <c r="A9" s="3" t="str">
        <f>HYPERLINK("https://stackoverflow.com/q/58281244", "58281244")</f>
        <v>58281244</v>
      </c>
      <c r="B9" s="1" t="s">
        <v>24</v>
      </c>
      <c r="C9" s="1" t="s">
        <v>57</v>
      </c>
      <c r="D9" s="2" t="s">
        <v>58</v>
      </c>
      <c r="E9" s="1">
        <v>1.0</v>
      </c>
      <c r="F9" s="1">
        <v>5.8296146E7</v>
      </c>
      <c r="I9" s="1">
        <v>0.0</v>
      </c>
      <c r="J9" s="1">
        <v>74.0</v>
      </c>
      <c r="L9" s="1">
        <v>3354235.0</v>
      </c>
      <c r="Q9" s="1" t="s">
        <v>59</v>
      </c>
      <c r="R9" s="1" t="s">
        <v>60</v>
      </c>
      <c r="S9" s="1">
        <v>1.0</v>
      </c>
      <c r="T9" s="1">
        <v>0.0</v>
      </c>
      <c r="X9" s="1" t="s">
        <v>56</v>
      </c>
      <c r="Z9" s="1" t="s">
        <v>59</v>
      </c>
    </row>
    <row r="10">
      <c r="A10" s="3" t="str">
        <f>HYPERLINK("https://stackoverflow.com/q/59402662", "59402662")</f>
        <v>59402662</v>
      </c>
      <c r="B10" s="1" t="s">
        <v>24</v>
      </c>
      <c r="C10" s="1" t="s">
        <v>61</v>
      </c>
      <c r="D10" s="2" t="s">
        <v>62</v>
      </c>
      <c r="E10" s="1">
        <v>1.0</v>
      </c>
      <c r="F10" s="1">
        <v>5.9557027E7</v>
      </c>
      <c r="I10" s="1">
        <v>0.0</v>
      </c>
      <c r="J10" s="1">
        <v>117.0</v>
      </c>
      <c r="L10" s="1">
        <v>85952.0</v>
      </c>
      <c r="N10" s="1">
        <v>85952.0</v>
      </c>
      <c r="P10" s="1" t="s">
        <v>63</v>
      </c>
      <c r="Q10" s="1" t="s">
        <v>64</v>
      </c>
      <c r="R10" s="1" t="s">
        <v>65</v>
      </c>
      <c r="S10" s="1">
        <v>1.0</v>
      </c>
      <c r="T10" s="1">
        <v>3.0</v>
      </c>
      <c r="X10" s="1" t="s">
        <v>56</v>
      </c>
      <c r="Z10" s="1" t="s">
        <v>64</v>
      </c>
    </row>
    <row r="11">
      <c r="A11" s="3" t="str">
        <f>HYPERLINK("https://stackoverflow.com/q/59960130", "59960130")</f>
        <v>59960130</v>
      </c>
      <c r="B11" s="1" t="s">
        <v>24</v>
      </c>
      <c r="C11" s="1" t="s">
        <v>66</v>
      </c>
      <c r="D11" s="2" t="s">
        <v>67</v>
      </c>
      <c r="E11" s="1">
        <v>1.0</v>
      </c>
      <c r="F11" s="1">
        <v>5.9962388E7</v>
      </c>
      <c r="I11" s="1">
        <v>0.0</v>
      </c>
      <c r="J11" s="1">
        <v>77.0</v>
      </c>
      <c r="L11" s="1">
        <v>3354235.0</v>
      </c>
      <c r="N11" s="1">
        <v>3354235.0</v>
      </c>
      <c r="P11" s="1" t="s">
        <v>68</v>
      </c>
      <c r="Q11" s="1" t="s">
        <v>69</v>
      </c>
      <c r="R11" s="1" t="s">
        <v>70</v>
      </c>
      <c r="S11" s="1">
        <v>1.0</v>
      </c>
      <c r="T11" s="1">
        <v>0.0</v>
      </c>
      <c r="X11" s="1" t="s">
        <v>56</v>
      </c>
      <c r="Z11" s="1" t="s">
        <v>71</v>
      </c>
    </row>
    <row r="12">
      <c r="A12" s="3" t="str">
        <f>HYPERLINK("https://stackoverflow.com/q/60211732", "60211732")</f>
        <v>60211732</v>
      </c>
      <c r="B12" s="1" t="s">
        <v>24</v>
      </c>
      <c r="C12" s="1" t="s">
        <v>72</v>
      </c>
      <c r="D12" s="2" t="s">
        <v>73</v>
      </c>
      <c r="E12" s="1">
        <v>1.0</v>
      </c>
      <c r="I12" s="1">
        <v>0.0</v>
      </c>
      <c r="J12" s="1">
        <v>23.0</v>
      </c>
      <c r="L12" s="1">
        <v>1.2853255E7</v>
      </c>
      <c r="N12" s="1">
        <v>1.0871073E7</v>
      </c>
      <c r="P12" s="1" t="s">
        <v>74</v>
      </c>
      <c r="Q12" s="1" t="s">
        <v>75</v>
      </c>
      <c r="R12" s="1" t="s">
        <v>76</v>
      </c>
      <c r="S12" s="1">
        <v>1.0</v>
      </c>
      <c r="T12" s="1">
        <v>1.0</v>
      </c>
      <c r="X12" s="1" t="s">
        <v>56</v>
      </c>
    </row>
    <row r="13">
      <c r="A13" s="3" t="str">
        <f>HYPERLINK("https://stackoverflow.com/q/60736675", "60736675")</f>
        <v>60736675</v>
      </c>
      <c r="B13" s="1" t="s">
        <v>24</v>
      </c>
      <c r="C13" s="1" t="s">
        <v>77</v>
      </c>
      <c r="D13" s="2" t="s">
        <v>78</v>
      </c>
      <c r="E13" s="1">
        <v>1.0</v>
      </c>
      <c r="F13" s="1">
        <v>6.1927643E7</v>
      </c>
      <c r="I13" s="1">
        <v>5.0</v>
      </c>
      <c r="J13" s="1">
        <v>82.0</v>
      </c>
      <c r="L13" s="1">
        <v>8330162.0</v>
      </c>
      <c r="Q13" s="1" t="s">
        <v>79</v>
      </c>
      <c r="R13" s="1" t="s">
        <v>80</v>
      </c>
      <c r="S13" s="1">
        <v>1.0</v>
      </c>
      <c r="T13" s="1">
        <v>0.0</v>
      </c>
      <c r="U13" s="1">
        <v>3.0</v>
      </c>
      <c r="X13" s="1" t="s">
        <v>56</v>
      </c>
      <c r="Z13" s="1" t="s">
        <v>81</v>
      </c>
    </row>
    <row r="14">
      <c r="A14" s="3" t="str">
        <f>HYPERLINK("https://stackoverflow.com/q/61038662", "61038662")</f>
        <v>61038662</v>
      </c>
      <c r="B14" s="1" t="s">
        <v>24</v>
      </c>
      <c r="C14" s="1" t="s">
        <v>82</v>
      </c>
      <c r="D14" s="2" t="s">
        <v>83</v>
      </c>
      <c r="E14" s="1">
        <v>1.0</v>
      </c>
      <c r="I14" s="1">
        <v>0.0</v>
      </c>
      <c r="J14" s="1">
        <v>15.0</v>
      </c>
      <c r="L14" s="1">
        <v>1.2893732E7</v>
      </c>
      <c r="Q14" s="1" t="s">
        <v>84</v>
      </c>
      <c r="R14" s="1" t="s">
        <v>70</v>
      </c>
      <c r="S14" s="1">
        <v>1.0</v>
      </c>
      <c r="T14" s="1">
        <v>0.0</v>
      </c>
      <c r="X14" s="1" t="s">
        <v>56</v>
      </c>
    </row>
    <row r="15">
      <c r="A15" s="3" t="str">
        <f>HYPERLINK("https://stackoverflow.com/q/61470698", "61470698")</f>
        <v>61470698</v>
      </c>
      <c r="B15" s="1" t="s">
        <v>24</v>
      </c>
      <c r="C15" s="1" t="s">
        <v>85</v>
      </c>
      <c r="D15" s="2" t="s">
        <v>86</v>
      </c>
      <c r="E15" s="1">
        <v>1.0</v>
      </c>
      <c r="I15" s="1">
        <v>0.0</v>
      </c>
      <c r="J15" s="1">
        <v>26.0</v>
      </c>
      <c r="L15" s="1">
        <v>3354235.0</v>
      </c>
      <c r="Q15" s="1" t="s">
        <v>85</v>
      </c>
      <c r="R15" s="1" t="s">
        <v>70</v>
      </c>
      <c r="S15" s="1">
        <v>0.0</v>
      </c>
      <c r="T15" s="1">
        <v>0.0</v>
      </c>
      <c r="X15" s="1" t="s">
        <v>56</v>
      </c>
    </row>
    <row r="16">
      <c r="A16" s="3" t="str">
        <f>HYPERLINK("https://stackoverflow.com/q/61519093", "61519093")</f>
        <v>61519093</v>
      </c>
      <c r="B16" s="1" t="s">
        <v>24</v>
      </c>
      <c r="C16" s="1" t="s">
        <v>87</v>
      </c>
      <c r="D16" s="2" t="s">
        <v>88</v>
      </c>
      <c r="E16" s="1">
        <v>1.0</v>
      </c>
      <c r="I16" s="1">
        <v>1.0</v>
      </c>
      <c r="J16" s="1">
        <v>41.0</v>
      </c>
      <c r="L16" s="1">
        <v>1.3439369E7</v>
      </c>
      <c r="Q16" s="1" t="s">
        <v>87</v>
      </c>
      <c r="R16" s="1" t="s">
        <v>89</v>
      </c>
      <c r="S16" s="1">
        <v>0.0</v>
      </c>
      <c r="T16" s="1">
        <v>1.0</v>
      </c>
      <c r="U16" s="1">
        <v>1.0</v>
      </c>
      <c r="X16" s="1" t="s">
        <v>56</v>
      </c>
    </row>
    <row r="17">
      <c r="A17" s="3" t="str">
        <f>HYPERLINK("https://stackoverflow.com/q/61734639", "61734639")</f>
        <v>61734639</v>
      </c>
      <c r="B17" s="1" t="s">
        <v>24</v>
      </c>
      <c r="C17" s="1" t="s">
        <v>90</v>
      </c>
      <c r="D17" s="2" t="s">
        <v>91</v>
      </c>
      <c r="E17" s="1">
        <v>1.0</v>
      </c>
      <c r="I17" s="1">
        <v>0.0</v>
      </c>
      <c r="J17" s="1">
        <v>4.0</v>
      </c>
      <c r="L17" s="1">
        <v>1.351924E7</v>
      </c>
      <c r="Q17" s="1" t="s">
        <v>90</v>
      </c>
      <c r="R17" s="1" t="s">
        <v>92</v>
      </c>
      <c r="S17" s="1">
        <v>0.0</v>
      </c>
      <c r="T17" s="1">
        <v>0.0</v>
      </c>
      <c r="X17" s="1" t="s">
        <v>56</v>
      </c>
    </row>
    <row r="18">
      <c r="A18" s="3" t="str">
        <f>HYPERLINK("https://stackoverflow.com/q/40935625", "40935625")</f>
        <v>40935625</v>
      </c>
      <c r="B18" s="1" t="s">
        <v>93</v>
      </c>
      <c r="C18" s="1" t="s">
        <v>94</v>
      </c>
      <c r="D18" s="2" t="s">
        <v>95</v>
      </c>
      <c r="E18" s="1">
        <v>1.0</v>
      </c>
      <c r="F18" s="1">
        <v>4.093954E7</v>
      </c>
      <c r="I18" s="1">
        <v>1.0</v>
      </c>
      <c r="J18" s="1">
        <v>282.0</v>
      </c>
      <c r="L18" s="1">
        <v>702875.0</v>
      </c>
      <c r="Q18" s="1" t="s">
        <v>96</v>
      </c>
      <c r="R18" s="1" t="s">
        <v>97</v>
      </c>
      <c r="S18" s="1">
        <v>1.0</v>
      </c>
      <c r="T18" s="1">
        <v>0.0</v>
      </c>
      <c r="X18" s="1" t="s">
        <v>29</v>
      </c>
      <c r="Z18" s="1" t="s">
        <v>96</v>
      </c>
    </row>
    <row r="19">
      <c r="A19" s="3" t="str">
        <f>HYPERLINK("https://stackoverflow.com/q/40942931", "40942931")</f>
        <v>40942931</v>
      </c>
      <c r="B19" s="1" t="s">
        <v>93</v>
      </c>
      <c r="C19" s="1" t="s">
        <v>98</v>
      </c>
      <c r="D19" s="2" t="s">
        <v>99</v>
      </c>
      <c r="E19" s="1">
        <v>1.0</v>
      </c>
      <c r="F19" s="1">
        <v>4.0942955E7</v>
      </c>
      <c r="I19" s="1">
        <v>1.0</v>
      </c>
      <c r="J19" s="1">
        <v>1199.0</v>
      </c>
      <c r="L19" s="1">
        <v>7100601.0</v>
      </c>
      <c r="Q19" s="1" t="s">
        <v>100</v>
      </c>
      <c r="R19" s="1" t="s">
        <v>97</v>
      </c>
      <c r="S19" s="1">
        <v>2.0</v>
      </c>
      <c r="T19" s="1">
        <v>0.0</v>
      </c>
      <c r="X19" s="1" t="s">
        <v>29</v>
      </c>
      <c r="Z19" s="1" t="s">
        <v>101</v>
      </c>
    </row>
    <row r="20">
      <c r="A20" s="3" t="str">
        <f>HYPERLINK("https://stackoverflow.com/q/41045890", "41045890")</f>
        <v>41045890</v>
      </c>
      <c r="B20" s="1" t="s">
        <v>93</v>
      </c>
      <c r="C20" s="1" t="s">
        <v>102</v>
      </c>
      <c r="D20" s="2" t="s">
        <v>103</v>
      </c>
      <c r="E20" s="1">
        <v>1.0</v>
      </c>
      <c r="I20" s="1">
        <v>3.0</v>
      </c>
      <c r="J20" s="1">
        <v>217.0</v>
      </c>
      <c r="L20" s="1">
        <v>7232407.0</v>
      </c>
      <c r="Q20" s="1" t="s">
        <v>104</v>
      </c>
      <c r="R20" s="1" t="s">
        <v>97</v>
      </c>
      <c r="S20" s="1">
        <v>2.0</v>
      </c>
      <c r="T20" s="1">
        <v>0.0</v>
      </c>
      <c r="U20" s="1">
        <v>2.0</v>
      </c>
      <c r="X20" s="1" t="s">
        <v>29</v>
      </c>
    </row>
    <row r="21">
      <c r="A21" s="3" t="str">
        <f>HYPERLINK("https://stackoverflow.com/q/41088232", "41088232")</f>
        <v>41088232</v>
      </c>
      <c r="B21" s="1" t="s">
        <v>93</v>
      </c>
      <c r="C21" s="1" t="s">
        <v>105</v>
      </c>
      <c r="D21" s="2" t="s">
        <v>106</v>
      </c>
      <c r="E21" s="1">
        <v>1.0</v>
      </c>
      <c r="I21" s="1">
        <v>0.0</v>
      </c>
      <c r="J21" s="1">
        <v>95.0</v>
      </c>
      <c r="L21" s="1">
        <v>7232407.0</v>
      </c>
      <c r="Q21" s="1" t="s">
        <v>107</v>
      </c>
      <c r="R21" s="1" t="s">
        <v>97</v>
      </c>
      <c r="S21" s="1">
        <v>1.0</v>
      </c>
      <c r="T21" s="1">
        <v>0.0</v>
      </c>
      <c r="X21" s="1" t="s">
        <v>29</v>
      </c>
    </row>
    <row r="22">
      <c r="A22" s="3" t="str">
        <f>HYPERLINK("https://stackoverflow.com/q/41097730", "41097730")</f>
        <v>41097730</v>
      </c>
      <c r="B22" s="1" t="s">
        <v>93</v>
      </c>
      <c r="C22" s="1" t="s">
        <v>108</v>
      </c>
      <c r="D22" s="2" t="s">
        <v>109</v>
      </c>
      <c r="E22" s="1">
        <v>1.0</v>
      </c>
      <c r="F22" s="1">
        <v>4.1112537E7</v>
      </c>
      <c r="I22" s="1">
        <v>0.0</v>
      </c>
      <c r="J22" s="1">
        <v>175.0</v>
      </c>
      <c r="L22" s="1">
        <v>5871727.0</v>
      </c>
      <c r="Q22" s="1" t="s">
        <v>110</v>
      </c>
      <c r="R22" s="1" t="s">
        <v>97</v>
      </c>
      <c r="S22" s="1">
        <v>2.0</v>
      </c>
      <c r="T22" s="1">
        <v>0.0</v>
      </c>
      <c r="X22" s="1" t="s">
        <v>29</v>
      </c>
      <c r="Z22" s="1" t="s">
        <v>110</v>
      </c>
    </row>
    <row r="23">
      <c r="A23" s="3" t="str">
        <f>HYPERLINK("https://stackoverflow.com/q/41174301", "41174301")</f>
        <v>41174301</v>
      </c>
      <c r="B23" s="1" t="s">
        <v>93</v>
      </c>
      <c r="C23" s="1" t="s">
        <v>111</v>
      </c>
      <c r="D23" s="2" t="s">
        <v>112</v>
      </c>
      <c r="E23" s="1">
        <v>1.0</v>
      </c>
      <c r="F23" s="1">
        <v>4.1175512E7</v>
      </c>
      <c r="I23" s="1">
        <v>2.0</v>
      </c>
      <c r="J23" s="1">
        <v>794.0</v>
      </c>
      <c r="L23" s="1">
        <v>80075.0</v>
      </c>
      <c r="N23" s="1">
        <v>80075.0</v>
      </c>
      <c r="P23" s="1" t="s">
        <v>113</v>
      </c>
      <c r="Q23" s="1" t="s">
        <v>114</v>
      </c>
      <c r="R23" s="1" t="s">
        <v>97</v>
      </c>
      <c r="S23" s="1">
        <v>1.0</v>
      </c>
      <c r="T23" s="1">
        <v>1.0</v>
      </c>
      <c r="X23" s="1" t="s">
        <v>29</v>
      </c>
      <c r="Z23" s="1" t="s">
        <v>114</v>
      </c>
    </row>
    <row r="24">
      <c r="A24" s="3" t="str">
        <f>HYPERLINK("https://stackoverflow.com/q/41194285", "41194285")</f>
        <v>41194285</v>
      </c>
      <c r="B24" s="1" t="s">
        <v>93</v>
      </c>
      <c r="C24" s="1" t="s">
        <v>115</v>
      </c>
      <c r="D24" s="2" t="s">
        <v>116</v>
      </c>
      <c r="E24" s="1">
        <v>1.0</v>
      </c>
      <c r="I24" s="1">
        <v>0.0</v>
      </c>
      <c r="J24" s="1">
        <v>75.0</v>
      </c>
      <c r="L24" s="1">
        <v>7232407.0</v>
      </c>
      <c r="Q24" s="1" t="s">
        <v>117</v>
      </c>
      <c r="R24" s="1" t="s">
        <v>97</v>
      </c>
      <c r="S24" s="1">
        <v>1.0</v>
      </c>
      <c r="T24" s="1">
        <v>0.0</v>
      </c>
      <c r="X24" s="1" t="s">
        <v>29</v>
      </c>
    </row>
    <row r="25">
      <c r="A25" s="3" t="str">
        <f>HYPERLINK("https://stackoverflow.com/q/41233968", "41233968")</f>
        <v>41233968</v>
      </c>
      <c r="B25" s="1" t="s">
        <v>93</v>
      </c>
      <c r="C25" s="1" t="s">
        <v>118</v>
      </c>
      <c r="D25" s="2" t="s">
        <v>119</v>
      </c>
      <c r="E25" s="1">
        <v>1.0</v>
      </c>
      <c r="F25" s="1">
        <v>4.1247829E7</v>
      </c>
      <c r="I25" s="1">
        <v>2.0</v>
      </c>
      <c r="J25" s="1">
        <v>261.0</v>
      </c>
      <c r="L25" s="1">
        <v>80075.0</v>
      </c>
      <c r="N25" s="1">
        <v>80075.0</v>
      </c>
      <c r="P25" s="1" t="s">
        <v>120</v>
      </c>
      <c r="Q25" s="1" t="s">
        <v>121</v>
      </c>
      <c r="R25" s="1" t="s">
        <v>97</v>
      </c>
      <c r="S25" s="1">
        <v>1.0</v>
      </c>
      <c r="T25" s="1">
        <v>0.0</v>
      </c>
      <c r="X25" s="1" t="s">
        <v>29</v>
      </c>
      <c r="Z25" s="1" t="s">
        <v>122</v>
      </c>
    </row>
    <row r="26">
      <c r="A26" s="3" t="str">
        <f>HYPERLINK("https://stackoverflow.com/q/41272558", "41272558")</f>
        <v>41272558</v>
      </c>
      <c r="B26" s="1" t="s">
        <v>93</v>
      </c>
      <c r="C26" s="1" t="s">
        <v>123</v>
      </c>
      <c r="D26" s="2" t="s">
        <v>124</v>
      </c>
      <c r="E26" s="1">
        <v>1.0</v>
      </c>
      <c r="I26" s="1">
        <v>0.0</v>
      </c>
      <c r="J26" s="1">
        <v>401.0</v>
      </c>
      <c r="L26" s="1">
        <v>7327793.0</v>
      </c>
      <c r="Q26" s="1" t="s">
        <v>125</v>
      </c>
      <c r="R26" s="1" t="s">
        <v>97</v>
      </c>
      <c r="S26" s="1">
        <v>1.0</v>
      </c>
      <c r="T26" s="1">
        <v>0.0</v>
      </c>
      <c r="V26" s="1" t="s">
        <v>126</v>
      </c>
      <c r="X26" s="1" t="s">
        <v>29</v>
      </c>
    </row>
    <row r="27">
      <c r="A27" s="3" t="str">
        <f>HYPERLINK("https://stackoverflow.com/q/41345102", "41345102")</f>
        <v>41345102</v>
      </c>
      <c r="B27" s="1" t="s">
        <v>93</v>
      </c>
      <c r="C27" s="1" t="s">
        <v>127</v>
      </c>
      <c r="D27" s="2" t="s">
        <v>128</v>
      </c>
      <c r="E27" s="1">
        <v>1.0</v>
      </c>
      <c r="I27" s="1">
        <v>0.0</v>
      </c>
      <c r="J27" s="1">
        <v>357.0</v>
      </c>
      <c r="L27" s="1">
        <v>7345456.0</v>
      </c>
      <c r="Q27" s="1" t="s">
        <v>129</v>
      </c>
      <c r="R27" s="1" t="s">
        <v>130</v>
      </c>
      <c r="S27" s="1">
        <v>1.0</v>
      </c>
      <c r="T27" s="1">
        <v>0.0</v>
      </c>
      <c r="X27" s="1" t="s">
        <v>29</v>
      </c>
    </row>
    <row r="28">
      <c r="A28" s="3" t="str">
        <f>HYPERLINK("https://stackoverflow.com/q/41467659", "41467659")</f>
        <v>41467659</v>
      </c>
      <c r="B28" s="1" t="s">
        <v>93</v>
      </c>
      <c r="C28" s="1" t="s">
        <v>131</v>
      </c>
      <c r="D28" s="2" t="s">
        <v>132</v>
      </c>
      <c r="E28" s="1">
        <v>1.0</v>
      </c>
      <c r="F28" s="1">
        <v>4.1470683E7</v>
      </c>
      <c r="I28" s="1">
        <v>0.0</v>
      </c>
      <c r="J28" s="1">
        <v>565.0</v>
      </c>
      <c r="L28" s="1">
        <v>2327005.0</v>
      </c>
      <c r="Q28" s="1" t="s">
        <v>133</v>
      </c>
      <c r="R28" s="1" t="s">
        <v>97</v>
      </c>
      <c r="S28" s="1">
        <v>1.0</v>
      </c>
      <c r="T28" s="1">
        <v>0.0</v>
      </c>
      <c r="U28" s="1">
        <v>1.0</v>
      </c>
      <c r="X28" s="1" t="s">
        <v>29</v>
      </c>
      <c r="Z28" s="1" t="s">
        <v>133</v>
      </c>
    </row>
    <row r="29">
      <c r="A29" s="3" t="str">
        <f>HYPERLINK("https://stackoverflow.com/q/41638663", "41638663")</f>
        <v>41638663</v>
      </c>
      <c r="B29" s="1" t="s">
        <v>93</v>
      </c>
      <c r="C29" s="1" t="s">
        <v>134</v>
      </c>
      <c r="D29" s="2" t="s">
        <v>135</v>
      </c>
      <c r="E29" s="1">
        <v>1.0</v>
      </c>
      <c r="F29" s="1">
        <v>4.1641039E7</v>
      </c>
      <c r="I29" s="1">
        <v>2.0</v>
      </c>
      <c r="J29" s="1">
        <v>1017.0</v>
      </c>
      <c r="L29" s="1">
        <v>3490987.0</v>
      </c>
      <c r="N29" s="1">
        <v>3490987.0</v>
      </c>
      <c r="P29" s="1" t="s">
        <v>136</v>
      </c>
      <c r="Q29" s="1" t="s">
        <v>137</v>
      </c>
      <c r="R29" s="1" t="s">
        <v>97</v>
      </c>
      <c r="S29" s="1">
        <v>2.0</v>
      </c>
      <c r="T29" s="1">
        <v>2.0</v>
      </c>
      <c r="X29" s="1" t="s">
        <v>29</v>
      </c>
      <c r="Z29" s="1" t="s">
        <v>138</v>
      </c>
    </row>
    <row r="30">
      <c r="A30" s="3" t="str">
        <f>HYPERLINK("https://stackoverflow.com/q/41645111", "41645111")</f>
        <v>41645111</v>
      </c>
      <c r="B30" s="1" t="s">
        <v>93</v>
      </c>
      <c r="C30" s="1" t="s">
        <v>139</v>
      </c>
      <c r="D30" s="2" t="s">
        <v>140</v>
      </c>
      <c r="E30" s="1">
        <v>1.0</v>
      </c>
      <c r="F30" s="1">
        <v>4.1646149E7</v>
      </c>
      <c r="I30" s="1">
        <v>2.0</v>
      </c>
      <c r="J30" s="1">
        <v>480.0</v>
      </c>
      <c r="L30" s="1">
        <v>6501571.0</v>
      </c>
      <c r="Q30" s="1" t="s">
        <v>141</v>
      </c>
      <c r="R30" s="1" t="s">
        <v>97</v>
      </c>
      <c r="S30" s="1">
        <v>2.0</v>
      </c>
      <c r="T30" s="1">
        <v>0.0</v>
      </c>
      <c r="X30" s="1" t="s">
        <v>29</v>
      </c>
      <c r="Z30" s="1" t="s">
        <v>142</v>
      </c>
    </row>
    <row r="31">
      <c r="A31" s="3" t="str">
        <f>HYPERLINK("https://stackoverflow.com/q/41679881", "41679881")</f>
        <v>41679881</v>
      </c>
      <c r="B31" s="1" t="s">
        <v>93</v>
      </c>
      <c r="C31" s="1" t="s">
        <v>143</v>
      </c>
      <c r="D31" s="2" t="s">
        <v>144</v>
      </c>
      <c r="E31" s="1">
        <v>1.0</v>
      </c>
      <c r="F31" s="1">
        <v>4.1685616E7</v>
      </c>
      <c r="I31" s="1">
        <v>3.0</v>
      </c>
      <c r="J31" s="1">
        <v>1905.0</v>
      </c>
      <c r="L31" s="1">
        <v>7426087.0</v>
      </c>
      <c r="Q31" s="1" t="s">
        <v>145</v>
      </c>
      <c r="R31" s="1" t="s">
        <v>130</v>
      </c>
      <c r="S31" s="1">
        <v>3.0</v>
      </c>
      <c r="T31" s="1">
        <v>1.0</v>
      </c>
      <c r="U31" s="1">
        <v>1.0</v>
      </c>
      <c r="X31" s="1" t="s">
        <v>29</v>
      </c>
      <c r="Z31" s="1" t="s">
        <v>146</v>
      </c>
    </row>
    <row r="32">
      <c r="A32" s="3" t="str">
        <f>HYPERLINK("https://stackoverflow.com/q/41749324", "41749324")</f>
        <v>41749324</v>
      </c>
      <c r="B32" s="1" t="s">
        <v>93</v>
      </c>
      <c r="C32" s="1" t="s">
        <v>147</v>
      </c>
      <c r="D32" s="2" t="s">
        <v>148</v>
      </c>
      <c r="E32" s="1">
        <v>1.0</v>
      </c>
      <c r="I32" s="1">
        <v>1.0</v>
      </c>
      <c r="J32" s="1">
        <v>172.0</v>
      </c>
      <c r="L32" s="1">
        <v>7442670.0</v>
      </c>
      <c r="Q32" s="1" t="s">
        <v>149</v>
      </c>
      <c r="R32" s="1" t="s">
        <v>97</v>
      </c>
      <c r="S32" s="1">
        <v>1.0</v>
      </c>
      <c r="T32" s="1">
        <v>1.0</v>
      </c>
      <c r="X32" s="1" t="s">
        <v>29</v>
      </c>
    </row>
    <row r="33">
      <c r="A33" s="3" t="str">
        <f>HYPERLINK("https://stackoverflow.com/q/41803929", "41803929")</f>
        <v>41803929</v>
      </c>
      <c r="B33" s="1" t="s">
        <v>93</v>
      </c>
      <c r="C33" s="1" t="s">
        <v>150</v>
      </c>
      <c r="D33" s="2" t="s">
        <v>151</v>
      </c>
      <c r="E33" s="1">
        <v>1.0</v>
      </c>
      <c r="F33" s="1">
        <v>4.1813107E7</v>
      </c>
      <c r="I33" s="1">
        <v>2.0</v>
      </c>
      <c r="J33" s="1">
        <v>370.0</v>
      </c>
      <c r="L33" s="1">
        <v>5871727.0</v>
      </c>
      <c r="Q33" s="1" t="s">
        <v>152</v>
      </c>
      <c r="R33" s="1" t="s">
        <v>130</v>
      </c>
      <c r="S33" s="1">
        <v>2.0</v>
      </c>
      <c r="T33" s="1">
        <v>4.0</v>
      </c>
      <c r="X33" s="1" t="s">
        <v>29</v>
      </c>
      <c r="Z33" s="1" t="s">
        <v>153</v>
      </c>
    </row>
    <row r="34">
      <c r="A34" s="3" t="str">
        <f>HYPERLINK("https://stackoverflow.com/q/41838629", "41838629")</f>
        <v>41838629</v>
      </c>
      <c r="B34" s="1" t="s">
        <v>93</v>
      </c>
      <c r="C34" s="1" t="s">
        <v>154</v>
      </c>
      <c r="D34" s="2" t="s">
        <v>155</v>
      </c>
      <c r="E34" s="1">
        <v>1.0</v>
      </c>
      <c r="I34" s="1">
        <v>3.0</v>
      </c>
      <c r="J34" s="1">
        <v>1063.0</v>
      </c>
      <c r="L34" s="1">
        <v>7465890.0</v>
      </c>
      <c r="Q34" s="1" t="s">
        <v>156</v>
      </c>
      <c r="R34" s="1" t="s">
        <v>97</v>
      </c>
      <c r="S34" s="1">
        <v>2.0</v>
      </c>
      <c r="T34" s="1">
        <v>0.0</v>
      </c>
      <c r="X34" s="1" t="s">
        <v>29</v>
      </c>
    </row>
    <row r="35">
      <c r="A35" s="3" t="str">
        <f>HYPERLINK("https://stackoverflow.com/q/41842171", "41842171")</f>
        <v>41842171</v>
      </c>
      <c r="B35" s="1" t="s">
        <v>93</v>
      </c>
      <c r="C35" s="1" t="s">
        <v>157</v>
      </c>
      <c r="D35" s="2" t="s">
        <v>158</v>
      </c>
      <c r="E35" s="1">
        <v>1.0</v>
      </c>
      <c r="I35" s="1">
        <v>1.0</v>
      </c>
      <c r="J35" s="1">
        <v>836.0</v>
      </c>
      <c r="L35" s="1">
        <v>7465890.0</v>
      </c>
      <c r="Q35" s="1" t="s">
        <v>159</v>
      </c>
      <c r="R35" s="1" t="s">
        <v>97</v>
      </c>
      <c r="S35" s="1">
        <v>2.0</v>
      </c>
      <c r="T35" s="1">
        <v>1.0</v>
      </c>
      <c r="X35" s="1" t="s">
        <v>29</v>
      </c>
    </row>
    <row r="36">
      <c r="A36" s="3" t="str">
        <f>HYPERLINK("https://stackoverflow.com/q/41860322", "41860322")</f>
        <v>41860322</v>
      </c>
      <c r="B36" s="1" t="s">
        <v>93</v>
      </c>
      <c r="C36" s="1" t="s">
        <v>160</v>
      </c>
      <c r="D36" s="2" t="s">
        <v>161</v>
      </c>
      <c r="E36" s="1">
        <v>1.0</v>
      </c>
      <c r="F36" s="1">
        <v>4.1878788E7</v>
      </c>
      <c r="I36" s="1">
        <v>2.0</v>
      </c>
      <c r="J36" s="1">
        <v>451.0</v>
      </c>
      <c r="L36" s="1">
        <v>3490987.0</v>
      </c>
      <c r="Q36" s="1" t="s">
        <v>162</v>
      </c>
      <c r="R36" s="1" t="s">
        <v>97</v>
      </c>
      <c r="S36" s="1">
        <v>2.0</v>
      </c>
      <c r="T36" s="1">
        <v>0.0</v>
      </c>
      <c r="X36" s="1" t="s">
        <v>29</v>
      </c>
      <c r="Z36" s="1" t="s">
        <v>162</v>
      </c>
    </row>
    <row r="37">
      <c r="A37" s="3" t="str">
        <f>HYPERLINK("https://stackoverflow.com/q/41867303", "41867303")</f>
        <v>41867303</v>
      </c>
      <c r="B37" s="1" t="s">
        <v>93</v>
      </c>
      <c r="C37" s="1" t="s">
        <v>163</v>
      </c>
      <c r="D37" s="2" t="s">
        <v>164</v>
      </c>
      <c r="E37" s="1">
        <v>1.0</v>
      </c>
      <c r="F37" s="1">
        <v>4.1879174E7</v>
      </c>
      <c r="I37" s="1">
        <v>0.0</v>
      </c>
      <c r="J37" s="1">
        <v>462.0</v>
      </c>
      <c r="L37" s="1">
        <v>2034000.0</v>
      </c>
      <c r="N37" s="1">
        <v>2296728.0</v>
      </c>
      <c r="P37" s="1" t="s">
        <v>165</v>
      </c>
      <c r="Q37" s="1" t="s">
        <v>165</v>
      </c>
      <c r="R37" s="1" t="s">
        <v>97</v>
      </c>
      <c r="S37" s="1">
        <v>1.0</v>
      </c>
      <c r="T37" s="1">
        <v>0.0</v>
      </c>
      <c r="U37" s="1">
        <v>1.0</v>
      </c>
      <c r="X37" s="1" t="s">
        <v>56</v>
      </c>
      <c r="Z37" s="1" t="s">
        <v>166</v>
      </c>
    </row>
    <row r="38">
      <c r="A38" s="3" t="str">
        <f>HYPERLINK("https://stackoverflow.com/q/41881534", "41881534")</f>
        <v>41881534</v>
      </c>
      <c r="B38" s="1" t="s">
        <v>93</v>
      </c>
      <c r="C38" s="1" t="s">
        <v>167</v>
      </c>
      <c r="D38" s="2" t="s">
        <v>168</v>
      </c>
      <c r="E38" s="1">
        <v>1.0</v>
      </c>
      <c r="I38" s="1">
        <v>1.0</v>
      </c>
      <c r="J38" s="1">
        <v>281.0</v>
      </c>
      <c r="L38" s="1">
        <v>7465890.0</v>
      </c>
      <c r="N38" s="1">
        <v>7465890.0</v>
      </c>
      <c r="P38" s="1" t="s">
        <v>169</v>
      </c>
      <c r="Q38" s="1" t="s">
        <v>169</v>
      </c>
      <c r="R38" s="1" t="s">
        <v>97</v>
      </c>
      <c r="S38" s="1">
        <v>1.0</v>
      </c>
      <c r="T38" s="1">
        <v>2.0</v>
      </c>
      <c r="X38" s="1" t="s">
        <v>29</v>
      </c>
    </row>
    <row r="39">
      <c r="A39" s="3" t="str">
        <f>HYPERLINK("https://stackoverflow.com/q/41886336", "41886336")</f>
        <v>41886336</v>
      </c>
      <c r="B39" s="1" t="s">
        <v>93</v>
      </c>
      <c r="C39" s="1" t="s">
        <v>170</v>
      </c>
      <c r="D39" s="2" t="s">
        <v>171</v>
      </c>
      <c r="E39" s="1">
        <v>1.0</v>
      </c>
      <c r="I39" s="1">
        <v>2.0</v>
      </c>
      <c r="J39" s="1">
        <v>335.0</v>
      </c>
      <c r="L39" s="1">
        <v>7465890.0</v>
      </c>
      <c r="Q39" s="1" t="s">
        <v>172</v>
      </c>
      <c r="R39" s="1" t="s">
        <v>97</v>
      </c>
      <c r="S39" s="1">
        <v>1.0</v>
      </c>
      <c r="T39" s="1">
        <v>1.0</v>
      </c>
      <c r="U39" s="1">
        <v>1.0</v>
      </c>
      <c r="X39" s="1" t="s">
        <v>29</v>
      </c>
    </row>
    <row r="40">
      <c r="A40" s="3" t="str">
        <f>HYPERLINK("https://stackoverflow.com/q/41904477", "41904477")</f>
        <v>41904477</v>
      </c>
      <c r="B40" s="1" t="s">
        <v>93</v>
      </c>
      <c r="C40" s="1" t="s">
        <v>173</v>
      </c>
      <c r="D40" s="2" t="s">
        <v>174</v>
      </c>
      <c r="E40" s="1">
        <v>1.0</v>
      </c>
      <c r="F40" s="1">
        <v>4.1905378E7</v>
      </c>
      <c r="I40" s="1">
        <v>1.0</v>
      </c>
      <c r="J40" s="1">
        <v>535.0</v>
      </c>
      <c r="L40" s="1">
        <v>7481117.0</v>
      </c>
      <c r="Q40" s="1" t="s">
        <v>175</v>
      </c>
      <c r="R40" s="1" t="s">
        <v>97</v>
      </c>
      <c r="S40" s="1">
        <v>1.0</v>
      </c>
      <c r="T40" s="1">
        <v>0.0</v>
      </c>
      <c r="U40" s="1">
        <v>2.0</v>
      </c>
      <c r="X40" s="1" t="s">
        <v>29</v>
      </c>
      <c r="Z40" s="1" t="s">
        <v>175</v>
      </c>
    </row>
    <row r="41">
      <c r="A41" s="3" t="str">
        <f>HYPERLINK("https://stackoverflow.com/q/41905258", "41905258")</f>
        <v>41905258</v>
      </c>
      <c r="B41" s="1" t="s">
        <v>93</v>
      </c>
      <c r="C41" s="1" t="s">
        <v>176</v>
      </c>
      <c r="D41" s="2" t="s">
        <v>177</v>
      </c>
      <c r="E41" s="1">
        <v>1.0</v>
      </c>
      <c r="I41" s="1">
        <v>0.0</v>
      </c>
      <c r="J41" s="1">
        <v>714.0</v>
      </c>
      <c r="L41" s="1">
        <v>7481310.0</v>
      </c>
      <c r="Q41" s="1" t="s">
        <v>178</v>
      </c>
      <c r="R41" s="1" t="s">
        <v>97</v>
      </c>
      <c r="S41" s="1">
        <v>2.0</v>
      </c>
      <c r="T41" s="1">
        <v>0.0</v>
      </c>
      <c r="X41" s="1" t="s">
        <v>29</v>
      </c>
    </row>
    <row r="42">
      <c r="A42" s="3" t="str">
        <f>HYPERLINK("https://stackoverflow.com/q/41944876", "41944876")</f>
        <v>41944876</v>
      </c>
      <c r="B42" s="1" t="s">
        <v>93</v>
      </c>
      <c r="C42" s="1" t="s">
        <v>179</v>
      </c>
      <c r="D42" s="2" t="s">
        <v>180</v>
      </c>
      <c r="E42" s="1">
        <v>1.0</v>
      </c>
      <c r="I42" s="1">
        <v>3.0</v>
      </c>
      <c r="J42" s="1">
        <v>904.0</v>
      </c>
      <c r="L42" s="1">
        <v>7465890.0</v>
      </c>
      <c r="Q42" s="1" t="s">
        <v>181</v>
      </c>
      <c r="R42" s="1" t="s">
        <v>97</v>
      </c>
      <c r="S42" s="1">
        <v>4.0</v>
      </c>
      <c r="T42" s="1">
        <v>0.0</v>
      </c>
      <c r="U42" s="1">
        <v>3.0</v>
      </c>
      <c r="X42" s="1" t="s">
        <v>29</v>
      </c>
    </row>
    <row r="43">
      <c r="A43" s="3" t="str">
        <f>HYPERLINK("https://stackoverflow.com/q/41945601", "41945601")</f>
        <v>41945601</v>
      </c>
      <c r="B43" s="1" t="s">
        <v>93</v>
      </c>
      <c r="C43" s="1" t="s">
        <v>182</v>
      </c>
      <c r="D43" s="2" t="s">
        <v>183</v>
      </c>
      <c r="E43" s="1">
        <v>1.0</v>
      </c>
      <c r="F43" s="1">
        <v>4.1946787E7</v>
      </c>
      <c r="I43" s="1">
        <v>1.0</v>
      </c>
      <c r="J43" s="1">
        <v>174.0</v>
      </c>
      <c r="L43" s="1">
        <v>3490987.0</v>
      </c>
      <c r="Q43" s="1" t="s">
        <v>184</v>
      </c>
      <c r="R43" s="1" t="s">
        <v>185</v>
      </c>
      <c r="S43" s="1">
        <v>1.0</v>
      </c>
      <c r="T43" s="1">
        <v>0.0</v>
      </c>
      <c r="U43" s="1">
        <v>1.0</v>
      </c>
      <c r="X43" s="1" t="s">
        <v>29</v>
      </c>
      <c r="Z43" s="1" t="s">
        <v>186</v>
      </c>
    </row>
    <row r="44">
      <c r="A44" s="3" t="str">
        <f>HYPERLINK("https://stackoverflow.com/q/41980071", "41980071")</f>
        <v>41980071</v>
      </c>
      <c r="B44" s="1" t="s">
        <v>93</v>
      </c>
      <c r="C44" s="1" t="s">
        <v>187</v>
      </c>
      <c r="D44" s="2" t="s">
        <v>188</v>
      </c>
      <c r="E44" s="1">
        <v>1.0</v>
      </c>
      <c r="I44" s="1">
        <v>1.0</v>
      </c>
      <c r="J44" s="1">
        <v>613.0</v>
      </c>
      <c r="L44" s="1">
        <v>3656136.0</v>
      </c>
      <c r="Q44" s="1" t="s">
        <v>189</v>
      </c>
      <c r="R44" s="1" t="s">
        <v>190</v>
      </c>
      <c r="S44" s="1">
        <v>1.0</v>
      </c>
      <c r="T44" s="1">
        <v>4.0</v>
      </c>
      <c r="X44" s="1" t="s">
        <v>29</v>
      </c>
    </row>
    <row r="45">
      <c r="A45" s="3" t="str">
        <f>HYPERLINK("https://stackoverflow.com/q/41983737", "41983737")</f>
        <v>41983737</v>
      </c>
      <c r="B45" s="1" t="s">
        <v>93</v>
      </c>
      <c r="C45" s="1" t="s">
        <v>191</v>
      </c>
      <c r="D45" s="2" t="s">
        <v>192</v>
      </c>
      <c r="E45" s="1">
        <v>1.0</v>
      </c>
      <c r="I45" s="1">
        <v>0.0</v>
      </c>
      <c r="J45" s="1">
        <v>402.0</v>
      </c>
      <c r="L45" s="1">
        <v>7426087.0</v>
      </c>
      <c r="Q45" s="1" t="s">
        <v>193</v>
      </c>
      <c r="R45" s="1" t="s">
        <v>97</v>
      </c>
      <c r="S45" s="1">
        <v>2.0</v>
      </c>
      <c r="T45" s="1">
        <v>0.0</v>
      </c>
      <c r="X45" s="1" t="s">
        <v>29</v>
      </c>
    </row>
    <row r="46">
      <c r="A46" s="3" t="str">
        <f>HYPERLINK("https://stackoverflow.com/q/41987911", "41987911")</f>
        <v>41987911</v>
      </c>
      <c r="B46" s="1" t="s">
        <v>93</v>
      </c>
      <c r="C46" s="1" t="s">
        <v>194</v>
      </c>
      <c r="D46" s="2" t="s">
        <v>195</v>
      </c>
      <c r="E46" s="1">
        <v>1.0</v>
      </c>
      <c r="I46" s="1">
        <v>1.0</v>
      </c>
      <c r="J46" s="1">
        <v>98.0</v>
      </c>
      <c r="L46" s="1">
        <v>7465890.0</v>
      </c>
      <c r="Q46" s="1" t="s">
        <v>196</v>
      </c>
      <c r="R46" s="1" t="s">
        <v>97</v>
      </c>
      <c r="S46" s="1">
        <v>1.0</v>
      </c>
      <c r="T46" s="1">
        <v>0.0</v>
      </c>
      <c r="X46" s="1" t="s">
        <v>29</v>
      </c>
    </row>
    <row r="47">
      <c r="A47" s="3" t="str">
        <f>HYPERLINK("https://stackoverflow.com/q/42006707", "42006707")</f>
        <v>42006707</v>
      </c>
      <c r="B47" s="1" t="s">
        <v>93</v>
      </c>
      <c r="C47" s="1" t="s">
        <v>197</v>
      </c>
      <c r="D47" s="2" t="s">
        <v>198</v>
      </c>
      <c r="E47" s="1">
        <v>1.0</v>
      </c>
      <c r="F47" s="1">
        <v>4.3079192E7</v>
      </c>
      <c r="I47" s="1">
        <v>0.0</v>
      </c>
      <c r="J47" s="1">
        <v>270.0</v>
      </c>
      <c r="L47" s="1">
        <v>3490987.0</v>
      </c>
      <c r="N47" s="1">
        <v>-1.0</v>
      </c>
      <c r="P47" s="1" t="s">
        <v>199</v>
      </c>
      <c r="Q47" s="1" t="s">
        <v>200</v>
      </c>
      <c r="R47" s="1" t="s">
        <v>97</v>
      </c>
      <c r="S47" s="1">
        <v>2.0</v>
      </c>
      <c r="T47" s="1">
        <v>0.0</v>
      </c>
      <c r="X47" s="1" t="s">
        <v>29</v>
      </c>
      <c r="Z47" s="1" t="s">
        <v>200</v>
      </c>
    </row>
    <row r="48">
      <c r="A48" s="3" t="str">
        <f>HYPERLINK("https://stackoverflow.com/q/42010994", "42010994")</f>
        <v>42010994</v>
      </c>
      <c r="B48" s="1" t="s">
        <v>93</v>
      </c>
      <c r="C48" s="1" t="s">
        <v>201</v>
      </c>
      <c r="D48" s="2" t="s">
        <v>202</v>
      </c>
      <c r="E48" s="1">
        <v>1.0</v>
      </c>
      <c r="F48" s="1">
        <v>4.2011273E7</v>
      </c>
      <c r="I48" s="1">
        <v>1.0</v>
      </c>
      <c r="J48" s="1">
        <v>499.0</v>
      </c>
      <c r="L48" s="1">
        <v>7465890.0</v>
      </c>
      <c r="Q48" s="1" t="s">
        <v>203</v>
      </c>
      <c r="R48" s="1" t="s">
        <v>97</v>
      </c>
      <c r="S48" s="1">
        <v>1.0</v>
      </c>
      <c r="T48" s="1">
        <v>0.0</v>
      </c>
      <c r="U48" s="1">
        <v>1.0</v>
      </c>
      <c r="X48" s="1" t="s">
        <v>29</v>
      </c>
      <c r="Z48" s="1" t="s">
        <v>204</v>
      </c>
    </row>
    <row r="49">
      <c r="A49" s="3" t="str">
        <f>HYPERLINK("https://stackoverflow.com/q/42121564", "42121564")</f>
        <v>42121564</v>
      </c>
      <c r="B49" s="1" t="s">
        <v>93</v>
      </c>
      <c r="C49" s="1" t="s">
        <v>205</v>
      </c>
      <c r="D49" s="2" t="s">
        <v>206</v>
      </c>
      <c r="E49" s="1">
        <v>1.0</v>
      </c>
      <c r="I49" s="1">
        <v>0.0</v>
      </c>
      <c r="J49" s="1">
        <v>1901.0</v>
      </c>
      <c r="L49" s="1">
        <v>7465890.0</v>
      </c>
      <c r="N49" s="1">
        <v>6655094.0</v>
      </c>
      <c r="P49" s="1" t="s">
        <v>207</v>
      </c>
      <c r="Q49" s="1" t="s">
        <v>208</v>
      </c>
      <c r="R49" s="1" t="s">
        <v>97</v>
      </c>
      <c r="S49" s="1">
        <v>2.0</v>
      </c>
      <c r="T49" s="1">
        <v>0.0</v>
      </c>
      <c r="U49" s="1">
        <v>1.0</v>
      </c>
      <c r="X49" s="1" t="s">
        <v>29</v>
      </c>
    </row>
    <row r="50">
      <c r="A50" s="3" t="str">
        <f>HYPERLINK("https://stackoverflow.com/q/42145093", "42145093")</f>
        <v>42145093</v>
      </c>
      <c r="B50" s="1" t="s">
        <v>93</v>
      </c>
      <c r="C50" s="1" t="s">
        <v>209</v>
      </c>
      <c r="D50" s="2" t="s">
        <v>210</v>
      </c>
      <c r="E50" s="1">
        <v>1.0</v>
      </c>
      <c r="I50" s="1">
        <v>1.0</v>
      </c>
      <c r="J50" s="1">
        <v>513.0</v>
      </c>
      <c r="L50" s="1">
        <v>4368112.0</v>
      </c>
      <c r="Q50" s="1" t="s">
        <v>211</v>
      </c>
      <c r="R50" s="1" t="s">
        <v>190</v>
      </c>
      <c r="S50" s="1">
        <v>1.0</v>
      </c>
      <c r="T50" s="1">
        <v>0.0</v>
      </c>
      <c r="X50" s="1" t="s">
        <v>29</v>
      </c>
    </row>
    <row r="51">
      <c r="A51" s="3" t="str">
        <f>HYPERLINK("https://stackoverflow.com/q/42170805", "42170805")</f>
        <v>42170805</v>
      </c>
      <c r="B51" s="1" t="s">
        <v>93</v>
      </c>
      <c r="C51" s="1" t="s">
        <v>212</v>
      </c>
      <c r="D51" s="2" t="s">
        <v>213</v>
      </c>
      <c r="E51" s="1">
        <v>1.0</v>
      </c>
      <c r="I51" s="1">
        <v>2.0</v>
      </c>
      <c r="J51" s="1">
        <v>191.0</v>
      </c>
      <c r="L51" s="1">
        <v>7465890.0</v>
      </c>
      <c r="Q51" s="1" t="s">
        <v>214</v>
      </c>
      <c r="R51" s="1" t="s">
        <v>97</v>
      </c>
      <c r="S51" s="1">
        <v>1.0</v>
      </c>
      <c r="T51" s="1">
        <v>0.0</v>
      </c>
      <c r="X51" s="1" t="s">
        <v>29</v>
      </c>
    </row>
    <row r="52">
      <c r="A52" s="3" t="str">
        <f>HYPERLINK("https://stackoverflow.com/q/42215621", "42215621")</f>
        <v>42215621</v>
      </c>
      <c r="B52" s="1" t="s">
        <v>93</v>
      </c>
      <c r="C52" s="1" t="s">
        <v>215</v>
      </c>
      <c r="D52" s="2" t="s">
        <v>216</v>
      </c>
      <c r="E52" s="1">
        <v>1.0</v>
      </c>
      <c r="I52" s="1">
        <v>0.0</v>
      </c>
      <c r="J52" s="1">
        <v>141.0</v>
      </c>
      <c r="L52" s="1">
        <v>7465890.0</v>
      </c>
      <c r="N52" s="1">
        <v>-1.0</v>
      </c>
      <c r="P52" s="1" t="s">
        <v>217</v>
      </c>
      <c r="Q52" s="1" t="s">
        <v>218</v>
      </c>
      <c r="R52" s="1" t="s">
        <v>97</v>
      </c>
      <c r="S52" s="1">
        <v>1.0</v>
      </c>
      <c r="T52" s="1">
        <v>1.0</v>
      </c>
      <c r="X52" s="1" t="s">
        <v>29</v>
      </c>
    </row>
    <row r="53">
      <c r="A53" s="3" t="str">
        <f>HYPERLINK("https://stackoverflow.com/q/42227249", "42227249")</f>
        <v>42227249</v>
      </c>
      <c r="B53" s="1" t="s">
        <v>93</v>
      </c>
      <c r="C53" s="1" t="s">
        <v>219</v>
      </c>
      <c r="D53" s="2" t="s">
        <v>220</v>
      </c>
      <c r="E53" s="1">
        <v>1.0</v>
      </c>
      <c r="F53" s="1">
        <v>4.2232784E7</v>
      </c>
      <c r="I53" s="1">
        <v>0.0</v>
      </c>
      <c r="J53" s="1">
        <v>323.0</v>
      </c>
      <c r="L53" s="1">
        <v>5871727.0</v>
      </c>
      <c r="Q53" s="1" t="s">
        <v>221</v>
      </c>
      <c r="R53" s="1" t="s">
        <v>97</v>
      </c>
      <c r="S53" s="1">
        <v>1.0</v>
      </c>
      <c r="T53" s="1">
        <v>2.0</v>
      </c>
      <c r="X53" s="1" t="s">
        <v>29</v>
      </c>
      <c r="Z53" s="1" t="s">
        <v>222</v>
      </c>
    </row>
    <row r="54">
      <c r="A54" s="3" t="str">
        <f>HYPERLINK("https://stackoverflow.com/q/42239047", "42239047")</f>
        <v>42239047</v>
      </c>
      <c r="B54" s="1" t="s">
        <v>93</v>
      </c>
      <c r="C54" s="1" t="s">
        <v>223</v>
      </c>
      <c r="D54" s="2" t="s">
        <v>224</v>
      </c>
      <c r="E54" s="1">
        <v>1.0</v>
      </c>
      <c r="F54" s="1">
        <v>4.2239281E7</v>
      </c>
      <c r="I54" s="1">
        <v>0.0</v>
      </c>
      <c r="J54" s="1">
        <v>140.0</v>
      </c>
      <c r="L54" s="1">
        <v>7465890.0</v>
      </c>
      <c r="Q54" s="1" t="s">
        <v>225</v>
      </c>
      <c r="R54" s="1" t="s">
        <v>97</v>
      </c>
      <c r="S54" s="1">
        <v>1.0</v>
      </c>
      <c r="T54" s="1">
        <v>0.0</v>
      </c>
      <c r="X54" s="1" t="s">
        <v>29</v>
      </c>
      <c r="Z54" s="1" t="s">
        <v>225</v>
      </c>
    </row>
    <row r="55">
      <c r="A55" s="3" t="str">
        <f>HYPERLINK("https://stackoverflow.com/q/42254535", "42254535")</f>
        <v>42254535</v>
      </c>
      <c r="B55" s="1" t="s">
        <v>93</v>
      </c>
      <c r="C55" s="1" t="s">
        <v>226</v>
      </c>
      <c r="D55" s="2" t="s">
        <v>227</v>
      </c>
      <c r="E55" s="1">
        <v>1.0</v>
      </c>
      <c r="F55" s="1">
        <v>4.2256077E7</v>
      </c>
      <c r="I55" s="1">
        <v>1.0</v>
      </c>
      <c r="J55" s="1">
        <v>1403.0</v>
      </c>
      <c r="L55" s="1">
        <v>3490987.0</v>
      </c>
      <c r="Q55" s="1" t="s">
        <v>228</v>
      </c>
      <c r="R55" s="1" t="s">
        <v>97</v>
      </c>
      <c r="S55" s="1">
        <v>2.0</v>
      </c>
      <c r="T55" s="1">
        <v>2.0</v>
      </c>
      <c r="X55" s="1" t="s">
        <v>29</v>
      </c>
      <c r="Z55" s="1" t="s">
        <v>229</v>
      </c>
    </row>
    <row r="56">
      <c r="A56" s="3" t="str">
        <f>HYPERLINK("https://stackoverflow.com/q/42305224", "42305224")</f>
        <v>42305224</v>
      </c>
      <c r="B56" s="1" t="s">
        <v>93</v>
      </c>
      <c r="C56" s="1" t="s">
        <v>230</v>
      </c>
      <c r="D56" s="2" t="s">
        <v>231</v>
      </c>
      <c r="E56" s="1">
        <v>1.0</v>
      </c>
      <c r="I56" s="1">
        <v>0.0</v>
      </c>
      <c r="J56" s="1">
        <v>279.0</v>
      </c>
      <c r="L56" s="1">
        <v>2034000.0</v>
      </c>
      <c r="N56" s="1">
        <v>-1.0</v>
      </c>
      <c r="P56" s="1" t="s">
        <v>232</v>
      </c>
      <c r="Q56" s="1" t="s">
        <v>233</v>
      </c>
      <c r="R56" s="1" t="s">
        <v>97</v>
      </c>
      <c r="S56" s="1">
        <v>1.0</v>
      </c>
      <c r="T56" s="1">
        <v>0.0</v>
      </c>
      <c r="X56" s="1" t="s">
        <v>29</v>
      </c>
    </row>
    <row r="57">
      <c r="A57" s="3" t="str">
        <f>HYPERLINK("https://stackoverflow.com/q/42379606", "42379606")</f>
        <v>42379606</v>
      </c>
      <c r="B57" s="1" t="s">
        <v>93</v>
      </c>
      <c r="C57" s="1" t="s">
        <v>234</v>
      </c>
      <c r="D57" s="2" t="s">
        <v>235</v>
      </c>
      <c r="E57" s="1">
        <v>1.0</v>
      </c>
      <c r="I57" s="1">
        <v>0.0</v>
      </c>
      <c r="J57" s="1">
        <v>182.0</v>
      </c>
      <c r="L57" s="1">
        <v>7465890.0</v>
      </c>
      <c r="Q57" s="1" t="s">
        <v>236</v>
      </c>
      <c r="R57" s="1" t="s">
        <v>97</v>
      </c>
      <c r="S57" s="1">
        <v>2.0</v>
      </c>
      <c r="T57" s="1">
        <v>0.0</v>
      </c>
      <c r="X57" s="1" t="s">
        <v>29</v>
      </c>
    </row>
    <row r="58">
      <c r="A58" s="3" t="str">
        <f>HYPERLINK("https://stackoverflow.com/q/42405004", "42405004")</f>
        <v>42405004</v>
      </c>
      <c r="B58" s="1" t="s">
        <v>93</v>
      </c>
      <c r="C58" s="1" t="s">
        <v>237</v>
      </c>
      <c r="D58" s="2" t="s">
        <v>238</v>
      </c>
      <c r="E58" s="1">
        <v>1.0</v>
      </c>
      <c r="I58" s="1">
        <v>1.0</v>
      </c>
      <c r="J58" s="1">
        <v>1005.0</v>
      </c>
      <c r="L58" s="1">
        <v>7465890.0</v>
      </c>
      <c r="Q58" s="1" t="s">
        <v>239</v>
      </c>
      <c r="R58" s="1" t="s">
        <v>97</v>
      </c>
      <c r="S58" s="1">
        <v>1.0</v>
      </c>
      <c r="T58" s="1">
        <v>1.0</v>
      </c>
      <c r="U58" s="1">
        <v>2.0</v>
      </c>
      <c r="X58" s="1" t="s">
        <v>29</v>
      </c>
    </row>
    <row r="59">
      <c r="A59" s="3" t="str">
        <f>HYPERLINK("https://stackoverflow.com/q/42470252", "42470252")</f>
        <v>42470252</v>
      </c>
      <c r="B59" s="1" t="s">
        <v>93</v>
      </c>
      <c r="C59" s="1" t="s">
        <v>240</v>
      </c>
      <c r="D59" s="2" t="s">
        <v>241</v>
      </c>
      <c r="E59" s="1">
        <v>1.0</v>
      </c>
      <c r="F59" s="1">
        <v>4.2487858E7</v>
      </c>
      <c r="I59" s="1">
        <v>0.0</v>
      </c>
      <c r="J59" s="1">
        <v>460.0</v>
      </c>
      <c r="L59" s="1">
        <v>5983596.0</v>
      </c>
      <c r="Q59" s="1" t="s">
        <v>242</v>
      </c>
      <c r="R59" s="1" t="s">
        <v>97</v>
      </c>
      <c r="S59" s="1">
        <v>2.0</v>
      </c>
      <c r="T59" s="1">
        <v>0.0</v>
      </c>
      <c r="U59" s="1">
        <v>1.0</v>
      </c>
      <c r="X59" s="1" t="s">
        <v>29</v>
      </c>
      <c r="Z59" s="1" t="s">
        <v>243</v>
      </c>
    </row>
    <row r="60">
      <c r="A60" s="3" t="str">
        <f>HYPERLINK("https://stackoverflow.com/q/42506938", "42506938")</f>
        <v>42506938</v>
      </c>
      <c r="B60" s="1" t="s">
        <v>93</v>
      </c>
      <c r="C60" s="1" t="s">
        <v>244</v>
      </c>
      <c r="D60" s="2" t="s">
        <v>245</v>
      </c>
      <c r="E60" s="1">
        <v>1.0</v>
      </c>
      <c r="F60" s="1">
        <v>4.2528208E7</v>
      </c>
      <c r="I60" s="1">
        <v>0.0</v>
      </c>
      <c r="J60" s="1">
        <v>1059.0</v>
      </c>
      <c r="L60" s="1">
        <v>1401202.0</v>
      </c>
      <c r="N60" s="1">
        <v>1401202.0</v>
      </c>
      <c r="P60" s="1" t="s">
        <v>246</v>
      </c>
      <c r="Q60" s="1" t="s">
        <v>247</v>
      </c>
      <c r="R60" s="1" t="s">
        <v>97</v>
      </c>
      <c r="S60" s="1">
        <v>2.0</v>
      </c>
      <c r="T60" s="1">
        <v>2.0</v>
      </c>
      <c r="U60" s="1">
        <v>1.0</v>
      </c>
      <c r="X60" s="1" t="s">
        <v>29</v>
      </c>
      <c r="Z60" s="1" t="s">
        <v>247</v>
      </c>
    </row>
    <row r="61">
      <c r="A61" s="3" t="str">
        <f>HYPERLINK("https://stackoverflow.com/q/42638538", "42638538")</f>
        <v>42638538</v>
      </c>
      <c r="B61" s="1" t="s">
        <v>93</v>
      </c>
      <c r="C61" s="1" t="s">
        <v>248</v>
      </c>
      <c r="D61" s="2" t="s">
        <v>249</v>
      </c>
      <c r="E61" s="1">
        <v>1.0</v>
      </c>
      <c r="I61" s="1">
        <v>0.0</v>
      </c>
      <c r="J61" s="1">
        <v>154.0</v>
      </c>
      <c r="L61" s="1">
        <v>7465890.0</v>
      </c>
      <c r="N61" s="1">
        <v>7465890.0</v>
      </c>
      <c r="P61" s="1" t="s">
        <v>250</v>
      </c>
      <c r="Q61" s="1" t="s">
        <v>251</v>
      </c>
      <c r="R61" s="1" t="s">
        <v>97</v>
      </c>
      <c r="S61" s="1">
        <v>1.0</v>
      </c>
      <c r="T61" s="1">
        <v>4.0</v>
      </c>
      <c r="X61" s="1" t="s">
        <v>29</v>
      </c>
    </row>
    <row r="62">
      <c r="A62" s="3" t="str">
        <f>HYPERLINK("https://stackoverflow.com/q/42647054", "42647054")</f>
        <v>42647054</v>
      </c>
      <c r="B62" s="1" t="s">
        <v>93</v>
      </c>
      <c r="C62" s="1" t="s">
        <v>252</v>
      </c>
      <c r="D62" s="2" t="s">
        <v>253</v>
      </c>
      <c r="E62" s="1">
        <v>1.0</v>
      </c>
      <c r="F62" s="1">
        <v>4.2658273E7</v>
      </c>
      <c r="I62" s="1">
        <v>1.0</v>
      </c>
      <c r="J62" s="1">
        <v>1283.0</v>
      </c>
      <c r="L62" s="1">
        <v>7671921.0</v>
      </c>
      <c r="N62" s="1">
        <v>7671921.0</v>
      </c>
      <c r="P62" s="1" t="s">
        <v>254</v>
      </c>
      <c r="Q62" s="1" t="s">
        <v>255</v>
      </c>
      <c r="R62" s="1" t="s">
        <v>97</v>
      </c>
      <c r="S62" s="1">
        <v>2.0</v>
      </c>
      <c r="T62" s="1">
        <v>0.0</v>
      </c>
      <c r="U62" s="1">
        <v>1.0</v>
      </c>
      <c r="X62" s="1" t="s">
        <v>29</v>
      </c>
      <c r="Z62" s="1" t="s">
        <v>256</v>
      </c>
    </row>
    <row r="63">
      <c r="A63" s="3" t="str">
        <f>HYPERLINK("https://stackoverflow.com/q/42672196", "42672196")</f>
        <v>42672196</v>
      </c>
      <c r="B63" s="1" t="s">
        <v>93</v>
      </c>
      <c r="C63" s="1" t="s">
        <v>257</v>
      </c>
      <c r="D63" s="2" t="s">
        <v>258</v>
      </c>
      <c r="E63" s="1">
        <v>1.0</v>
      </c>
      <c r="F63" s="1">
        <v>4.267824E7</v>
      </c>
      <c r="I63" s="1">
        <v>1.0</v>
      </c>
      <c r="J63" s="1">
        <v>1288.0</v>
      </c>
      <c r="L63" s="1">
        <v>1401202.0</v>
      </c>
      <c r="N63" s="1">
        <v>1401202.0</v>
      </c>
      <c r="P63" s="1" t="s">
        <v>259</v>
      </c>
      <c r="Q63" s="1" t="s">
        <v>259</v>
      </c>
      <c r="R63" s="1" t="s">
        <v>97</v>
      </c>
      <c r="S63" s="1">
        <v>1.0</v>
      </c>
      <c r="T63" s="1">
        <v>0.0</v>
      </c>
      <c r="U63" s="1">
        <v>1.0</v>
      </c>
      <c r="X63" s="1" t="s">
        <v>29</v>
      </c>
      <c r="Z63" s="1" t="s">
        <v>260</v>
      </c>
    </row>
    <row r="64">
      <c r="A64" s="3" t="str">
        <f>HYPERLINK("https://stackoverflow.com/q/42677688", "42677688")</f>
        <v>42677688</v>
      </c>
      <c r="B64" s="1" t="s">
        <v>93</v>
      </c>
      <c r="C64" s="1" t="s">
        <v>261</v>
      </c>
      <c r="D64" s="2" t="s">
        <v>262</v>
      </c>
      <c r="E64" s="1">
        <v>1.0</v>
      </c>
      <c r="F64" s="1">
        <v>4.2680642E7</v>
      </c>
      <c r="I64" s="1">
        <v>2.0</v>
      </c>
      <c r="J64" s="1">
        <v>594.0</v>
      </c>
      <c r="L64" s="1">
        <v>993880.0</v>
      </c>
      <c r="Q64" s="1" t="s">
        <v>263</v>
      </c>
      <c r="R64" s="1" t="s">
        <v>97</v>
      </c>
      <c r="S64" s="1">
        <v>1.0</v>
      </c>
      <c r="T64" s="1">
        <v>0.0</v>
      </c>
      <c r="X64" s="1" t="s">
        <v>29</v>
      </c>
      <c r="Z64" s="1" t="s">
        <v>263</v>
      </c>
    </row>
    <row r="65">
      <c r="A65" s="3" t="str">
        <f>HYPERLINK("https://stackoverflow.com/q/42705379", "42705379")</f>
        <v>42705379</v>
      </c>
      <c r="B65" s="1" t="s">
        <v>93</v>
      </c>
      <c r="C65" s="1" t="s">
        <v>264</v>
      </c>
      <c r="D65" s="2" t="s">
        <v>265</v>
      </c>
      <c r="E65" s="1">
        <v>1.0</v>
      </c>
      <c r="F65" s="1">
        <v>4.3521379E7</v>
      </c>
      <c r="I65" s="1">
        <v>1.0</v>
      </c>
      <c r="J65" s="1">
        <v>1331.0</v>
      </c>
      <c r="L65" s="1">
        <v>1401202.0</v>
      </c>
      <c r="Q65" s="1" t="s">
        <v>266</v>
      </c>
      <c r="R65" s="1" t="s">
        <v>97</v>
      </c>
      <c r="S65" s="1">
        <v>1.0</v>
      </c>
      <c r="T65" s="1">
        <v>3.0</v>
      </c>
      <c r="X65" s="1" t="s">
        <v>29</v>
      </c>
      <c r="Z65" s="1" t="s">
        <v>267</v>
      </c>
    </row>
    <row r="66">
      <c r="A66" s="3" t="str">
        <f>HYPERLINK("https://stackoverflow.com/q/42730602", "42730602")</f>
        <v>42730602</v>
      </c>
      <c r="B66" s="1" t="s">
        <v>93</v>
      </c>
      <c r="C66" s="1" t="s">
        <v>268</v>
      </c>
      <c r="D66" s="2" t="s">
        <v>269</v>
      </c>
      <c r="E66" s="1">
        <v>1.0</v>
      </c>
      <c r="I66" s="1">
        <v>0.0</v>
      </c>
      <c r="J66" s="1">
        <v>233.0</v>
      </c>
      <c r="L66" s="1">
        <v>7465890.0</v>
      </c>
      <c r="Q66" s="1" t="s">
        <v>270</v>
      </c>
      <c r="R66" s="1" t="s">
        <v>97</v>
      </c>
      <c r="S66" s="1">
        <v>1.0</v>
      </c>
      <c r="T66" s="1">
        <v>0.0</v>
      </c>
      <c r="U66" s="1">
        <v>1.0</v>
      </c>
      <c r="X66" s="1" t="s">
        <v>29</v>
      </c>
    </row>
    <row r="67">
      <c r="A67" s="3" t="str">
        <f>HYPERLINK("https://stackoverflow.com/q/42739284", "42739284")</f>
        <v>42739284</v>
      </c>
      <c r="B67" s="1" t="s">
        <v>93</v>
      </c>
      <c r="C67" s="1" t="s">
        <v>271</v>
      </c>
      <c r="D67" s="2" t="s">
        <v>272</v>
      </c>
      <c r="E67" s="1">
        <v>1.0</v>
      </c>
      <c r="I67" s="1">
        <v>0.0</v>
      </c>
      <c r="J67" s="1">
        <v>1116.0</v>
      </c>
      <c r="L67" s="1">
        <v>6552361.0</v>
      </c>
      <c r="Q67" s="1" t="s">
        <v>273</v>
      </c>
      <c r="R67" s="1" t="s">
        <v>97</v>
      </c>
      <c r="S67" s="1">
        <v>1.0</v>
      </c>
      <c r="T67" s="1">
        <v>1.0</v>
      </c>
      <c r="U67" s="1">
        <v>1.0</v>
      </c>
      <c r="X67" s="1" t="s">
        <v>29</v>
      </c>
    </row>
    <row r="68">
      <c r="A68" s="3" t="str">
        <f>HYPERLINK("https://stackoverflow.com/q/42841546", "42841546")</f>
        <v>42841546</v>
      </c>
      <c r="B68" s="1" t="s">
        <v>93</v>
      </c>
      <c r="C68" s="1" t="s">
        <v>274</v>
      </c>
      <c r="D68" s="2" t="s">
        <v>275</v>
      </c>
      <c r="E68" s="1">
        <v>1.0</v>
      </c>
      <c r="F68" s="1">
        <v>4.2941166E7</v>
      </c>
      <c r="I68" s="1">
        <v>0.0</v>
      </c>
      <c r="J68" s="1">
        <v>111.0</v>
      </c>
      <c r="L68" s="1">
        <v>5871727.0</v>
      </c>
      <c r="N68" s="1">
        <v>5871727.0</v>
      </c>
      <c r="P68" s="1" t="s">
        <v>276</v>
      </c>
      <c r="Q68" s="1" t="s">
        <v>276</v>
      </c>
      <c r="R68" s="1" t="s">
        <v>130</v>
      </c>
      <c r="S68" s="1">
        <v>2.0</v>
      </c>
      <c r="T68" s="1">
        <v>2.0</v>
      </c>
      <c r="X68" s="1" t="s">
        <v>29</v>
      </c>
      <c r="Z68" s="1" t="s">
        <v>277</v>
      </c>
    </row>
    <row r="69">
      <c r="A69" s="3" t="str">
        <f>HYPERLINK("https://stackoverflow.com/q/42859142", "42859142")</f>
        <v>42859142</v>
      </c>
      <c r="B69" s="1" t="s">
        <v>93</v>
      </c>
      <c r="C69" s="1" t="s">
        <v>278</v>
      </c>
      <c r="D69" s="2" t="s">
        <v>279</v>
      </c>
      <c r="E69" s="1">
        <v>1.0</v>
      </c>
      <c r="F69" s="1">
        <v>4.2863213E7</v>
      </c>
      <c r="I69" s="1">
        <v>0.0</v>
      </c>
      <c r="J69" s="1">
        <v>83.0</v>
      </c>
      <c r="L69" s="1">
        <v>3490987.0</v>
      </c>
      <c r="Q69" s="1" t="s">
        <v>280</v>
      </c>
      <c r="R69" s="1" t="s">
        <v>97</v>
      </c>
      <c r="S69" s="1">
        <v>1.0</v>
      </c>
      <c r="T69" s="1">
        <v>0.0</v>
      </c>
      <c r="X69" s="1" t="s">
        <v>29</v>
      </c>
      <c r="Z69" s="1" t="s">
        <v>280</v>
      </c>
    </row>
    <row r="70">
      <c r="A70" s="3" t="str">
        <f>HYPERLINK("https://stackoverflow.com/q/42914503", "42914503")</f>
        <v>42914503</v>
      </c>
      <c r="B70" s="1" t="s">
        <v>93</v>
      </c>
      <c r="C70" s="1" t="s">
        <v>281</v>
      </c>
      <c r="D70" s="2" t="s">
        <v>282</v>
      </c>
      <c r="E70" s="1">
        <v>1.0</v>
      </c>
      <c r="F70" s="1">
        <v>4.3007197E7</v>
      </c>
      <c r="I70" s="1">
        <v>0.0</v>
      </c>
      <c r="J70" s="1">
        <v>226.0</v>
      </c>
      <c r="L70" s="1">
        <v>3490987.0</v>
      </c>
      <c r="N70" s="1">
        <v>-1.0</v>
      </c>
      <c r="P70" s="1" t="s">
        <v>283</v>
      </c>
      <c r="Q70" s="1" t="s">
        <v>284</v>
      </c>
      <c r="R70" s="1" t="s">
        <v>285</v>
      </c>
      <c r="S70" s="1">
        <v>1.0</v>
      </c>
      <c r="T70" s="1">
        <v>2.0</v>
      </c>
      <c r="X70" s="1" t="s">
        <v>29</v>
      </c>
      <c r="Z70" s="1" t="s">
        <v>284</v>
      </c>
    </row>
    <row r="71">
      <c r="A71" s="3" t="str">
        <f>HYPERLINK("https://stackoverflow.com/q/42938295", "42938295")</f>
        <v>42938295</v>
      </c>
      <c r="B71" s="1" t="s">
        <v>93</v>
      </c>
      <c r="C71" s="1" t="s">
        <v>286</v>
      </c>
      <c r="D71" s="2" t="s">
        <v>287</v>
      </c>
      <c r="E71" s="1">
        <v>1.0</v>
      </c>
      <c r="F71" s="1">
        <v>4.3102898E7</v>
      </c>
      <c r="I71" s="1">
        <v>0.0</v>
      </c>
      <c r="J71" s="1">
        <v>203.0</v>
      </c>
      <c r="L71" s="1">
        <v>3490987.0</v>
      </c>
      <c r="N71" s="1">
        <v>3490987.0</v>
      </c>
      <c r="P71" s="1" t="s">
        <v>288</v>
      </c>
      <c r="Q71" s="1" t="s">
        <v>289</v>
      </c>
      <c r="R71" s="1" t="s">
        <v>130</v>
      </c>
      <c r="S71" s="1">
        <v>2.0</v>
      </c>
      <c r="T71" s="1">
        <v>0.0</v>
      </c>
      <c r="X71" s="1" t="s">
        <v>29</v>
      </c>
      <c r="Z71" s="1" t="s">
        <v>289</v>
      </c>
    </row>
    <row r="72">
      <c r="A72" s="3" t="str">
        <f>HYPERLINK("https://stackoverflow.com/q/42955004", "42955004")</f>
        <v>42955004</v>
      </c>
      <c r="B72" s="1" t="s">
        <v>93</v>
      </c>
      <c r="C72" s="1" t="s">
        <v>290</v>
      </c>
      <c r="D72" s="2" t="s">
        <v>291</v>
      </c>
      <c r="E72" s="1">
        <v>1.0</v>
      </c>
      <c r="F72" s="1">
        <v>4.299043E7</v>
      </c>
      <c r="I72" s="1">
        <v>1.0</v>
      </c>
      <c r="J72" s="1">
        <v>151.0</v>
      </c>
      <c r="L72" s="1">
        <v>7463558.0</v>
      </c>
      <c r="Q72" s="1" t="s">
        <v>292</v>
      </c>
      <c r="R72" s="1" t="s">
        <v>97</v>
      </c>
      <c r="S72" s="1">
        <v>1.0</v>
      </c>
      <c r="T72" s="1">
        <v>0.0</v>
      </c>
      <c r="U72" s="1">
        <v>1.0</v>
      </c>
      <c r="X72" s="1" t="s">
        <v>29</v>
      </c>
      <c r="Z72" s="1" t="s">
        <v>292</v>
      </c>
    </row>
    <row r="73">
      <c r="A73" s="3" t="str">
        <f>HYPERLINK("https://stackoverflow.com/q/42996482", "42996482")</f>
        <v>42996482</v>
      </c>
      <c r="B73" s="1" t="s">
        <v>93</v>
      </c>
      <c r="C73" s="1" t="s">
        <v>293</v>
      </c>
      <c r="D73" s="2" t="s">
        <v>294</v>
      </c>
      <c r="E73" s="1">
        <v>1.0</v>
      </c>
      <c r="F73" s="1">
        <v>4.30052E7</v>
      </c>
      <c r="I73" s="1">
        <v>0.0</v>
      </c>
      <c r="J73" s="1">
        <v>1339.0</v>
      </c>
      <c r="L73" s="1">
        <v>5757155.0</v>
      </c>
      <c r="Q73" s="1" t="s">
        <v>295</v>
      </c>
      <c r="R73" s="1" t="s">
        <v>296</v>
      </c>
      <c r="S73" s="1">
        <v>1.0</v>
      </c>
      <c r="T73" s="1">
        <v>0.0</v>
      </c>
      <c r="X73" s="1" t="s">
        <v>29</v>
      </c>
      <c r="Z73" s="1" t="s">
        <v>295</v>
      </c>
    </row>
    <row r="74">
      <c r="A74" s="3" t="str">
        <f>HYPERLINK("https://stackoverflow.com/q/43007141", "43007141")</f>
        <v>43007141</v>
      </c>
      <c r="B74" s="1" t="s">
        <v>93</v>
      </c>
      <c r="C74" s="1" t="s">
        <v>297</v>
      </c>
      <c r="D74" s="2" t="s">
        <v>298</v>
      </c>
      <c r="E74" s="1">
        <v>1.0</v>
      </c>
      <c r="I74" s="1">
        <v>0.0</v>
      </c>
      <c r="J74" s="1">
        <v>1238.0</v>
      </c>
      <c r="L74" s="1">
        <v>3375649.0</v>
      </c>
      <c r="N74" s="1">
        <v>1401202.0</v>
      </c>
      <c r="P74" s="1" t="s">
        <v>299</v>
      </c>
      <c r="Q74" s="1" t="s">
        <v>299</v>
      </c>
      <c r="R74" s="1" t="s">
        <v>97</v>
      </c>
      <c r="S74" s="1">
        <v>1.0</v>
      </c>
      <c r="T74" s="1">
        <v>0.0</v>
      </c>
      <c r="U74" s="1">
        <v>1.0</v>
      </c>
      <c r="X74" s="1" t="s">
        <v>29</v>
      </c>
    </row>
    <row r="75">
      <c r="A75" s="3" t="str">
        <f>HYPERLINK("https://stackoverflow.com/q/43008145", "43008145")</f>
        <v>43008145</v>
      </c>
      <c r="B75" s="1" t="s">
        <v>93</v>
      </c>
      <c r="C75" s="1" t="s">
        <v>300</v>
      </c>
      <c r="D75" s="2" t="s">
        <v>301</v>
      </c>
      <c r="E75" s="1">
        <v>1.0</v>
      </c>
      <c r="I75" s="1">
        <v>1.0</v>
      </c>
      <c r="J75" s="1">
        <v>325.0</v>
      </c>
      <c r="L75" s="1">
        <v>7764099.0</v>
      </c>
      <c r="Q75" s="1" t="s">
        <v>302</v>
      </c>
      <c r="R75" s="1" t="s">
        <v>97</v>
      </c>
      <c r="S75" s="1">
        <v>1.0</v>
      </c>
      <c r="T75" s="1">
        <v>0.0</v>
      </c>
      <c r="V75" s="1" t="s">
        <v>303</v>
      </c>
      <c r="X75" s="1" t="s">
        <v>29</v>
      </c>
    </row>
    <row r="76">
      <c r="A76" s="3" t="str">
        <f>HYPERLINK("https://stackoverflow.com/q/43033640", "43033640")</f>
        <v>43033640</v>
      </c>
      <c r="B76" s="1" t="s">
        <v>93</v>
      </c>
      <c r="C76" s="1" t="s">
        <v>304</v>
      </c>
      <c r="D76" s="2" t="s">
        <v>305</v>
      </c>
      <c r="E76" s="1">
        <v>1.0</v>
      </c>
      <c r="F76" s="1">
        <v>4.3052141E7</v>
      </c>
      <c r="I76" s="1">
        <v>0.0</v>
      </c>
      <c r="J76" s="1">
        <v>502.0</v>
      </c>
      <c r="L76" s="1">
        <v>7460010.0</v>
      </c>
      <c r="Q76" s="1" t="s">
        <v>306</v>
      </c>
      <c r="R76" s="1" t="s">
        <v>97</v>
      </c>
      <c r="S76" s="1">
        <v>1.0</v>
      </c>
      <c r="T76" s="1">
        <v>0.0</v>
      </c>
      <c r="X76" s="1" t="s">
        <v>29</v>
      </c>
      <c r="Z76" s="1" t="s">
        <v>306</v>
      </c>
    </row>
    <row r="77">
      <c r="A77" s="3" t="str">
        <f>HYPERLINK("https://stackoverflow.com/q/43045887", "43045887")</f>
        <v>43045887</v>
      </c>
      <c r="B77" s="1" t="s">
        <v>93</v>
      </c>
      <c r="C77" s="1" t="s">
        <v>307</v>
      </c>
      <c r="D77" s="2" t="s">
        <v>308</v>
      </c>
      <c r="E77" s="1">
        <v>1.0</v>
      </c>
      <c r="F77" s="1">
        <v>4.3050846E7</v>
      </c>
      <c r="I77" s="1">
        <v>0.0</v>
      </c>
      <c r="J77" s="1">
        <v>468.0</v>
      </c>
      <c r="L77" s="1">
        <v>7398432.0</v>
      </c>
      <c r="Q77" s="1" t="s">
        <v>309</v>
      </c>
      <c r="R77" s="1" t="s">
        <v>97</v>
      </c>
      <c r="S77" s="1">
        <v>2.0</v>
      </c>
      <c r="T77" s="1">
        <v>0.0</v>
      </c>
      <c r="X77" s="1" t="s">
        <v>29</v>
      </c>
      <c r="Z77" s="1" t="s">
        <v>310</v>
      </c>
    </row>
    <row r="78">
      <c r="A78" s="3" t="str">
        <f>HYPERLINK("https://stackoverflow.com/q/43079162", "43079162")</f>
        <v>43079162</v>
      </c>
      <c r="B78" s="1" t="s">
        <v>93</v>
      </c>
      <c r="C78" s="1" t="s">
        <v>311</v>
      </c>
      <c r="D78" s="2" t="s">
        <v>312</v>
      </c>
      <c r="E78" s="1">
        <v>1.0</v>
      </c>
      <c r="F78" s="1">
        <v>4.3081485E7</v>
      </c>
      <c r="I78" s="1">
        <v>0.0</v>
      </c>
      <c r="J78" s="1">
        <v>492.0</v>
      </c>
      <c r="L78" s="1">
        <v>3490987.0</v>
      </c>
      <c r="Q78" s="1" t="s">
        <v>313</v>
      </c>
      <c r="R78" s="1" t="s">
        <v>97</v>
      </c>
      <c r="S78" s="1">
        <v>3.0</v>
      </c>
      <c r="T78" s="1">
        <v>0.0</v>
      </c>
      <c r="U78" s="1">
        <v>1.0</v>
      </c>
      <c r="X78" s="1" t="s">
        <v>29</v>
      </c>
      <c r="Z78" s="1" t="s">
        <v>314</v>
      </c>
    </row>
    <row r="79">
      <c r="A79" s="3" t="str">
        <f>HYPERLINK("https://stackoverflow.com/q/43097927", "43097927")</f>
        <v>43097927</v>
      </c>
      <c r="B79" s="1" t="s">
        <v>93</v>
      </c>
      <c r="C79" s="1" t="s">
        <v>315</v>
      </c>
      <c r="D79" s="2" t="s">
        <v>316</v>
      </c>
      <c r="E79" s="1">
        <v>1.0</v>
      </c>
      <c r="F79" s="1">
        <v>4.3102921E7</v>
      </c>
      <c r="I79" s="1">
        <v>1.0</v>
      </c>
      <c r="J79" s="1">
        <v>1174.0</v>
      </c>
      <c r="L79" s="1">
        <v>7764099.0</v>
      </c>
      <c r="Q79" s="1" t="s">
        <v>317</v>
      </c>
      <c r="R79" s="1" t="s">
        <v>190</v>
      </c>
      <c r="S79" s="1">
        <v>3.0</v>
      </c>
      <c r="T79" s="1">
        <v>0.0</v>
      </c>
      <c r="X79" s="1" t="s">
        <v>29</v>
      </c>
      <c r="Z79" s="1" t="s">
        <v>317</v>
      </c>
    </row>
    <row r="80">
      <c r="A80" s="3" t="str">
        <f>HYPERLINK("https://stackoverflow.com/q/43212275", "43212275")</f>
        <v>43212275</v>
      </c>
      <c r="B80" s="1" t="s">
        <v>93</v>
      </c>
      <c r="C80" s="1" t="s">
        <v>318</v>
      </c>
      <c r="D80" s="2" t="s">
        <v>319</v>
      </c>
      <c r="E80" s="1">
        <v>1.0</v>
      </c>
      <c r="F80" s="1">
        <v>4.3214315E7</v>
      </c>
      <c r="I80" s="1">
        <v>0.0</v>
      </c>
      <c r="J80" s="1">
        <v>108.0</v>
      </c>
      <c r="L80" s="1">
        <v>7463558.0</v>
      </c>
      <c r="Q80" s="1" t="s">
        <v>320</v>
      </c>
      <c r="R80" s="1" t="s">
        <v>97</v>
      </c>
      <c r="S80" s="1">
        <v>1.0</v>
      </c>
      <c r="T80" s="1">
        <v>0.0</v>
      </c>
      <c r="X80" s="1" t="s">
        <v>29</v>
      </c>
      <c r="Z80" s="1" t="s">
        <v>320</v>
      </c>
    </row>
    <row r="81">
      <c r="A81" s="3" t="str">
        <f>HYPERLINK("https://stackoverflow.com/q/43213661", "43213661")</f>
        <v>43213661</v>
      </c>
      <c r="B81" s="1" t="s">
        <v>93</v>
      </c>
      <c r="C81" s="1" t="s">
        <v>321</v>
      </c>
      <c r="D81" s="2" t="s">
        <v>322</v>
      </c>
      <c r="E81" s="1">
        <v>1.0</v>
      </c>
      <c r="F81" s="1">
        <v>4.3237384E7</v>
      </c>
      <c r="I81" s="1">
        <v>0.0</v>
      </c>
      <c r="J81" s="1">
        <v>223.0</v>
      </c>
      <c r="L81" s="1">
        <v>5710262.0</v>
      </c>
      <c r="N81" s="1">
        <v>772020.0</v>
      </c>
      <c r="P81" s="1" t="s">
        <v>323</v>
      </c>
      <c r="Q81" s="1" t="s">
        <v>324</v>
      </c>
      <c r="R81" s="1" t="s">
        <v>97</v>
      </c>
      <c r="S81" s="1">
        <v>1.0</v>
      </c>
      <c r="T81" s="1">
        <v>0.0</v>
      </c>
      <c r="X81" s="1" t="s">
        <v>29</v>
      </c>
      <c r="Z81" s="1" t="s">
        <v>325</v>
      </c>
    </row>
    <row r="82">
      <c r="A82" s="3" t="str">
        <f>HYPERLINK("https://stackoverflow.com/q/43241155", "43241155")</f>
        <v>43241155</v>
      </c>
      <c r="B82" s="1" t="s">
        <v>93</v>
      </c>
      <c r="C82" s="1" t="s">
        <v>326</v>
      </c>
      <c r="D82" s="2" t="s">
        <v>327</v>
      </c>
      <c r="E82" s="1">
        <v>1.0</v>
      </c>
      <c r="I82" s="1">
        <v>0.0</v>
      </c>
      <c r="J82" s="1">
        <v>196.0</v>
      </c>
      <c r="L82" s="1">
        <v>3490987.0</v>
      </c>
      <c r="Q82" s="1" t="s">
        <v>328</v>
      </c>
      <c r="R82" s="1" t="s">
        <v>97</v>
      </c>
      <c r="S82" s="1">
        <v>1.0</v>
      </c>
      <c r="T82" s="1">
        <v>0.0</v>
      </c>
      <c r="X82" s="1" t="s">
        <v>29</v>
      </c>
    </row>
    <row r="83">
      <c r="A83" s="3" t="str">
        <f>HYPERLINK("https://stackoverflow.com/q/43244727", "43244727")</f>
        <v>43244727</v>
      </c>
      <c r="B83" s="1" t="s">
        <v>93</v>
      </c>
      <c r="C83" s="1" t="s">
        <v>329</v>
      </c>
      <c r="D83" s="2" t="s">
        <v>330</v>
      </c>
      <c r="E83" s="1">
        <v>1.0</v>
      </c>
      <c r="F83" s="1">
        <v>4.3266632E7</v>
      </c>
      <c r="I83" s="1">
        <v>0.0</v>
      </c>
      <c r="J83" s="1">
        <v>635.0</v>
      </c>
      <c r="L83" s="1">
        <v>4068578.0</v>
      </c>
      <c r="Q83" s="1" t="s">
        <v>331</v>
      </c>
      <c r="R83" s="1" t="s">
        <v>97</v>
      </c>
      <c r="S83" s="1">
        <v>1.0</v>
      </c>
      <c r="T83" s="1">
        <v>0.0</v>
      </c>
      <c r="X83" s="1" t="s">
        <v>29</v>
      </c>
      <c r="Z83" s="1" t="s">
        <v>331</v>
      </c>
    </row>
    <row r="84">
      <c r="A84" s="3" t="str">
        <f>HYPERLINK("https://stackoverflow.com/q/43454426", "43454426")</f>
        <v>43454426</v>
      </c>
      <c r="B84" s="1" t="s">
        <v>93</v>
      </c>
      <c r="C84" s="1" t="s">
        <v>332</v>
      </c>
      <c r="D84" s="2" t="s">
        <v>333</v>
      </c>
      <c r="E84" s="1">
        <v>1.0</v>
      </c>
      <c r="I84" s="1">
        <v>0.0</v>
      </c>
      <c r="J84" s="1">
        <v>100.0</v>
      </c>
      <c r="L84" s="1">
        <v>5596743.0</v>
      </c>
      <c r="Q84" s="1" t="s">
        <v>334</v>
      </c>
      <c r="R84" s="1" t="s">
        <v>97</v>
      </c>
      <c r="S84" s="1">
        <v>1.0</v>
      </c>
      <c r="T84" s="1">
        <v>0.0</v>
      </c>
      <c r="X84" s="1" t="s">
        <v>29</v>
      </c>
    </row>
    <row r="85">
      <c r="A85" s="3" t="str">
        <f>HYPERLINK("https://stackoverflow.com/q/43500546", "43500546")</f>
        <v>43500546</v>
      </c>
      <c r="B85" s="1" t="s">
        <v>93</v>
      </c>
      <c r="C85" s="1" t="s">
        <v>335</v>
      </c>
      <c r="D85" s="2" t="s">
        <v>336</v>
      </c>
      <c r="E85" s="1">
        <v>1.0</v>
      </c>
      <c r="F85" s="1">
        <v>4.3527328E7</v>
      </c>
      <c r="I85" s="1">
        <v>0.0</v>
      </c>
      <c r="J85" s="1">
        <v>138.0</v>
      </c>
      <c r="L85" s="1">
        <v>7463558.0</v>
      </c>
      <c r="Q85" s="1" t="s">
        <v>337</v>
      </c>
      <c r="R85" s="1" t="s">
        <v>97</v>
      </c>
      <c r="S85" s="1">
        <v>1.0</v>
      </c>
      <c r="T85" s="1">
        <v>0.0</v>
      </c>
      <c r="X85" s="1" t="s">
        <v>29</v>
      </c>
      <c r="Z85" s="1" t="s">
        <v>337</v>
      </c>
    </row>
    <row r="86">
      <c r="A86" s="3" t="str">
        <f>HYPERLINK("https://stackoverflow.com/q/43549963", "43549963")</f>
        <v>43549963</v>
      </c>
      <c r="B86" s="1" t="s">
        <v>93</v>
      </c>
      <c r="C86" s="1" t="s">
        <v>338</v>
      </c>
      <c r="D86" s="2" t="s">
        <v>339</v>
      </c>
      <c r="E86" s="1">
        <v>1.0</v>
      </c>
      <c r="I86" s="1">
        <v>0.0</v>
      </c>
      <c r="J86" s="1">
        <v>66.0</v>
      </c>
      <c r="L86" s="1">
        <v>7465890.0</v>
      </c>
      <c r="Q86" s="1" t="s">
        <v>340</v>
      </c>
      <c r="R86" s="1" t="s">
        <v>97</v>
      </c>
      <c r="S86" s="1">
        <v>2.0</v>
      </c>
      <c r="T86" s="1">
        <v>0.0</v>
      </c>
      <c r="U86" s="1">
        <v>1.0</v>
      </c>
      <c r="X86" s="1" t="s">
        <v>29</v>
      </c>
    </row>
    <row r="87">
      <c r="A87" s="3" t="str">
        <f>HYPERLINK("https://stackoverflow.com/q/43612228", "43612228")</f>
        <v>43612228</v>
      </c>
      <c r="B87" s="1" t="s">
        <v>93</v>
      </c>
      <c r="C87" s="1" t="s">
        <v>341</v>
      </c>
      <c r="D87" s="2" t="s">
        <v>342</v>
      </c>
      <c r="E87" s="1">
        <v>1.0</v>
      </c>
      <c r="F87" s="1">
        <v>4.361766E7</v>
      </c>
      <c r="I87" s="1">
        <v>0.0</v>
      </c>
      <c r="J87" s="1">
        <v>29.0</v>
      </c>
      <c r="L87" s="1">
        <v>7919671.0</v>
      </c>
      <c r="Q87" s="1" t="s">
        <v>343</v>
      </c>
      <c r="R87" s="1" t="s">
        <v>97</v>
      </c>
      <c r="S87" s="1">
        <v>1.0</v>
      </c>
      <c r="T87" s="1">
        <v>0.0</v>
      </c>
      <c r="X87" s="1" t="s">
        <v>29</v>
      </c>
      <c r="Z87" s="1" t="s">
        <v>343</v>
      </c>
    </row>
    <row r="88">
      <c r="A88" s="3" t="str">
        <f>HYPERLINK("https://stackoverflow.com/q/43618424", "43618424")</f>
        <v>43618424</v>
      </c>
      <c r="B88" s="1" t="s">
        <v>93</v>
      </c>
      <c r="C88" s="1" t="s">
        <v>344</v>
      </c>
      <c r="D88" s="2" t="s">
        <v>345</v>
      </c>
      <c r="E88" s="1">
        <v>1.0</v>
      </c>
      <c r="I88" s="1">
        <v>0.0</v>
      </c>
      <c r="J88" s="1">
        <v>40.0</v>
      </c>
      <c r="L88" s="1">
        <v>5596743.0</v>
      </c>
      <c r="Q88" s="1" t="s">
        <v>346</v>
      </c>
      <c r="R88" s="1" t="s">
        <v>97</v>
      </c>
      <c r="S88" s="1">
        <v>1.0</v>
      </c>
      <c r="T88" s="1">
        <v>0.0</v>
      </c>
      <c r="X88" s="1" t="s">
        <v>29</v>
      </c>
    </row>
    <row r="89">
      <c r="A89" s="3" t="str">
        <f>HYPERLINK("https://stackoverflow.com/q/43642384", "43642384")</f>
        <v>43642384</v>
      </c>
      <c r="B89" s="1" t="s">
        <v>93</v>
      </c>
      <c r="C89" s="1" t="s">
        <v>347</v>
      </c>
      <c r="D89" s="2" t="s">
        <v>348</v>
      </c>
      <c r="E89" s="1">
        <v>1.0</v>
      </c>
      <c r="F89" s="1">
        <v>4.9054438E7</v>
      </c>
      <c r="I89" s="1">
        <v>0.0</v>
      </c>
      <c r="J89" s="1">
        <v>666.0</v>
      </c>
      <c r="L89" s="1">
        <v>5596743.0</v>
      </c>
      <c r="Q89" s="1" t="s">
        <v>349</v>
      </c>
      <c r="R89" s="1" t="s">
        <v>97</v>
      </c>
      <c r="S89" s="1">
        <v>1.0</v>
      </c>
      <c r="T89" s="1">
        <v>0.0</v>
      </c>
      <c r="X89" s="1" t="s">
        <v>29</v>
      </c>
      <c r="Z89" s="1" t="s">
        <v>349</v>
      </c>
    </row>
    <row r="90">
      <c r="A90" s="3" t="str">
        <f>HYPERLINK("https://stackoverflow.com/q/43646460", "43646460")</f>
        <v>43646460</v>
      </c>
      <c r="B90" s="1" t="s">
        <v>93</v>
      </c>
      <c r="C90" s="1" t="s">
        <v>350</v>
      </c>
      <c r="D90" s="2" t="s">
        <v>351</v>
      </c>
      <c r="E90" s="1">
        <v>1.0</v>
      </c>
      <c r="I90" s="1">
        <v>1.0</v>
      </c>
      <c r="J90" s="1">
        <v>475.0</v>
      </c>
      <c r="L90" s="1">
        <v>7465890.0</v>
      </c>
      <c r="Q90" s="1" t="s">
        <v>352</v>
      </c>
      <c r="R90" s="1" t="s">
        <v>97</v>
      </c>
      <c r="S90" s="1">
        <v>2.0</v>
      </c>
      <c r="T90" s="1">
        <v>0.0</v>
      </c>
      <c r="X90" s="1" t="s">
        <v>29</v>
      </c>
    </row>
    <row r="91">
      <c r="A91" s="3" t="str">
        <f>HYPERLINK("https://stackoverflow.com/q/43667724", "43667724")</f>
        <v>43667724</v>
      </c>
      <c r="B91" s="1" t="s">
        <v>93</v>
      </c>
      <c r="C91" s="1" t="s">
        <v>353</v>
      </c>
      <c r="D91" s="2" t="s">
        <v>354</v>
      </c>
      <c r="E91" s="1">
        <v>1.0</v>
      </c>
      <c r="F91" s="1">
        <v>4.3789456E7</v>
      </c>
      <c r="I91" s="1">
        <v>0.0</v>
      </c>
      <c r="J91" s="1">
        <v>607.0</v>
      </c>
      <c r="L91" s="1">
        <v>7919671.0</v>
      </c>
      <c r="Q91" s="1" t="s">
        <v>355</v>
      </c>
      <c r="R91" s="1" t="s">
        <v>97</v>
      </c>
      <c r="S91" s="1">
        <v>1.0</v>
      </c>
      <c r="T91" s="1">
        <v>1.0</v>
      </c>
      <c r="X91" s="1" t="s">
        <v>29</v>
      </c>
      <c r="Z91" s="1" t="s">
        <v>356</v>
      </c>
    </row>
    <row r="92">
      <c r="A92" s="3" t="str">
        <f>HYPERLINK("https://stackoverflow.com/q/43764771", "43764771")</f>
        <v>43764771</v>
      </c>
      <c r="B92" s="1" t="s">
        <v>93</v>
      </c>
      <c r="C92" s="1" t="s">
        <v>357</v>
      </c>
      <c r="D92" s="2" t="s">
        <v>358</v>
      </c>
      <c r="E92" s="1">
        <v>1.0</v>
      </c>
      <c r="F92" s="1">
        <v>4.3771829E7</v>
      </c>
      <c r="I92" s="1">
        <v>0.0</v>
      </c>
      <c r="J92" s="1">
        <v>190.0</v>
      </c>
      <c r="L92" s="1">
        <v>6408940.0</v>
      </c>
      <c r="Q92" s="1" t="s">
        <v>359</v>
      </c>
      <c r="R92" s="1" t="s">
        <v>97</v>
      </c>
      <c r="S92" s="1">
        <v>1.0</v>
      </c>
      <c r="T92" s="1">
        <v>0.0</v>
      </c>
      <c r="X92" s="1" t="s">
        <v>29</v>
      </c>
      <c r="Z92" s="1" t="s">
        <v>359</v>
      </c>
    </row>
    <row r="93">
      <c r="A93" s="3" t="str">
        <f>HYPERLINK("https://stackoverflow.com/q/43778494", "43778494")</f>
        <v>43778494</v>
      </c>
      <c r="B93" s="1" t="s">
        <v>93</v>
      </c>
      <c r="C93" s="1" t="s">
        <v>360</v>
      </c>
      <c r="D93" s="2" t="s">
        <v>361</v>
      </c>
      <c r="E93" s="1">
        <v>1.0</v>
      </c>
      <c r="I93" s="1">
        <v>0.0</v>
      </c>
      <c r="J93" s="1">
        <v>60.0</v>
      </c>
      <c r="L93" s="1">
        <v>6408940.0</v>
      </c>
      <c r="Q93" s="1" t="s">
        <v>362</v>
      </c>
      <c r="R93" s="1" t="s">
        <v>97</v>
      </c>
      <c r="S93" s="1">
        <v>1.0</v>
      </c>
      <c r="T93" s="1">
        <v>0.0</v>
      </c>
      <c r="X93" s="1" t="s">
        <v>29</v>
      </c>
    </row>
    <row r="94">
      <c r="A94" s="3" t="str">
        <f>HYPERLINK("https://stackoverflow.com/q/43849977", "43849977")</f>
        <v>43849977</v>
      </c>
      <c r="B94" s="1" t="s">
        <v>93</v>
      </c>
      <c r="C94" s="1" t="s">
        <v>363</v>
      </c>
      <c r="D94" s="2" t="s">
        <v>364</v>
      </c>
      <c r="E94" s="1">
        <v>1.0</v>
      </c>
      <c r="I94" s="1">
        <v>0.0</v>
      </c>
      <c r="J94" s="1">
        <v>339.0</v>
      </c>
      <c r="L94" s="1">
        <v>7965116.0</v>
      </c>
      <c r="N94" s="1">
        <v>1.2892553E7</v>
      </c>
      <c r="P94" s="1" t="s">
        <v>365</v>
      </c>
      <c r="Q94" s="1" t="s">
        <v>365</v>
      </c>
      <c r="R94" s="1" t="s">
        <v>97</v>
      </c>
      <c r="S94" s="1">
        <v>1.0</v>
      </c>
      <c r="T94" s="1">
        <v>3.0</v>
      </c>
      <c r="X94" s="1" t="s">
        <v>56</v>
      </c>
    </row>
    <row r="95">
      <c r="A95" s="3" t="str">
        <f>HYPERLINK("https://stackoverflow.com/q/43860043", "43860043")</f>
        <v>43860043</v>
      </c>
      <c r="B95" s="1" t="s">
        <v>93</v>
      </c>
      <c r="C95" s="1" t="s">
        <v>366</v>
      </c>
      <c r="D95" s="2" t="s">
        <v>367</v>
      </c>
      <c r="E95" s="1">
        <v>1.0</v>
      </c>
      <c r="I95" s="1">
        <v>0.0</v>
      </c>
      <c r="J95" s="1">
        <v>454.0</v>
      </c>
      <c r="L95" s="1">
        <v>354310.0</v>
      </c>
      <c r="N95" s="1">
        <v>354310.0</v>
      </c>
      <c r="P95" s="1" t="s">
        <v>368</v>
      </c>
      <c r="Q95" s="1" t="s">
        <v>369</v>
      </c>
      <c r="R95" s="1" t="s">
        <v>97</v>
      </c>
      <c r="S95" s="1">
        <v>2.0</v>
      </c>
      <c r="T95" s="1">
        <v>6.0</v>
      </c>
      <c r="X95" s="1" t="s">
        <v>29</v>
      </c>
    </row>
    <row r="96">
      <c r="A96" s="3" t="str">
        <f>HYPERLINK("https://stackoverflow.com/q/43860901", "43860901")</f>
        <v>43860901</v>
      </c>
      <c r="B96" s="1" t="s">
        <v>93</v>
      </c>
      <c r="C96" s="1" t="s">
        <v>370</v>
      </c>
      <c r="D96" s="2" t="s">
        <v>371</v>
      </c>
      <c r="E96" s="1">
        <v>1.0</v>
      </c>
      <c r="F96" s="1">
        <v>4.3906292E7</v>
      </c>
      <c r="I96" s="1">
        <v>2.0</v>
      </c>
      <c r="J96" s="1">
        <v>687.0</v>
      </c>
      <c r="L96" s="1">
        <v>5983596.0</v>
      </c>
      <c r="N96" s="1">
        <v>472495.0</v>
      </c>
      <c r="P96" s="1" t="s">
        <v>372</v>
      </c>
      <c r="Q96" s="1" t="s">
        <v>373</v>
      </c>
      <c r="R96" s="1" t="s">
        <v>97</v>
      </c>
      <c r="S96" s="1">
        <v>1.0</v>
      </c>
      <c r="T96" s="1">
        <v>2.0</v>
      </c>
      <c r="U96" s="1">
        <v>1.0</v>
      </c>
      <c r="X96" s="1" t="s">
        <v>56</v>
      </c>
      <c r="Z96" s="1" t="s">
        <v>374</v>
      </c>
    </row>
    <row r="97">
      <c r="A97" s="3" t="str">
        <f>HYPERLINK("https://stackoverflow.com/q/43919778", "43919778")</f>
        <v>43919778</v>
      </c>
      <c r="B97" s="1" t="s">
        <v>93</v>
      </c>
      <c r="C97" s="1" t="s">
        <v>375</v>
      </c>
      <c r="D97" s="2" t="s">
        <v>376</v>
      </c>
      <c r="E97" s="1">
        <v>1.0</v>
      </c>
      <c r="I97" s="1">
        <v>0.0</v>
      </c>
      <c r="J97" s="1">
        <v>463.0</v>
      </c>
      <c r="L97" s="1">
        <v>4615976.0</v>
      </c>
      <c r="Q97" s="1" t="s">
        <v>377</v>
      </c>
      <c r="R97" s="1" t="s">
        <v>97</v>
      </c>
      <c r="S97" s="1">
        <v>1.0</v>
      </c>
      <c r="T97" s="1">
        <v>0.0</v>
      </c>
      <c r="U97" s="1">
        <v>1.0</v>
      </c>
      <c r="X97" s="1" t="s">
        <v>29</v>
      </c>
    </row>
    <row r="98">
      <c r="A98" s="3" t="str">
        <f>HYPERLINK("https://stackoverflow.com/q/43965841", "43965841")</f>
        <v>43965841</v>
      </c>
      <c r="B98" s="1" t="s">
        <v>93</v>
      </c>
      <c r="C98" s="1" t="s">
        <v>378</v>
      </c>
      <c r="D98" s="2" t="s">
        <v>379</v>
      </c>
      <c r="E98" s="1">
        <v>1.0</v>
      </c>
      <c r="I98" s="1">
        <v>0.0</v>
      </c>
      <c r="J98" s="1">
        <v>122.0</v>
      </c>
      <c r="L98" s="1">
        <v>7965116.0</v>
      </c>
      <c r="Q98" s="1" t="s">
        <v>380</v>
      </c>
      <c r="R98" s="1" t="s">
        <v>97</v>
      </c>
      <c r="S98" s="1">
        <v>1.0</v>
      </c>
      <c r="T98" s="1">
        <v>0.0</v>
      </c>
      <c r="X98" s="1" t="s">
        <v>29</v>
      </c>
    </row>
    <row r="99">
      <c r="A99" s="3" t="str">
        <f>HYPERLINK("https://stackoverflow.com/q/43995641", "43995641")</f>
        <v>43995641</v>
      </c>
      <c r="B99" s="1" t="s">
        <v>93</v>
      </c>
      <c r="C99" s="1" t="s">
        <v>381</v>
      </c>
      <c r="D99" s="2" t="s">
        <v>382</v>
      </c>
      <c r="E99" s="1">
        <v>1.0</v>
      </c>
      <c r="I99" s="1">
        <v>2.0</v>
      </c>
      <c r="J99" s="1">
        <v>1345.0</v>
      </c>
      <c r="L99" s="1">
        <v>7539188.0</v>
      </c>
      <c r="Q99" s="1" t="s">
        <v>383</v>
      </c>
      <c r="R99" s="1" t="s">
        <v>97</v>
      </c>
      <c r="S99" s="1">
        <v>1.0</v>
      </c>
      <c r="T99" s="1">
        <v>0.0</v>
      </c>
      <c r="X99" s="1" t="s">
        <v>29</v>
      </c>
    </row>
    <row r="100">
      <c r="A100" s="3" t="str">
        <f>HYPERLINK("https://stackoverflow.com/q/44005685", "44005685")</f>
        <v>44005685</v>
      </c>
      <c r="B100" s="1" t="s">
        <v>93</v>
      </c>
      <c r="C100" s="1" t="s">
        <v>384</v>
      </c>
      <c r="D100" s="2" t="s">
        <v>385</v>
      </c>
      <c r="E100" s="1">
        <v>1.0</v>
      </c>
      <c r="F100" s="1">
        <v>4.4006712E7</v>
      </c>
      <c r="I100" s="1">
        <v>1.0</v>
      </c>
      <c r="J100" s="1">
        <v>448.0</v>
      </c>
      <c r="L100" s="1">
        <v>7919671.0</v>
      </c>
      <c r="Q100" s="1" t="s">
        <v>386</v>
      </c>
      <c r="R100" s="1" t="s">
        <v>97</v>
      </c>
      <c r="S100" s="1">
        <v>2.0</v>
      </c>
      <c r="T100" s="1">
        <v>0.0</v>
      </c>
      <c r="X100" s="1" t="s">
        <v>29</v>
      </c>
      <c r="Z100" s="1" t="s">
        <v>387</v>
      </c>
    </row>
    <row r="101">
      <c r="A101" s="3" t="str">
        <f>HYPERLINK("https://stackoverflow.com/q/44013975", "44013975")</f>
        <v>44013975</v>
      </c>
      <c r="B101" s="1" t="s">
        <v>93</v>
      </c>
      <c r="C101" s="1" t="s">
        <v>388</v>
      </c>
      <c r="D101" s="2" t="s">
        <v>389</v>
      </c>
      <c r="E101" s="1">
        <v>1.0</v>
      </c>
      <c r="F101" s="1">
        <v>4.402988E7</v>
      </c>
      <c r="I101" s="1">
        <v>0.0</v>
      </c>
      <c r="J101" s="1">
        <v>226.0</v>
      </c>
      <c r="L101" s="1">
        <v>7465890.0</v>
      </c>
      <c r="Q101" s="1" t="s">
        <v>390</v>
      </c>
      <c r="R101" s="1" t="s">
        <v>97</v>
      </c>
      <c r="S101" s="1">
        <v>1.0</v>
      </c>
      <c r="T101" s="1">
        <v>0.0</v>
      </c>
      <c r="X101" s="1" t="s">
        <v>29</v>
      </c>
      <c r="Z101" s="1" t="s">
        <v>390</v>
      </c>
    </row>
    <row r="102">
      <c r="A102" s="3" t="str">
        <f>HYPERLINK("https://stackoverflow.com/q/44025410", "44025410")</f>
        <v>44025410</v>
      </c>
      <c r="B102" s="1" t="s">
        <v>93</v>
      </c>
      <c r="C102" s="1" t="s">
        <v>391</v>
      </c>
      <c r="D102" s="2" t="s">
        <v>392</v>
      </c>
      <c r="E102" s="1">
        <v>1.0</v>
      </c>
      <c r="F102" s="1">
        <v>4.4031451E7</v>
      </c>
      <c r="I102" s="1">
        <v>2.0</v>
      </c>
      <c r="J102" s="1">
        <v>738.0</v>
      </c>
      <c r="L102" s="1">
        <v>8025497.0</v>
      </c>
      <c r="Q102" s="1" t="s">
        <v>393</v>
      </c>
      <c r="R102" s="1" t="s">
        <v>97</v>
      </c>
      <c r="S102" s="1">
        <v>2.0</v>
      </c>
      <c r="T102" s="1">
        <v>0.0</v>
      </c>
      <c r="X102" s="1" t="s">
        <v>29</v>
      </c>
      <c r="Z102" s="1" t="s">
        <v>394</v>
      </c>
    </row>
    <row r="103">
      <c r="A103" s="3" t="str">
        <f>HYPERLINK("https://stackoverflow.com/q/44073389", "44073389")</f>
        <v>44073389</v>
      </c>
      <c r="B103" s="1" t="s">
        <v>93</v>
      </c>
      <c r="C103" s="1" t="s">
        <v>395</v>
      </c>
      <c r="D103" s="2" t="s">
        <v>396</v>
      </c>
      <c r="E103" s="1">
        <v>1.0</v>
      </c>
      <c r="I103" s="1">
        <v>0.0</v>
      </c>
      <c r="J103" s="1">
        <v>78.0</v>
      </c>
      <c r="L103" s="1">
        <v>6408940.0</v>
      </c>
      <c r="Q103" s="1" t="s">
        <v>397</v>
      </c>
      <c r="R103" s="1" t="s">
        <v>97</v>
      </c>
      <c r="S103" s="1">
        <v>1.0</v>
      </c>
      <c r="T103" s="1">
        <v>0.0</v>
      </c>
      <c r="X103" s="1" t="s">
        <v>29</v>
      </c>
    </row>
    <row r="104">
      <c r="A104" s="3" t="str">
        <f>HYPERLINK("https://stackoverflow.com/q/44076048", "44076048")</f>
        <v>44076048</v>
      </c>
      <c r="B104" s="1" t="s">
        <v>93</v>
      </c>
      <c r="C104" s="1" t="s">
        <v>398</v>
      </c>
      <c r="D104" s="2" t="s">
        <v>399</v>
      </c>
      <c r="E104" s="1">
        <v>1.0</v>
      </c>
      <c r="F104" s="1">
        <v>4.4078297E7</v>
      </c>
      <c r="I104" s="1">
        <v>1.0</v>
      </c>
      <c r="J104" s="1">
        <v>523.0</v>
      </c>
      <c r="L104" s="1">
        <v>5843453.0</v>
      </c>
      <c r="Q104" s="1" t="s">
        <v>400</v>
      </c>
      <c r="R104" s="1" t="s">
        <v>97</v>
      </c>
      <c r="S104" s="1">
        <v>1.0</v>
      </c>
      <c r="T104" s="1">
        <v>0.0</v>
      </c>
      <c r="U104" s="1">
        <v>1.0</v>
      </c>
      <c r="X104" s="1" t="s">
        <v>29</v>
      </c>
      <c r="Z104" s="1" t="s">
        <v>401</v>
      </c>
    </row>
    <row r="105">
      <c r="A105" s="3" t="str">
        <f>HYPERLINK("https://stackoverflow.com/q/44078721", "44078721")</f>
        <v>44078721</v>
      </c>
      <c r="B105" s="1" t="s">
        <v>93</v>
      </c>
      <c r="C105" s="1" t="s">
        <v>402</v>
      </c>
      <c r="D105" s="2" t="s">
        <v>403</v>
      </c>
      <c r="E105" s="1">
        <v>1.0</v>
      </c>
      <c r="I105" s="1">
        <v>0.0</v>
      </c>
      <c r="J105" s="1">
        <v>172.0</v>
      </c>
      <c r="L105" s="1">
        <v>7723033.0</v>
      </c>
      <c r="N105" s="1">
        <v>1100265.0</v>
      </c>
      <c r="P105" s="1" t="s">
        <v>404</v>
      </c>
      <c r="Q105" s="1" t="s">
        <v>405</v>
      </c>
      <c r="R105" s="1" t="s">
        <v>97</v>
      </c>
      <c r="S105" s="1">
        <v>1.0</v>
      </c>
      <c r="T105" s="1">
        <v>8.0</v>
      </c>
      <c r="U105" s="1">
        <v>0.0</v>
      </c>
      <c r="X105" s="1" t="s">
        <v>29</v>
      </c>
    </row>
    <row r="106">
      <c r="A106" s="3" t="str">
        <f>HYPERLINK("https://stackoverflow.com/q/44080566", "44080566")</f>
        <v>44080566</v>
      </c>
      <c r="B106" s="1" t="s">
        <v>93</v>
      </c>
      <c r="C106" s="1" t="s">
        <v>406</v>
      </c>
      <c r="D106" s="2" t="s">
        <v>407</v>
      </c>
      <c r="E106" s="1">
        <v>1.0</v>
      </c>
      <c r="F106" s="1">
        <v>4.4118868E7</v>
      </c>
      <c r="I106" s="1">
        <v>0.0</v>
      </c>
      <c r="J106" s="1">
        <v>738.0</v>
      </c>
      <c r="L106" s="1">
        <v>7465890.0</v>
      </c>
      <c r="Q106" s="1" t="s">
        <v>408</v>
      </c>
      <c r="R106" s="1" t="s">
        <v>97</v>
      </c>
      <c r="S106" s="1">
        <v>2.0</v>
      </c>
      <c r="T106" s="1">
        <v>0.0</v>
      </c>
      <c r="X106" s="1" t="s">
        <v>29</v>
      </c>
      <c r="Z106" s="1" t="s">
        <v>409</v>
      </c>
    </row>
    <row r="107">
      <c r="A107" s="3" t="str">
        <f>HYPERLINK("https://stackoverflow.com/q/44091275", "44091275")</f>
        <v>44091275</v>
      </c>
      <c r="B107" s="1" t="s">
        <v>93</v>
      </c>
      <c r="C107" s="1" t="s">
        <v>410</v>
      </c>
      <c r="D107" s="2" t="s">
        <v>411</v>
      </c>
      <c r="E107" s="1">
        <v>1.0</v>
      </c>
      <c r="F107" s="1">
        <v>4.411867E7</v>
      </c>
      <c r="I107" s="1">
        <v>0.0</v>
      </c>
      <c r="J107" s="1">
        <v>797.0</v>
      </c>
      <c r="L107" s="1">
        <v>773284.0</v>
      </c>
      <c r="Q107" s="1" t="s">
        <v>412</v>
      </c>
      <c r="R107" s="1" t="s">
        <v>97</v>
      </c>
      <c r="S107" s="1">
        <v>1.0</v>
      </c>
      <c r="T107" s="1">
        <v>0.0</v>
      </c>
      <c r="U107" s="1">
        <v>2.0</v>
      </c>
      <c r="X107" s="1" t="s">
        <v>29</v>
      </c>
      <c r="Z107" s="1" t="s">
        <v>412</v>
      </c>
    </row>
    <row r="108">
      <c r="A108" s="3" t="str">
        <f>HYPERLINK("https://stackoverflow.com/q/44106979", "44106979")</f>
        <v>44106979</v>
      </c>
      <c r="B108" s="1" t="s">
        <v>93</v>
      </c>
      <c r="C108" s="1" t="s">
        <v>413</v>
      </c>
      <c r="D108" s="2" t="s">
        <v>414</v>
      </c>
      <c r="E108" s="1">
        <v>1.0</v>
      </c>
      <c r="F108" s="1">
        <v>4.9138082E7</v>
      </c>
      <c r="I108" s="1">
        <v>1.0</v>
      </c>
      <c r="J108" s="1">
        <v>250.0</v>
      </c>
      <c r="L108" s="1">
        <v>1100265.0</v>
      </c>
      <c r="Q108" s="1" t="s">
        <v>415</v>
      </c>
      <c r="R108" s="1" t="s">
        <v>97</v>
      </c>
      <c r="S108" s="1">
        <v>1.0</v>
      </c>
      <c r="T108" s="1">
        <v>0.0</v>
      </c>
      <c r="X108" s="1" t="s">
        <v>29</v>
      </c>
      <c r="Z108" s="1" t="s">
        <v>415</v>
      </c>
    </row>
    <row r="109">
      <c r="A109" s="3" t="str">
        <f>HYPERLINK("https://stackoverflow.com/q/44136328", "44136328")</f>
        <v>44136328</v>
      </c>
      <c r="B109" s="1" t="s">
        <v>93</v>
      </c>
      <c r="C109" s="1" t="s">
        <v>416</v>
      </c>
      <c r="D109" s="2" t="s">
        <v>417</v>
      </c>
      <c r="E109" s="1">
        <v>1.0</v>
      </c>
      <c r="I109" s="1">
        <v>0.0</v>
      </c>
      <c r="J109" s="1">
        <v>236.0</v>
      </c>
      <c r="L109" s="1">
        <v>8053864.0</v>
      </c>
      <c r="Q109" s="1" t="s">
        <v>418</v>
      </c>
      <c r="R109" s="1" t="s">
        <v>97</v>
      </c>
      <c r="S109" s="1">
        <v>1.0</v>
      </c>
      <c r="T109" s="1">
        <v>0.0</v>
      </c>
      <c r="X109" s="1" t="s">
        <v>29</v>
      </c>
    </row>
    <row r="110">
      <c r="A110" s="3" t="str">
        <f>HYPERLINK("https://stackoverflow.com/q/44140332", "44140332")</f>
        <v>44140332</v>
      </c>
      <c r="B110" s="1" t="s">
        <v>93</v>
      </c>
      <c r="C110" s="1" t="s">
        <v>419</v>
      </c>
      <c r="D110" s="2" t="s">
        <v>420</v>
      </c>
      <c r="E110" s="1">
        <v>1.0</v>
      </c>
      <c r="F110" s="1">
        <v>4.4168279E7</v>
      </c>
      <c r="I110" s="1">
        <v>1.0</v>
      </c>
      <c r="J110" s="1">
        <v>84.0</v>
      </c>
      <c r="L110" s="1">
        <v>7919671.0</v>
      </c>
      <c r="N110" s="1">
        <v>1401202.0</v>
      </c>
      <c r="P110" s="1" t="s">
        <v>421</v>
      </c>
      <c r="Q110" s="1" t="s">
        <v>421</v>
      </c>
      <c r="R110" s="1" t="s">
        <v>97</v>
      </c>
      <c r="S110" s="1">
        <v>1.0</v>
      </c>
      <c r="T110" s="1">
        <v>0.0</v>
      </c>
      <c r="X110" s="1" t="s">
        <v>29</v>
      </c>
      <c r="Z110" s="1" t="s">
        <v>422</v>
      </c>
    </row>
    <row r="111">
      <c r="A111" s="3" t="str">
        <f>HYPERLINK("https://stackoverflow.com/q/44145365", "44145365")</f>
        <v>44145365</v>
      </c>
      <c r="B111" s="1" t="s">
        <v>93</v>
      </c>
      <c r="C111" s="1" t="s">
        <v>423</v>
      </c>
      <c r="D111" s="2" t="s">
        <v>424</v>
      </c>
      <c r="E111" s="1">
        <v>1.0</v>
      </c>
      <c r="I111" s="1">
        <v>0.0</v>
      </c>
      <c r="J111" s="1">
        <v>122.0</v>
      </c>
      <c r="L111" s="1">
        <v>8056021.0</v>
      </c>
      <c r="Q111" s="1" t="s">
        <v>425</v>
      </c>
      <c r="R111" s="1" t="s">
        <v>97</v>
      </c>
      <c r="S111" s="1">
        <v>1.0</v>
      </c>
      <c r="T111" s="1">
        <v>0.0</v>
      </c>
      <c r="X111" s="1" t="s">
        <v>29</v>
      </c>
    </row>
    <row r="112">
      <c r="A112" s="3" t="str">
        <f>HYPERLINK("https://stackoverflow.com/q/44165995", "44165995")</f>
        <v>44165995</v>
      </c>
      <c r="B112" s="1" t="s">
        <v>93</v>
      </c>
      <c r="C112" s="1" t="s">
        <v>426</v>
      </c>
      <c r="D112" s="2" t="s">
        <v>427</v>
      </c>
      <c r="E112" s="1">
        <v>1.0</v>
      </c>
      <c r="F112" s="1">
        <v>4.4166461E7</v>
      </c>
      <c r="I112" s="1">
        <v>1.0</v>
      </c>
      <c r="J112" s="1">
        <v>356.0</v>
      </c>
      <c r="L112" s="1">
        <v>5843453.0</v>
      </c>
      <c r="Q112" s="1" t="s">
        <v>428</v>
      </c>
      <c r="R112" s="1" t="s">
        <v>97</v>
      </c>
      <c r="S112" s="1">
        <v>1.0</v>
      </c>
      <c r="T112" s="1">
        <v>0.0</v>
      </c>
      <c r="X112" s="1" t="s">
        <v>29</v>
      </c>
      <c r="Z112" s="1" t="s">
        <v>429</v>
      </c>
    </row>
    <row r="113">
      <c r="A113" s="3" t="str">
        <f>HYPERLINK("https://stackoverflow.com/q/44178802", "44178802")</f>
        <v>44178802</v>
      </c>
      <c r="B113" s="1" t="s">
        <v>93</v>
      </c>
      <c r="C113" s="1" t="s">
        <v>430</v>
      </c>
      <c r="D113" s="2" t="s">
        <v>431</v>
      </c>
      <c r="E113" s="1">
        <v>1.0</v>
      </c>
      <c r="F113" s="1">
        <v>4.4183881E7</v>
      </c>
      <c r="I113" s="1">
        <v>0.0</v>
      </c>
      <c r="J113" s="1">
        <v>45.0</v>
      </c>
      <c r="L113" s="1">
        <v>8064561.0</v>
      </c>
      <c r="N113" s="1">
        <v>1.2892553E7</v>
      </c>
      <c r="P113" s="1" t="s">
        <v>432</v>
      </c>
      <c r="Q113" s="1" t="s">
        <v>432</v>
      </c>
      <c r="R113" s="1" t="s">
        <v>97</v>
      </c>
      <c r="S113" s="1">
        <v>1.0</v>
      </c>
      <c r="T113" s="1">
        <v>0.0</v>
      </c>
      <c r="X113" s="1" t="s">
        <v>56</v>
      </c>
      <c r="Z113" s="1" t="s">
        <v>433</v>
      </c>
    </row>
    <row r="114">
      <c r="A114" s="3" t="str">
        <f>HYPERLINK("https://stackoverflow.com/q/44193732", "44193732")</f>
        <v>44193732</v>
      </c>
      <c r="B114" s="1" t="s">
        <v>93</v>
      </c>
      <c r="C114" s="1" t="s">
        <v>434</v>
      </c>
      <c r="D114" s="2" t="s">
        <v>435</v>
      </c>
      <c r="E114" s="1">
        <v>1.0</v>
      </c>
      <c r="I114" s="1">
        <v>0.0</v>
      </c>
      <c r="J114" s="1">
        <v>386.0</v>
      </c>
      <c r="L114" s="1">
        <v>8068407.0</v>
      </c>
      <c r="Q114" s="1" t="s">
        <v>436</v>
      </c>
      <c r="R114" s="1" t="s">
        <v>97</v>
      </c>
      <c r="S114" s="1">
        <v>3.0</v>
      </c>
      <c r="T114" s="1">
        <v>0.0</v>
      </c>
      <c r="X114" s="1" t="s">
        <v>29</v>
      </c>
    </row>
    <row r="115">
      <c r="A115" s="3" t="str">
        <f>HYPERLINK("https://stackoverflow.com/q/44240704", "44240704")</f>
        <v>44240704</v>
      </c>
      <c r="B115" s="1" t="s">
        <v>93</v>
      </c>
      <c r="C115" s="1" t="s">
        <v>437</v>
      </c>
      <c r="D115" s="2" t="s">
        <v>438</v>
      </c>
      <c r="E115" s="1">
        <v>1.0</v>
      </c>
      <c r="I115" s="1">
        <v>1.0</v>
      </c>
      <c r="J115" s="1">
        <v>515.0</v>
      </c>
      <c r="L115" s="1">
        <v>8064561.0</v>
      </c>
      <c r="N115" s="1">
        <v>8064561.0</v>
      </c>
      <c r="P115" s="1" t="s">
        <v>439</v>
      </c>
      <c r="Q115" s="1" t="s">
        <v>440</v>
      </c>
      <c r="R115" s="1" t="s">
        <v>97</v>
      </c>
      <c r="S115" s="1">
        <v>2.0</v>
      </c>
      <c r="T115" s="1">
        <v>0.0</v>
      </c>
      <c r="U115" s="1">
        <v>1.0</v>
      </c>
      <c r="X115" s="1" t="s">
        <v>29</v>
      </c>
    </row>
    <row r="116">
      <c r="A116" s="3" t="str">
        <f>HYPERLINK("https://stackoverflow.com/q/44267227", "44267227")</f>
        <v>44267227</v>
      </c>
      <c r="B116" s="1" t="s">
        <v>93</v>
      </c>
      <c r="C116" s="1" t="s">
        <v>441</v>
      </c>
      <c r="D116" s="2" t="s">
        <v>442</v>
      </c>
      <c r="E116" s="1">
        <v>1.0</v>
      </c>
      <c r="I116" s="1">
        <v>0.0</v>
      </c>
      <c r="J116" s="1">
        <v>170.0</v>
      </c>
      <c r="L116" s="1">
        <v>8087390.0</v>
      </c>
      <c r="Q116" s="1" t="s">
        <v>443</v>
      </c>
      <c r="R116" s="1" t="s">
        <v>130</v>
      </c>
      <c r="S116" s="1">
        <v>2.0</v>
      </c>
      <c r="T116" s="1">
        <v>0.0</v>
      </c>
      <c r="X116" s="1" t="s">
        <v>29</v>
      </c>
    </row>
    <row r="117">
      <c r="A117" s="3" t="str">
        <f>HYPERLINK("https://stackoverflow.com/q/44267405", "44267405")</f>
        <v>44267405</v>
      </c>
      <c r="B117" s="1" t="s">
        <v>93</v>
      </c>
      <c r="C117" s="1" t="s">
        <v>444</v>
      </c>
      <c r="D117" s="2" t="s">
        <v>445</v>
      </c>
      <c r="E117" s="1">
        <v>1.0</v>
      </c>
      <c r="I117" s="1">
        <v>0.0</v>
      </c>
      <c r="J117" s="1">
        <v>597.0</v>
      </c>
      <c r="L117" s="1">
        <v>7488464.0</v>
      </c>
      <c r="Q117" s="1" t="s">
        <v>446</v>
      </c>
      <c r="R117" s="1" t="s">
        <v>97</v>
      </c>
      <c r="S117" s="1">
        <v>2.0</v>
      </c>
      <c r="T117" s="1">
        <v>0.0</v>
      </c>
      <c r="X117" s="1" t="s">
        <v>29</v>
      </c>
    </row>
    <row r="118">
      <c r="A118" s="3" t="str">
        <f>HYPERLINK("https://stackoverflow.com/q/44272066", "44272066")</f>
        <v>44272066</v>
      </c>
      <c r="B118" s="1" t="s">
        <v>93</v>
      </c>
      <c r="C118" s="1" t="s">
        <v>447</v>
      </c>
      <c r="D118" s="2" t="s">
        <v>448</v>
      </c>
      <c r="E118" s="1">
        <v>1.0</v>
      </c>
      <c r="F118" s="1">
        <v>4.4289957E7</v>
      </c>
      <c r="I118" s="1">
        <v>1.0</v>
      </c>
      <c r="J118" s="1">
        <v>604.0</v>
      </c>
      <c r="M118" s="1" t="s">
        <v>449</v>
      </c>
      <c r="O118" s="1" t="s">
        <v>449</v>
      </c>
      <c r="P118" s="1" t="s">
        <v>450</v>
      </c>
      <c r="Q118" s="1" t="s">
        <v>451</v>
      </c>
      <c r="R118" s="1" t="s">
        <v>97</v>
      </c>
      <c r="S118" s="1">
        <v>1.0</v>
      </c>
      <c r="T118" s="1">
        <v>0.0</v>
      </c>
      <c r="X118" s="1" t="s">
        <v>29</v>
      </c>
      <c r="Z118" s="1" t="s">
        <v>452</v>
      </c>
    </row>
    <row r="119">
      <c r="A119" s="3" t="str">
        <f>HYPERLINK("https://stackoverflow.com/q/44285870", "44285870")</f>
        <v>44285870</v>
      </c>
      <c r="B119" s="1" t="s">
        <v>93</v>
      </c>
      <c r="C119" s="1" t="s">
        <v>453</v>
      </c>
      <c r="D119" s="2" t="s">
        <v>454</v>
      </c>
      <c r="E119" s="1">
        <v>1.0</v>
      </c>
      <c r="F119" s="1">
        <v>4.4291506E7</v>
      </c>
      <c r="I119" s="1">
        <v>0.0</v>
      </c>
      <c r="J119" s="1">
        <v>217.0</v>
      </c>
      <c r="L119" s="1">
        <v>773284.0</v>
      </c>
      <c r="N119" s="1">
        <v>773284.0</v>
      </c>
      <c r="P119" s="1" t="s">
        <v>455</v>
      </c>
      <c r="Q119" s="1" t="s">
        <v>456</v>
      </c>
      <c r="R119" s="1" t="s">
        <v>97</v>
      </c>
      <c r="S119" s="1">
        <v>2.0</v>
      </c>
      <c r="T119" s="1">
        <v>0.0</v>
      </c>
      <c r="X119" s="1" t="s">
        <v>29</v>
      </c>
      <c r="Z119" s="1" t="s">
        <v>457</v>
      </c>
    </row>
    <row r="120">
      <c r="A120" s="3" t="str">
        <f>HYPERLINK("https://stackoverflow.com/q/44293572", "44293572")</f>
        <v>44293572</v>
      </c>
      <c r="B120" s="1" t="s">
        <v>93</v>
      </c>
      <c r="C120" s="1" t="s">
        <v>458</v>
      </c>
      <c r="D120" s="2" t="s">
        <v>459</v>
      </c>
      <c r="E120" s="1">
        <v>1.0</v>
      </c>
      <c r="I120" s="1">
        <v>1.0</v>
      </c>
      <c r="J120" s="1">
        <v>418.0</v>
      </c>
      <c r="L120" s="1">
        <v>6386799.0</v>
      </c>
      <c r="Q120" s="1" t="s">
        <v>460</v>
      </c>
      <c r="R120" s="1" t="s">
        <v>97</v>
      </c>
      <c r="S120" s="1">
        <v>1.0</v>
      </c>
      <c r="T120" s="1">
        <v>0.0</v>
      </c>
      <c r="X120" s="1" t="s">
        <v>29</v>
      </c>
    </row>
    <row r="121">
      <c r="A121" s="3" t="str">
        <f>HYPERLINK("https://stackoverflow.com/q/44360062", "44360062")</f>
        <v>44360062</v>
      </c>
      <c r="B121" s="1" t="s">
        <v>93</v>
      </c>
      <c r="C121" s="1" t="s">
        <v>461</v>
      </c>
      <c r="D121" s="2" t="s">
        <v>462</v>
      </c>
      <c r="E121" s="1">
        <v>1.0</v>
      </c>
      <c r="I121" s="1">
        <v>0.0</v>
      </c>
      <c r="J121" s="1">
        <v>914.0</v>
      </c>
      <c r="L121" s="1">
        <v>8111992.0</v>
      </c>
      <c r="N121" s="1">
        <v>1.2892553E7</v>
      </c>
      <c r="P121" s="1" t="s">
        <v>463</v>
      </c>
      <c r="Q121" s="1" t="s">
        <v>463</v>
      </c>
      <c r="R121" s="1" t="s">
        <v>97</v>
      </c>
      <c r="S121" s="1">
        <v>2.0</v>
      </c>
      <c r="T121" s="1">
        <v>0.0</v>
      </c>
      <c r="X121" s="1" t="s">
        <v>56</v>
      </c>
    </row>
    <row r="122">
      <c r="A122" s="3" t="str">
        <f>HYPERLINK("https://stackoverflow.com/q/44375912", "44375912")</f>
        <v>44375912</v>
      </c>
      <c r="B122" s="1" t="s">
        <v>93</v>
      </c>
      <c r="C122" s="1" t="s">
        <v>464</v>
      </c>
      <c r="D122" s="2" t="s">
        <v>465</v>
      </c>
      <c r="E122" s="1">
        <v>1.0</v>
      </c>
      <c r="I122" s="1">
        <v>1.0</v>
      </c>
      <c r="J122" s="1">
        <v>1755.0</v>
      </c>
      <c r="L122" s="1">
        <v>8116004.0</v>
      </c>
      <c r="Q122" s="1" t="s">
        <v>466</v>
      </c>
      <c r="R122" s="1" t="s">
        <v>97</v>
      </c>
      <c r="S122" s="1">
        <v>1.0</v>
      </c>
      <c r="T122" s="1">
        <v>0.0</v>
      </c>
      <c r="X122" s="1" t="s">
        <v>29</v>
      </c>
    </row>
    <row r="123">
      <c r="A123" s="3" t="str">
        <f>HYPERLINK("https://stackoverflow.com/q/44376454", "44376454")</f>
        <v>44376454</v>
      </c>
      <c r="B123" s="1" t="s">
        <v>93</v>
      </c>
      <c r="C123" s="1" t="s">
        <v>467</v>
      </c>
      <c r="D123" s="2" t="s">
        <v>468</v>
      </c>
      <c r="E123" s="1">
        <v>1.0</v>
      </c>
      <c r="F123" s="1">
        <v>4.437725E7</v>
      </c>
      <c r="I123" s="1">
        <v>1.0</v>
      </c>
      <c r="J123" s="1">
        <v>64.0</v>
      </c>
      <c r="L123" s="1">
        <v>7465890.0</v>
      </c>
      <c r="Q123" s="1" t="s">
        <v>469</v>
      </c>
      <c r="R123" s="1" t="s">
        <v>97</v>
      </c>
      <c r="S123" s="1">
        <v>1.0</v>
      </c>
      <c r="T123" s="1">
        <v>0.0</v>
      </c>
      <c r="X123" s="1" t="s">
        <v>29</v>
      </c>
      <c r="Z123" s="1" t="s">
        <v>469</v>
      </c>
    </row>
    <row r="124">
      <c r="A124" s="3" t="str">
        <f>HYPERLINK("https://stackoverflow.com/q/44398453", "44398453")</f>
        <v>44398453</v>
      </c>
      <c r="B124" s="1" t="s">
        <v>93</v>
      </c>
      <c r="C124" s="1" t="s">
        <v>470</v>
      </c>
      <c r="D124" s="2" t="s">
        <v>471</v>
      </c>
      <c r="E124" s="1">
        <v>1.0</v>
      </c>
      <c r="F124" s="1">
        <v>4.4399044E7</v>
      </c>
      <c r="I124" s="1">
        <v>0.0</v>
      </c>
      <c r="J124" s="1">
        <v>772.0</v>
      </c>
      <c r="L124" s="1">
        <v>7465890.0</v>
      </c>
      <c r="N124" s="1">
        <v>555121.0</v>
      </c>
      <c r="P124" s="1" t="s">
        <v>472</v>
      </c>
      <c r="Q124" s="1" t="s">
        <v>472</v>
      </c>
      <c r="R124" s="1" t="s">
        <v>97</v>
      </c>
      <c r="S124" s="1">
        <v>3.0</v>
      </c>
      <c r="T124" s="1">
        <v>0.0</v>
      </c>
      <c r="X124" s="1" t="s">
        <v>56</v>
      </c>
      <c r="Z124" s="1" t="s">
        <v>473</v>
      </c>
    </row>
    <row r="125">
      <c r="A125" s="3" t="str">
        <f>HYPERLINK("https://stackoverflow.com/q/44407451", "44407451")</f>
        <v>44407451</v>
      </c>
      <c r="B125" s="1" t="s">
        <v>93</v>
      </c>
      <c r="C125" s="1" t="s">
        <v>474</v>
      </c>
      <c r="D125" s="2" t="s">
        <v>475</v>
      </c>
      <c r="E125" s="1">
        <v>1.0</v>
      </c>
      <c r="I125" s="1">
        <v>0.0</v>
      </c>
      <c r="J125" s="1">
        <v>186.0</v>
      </c>
      <c r="L125" s="1">
        <v>6408940.0</v>
      </c>
      <c r="Q125" s="1" t="s">
        <v>476</v>
      </c>
      <c r="R125" s="1" t="s">
        <v>477</v>
      </c>
      <c r="S125" s="1">
        <v>1.0</v>
      </c>
      <c r="T125" s="1">
        <v>0.0</v>
      </c>
      <c r="X125" s="1" t="s">
        <v>29</v>
      </c>
    </row>
    <row r="126">
      <c r="A126" s="3" t="str">
        <f>HYPERLINK("https://stackoverflow.com/q/44418891", "44418891")</f>
        <v>44418891</v>
      </c>
      <c r="B126" s="1" t="s">
        <v>93</v>
      </c>
      <c r="C126" s="1" t="s">
        <v>478</v>
      </c>
      <c r="D126" s="2" t="s">
        <v>479</v>
      </c>
      <c r="E126" s="1">
        <v>1.0</v>
      </c>
      <c r="I126" s="1">
        <v>0.0</v>
      </c>
      <c r="J126" s="1">
        <v>116.0</v>
      </c>
      <c r="L126" s="1">
        <v>7919671.0</v>
      </c>
      <c r="Q126" s="1" t="s">
        <v>480</v>
      </c>
      <c r="R126" s="1" t="s">
        <v>97</v>
      </c>
      <c r="S126" s="1">
        <v>1.0</v>
      </c>
      <c r="T126" s="1">
        <v>1.0</v>
      </c>
      <c r="X126" s="1" t="s">
        <v>29</v>
      </c>
    </row>
    <row r="127">
      <c r="A127" s="3" t="str">
        <f>HYPERLINK("https://stackoverflow.com/q/44421727", "44421727")</f>
        <v>44421727</v>
      </c>
      <c r="B127" s="1" t="s">
        <v>93</v>
      </c>
      <c r="C127" s="1" t="s">
        <v>481</v>
      </c>
      <c r="D127" s="2" t="s">
        <v>482</v>
      </c>
      <c r="E127" s="1">
        <v>1.0</v>
      </c>
      <c r="F127" s="1">
        <v>4.4423604E7</v>
      </c>
      <c r="I127" s="1">
        <v>0.0</v>
      </c>
      <c r="J127" s="1">
        <v>118.0</v>
      </c>
      <c r="L127" s="1">
        <v>7465890.0</v>
      </c>
      <c r="Q127" s="1" t="s">
        <v>483</v>
      </c>
      <c r="R127" s="1" t="s">
        <v>97</v>
      </c>
      <c r="S127" s="1">
        <v>2.0</v>
      </c>
      <c r="T127" s="1">
        <v>0.0</v>
      </c>
      <c r="X127" s="1" t="s">
        <v>29</v>
      </c>
      <c r="Z127" s="1" t="s">
        <v>483</v>
      </c>
    </row>
    <row r="128">
      <c r="A128" s="3" t="str">
        <f>HYPERLINK("https://stackoverflow.com/q/44425720", "44425720")</f>
        <v>44425720</v>
      </c>
      <c r="B128" s="1" t="s">
        <v>93</v>
      </c>
      <c r="C128" s="1" t="s">
        <v>484</v>
      </c>
      <c r="D128" s="2" t="s">
        <v>485</v>
      </c>
      <c r="E128" s="1">
        <v>1.0</v>
      </c>
      <c r="I128" s="1">
        <v>1.0</v>
      </c>
      <c r="J128" s="1">
        <v>91.0</v>
      </c>
      <c r="L128" s="1">
        <v>7047388.0</v>
      </c>
      <c r="Q128" s="1" t="s">
        <v>486</v>
      </c>
      <c r="R128" s="1" t="s">
        <v>487</v>
      </c>
      <c r="S128" s="1">
        <v>1.0</v>
      </c>
      <c r="T128" s="1">
        <v>0.0</v>
      </c>
      <c r="U128" s="1">
        <v>1.0</v>
      </c>
      <c r="X128" s="1" t="s">
        <v>29</v>
      </c>
    </row>
    <row r="129">
      <c r="A129" s="3" t="str">
        <f>HYPERLINK("https://stackoverflow.com/q/44442208", "44442208")</f>
        <v>44442208</v>
      </c>
      <c r="B129" s="1" t="s">
        <v>93</v>
      </c>
      <c r="C129" s="1" t="s">
        <v>488</v>
      </c>
      <c r="D129" s="2" t="s">
        <v>489</v>
      </c>
      <c r="E129" s="1">
        <v>1.0</v>
      </c>
      <c r="I129" s="1">
        <v>0.0</v>
      </c>
      <c r="J129" s="1">
        <v>62.0</v>
      </c>
      <c r="L129" s="1">
        <v>7919671.0</v>
      </c>
      <c r="N129" s="1">
        <v>7919671.0</v>
      </c>
      <c r="P129" s="1" t="s">
        <v>490</v>
      </c>
      <c r="Q129" s="1" t="s">
        <v>491</v>
      </c>
      <c r="R129" s="1" t="s">
        <v>97</v>
      </c>
      <c r="S129" s="1">
        <v>1.0</v>
      </c>
      <c r="T129" s="1">
        <v>0.0</v>
      </c>
      <c r="X129" s="1" t="s">
        <v>29</v>
      </c>
    </row>
    <row r="130">
      <c r="A130" s="3" t="str">
        <f>HYPERLINK("https://stackoverflow.com/q/44446144", "44446144")</f>
        <v>44446144</v>
      </c>
      <c r="B130" s="1" t="s">
        <v>93</v>
      </c>
      <c r="C130" s="1" t="s">
        <v>492</v>
      </c>
      <c r="D130" s="2" t="s">
        <v>493</v>
      </c>
      <c r="E130" s="1">
        <v>1.0</v>
      </c>
      <c r="F130" s="1">
        <v>4.4446854E7</v>
      </c>
      <c r="I130" s="1">
        <v>1.0</v>
      </c>
      <c r="J130" s="1">
        <v>625.0</v>
      </c>
      <c r="L130" s="1">
        <v>8133871.0</v>
      </c>
      <c r="Q130" s="1" t="s">
        <v>494</v>
      </c>
      <c r="R130" s="1" t="s">
        <v>97</v>
      </c>
      <c r="S130" s="1">
        <v>1.0</v>
      </c>
      <c r="T130" s="1">
        <v>0.0</v>
      </c>
      <c r="U130" s="1">
        <v>2.0</v>
      </c>
      <c r="X130" s="1" t="s">
        <v>29</v>
      </c>
      <c r="Z130" s="1" t="s">
        <v>494</v>
      </c>
    </row>
    <row r="131">
      <c r="A131" s="3" t="str">
        <f>HYPERLINK("https://stackoverflow.com/q/44510491", "44510491")</f>
        <v>44510491</v>
      </c>
      <c r="B131" s="1" t="s">
        <v>93</v>
      </c>
      <c r="C131" s="1" t="s">
        <v>495</v>
      </c>
      <c r="D131" s="2" t="s">
        <v>496</v>
      </c>
      <c r="E131" s="1">
        <v>1.0</v>
      </c>
      <c r="I131" s="1">
        <v>0.0</v>
      </c>
      <c r="J131" s="1">
        <v>77.0</v>
      </c>
      <c r="L131" s="1">
        <v>2041458.0</v>
      </c>
      <c r="Q131" s="1" t="s">
        <v>497</v>
      </c>
      <c r="R131" s="1" t="s">
        <v>97</v>
      </c>
      <c r="S131" s="1">
        <v>1.0</v>
      </c>
      <c r="T131" s="1">
        <v>0.0</v>
      </c>
      <c r="X131" s="1" t="s">
        <v>29</v>
      </c>
    </row>
    <row r="132">
      <c r="A132" s="3" t="str">
        <f>HYPERLINK("https://stackoverflow.com/q/44526400", "44526400")</f>
        <v>44526400</v>
      </c>
      <c r="B132" s="1" t="s">
        <v>93</v>
      </c>
      <c r="C132" s="1" t="s">
        <v>498</v>
      </c>
      <c r="D132" s="2" t="s">
        <v>499</v>
      </c>
      <c r="E132" s="1">
        <v>1.0</v>
      </c>
      <c r="I132" s="1">
        <v>0.0</v>
      </c>
      <c r="J132" s="1">
        <v>391.0</v>
      </c>
      <c r="L132" s="1">
        <v>6408940.0</v>
      </c>
      <c r="N132" s="1">
        <v>6408940.0</v>
      </c>
      <c r="P132" s="1" t="s">
        <v>500</v>
      </c>
      <c r="Q132" s="1" t="s">
        <v>501</v>
      </c>
      <c r="R132" s="1" t="s">
        <v>502</v>
      </c>
      <c r="S132" s="1">
        <v>2.0</v>
      </c>
      <c r="T132" s="1">
        <v>0.0</v>
      </c>
      <c r="X132" s="1" t="s">
        <v>29</v>
      </c>
    </row>
    <row r="133">
      <c r="A133" s="3" t="str">
        <f>HYPERLINK("https://stackoverflow.com/q/44528282", "44528282")</f>
        <v>44528282</v>
      </c>
      <c r="B133" s="1" t="s">
        <v>93</v>
      </c>
      <c r="C133" s="1" t="s">
        <v>503</v>
      </c>
      <c r="D133" s="2" t="s">
        <v>504</v>
      </c>
      <c r="E133" s="1">
        <v>1.0</v>
      </c>
      <c r="F133" s="1">
        <v>4.4528476E7</v>
      </c>
      <c r="I133" s="1">
        <v>0.0</v>
      </c>
      <c r="J133" s="1">
        <v>247.0</v>
      </c>
      <c r="L133" s="1">
        <v>3158887.0</v>
      </c>
      <c r="Q133" s="1" t="s">
        <v>505</v>
      </c>
      <c r="R133" s="1" t="s">
        <v>97</v>
      </c>
      <c r="S133" s="1">
        <v>1.0</v>
      </c>
      <c r="T133" s="1">
        <v>0.0</v>
      </c>
      <c r="U133" s="1">
        <v>1.0</v>
      </c>
      <c r="X133" s="1" t="s">
        <v>29</v>
      </c>
      <c r="Z133" s="1" t="s">
        <v>505</v>
      </c>
    </row>
    <row r="134">
      <c r="A134" s="3" t="str">
        <f>HYPERLINK("https://stackoverflow.com/q/44532598", "44532598")</f>
        <v>44532598</v>
      </c>
      <c r="B134" s="1" t="s">
        <v>93</v>
      </c>
      <c r="C134" s="1" t="s">
        <v>506</v>
      </c>
      <c r="D134" s="2" t="s">
        <v>507</v>
      </c>
      <c r="E134" s="1">
        <v>1.0</v>
      </c>
      <c r="I134" s="1">
        <v>0.0</v>
      </c>
      <c r="J134" s="1">
        <v>236.0</v>
      </c>
      <c r="L134" s="1">
        <v>5596743.0</v>
      </c>
      <c r="Q134" s="1" t="s">
        <v>508</v>
      </c>
      <c r="R134" s="1" t="s">
        <v>97</v>
      </c>
      <c r="S134" s="1">
        <v>1.0</v>
      </c>
      <c r="T134" s="1">
        <v>0.0</v>
      </c>
      <c r="X134" s="1" t="s">
        <v>29</v>
      </c>
    </row>
    <row r="135">
      <c r="A135" s="3" t="str">
        <f>HYPERLINK("https://stackoverflow.com/q/44590497", "44590497")</f>
        <v>44590497</v>
      </c>
      <c r="B135" s="1" t="s">
        <v>93</v>
      </c>
      <c r="C135" s="1" t="s">
        <v>509</v>
      </c>
      <c r="D135" s="2" t="s">
        <v>510</v>
      </c>
      <c r="E135" s="1">
        <v>1.0</v>
      </c>
      <c r="I135" s="1">
        <v>0.0</v>
      </c>
      <c r="J135" s="1">
        <v>327.0</v>
      </c>
      <c r="L135" s="1">
        <v>6408940.0</v>
      </c>
      <c r="Q135" s="1" t="s">
        <v>511</v>
      </c>
      <c r="R135" s="1" t="s">
        <v>97</v>
      </c>
      <c r="S135" s="1">
        <v>1.0</v>
      </c>
      <c r="T135" s="1">
        <v>0.0</v>
      </c>
      <c r="X135" s="1" t="s">
        <v>29</v>
      </c>
    </row>
    <row r="136">
      <c r="A136" s="3" t="str">
        <f>HYPERLINK("https://stackoverflow.com/q/44634946", "44634946")</f>
        <v>44634946</v>
      </c>
      <c r="B136" s="1" t="s">
        <v>93</v>
      </c>
      <c r="C136" s="1" t="s">
        <v>512</v>
      </c>
      <c r="D136" s="2" t="s">
        <v>513</v>
      </c>
      <c r="E136" s="1">
        <v>1.0</v>
      </c>
      <c r="F136" s="1">
        <v>4.4637181E7</v>
      </c>
      <c r="I136" s="1">
        <v>0.0</v>
      </c>
      <c r="J136" s="1">
        <v>331.0</v>
      </c>
      <c r="L136" s="1">
        <v>7285573.0</v>
      </c>
      <c r="N136" s="1">
        <v>1401202.0</v>
      </c>
      <c r="P136" s="1" t="s">
        <v>514</v>
      </c>
      <c r="Q136" s="1" t="s">
        <v>515</v>
      </c>
      <c r="R136" s="1" t="s">
        <v>516</v>
      </c>
      <c r="S136" s="1">
        <v>1.0</v>
      </c>
      <c r="T136" s="1">
        <v>0.0</v>
      </c>
      <c r="X136" s="1" t="s">
        <v>29</v>
      </c>
      <c r="Z136" s="1" t="s">
        <v>515</v>
      </c>
    </row>
    <row r="137">
      <c r="A137" s="3" t="str">
        <f>HYPERLINK("https://stackoverflow.com/q/44638137", "44638137")</f>
        <v>44638137</v>
      </c>
      <c r="B137" s="1" t="s">
        <v>93</v>
      </c>
      <c r="C137" s="1" t="s">
        <v>517</v>
      </c>
      <c r="D137" s="2" t="s">
        <v>518</v>
      </c>
      <c r="E137" s="1">
        <v>1.0</v>
      </c>
      <c r="I137" s="1">
        <v>2.0</v>
      </c>
      <c r="J137" s="1">
        <v>1340.0</v>
      </c>
      <c r="L137" s="1">
        <v>5129484.0</v>
      </c>
      <c r="N137" s="1">
        <v>555121.0</v>
      </c>
      <c r="P137" s="1" t="s">
        <v>519</v>
      </c>
      <c r="Q137" s="1" t="s">
        <v>519</v>
      </c>
      <c r="R137" s="1" t="s">
        <v>520</v>
      </c>
      <c r="S137" s="1">
        <v>4.0</v>
      </c>
      <c r="T137" s="1">
        <v>0.0</v>
      </c>
      <c r="X137" s="1" t="s">
        <v>56</v>
      </c>
    </row>
    <row r="138">
      <c r="A138" s="3" t="str">
        <f>HYPERLINK("https://stackoverflow.com/q/44641222", "44641222")</f>
        <v>44641222</v>
      </c>
      <c r="B138" s="1" t="s">
        <v>93</v>
      </c>
      <c r="C138" s="1" t="s">
        <v>521</v>
      </c>
      <c r="D138" s="2" t="s">
        <v>522</v>
      </c>
      <c r="E138" s="1">
        <v>1.0</v>
      </c>
      <c r="F138" s="1">
        <v>4.4648467E7</v>
      </c>
      <c r="I138" s="1">
        <v>0.0</v>
      </c>
      <c r="J138" s="1">
        <v>1211.0</v>
      </c>
      <c r="L138" s="1">
        <v>7285573.0</v>
      </c>
      <c r="Q138" s="1" t="s">
        <v>523</v>
      </c>
      <c r="R138" s="1" t="s">
        <v>190</v>
      </c>
      <c r="S138" s="1">
        <v>1.0</v>
      </c>
      <c r="T138" s="1">
        <v>0.0</v>
      </c>
      <c r="X138" s="1" t="s">
        <v>29</v>
      </c>
      <c r="Z138" s="1" t="s">
        <v>524</v>
      </c>
    </row>
    <row r="139">
      <c r="A139" s="3" t="str">
        <f>HYPERLINK("https://stackoverflow.com/q/44710543", "44710543")</f>
        <v>44710543</v>
      </c>
      <c r="B139" s="1" t="s">
        <v>93</v>
      </c>
      <c r="C139" s="1" t="s">
        <v>525</v>
      </c>
      <c r="D139" s="2" t="s">
        <v>526</v>
      </c>
      <c r="E139" s="1">
        <v>1.0</v>
      </c>
      <c r="I139" s="1">
        <v>1.0</v>
      </c>
      <c r="J139" s="1">
        <v>846.0</v>
      </c>
      <c r="L139" s="1">
        <v>3114465.0</v>
      </c>
      <c r="N139" s="1">
        <v>5996134.0</v>
      </c>
      <c r="P139" s="1" t="s">
        <v>527</v>
      </c>
      <c r="Q139" s="1" t="s">
        <v>527</v>
      </c>
      <c r="R139" s="1" t="s">
        <v>528</v>
      </c>
      <c r="S139" s="1">
        <v>1.0</v>
      </c>
      <c r="T139" s="1">
        <v>1.0</v>
      </c>
      <c r="X139" s="1" t="s">
        <v>29</v>
      </c>
    </row>
    <row r="140">
      <c r="A140" s="3" t="str">
        <f>HYPERLINK("https://stackoverflow.com/q/44767791", "44767791")</f>
        <v>44767791</v>
      </c>
      <c r="B140" s="1" t="s">
        <v>93</v>
      </c>
      <c r="C140" s="1" t="s">
        <v>529</v>
      </c>
      <c r="D140" s="2" t="s">
        <v>530</v>
      </c>
      <c r="E140" s="1">
        <v>1.0</v>
      </c>
      <c r="F140" s="1">
        <v>4.478401E7</v>
      </c>
      <c r="I140" s="1">
        <v>0.0</v>
      </c>
      <c r="J140" s="1">
        <v>65.0</v>
      </c>
      <c r="L140" s="1">
        <v>7465890.0</v>
      </c>
      <c r="Q140" s="1" t="s">
        <v>531</v>
      </c>
      <c r="R140" s="1" t="s">
        <v>97</v>
      </c>
      <c r="S140" s="1">
        <v>1.0</v>
      </c>
      <c r="T140" s="1">
        <v>0.0</v>
      </c>
      <c r="X140" s="1" t="s">
        <v>29</v>
      </c>
      <c r="Z140" s="1" t="s">
        <v>531</v>
      </c>
    </row>
    <row r="141">
      <c r="A141" s="3" t="str">
        <f>HYPERLINK("https://stackoverflow.com/q/44789178", "44789178")</f>
        <v>44789178</v>
      </c>
      <c r="B141" s="1" t="s">
        <v>93</v>
      </c>
      <c r="C141" s="1" t="s">
        <v>532</v>
      </c>
      <c r="D141" s="2" t="s">
        <v>533</v>
      </c>
      <c r="E141" s="1">
        <v>1.0</v>
      </c>
      <c r="F141" s="1">
        <v>4.4789435E7</v>
      </c>
      <c r="I141" s="1">
        <v>1.0</v>
      </c>
      <c r="J141" s="1">
        <v>61.0</v>
      </c>
      <c r="L141" s="1">
        <v>7919671.0</v>
      </c>
      <c r="Q141" s="1" t="s">
        <v>534</v>
      </c>
      <c r="R141" s="1" t="s">
        <v>97</v>
      </c>
      <c r="S141" s="1">
        <v>1.0</v>
      </c>
      <c r="T141" s="1">
        <v>0.0</v>
      </c>
      <c r="X141" s="1" t="s">
        <v>29</v>
      </c>
      <c r="Z141" s="1" t="s">
        <v>534</v>
      </c>
    </row>
    <row r="142">
      <c r="A142" s="3" t="str">
        <f>HYPERLINK("https://stackoverflow.com/q/44800423", "44800423")</f>
        <v>44800423</v>
      </c>
      <c r="B142" s="1" t="s">
        <v>93</v>
      </c>
      <c r="C142" s="1" t="s">
        <v>535</v>
      </c>
      <c r="D142" s="2" t="s">
        <v>536</v>
      </c>
      <c r="E142" s="1">
        <v>1.0</v>
      </c>
      <c r="I142" s="1">
        <v>0.0</v>
      </c>
      <c r="J142" s="1">
        <v>250.0</v>
      </c>
      <c r="L142" s="1">
        <v>7919671.0</v>
      </c>
      <c r="Q142" s="1" t="s">
        <v>537</v>
      </c>
      <c r="R142" s="1" t="s">
        <v>97</v>
      </c>
      <c r="S142" s="1">
        <v>1.0</v>
      </c>
      <c r="T142" s="1">
        <v>0.0</v>
      </c>
      <c r="X142" s="1" t="s">
        <v>29</v>
      </c>
    </row>
    <row r="143">
      <c r="A143" s="3" t="str">
        <f>HYPERLINK("https://stackoverflow.com/q/44838564", "44838564")</f>
        <v>44838564</v>
      </c>
      <c r="B143" s="1" t="s">
        <v>93</v>
      </c>
      <c r="C143" s="1" t="s">
        <v>538</v>
      </c>
      <c r="D143" s="2" t="s">
        <v>539</v>
      </c>
      <c r="E143" s="1">
        <v>1.0</v>
      </c>
      <c r="I143" s="1">
        <v>2.0</v>
      </c>
      <c r="J143" s="1">
        <v>557.0</v>
      </c>
      <c r="L143" s="1">
        <v>1644677.0</v>
      </c>
      <c r="N143" s="1">
        <v>1644677.0</v>
      </c>
      <c r="P143" s="1" t="s">
        <v>540</v>
      </c>
      <c r="Q143" s="1" t="s">
        <v>540</v>
      </c>
      <c r="R143" s="1" t="s">
        <v>97</v>
      </c>
      <c r="S143" s="1">
        <v>2.0</v>
      </c>
      <c r="T143" s="1">
        <v>0.0</v>
      </c>
      <c r="X143" s="1" t="s">
        <v>29</v>
      </c>
    </row>
    <row r="144">
      <c r="A144" s="3" t="str">
        <f>HYPERLINK("https://stackoverflow.com/q/44867066", "44867066")</f>
        <v>44867066</v>
      </c>
      <c r="B144" s="1" t="s">
        <v>93</v>
      </c>
      <c r="C144" s="1" t="s">
        <v>541</v>
      </c>
      <c r="D144" s="2" t="s">
        <v>542</v>
      </c>
      <c r="E144" s="1">
        <v>1.0</v>
      </c>
      <c r="F144" s="1">
        <v>4.8816233E7</v>
      </c>
      <c r="I144" s="1">
        <v>0.0</v>
      </c>
      <c r="J144" s="1">
        <v>714.0</v>
      </c>
      <c r="L144" s="1">
        <v>1644677.0</v>
      </c>
      <c r="N144" s="1">
        <v>1644677.0</v>
      </c>
      <c r="P144" s="1" t="s">
        <v>543</v>
      </c>
      <c r="Q144" s="1" t="s">
        <v>544</v>
      </c>
      <c r="R144" s="1" t="s">
        <v>97</v>
      </c>
      <c r="S144" s="1">
        <v>1.0</v>
      </c>
      <c r="T144" s="1">
        <v>0.0</v>
      </c>
      <c r="X144" s="1" t="s">
        <v>29</v>
      </c>
      <c r="Z144" s="1" t="s">
        <v>544</v>
      </c>
    </row>
    <row r="145">
      <c r="A145" s="3" t="str">
        <f>HYPERLINK("https://stackoverflow.com/q/44879191", "44879191")</f>
        <v>44879191</v>
      </c>
      <c r="B145" s="1" t="s">
        <v>93</v>
      </c>
      <c r="C145" s="1" t="s">
        <v>545</v>
      </c>
      <c r="D145" s="2" t="s">
        <v>546</v>
      </c>
      <c r="E145" s="1">
        <v>1.0</v>
      </c>
      <c r="I145" s="1">
        <v>1.0</v>
      </c>
      <c r="J145" s="1">
        <v>425.0</v>
      </c>
      <c r="L145" s="1">
        <v>7403340.0</v>
      </c>
      <c r="N145" s="1">
        <v>5672880.0</v>
      </c>
      <c r="P145" s="1" t="s">
        <v>547</v>
      </c>
      <c r="Q145" s="1" t="s">
        <v>548</v>
      </c>
      <c r="R145" s="1" t="s">
        <v>549</v>
      </c>
      <c r="S145" s="1">
        <v>1.0</v>
      </c>
      <c r="T145" s="1">
        <v>2.0</v>
      </c>
      <c r="X145" s="1" t="s">
        <v>29</v>
      </c>
    </row>
    <row r="146">
      <c r="A146" s="3" t="str">
        <f>HYPERLINK("https://stackoverflow.com/q/44889483", "44889483")</f>
        <v>44889483</v>
      </c>
      <c r="B146" s="1" t="s">
        <v>93</v>
      </c>
      <c r="C146" s="1" t="s">
        <v>550</v>
      </c>
      <c r="D146" s="2" t="s">
        <v>551</v>
      </c>
      <c r="E146" s="1">
        <v>1.0</v>
      </c>
      <c r="F146" s="1">
        <v>4.4903596E7</v>
      </c>
      <c r="I146" s="1">
        <v>3.0</v>
      </c>
      <c r="J146" s="1">
        <v>986.0</v>
      </c>
      <c r="L146" s="1">
        <v>8133871.0</v>
      </c>
      <c r="N146" s="1">
        <v>555121.0</v>
      </c>
      <c r="P146" s="1" t="s">
        <v>552</v>
      </c>
      <c r="Q146" s="1" t="s">
        <v>552</v>
      </c>
      <c r="R146" s="1" t="s">
        <v>97</v>
      </c>
      <c r="S146" s="1">
        <v>1.0</v>
      </c>
      <c r="T146" s="1">
        <v>0.0</v>
      </c>
      <c r="U146" s="1">
        <v>2.0</v>
      </c>
      <c r="X146" s="1" t="s">
        <v>56</v>
      </c>
      <c r="Z146" s="1" t="s">
        <v>553</v>
      </c>
    </row>
    <row r="147">
      <c r="A147" s="3" t="str">
        <f>HYPERLINK("https://stackoverflow.com/q/44903106", "44903106")</f>
        <v>44903106</v>
      </c>
      <c r="B147" s="1" t="s">
        <v>93</v>
      </c>
      <c r="C147" s="1" t="s">
        <v>554</v>
      </c>
      <c r="D147" s="2" t="s">
        <v>555</v>
      </c>
      <c r="E147" s="1">
        <v>1.0</v>
      </c>
      <c r="F147" s="1">
        <v>4.490765E7</v>
      </c>
      <c r="I147" s="1">
        <v>4.0</v>
      </c>
      <c r="J147" s="1">
        <v>3029.0</v>
      </c>
      <c r="L147" s="1">
        <v>8253068.0</v>
      </c>
      <c r="N147" s="1">
        <v>937377.0</v>
      </c>
      <c r="P147" s="1" t="s">
        <v>556</v>
      </c>
      <c r="Q147" s="1" t="s">
        <v>557</v>
      </c>
      <c r="R147" s="1" t="s">
        <v>97</v>
      </c>
      <c r="S147" s="1">
        <v>2.0</v>
      </c>
      <c r="T147" s="1">
        <v>0.0</v>
      </c>
      <c r="U147" s="1">
        <v>1.0</v>
      </c>
      <c r="X147" s="1" t="s">
        <v>29</v>
      </c>
      <c r="Z147" s="1" t="s">
        <v>558</v>
      </c>
    </row>
    <row r="148">
      <c r="A148" s="3" t="str">
        <f>HYPERLINK("https://stackoverflow.com/q/44912604", "44912604")</f>
        <v>44912604</v>
      </c>
      <c r="B148" s="1" t="s">
        <v>93</v>
      </c>
      <c r="C148" s="1" t="s">
        <v>559</v>
      </c>
      <c r="D148" s="2" t="s">
        <v>560</v>
      </c>
      <c r="E148" s="1">
        <v>1.0</v>
      </c>
      <c r="I148" s="1">
        <v>2.0</v>
      </c>
      <c r="J148" s="1">
        <v>987.0</v>
      </c>
      <c r="L148" s="1">
        <v>8255563.0</v>
      </c>
      <c r="Q148" s="1" t="s">
        <v>561</v>
      </c>
      <c r="R148" s="1" t="s">
        <v>97</v>
      </c>
      <c r="S148" s="1">
        <v>3.0</v>
      </c>
      <c r="T148" s="1">
        <v>1.0</v>
      </c>
      <c r="U148" s="1">
        <v>1.0</v>
      </c>
      <c r="X148" s="1" t="s">
        <v>29</v>
      </c>
    </row>
    <row r="149">
      <c r="A149" s="3" t="str">
        <f>HYPERLINK("https://stackoverflow.com/q/44952033", "44952033")</f>
        <v>44952033</v>
      </c>
      <c r="B149" s="1" t="s">
        <v>93</v>
      </c>
      <c r="C149" s="1" t="s">
        <v>562</v>
      </c>
      <c r="D149" s="2" t="s">
        <v>563</v>
      </c>
      <c r="E149" s="1">
        <v>1.0</v>
      </c>
      <c r="F149" s="1">
        <v>4.4953414E7</v>
      </c>
      <c r="I149" s="1">
        <v>0.0</v>
      </c>
      <c r="J149" s="1">
        <v>466.0</v>
      </c>
      <c r="M149" s="1" t="s">
        <v>449</v>
      </c>
      <c r="O149" s="1" t="s">
        <v>449</v>
      </c>
      <c r="P149" s="1" t="s">
        <v>564</v>
      </c>
      <c r="Q149" s="1" t="s">
        <v>564</v>
      </c>
      <c r="R149" s="1" t="s">
        <v>97</v>
      </c>
      <c r="S149" s="1">
        <v>1.0</v>
      </c>
      <c r="T149" s="1">
        <v>0.0</v>
      </c>
      <c r="X149" s="1" t="s">
        <v>29</v>
      </c>
      <c r="Z149" s="1" t="s">
        <v>565</v>
      </c>
    </row>
    <row r="150">
      <c r="A150" s="3" t="str">
        <f>HYPERLINK("https://stackoverflow.com/q/44956629", "44956629")</f>
        <v>44956629</v>
      </c>
      <c r="B150" s="1" t="s">
        <v>93</v>
      </c>
      <c r="C150" s="1" t="s">
        <v>566</v>
      </c>
      <c r="D150" s="2" t="s">
        <v>567</v>
      </c>
      <c r="E150" s="1">
        <v>1.0</v>
      </c>
      <c r="F150" s="1">
        <v>4.4957421E7</v>
      </c>
      <c r="I150" s="1">
        <v>1.0</v>
      </c>
      <c r="J150" s="1">
        <v>527.0</v>
      </c>
      <c r="L150" s="1">
        <v>1644677.0</v>
      </c>
      <c r="N150" s="1">
        <v>1644677.0</v>
      </c>
      <c r="P150" s="1" t="s">
        <v>568</v>
      </c>
      <c r="Q150" s="1" t="s">
        <v>568</v>
      </c>
      <c r="R150" s="1" t="s">
        <v>97</v>
      </c>
      <c r="S150" s="1">
        <v>1.0</v>
      </c>
      <c r="T150" s="1">
        <v>0.0</v>
      </c>
      <c r="X150" s="1" t="s">
        <v>29</v>
      </c>
      <c r="Z150" s="1" t="s">
        <v>569</v>
      </c>
    </row>
    <row r="151">
      <c r="A151" s="3" t="str">
        <f>HYPERLINK("https://stackoverflow.com/q/44974408", "44974408")</f>
        <v>44974408</v>
      </c>
      <c r="B151" s="1" t="s">
        <v>93</v>
      </c>
      <c r="C151" s="1" t="s">
        <v>570</v>
      </c>
      <c r="D151" s="2" t="s">
        <v>571</v>
      </c>
      <c r="E151" s="1">
        <v>1.0</v>
      </c>
      <c r="I151" s="1">
        <v>0.0</v>
      </c>
      <c r="J151" s="1">
        <v>803.0</v>
      </c>
      <c r="L151" s="1">
        <v>8245713.0</v>
      </c>
      <c r="N151" s="1">
        <v>8245713.0</v>
      </c>
      <c r="P151" s="1" t="s">
        <v>572</v>
      </c>
      <c r="Q151" s="1" t="s">
        <v>573</v>
      </c>
      <c r="R151" s="1" t="s">
        <v>97</v>
      </c>
      <c r="S151" s="1">
        <v>2.0</v>
      </c>
      <c r="T151" s="1">
        <v>4.0</v>
      </c>
      <c r="U151" s="1">
        <v>1.0</v>
      </c>
      <c r="X151" s="1" t="s">
        <v>29</v>
      </c>
    </row>
    <row r="152">
      <c r="A152" s="3" t="str">
        <f>HYPERLINK("https://stackoverflow.com/q/44980903", "44980903")</f>
        <v>44980903</v>
      </c>
      <c r="B152" s="1" t="s">
        <v>93</v>
      </c>
      <c r="C152" s="1" t="s">
        <v>574</v>
      </c>
      <c r="D152" s="2" t="s">
        <v>575</v>
      </c>
      <c r="E152" s="1">
        <v>1.0</v>
      </c>
      <c r="F152" s="1">
        <v>4.9137257E7</v>
      </c>
      <c r="I152" s="1">
        <v>0.0</v>
      </c>
      <c r="J152" s="1">
        <v>251.0</v>
      </c>
      <c r="L152" s="1">
        <v>2041458.0</v>
      </c>
      <c r="Q152" s="1" t="s">
        <v>576</v>
      </c>
      <c r="R152" s="1" t="s">
        <v>130</v>
      </c>
      <c r="S152" s="1">
        <v>1.0</v>
      </c>
      <c r="T152" s="1">
        <v>0.0</v>
      </c>
      <c r="X152" s="1" t="s">
        <v>29</v>
      </c>
      <c r="Z152" s="1" t="s">
        <v>576</v>
      </c>
    </row>
    <row r="153">
      <c r="A153" s="3" t="str">
        <f>HYPERLINK("https://stackoverflow.com/q/45004378", "45004378")</f>
        <v>45004378</v>
      </c>
      <c r="B153" s="1" t="s">
        <v>93</v>
      </c>
      <c r="C153" s="1" t="s">
        <v>577</v>
      </c>
      <c r="D153" s="2" t="s">
        <v>578</v>
      </c>
      <c r="E153" s="1">
        <v>1.0</v>
      </c>
      <c r="I153" s="1">
        <v>0.0</v>
      </c>
      <c r="J153" s="1">
        <v>285.0</v>
      </c>
      <c r="L153" s="1">
        <v>4212087.0</v>
      </c>
      <c r="N153" s="1">
        <v>4212087.0</v>
      </c>
      <c r="P153" s="1" t="s">
        <v>579</v>
      </c>
      <c r="Q153" s="1" t="s">
        <v>579</v>
      </c>
      <c r="R153" s="1" t="s">
        <v>97</v>
      </c>
      <c r="S153" s="1">
        <v>1.0</v>
      </c>
      <c r="T153" s="1">
        <v>0.0</v>
      </c>
      <c r="X153" s="1" t="s">
        <v>29</v>
      </c>
    </row>
    <row r="154">
      <c r="A154" s="3" t="str">
        <f>HYPERLINK("https://stackoverflow.com/q/45019323", "45019323")</f>
        <v>45019323</v>
      </c>
      <c r="B154" s="1" t="s">
        <v>93</v>
      </c>
      <c r="C154" s="1" t="s">
        <v>580</v>
      </c>
      <c r="D154" s="2" t="s">
        <v>581</v>
      </c>
      <c r="E154" s="1">
        <v>1.0</v>
      </c>
      <c r="F154" s="1">
        <v>4.5022003E7</v>
      </c>
      <c r="I154" s="1">
        <v>0.0</v>
      </c>
      <c r="J154" s="1">
        <v>85.0</v>
      </c>
      <c r="M154" s="1" t="s">
        <v>449</v>
      </c>
      <c r="O154" s="1" t="s">
        <v>449</v>
      </c>
      <c r="P154" s="1" t="s">
        <v>582</v>
      </c>
      <c r="Q154" s="1" t="s">
        <v>582</v>
      </c>
      <c r="R154" s="1" t="s">
        <v>97</v>
      </c>
      <c r="S154" s="1">
        <v>1.0</v>
      </c>
      <c r="T154" s="1">
        <v>0.0</v>
      </c>
      <c r="X154" s="1" t="s">
        <v>29</v>
      </c>
      <c r="Z154" s="1" t="s">
        <v>583</v>
      </c>
    </row>
    <row r="155">
      <c r="A155" s="3" t="str">
        <f>HYPERLINK("https://stackoverflow.com/q/45045407", "45045407")</f>
        <v>45045407</v>
      </c>
      <c r="B155" s="1" t="s">
        <v>93</v>
      </c>
      <c r="C155" s="1" t="s">
        <v>584</v>
      </c>
      <c r="D155" s="2" t="s">
        <v>585</v>
      </c>
      <c r="E155" s="1">
        <v>1.0</v>
      </c>
      <c r="F155" s="1">
        <v>4.5045556E7</v>
      </c>
      <c r="I155" s="1">
        <v>0.0</v>
      </c>
      <c r="J155" s="1">
        <v>30.0</v>
      </c>
      <c r="L155" s="1">
        <v>8133871.0</v>
      </c>
      <c r="N155" s="1">
        <v>4687709.0</v>
      </c>
      <c r="P155" s="1" t="s">
        <v>586</v>
      </c>
      <c r="Q155" s="1" t="s">
        <v>587</v>
      </c>
      <c r="R155" s="1" t="s">
        <v>97</v>
      </c>
      <c r="S155" s="1">
        <v>2.0</v>
      </c>
      <c r="T155" s="1">
        <v>0.0</v>
      </c>
      <c r="X155" s="1" t="s">
        <v>29</v>
      </c>
      <c r="Z155" s="1" t="s">
        <v>588</v>
      </c>
    </row>
    <row r="156">
      <c r="A156" s="3" t="str">
        <f>HYPERLINK("https://stackoverflow.com/q/45045520", "45045520")</f>
        <v>45045520</v>
      </c>
      <c r="B156" s="1" t="s">
        <v>93</v>
      </c>
      <c r="C156" s="1" t="s">
        <v>589</v>
      </c>
      <c r="D156" s="2" t="s">
        <v>590</v>
      </c>
      <c r="E156" s="1">
        <v>1.0</v>
      </c>
      <c r="F156" s="1">
        <v>4.5060907E7</v>
      </c>
      <c r="I156" s="1">
        <v>0.0</v>
      </c>
      <c r="J156" s="1">
        <v>102.0</v>
      </c>
      <c r="L156" s="1">
        <v>7465890.0</v>
      </c>
      <c r="Q156" s="1" t="s">
        <v>591</v>
      </c>
      <c r="R156" s="1" t="s">
        <v>97</v>
      </c>
      <c r="S156" s="1">
        <v>2.0</v>
      </c>
      <c r="T156" s="1">
        <v>0.0</v>
      </c>
      <c r="X156" s="1" t="s">
        <v>29</v>
      </c>
      <c r="Z156" s="1" t="s">
        <v>592</v>
      </c>
    </row>
    <row r="157">
      <c r="A157" s="3" t="str">
        <f>HYPERLINK("https://stackoverflow.com/q/45068055", "45068055")</f>
        <v>45068055</v>
      </c>
      <c r="B157" s="1" t="s">
        <v>93</v>
      </c>
      <c r="C157" s="1" t="s">
        <v>593</v>
      </c>
      <c r="D157" s="2" t="s">
        <v>594</v>
      </c>
      <c r="E157" s="1">
        <v>1.0</v>
      </c>
      <c r="I157" s="1">
        <v>1.0</v>
      </c>
      <c r="J157" s="1">
        <v>423.0</v>
      </c>
      <c r="L157" s="1">
        <v>8298527.0</v>
      </c>
      <c r="Q157" s="1" t="s">
        <v>595</v>
      </c>
      <c r="R157" s="1" t="s">
        <v>97</v>
      </c>
      <c r="S157" s="1">
        <v>1.0</v>
      </c>
      <c r="T157" s="1">
        <v>1.0</v>
      </c>
      <c r="X157" s="1" t="s">
        <v>29</v>
      </c>
    </row>
    <row r="158">
      <c r="A158" s="3" t="str">
        <f>HYPERLINK("https://stackoverflow.com/q/45091910", "45091910")</f>
        <v>45091910</v>
      </c>
      <c r="B158" s="1" t="s">
        <v>93</v>
      </c>
      <c r="C158" s="1" t="s">
        <v>596</v>
      </c>
      <c r="D158" s="2" t="s">
        <v>597</v>
      </c>
      <c r="E158" s="1">
        <v>1.0</v>
      </c>
      <c r="F158" s="1">
        <v>4.509234E7</v>
      </c>
      <c r="I158" s="1">
        <v>1.0</v>
      </c>
      <c r="J158" s="1">
        <v>297.0</v>
      </c>
      <c r="L158" s="1">
        <v>7465890.0</v>
      </c>
      <c r="N158" s="1">
        <v>5923666.0</v>
      </c>
      <c r="P158" s="1" t="s">
        <v>598</v>
      </c>
      <c r="Q158" s="1" t="s">
        <v>599</v>
      </c>
      <c r="R158" s="1" t="s">
        <v>97</v>
      </c>
      <c r="S158" s="1">
        <v>1.0</v>
      </c>
      <c r="T158" s="1">
        <v>0.0</v>
      </c>
      <c r="X158" s="1" t="s">
        <v>29</v>
      </c>
      <c r="Z158" s="1" t="s">
        <v>599</v>
      </c>
    </row>
    <row r="159">
      <c r="A159" s="3" t="str">
        <f>HYPERLINK("https://stackoverflow.com/q/45101901", "45101901")</f>
        <v>45101901</v>
      </c>
      <c r="B159" s="1" t="s">
        <v>93</v>
      </c>
      <c r="C159" s="1" t="s">
        <v>600</v>
      </c>
      <c r="D159" s="2" t="s">
        <v>601</v>
      </c>
      <c r="E159" s="1">
        <v>1.0</v>
      </c>
      <c r="I159" s="1">
        <v>1.0</v>
      </c>
      <c r="J159" s="1">
        <v>320.0</v>
      </c>
      <c r="L159" s="1">
        <v>8307577.0</v>
      </c>
      <c r="Q159" s="1" t="s">
        <v>602</v>
      </c>
      <c r="R159" s="1" t="s">
        <v>97</v>
      </c>
      <c r="S159" s="1">
        <v>1.0</v>
      </c>
      <c r="T159" s="1">
        <v>0.0</v>
      </c>
      <c r="X159" s="1" t="s">
        <v>29</v>
      </c>
    </row>
    <row r="160">
      <c r="A160" s="3" t="str">
        <f>HYPERLINK("https://stackoverflow.com/q/45120914", "45120914")</f>
        <v>45120914</v>
      </c>
      <c r="B160" s="1" t="s">
        <v>93</v>
      </c>
      <c r="C160" s="1" t="s">
        <v>603</v>
      </c>
      <c r="D160" s="2" t="s">
        <v>604</v>
      </c>
      <c r="E160" s="1">
        <v>1.0</v>
      </c>
      <c r="F160" s="1">
        <v>4.5124417E7</v>
      </c>
      <c r="I160" s="1">
        <v>1.0</v>
      </c>
      <c r="J160" s="1">
        <v>257.0</v>
      </c>
      <c r="L160" s="1">
        <v>8312561.0</v>
      </c>
      <c r="N160" s="1">
        <v>8312561.0</v>
      </c>
      <c r="P160" s="1" t="s">
        <v>605</v>
      </c>
      <c r="Q160" s="1" t="s">
        <v>606</v>
      </c>
      <c r="R160" s="1" t="s">
        <v>97</v>
      </c>
      <c r="S160" s="1">
        <v>2.0</v>
      </c>
      <c r="T160" s="1">
        <v>0.0</v>
      </c>
      <c r="X160" s="1" t="s">
        <v>29</v>
      </c>
      <c r="Z160" s="1" t="s">
        <v>607</v>
      </c>
    </row>
    <row r="161">
      <c r="A161" s="3" t="str">
        <f>HYPERLINK("https://stackoverflow.com/q/45133010", "45133010")</f>
        <v>45133010</v>
      </c>
      <c r="B161" s="1" t="s">
        <v>93</v>
      </c>
      <c r="C161" s="1" t="s">
        <v>608</v>
      </c>
      <c r="D161" s="2" t="s">
        <v>609</v>
      </c>
      <c r="E161" s="1">
        <v>1.0</v>
      </c>
      <c r="F161" s="1">
        <v>4.5149362E7</v>
      </c>
      <c r="I161" s="1">
        <v>1.0</v>
      </c>
      <c r="J161" s="1">
        <v>310.0</v>
      </c>
      <c r="L161" s="1">
        <v>1644677.0</v>
      </c>
      <c r="Q161" s="1" t="s">
        <v>610</v>
      </c>
      <c r="R161" s="1" t="s">
        <v>97</v>
      </c>
      <c r="S161" s="1">
        <v>1.0</v>
      </c>
      <c r="T161" s="1">
        <v>3.0</v>
      </c>
      <c r="X161" s="1" t="s">
        <v>29</v>
      </c>
      <c r="Z161" s="1" t="s">
        <v>610</v>
      </c>
    </row>
    <row r="162">
      <c r="A162" s="3" t="str">
        <f>HYPERLINK("https://stackoverflow.com/q/45171327", "45171327")</f>
        <v>45171327</v>
      </c>
      <c r="B162" s="1" t="s">
        <v>93</v>
      </c>
      <c r="C162" s="1" t="s">
        <v>611</v>
      </c>
      <c r="D162" s="2" t="s">
        <v>612</v>
      </c>
      <c r="E162" s="1">
        <v>1.0</v>
      </c>
      <c r="I162" s="1">
        <v>0.0</v>
      </c>
      <c r="J162" s="1">
        <v>93.0</v>
      </c>
      <c r="L162" s="1">
        <v>8326422.0</v>
      </c>
      <c r="Q162" s="1" t="s">
        <v>613</v>
      </c>
      <c r="R162" s="1" t="s">
        <v>97</v>
      </c>
      <c r="S162" s="1">
        <v>2.0</v>
      </c>
      <c r="T162" s="1">
        <v>1.0</v>
      </c>
      <c r="X162" s="1" t="s">
        <v>29</v>
      </c>
    </row>
    <row r="163">
      <c r="A163" s="3" t="str">
        <f>HYPERLINK("https://stackoverflow.com/q/45177765", "45177765")</f>
        <v>45177765</v>
      </c>
      <c r="B163" s="1" t="s">
        <v>93</v>
      </c>
      <c r="C163" s="1" t="s">
        <v>614</v>
      </c>
      <c r="D163" s="2" t="s">
        <v>615</v>
      </c>
      <c r="E163" s="1">
        <v>1.0</v>
      </c>
      <c r="F163" s="1">
        <v>4.5178685E7</v>
      </c>
      <c r="I163" s="1">
        <v>2.0</v>
      </c>
      <c r="J163" s="1">
        <v>645.0</v>
      </c>
      <c r="L163" s="1">
        <v>7465890.0</v>
      </c>
      <c r="Q163" s="1" t="s">
        <v>616</v>
      </c>
      <c r="R163" s="1" t="s">
        <v>97</v>
      </c>
      <c r="S163" s="1">
        <v>1.0</v>
      </c>
      <c r="T163" s="1">
        <v>0.0</v>
      </c>
      <c r="X163" s="1" t="s">
        <v>29</v>
      </c>
      <c r="Z163" s="1" t="s">
        <v>616</v>
      </c>
    </row>
    <row r="164">
      <c r="A164" s="3" t="str">
        <f>HYPERLINK("https://stackoverflow.com/q/45195523", "45195523")</f>
        <v>45195523</v>
      </c>
      <c r="B164" s="1" t="s">
        <v>93</v>
      </c>
      <c r="C164" s="1" t="s">
        <v>617</v>
      </c>
      <c r="D164" s="2" t="s">
        <v>618</v>
      </c>
      <c r="E164" s="1">
        <v>1.0</v>
      </c>
      <c r="I164" s="1">
        <v>2.0</v>
      </c>
      <c r="J164" s="1">
        <v>485.0</v>
      </c>
      <c r="L164" s="1">
        <v>8087390.0</v>
      </c>
      <c r="Q164" s="1" t="s">
        <v>619</v>
      </c>
      <c r="R164" s="1" t="s">
        <v>190</v>
      </c>
      <c r="S164" s="1">
        <v>1.0</v>
      </c>
      <c r="T164" s="1">
        <v>1.0</v>
      </c>
      <c r="X164" s="1" t="s">
        <v>29</v>
      </c>
    </row>
    <row r="165">
      <c r="A165" s="3" t="str">
        <f>HYPERLINK("https://stackoverflow.com/q/45197195", "45197195")</f>
        <v>45197195</v>
      </c>
      <c r="B165" s="1" t="s">
        <v>93</v>
      </c>
      <c r="C165" s="1" t="s">
        <v>620</v>
      </c>
      <c r="D165" s="2" t="s">
        <v>621</v>
      </c>
      <c r="E165" s="1">
        <v>1.0</v>
      </c>
      <c r="F165" s="1">
        <v>4.5198522E7</v>
      </c>
      <c r="I165" s="1">
        <v>1.0</v>
      </c>
      <c r="J165" s="1">
        <v>393.0</v>
      </c>
      <c r="L165" s="1">
        <v>587773.0</v>
      </c>
      <c r="Q165" s="1" t="s">
        <v>622</v>
      </c>
      <c r="R165" s="1" t="s">
        <v>97</v>
      </c>
      <c r="S165" s="1">
        <v>2.0</v>
      </c>
      <c r="T165" s="1">
        <v>0.0</v>
      </c>
      <c r="U165" s="1">
        <v>1.0</v>
      </c>
      <c r="X165" s="1" t="s">
        <v>29</v>
      </c>
      <c r="Z165" s="1" t="s">
        <v>623</v>
      </c>
    </row>
    <row r="166">
      <c r="A166" s="3" t="str">
        <f>HYPERLINK("https://stackoverflow.com/q/45224565", "45224565")</f>
        <v>45224565</v>
      </c>
      <c r="B166" s="1" t="s">
        <v>93</v>
      </c>
      <c r="C166" s="1" t="s">
        <v>624</v>
      </c>
      <c r="D166" s="2" t="s">
        <v>625</v>
      </c>
      <c r="E166" s="1">
        <v>1.0</v>
      </c>
      <c r="F166" s="1">
        <v>4.5225196E7</v>
      </c>
      <c r="I166" s="1">
        <v>1.0</v>
      </c>
      <c r="J166" s="1">
        <v>362.0</v>
      </c>
      <c r="L166" s="1">
        <v>7465890.0</v>
      </c>
      <c r="Q166" s="1" t="s">
        <v>626</v>
      </c>
      <c r="R166" s="1" t="s">
        <v>97</v>
      </c>
      <c r="S166" s="1">
        <v>2.0</v>
      </c>
      <c r="T166" s="1">
        <v>0.0</v>
      </c>
      <c r="X166" s="1" t="s">
        <v>29</v>
      </c>
      <c r="Z166" s="1" t="s">
        <v>627</v>
      </c>
    </row>
    <row r="167">
      <c r="A167" s="3" t="str">
        <f>HYPERLINK("https://stackoverflow.com/q/45232971", "45232971")</f>
        <v>45232971</v>
      </c>
      <c r="B167" s="1" t="s">
        <v>93</v>
      </c>
      <c r="C167" s="1" t="s">
        <v>628</v>
      </c>
      <c r="D167" s="2" t="s">
        <v>629</v>
      </c>
      <c r="E167" s="1">
        <v>1.0</v>
      </c>
      <c r="I167" s="1">
        <v>0.0</v>
      </c>
      <c r="J167" s="1">
        <v>577.0</v>
      </c>
      <c r="L167" s="1">
        <v>7410208.0</v>
      </c>
      <c r="Q167" s="1" t="s">
        <v>630</v>
      </c>
      <c r="R167" s="1" t="s">
        <v>97</v>
      </c>
      <c r="S167" s="1">
        <v>2.0</v>
      </c>
      <c r="T167" s="1">
        <v>0.0</v>
      </c>
      <c r="X167" s="1" t="s">
        <v>29</v>
      </c>
    </row>
    <row r="168">
      <c r="A168" s="3" t="str">
        <f>HYPERLINK("https://stackoverflow.com/q/45238254", "45238254")</f>
        <v>45238254</v>
      </c>
      <c r="B168" s="1" t="s">
        <v>93</v>
      </c>
      <c r="C168" s="1" t="s">
        <v>631</v>
      </c>
      <c r="D168" s="2" t="s">
        <v>632</v>
      </c>
      <c r="E168" s="1">
        <v>1.0</v>
      </c>
      <c r="I168" s="1">
        <v>0.0</v>
      </c>
      <c r="J168" s="1">
        <v>102.0</v>
      </c>
      <c r="L168" s="1">
        <v>8344549.0</v>
      </c>
      <c r="Q168" s="1" t="s">
        <v>633</v>
      </c>
      <c r="R168" s="1" t="s">
        <v>97</v>
      </c>
      <c r="S168" s="1">
        <v>1.0</v>
      </c>
      <c r="T168" s="1">
        <v>0.0</v>
      </c>
      <c r="X168" s="1" t="s">
        <v>29</v>
      </c>
    </row>
    <row r="169">
      <c r="A169" s="3" t="str">
        <f>HYPERLINK("https://stackoverflow.com/q/45245708", "45245708")</f>
        <v>45245708</v>
      </c>
      <c r="B169" s="1" t="s">
        <v>93</v>
      </c>
      <c r="C169" s="1" t="s">
        <v>634</v>
      </c>
      <c r="D169" s="2" t="s">
        <v>635</v>
      </c>
      <c r="E169" s="1">
        <v>1.0</v>
      </c>
      <c r="F169" s="1">
        <v>4.5247603E7</v>
      </c>
      <c r="I169" s="1">
        <v>1.0</v>
      </c>
      <c r="J169" s="1">
        <v>654.0</v>
      </c>
      <c r="L169" s="1">
        <v>7465890.0</v>
      </c>
      <c r="Q169" s="1" t="s">
        <v>636</v>
      </c>
      <c r="R169" s="1" t="s">
        <v>97</v>
      </c>
      <c r="S169" s="1">
        <v>1.0</v>
      </c>
      <c r="T169" s="1">
        <v>0.0</v>
      </c>
      <c r="X169" s="1" t="s">
        <v>29</v>
      </c>
      <c r="Z169" s="1" t="s">
        <v>636</v>
      </c>
    </row>
    <row r="170">
      <c r="A170" s="3" t="str">
        <f>HYPERLINK("https://stackoverflow.com/q/45273016", "45273016")</f>
        <v>45273016</v>
      </c>
      <c r="B170" s="1" t="s">
        <v>93</v>
      </c>
      <c r="C170" s="1" t="s">
        <v>637</v>
      </c>
      <c r="D170" s="2" t="s">
        <v>638</v>
      </c>
      <c r="E170" s="1">
        <v>1.0</v>
      </c>
      <c r="I170" s="1">
        <v>0.0</v>
      </c>
      <c r="J170" s="1">
        <v>507.0</v>
      </c>
      <c r="L170" s="1">
        <v>8355608.0</v>
      </c>
      <c r="Q170" s="1" t="s">
        <v>639</v>
      </c>
      <c r="R170" s="1" t="s">
        <v>97</v>
      </c>
      <c r="S170" s="1">
        <v>1.0</v>
      </c>
      <c r="T170" s="1">
        <v>0.0</v>
      </c>
      <c r="X170" s="1" t="s">
        <v>29</v>
      </c>
    </row>
    <row r="171">
      <c r="A171" s="3" t="str">
        <f>HYPERLINK("https://stackoverflow.com/q/45288895", "45288895")</f>
        <v>45288895</v>
      </c>
      <c r="B171" s="1" t="s">
        <v>93</v>
      </c>
      <c r="C171" s="1" t="s">
        <v>640</v>
      </c>
      <c r="D171" s="2" t="s">
        <v>641</v>
      </c>
      <c r="E171" s="1">
        <v>1.0</v>
      </c>
      <c r="F171" s="1">
        <v>4.528991E7</v>
      </c>
      <c r="I171" s="1">
        <v>1.0</v>
      </c>
      <c r="J171" s="1">
        <v>702.0</v>
      </c>
      <c r="L171" s="1">
        <v>7465890.0</v>
      </c>
      <c r="Q171" s="1" t="s">
        <v>642</v>
      </c>
      <c r="R171" s="1" t="s">
        <v>97</v>
      </c>
      <c r="S171" s="1">
        <v>2.0</v>
      </c>
      <c r="T171" s="1">
        <v>0.0</v>
      </c>
      <c r="X171" s="1" t="s">
        <v>29</v>
      </c>
      <c r="Z171" s="1" t="s">
        <v>643</v>
      </c>
    </row>
    <row r="172">
      <c r="A172" s="3" t="str">
        <f>HYPERLINK("https://stackoverflow.com/q/45310175", "45310175")</f>
        <v>45310175</v>
      </c>
      <c r="B172" s="1" t="s">
        <v>93</v>
      </c>
      <c r="C172" s="1" t="s">
        <v>644</v>
      </c>
      <c r="D172" s="2" t="s">
        <v>645</v>
      </c>
      <c r="E172" s="1">
        <v>1.0</v>
      </c>
      <c r="I172" s="1">
        <v>0.0</v>
      </c>
      <c r="J172" s="1">
        <v>709.0</v>
      </c>
      <c r="L172" s="1">
        <v>8298527.0</v>
      </c>
      <c r="Q172" s="1" t="s">
        <v>646</v>
      </c>
      <c r="R172" s="1" t="s">
        <v>97</v>
      </c>
      <c r="S172" s="1">
        <v>2.0</v>
      </c>
      <c r="T172" s="1">
        <v>0.0</v>
      </c>
      <c r="X172" s="1" t="s">
        <v>29</v>
      </c>
    </row>
    <row r="173">
      <c r="A173" s="3" t="str">
        <f>HYPERLINK("https://stackoverflow.com/q/45312549", "45312549")</f>
        <v>45312549</v>
      </c>
      <c r="B173" s="1" t="s">
        <v>93</v>
      </c>
      <c r="C173" s="1" t="s">
        <v>647</v>
      </c>
      <c r="D173" s="2" t="s">
        <v>648</v>
      </c>
      <c r="E173" s="1">
        <v>1.0</v>
      </c>
      <c r="F173" s="1">
        <v>4.5313346E7</v>
      </c>
      <c r="I173" s="1">
        <v>0.0</v>
      </c>
      <c r="J173" s="1">
        <v>112.0</v>
      </c>
      <c r="L173" s="1">
        <v>7465890.0</v>
      </c>
      <c r="Q173" s="1" t="s">
        <v>649</v>
      </c>
      <c r="R173" s="1" t="s">
        <v>97</v>
      </c>
      <c r="S173" s="1">
        <v>1.0</v>
      </c>
      <c r="T173" s="1">
        <v>0.0</v>
      </c>
      <c r="X173" s="1" t="s">
        <v>29</v>
      </c>
      <c r="Z173" s="1" t="s">
        <v>649</v>
      </c>
    </row>
    <row r="174">
      <c r="A174" s="3" t="str">
        <f>HYPERLINK("https://stackoverflow.com/q/45324749", "45324749")</f>
        <v>45324749</v>
      </c>
      <c r="B174" s="1" t="s">
        <v>93</v>
      </c>
      <c r="C174" s="1" t="s">
        <v>650</v>
      </c>
      <c r="D174" s="2" t="s">
        <v>651</v>
      </c>
      <c r="E174" s="1">
        <v>1.0</v>
      </c>
      <c r="F174" s="1">
        <v>4.5331384E7</v>
      </c>
      <c r="I174" s="1">
        <v>0.0</v>
      </c>
      <c r="J174" s="1">
        <v>176.0</v>
      </c>
      <c r="L174" s="1">
        <v>8253068.0</v>
      </c>
      <c r="Q174" s="1" t="s">
        <v>652</v>
      </c>
      <c r="R174" s="1" t="s">
        <v>97</v>
      </c>
      <c r="S174" s="1">
        <v>1.0</v>
      </c>
      <c r="T174" s="1">
        <v>0.0</v>
      </c>
      <c r="U174" s="1">
        <v>0.0</v>
      </c>
      <c r="X174" s="1" t="s">
        <v>29</v>
      </c>
      <c r="Z174" s="1" t="s">
        <v>652</v>
      </c>
    </row>
    <row r="175">
      <c r="A175" s="3" t="str">
        <f>HYPERLINK("https://stackoverflow.com/q/45334821", "45334821")</f>
        <v>45334821</v>
      </c>
      <c r="B175" s="1" t="s">
        <v>93</v>
      </c>
      <c r="C175" s="1" t="s">
        <v>653</v>
      </c>
      <c r="D175" s="2" t="s">
        <v>654</v>
      </c>
      <c r="E175" s="1">
        <v>1.0</v>
      </c>
      <c r="I175" s="1">
        <v>0.0</v>
      </c>
      <c r="J175" s="1">
        <v>163.0</v>
      </c>
      <c r="L175" s="1">
        <v>3490987.0</v>
      </c>
      <c r="Q175" s="1" t="s">
        <v>655</v>
      </c>
      <c r="R175" s="1" t="s">
        <v>656</v>
      </c>
      <c r="S175" s="1">
        <v>2.0</v>
      </c>
      <c r="T175" s="1">
        <v>0.0</v>
      </c>
      <c r="X175" s="1" t="s">
        <v>29</v>
      </c>
    </row>
    <row r="176">
      <c r="A176" s="3" t="str">
        <f>HYPERLINK("https://stackoverflow.com/q/45336337", "45336337")</f>
        <v>45336337</v>
      </c>
      <c r="B176" s="1" t="s">
        <v>93</v>
      </c>
      <c r="C176" s="1" t="s">
        <v>657</v>
      </c>
      <c r="D176" s="2" t="s">
        <v>658</v>
      </c>
      <c r="E176" s="1">
        <v>1.0</v>
      </c>
      <c r="F176" s="1">
        <v>4.5337408E7</v>
      </c>
      <c r="I176" s="1">
        <v>1.0</v>
      </c>
      <c r="J176" s="1">
        <v>708.0</v>
      </c>
      <c r="L176" s="1">
        <v>7465890.0</v>
      </c>
      <c r="Q176" s="1" t="s">
        <v>659</v>
      </c>
      <c r="R176" s="1" t="s">
        <v>97</v>
      </c>
      <c r="S176" s="1">
        <v>1.0</v>
      </c>
      <c r="T176" s="1">
        <v>1.0</v>
      </c>
      <c r="X176" s="1" t="s">
        <v>29</v>
      </c>
      <c r="Z176" s="1" t="s">
        <v>659</v>
      </c>
    </row>
    <row r="177">
      <c r="A177" s="3" t="str">
        <f>HYPERLINK("https://stackoverflow.com/q/45363366", "45363366")</f>
        <v>45363366</v>
      </c>
      <c r="B177" s="1" t="s">
        <v>93</v>
      </c>
      <c r="C177" s="1" t="s">
        <v>660</v>
      </c>
      <c r="D177" s="2" t="s">
        <v>661</v>
      </c>
      <c r="E177" s="1">
        <v>1.0</v>
      </c>
      <c r="F177" s="1">
        <v>4.5383656E7</v>
      </c>
      <c r="I177" s="1">
        <v>1.0</v>
      </c>
      <c r="J177" s="1">
        <v>209.0</v>
      </c>
      <c r="L177" s="1">
        <v>7465890.0</v>
      </c>
      <c r="Q177" s="1" t="s">
        <v>662</v>
      </c>
      <c r="R177" s="1" t="s">
        <v>97</v>
      </c>
      <c r="S177" s="1">
        <v>3.0</v>
      </c>
      <c r="T177" s="1">
        <v>0.0</v>
      </c>
      <c r="X177" s="1" t="s">
        <v>29</v>
      </c>
      <c r="Z177" s="1" t="s">
        <v>662</v>
      </c>
    </row>
    <row r="178">
      <c r="A178" s="3" t="str">
        <f>HYPERLINK("https://stackoverflow.com/q/45418662", "45418662")</f>
        <v>45418662</v>
      </c>
      <c r="B178" s="1" t="s">
        <v>93</v>
      </c>
      <c r="C178" s="1" t="s">
        <v>663</v>
      </c>
      <c r="D178" s="2" t="s">
        <v>664</v>
      </c>
      <c r="E178" s="1">
        <v>1.0</v>
      </c>
      <c r="I178" s="1">
        <v>0.0</v>
      </c>
      <c r="J178" s="1">
        <v>408.0</v>
      </c>
      <c r="L178" s="1">
        <v>8298527.0</v>
      </c>
      <c r="Q178" s="1" t="s">
        <v>665</v>
      </c>
      <c r="R178" s="1" t="s">
        <v>97</v>
      </c>
      <c r="S178" s="1">
        <v>1.0</v>
      </c>
      <c r="T178" s="1">
        <v>0.0</v>
      </c>
      <c r="X178" s="1" t="s">
        <v>29</v>
      </c>
    </row>
    <row r="179">
      <c r="A179" s="3" t="str">
        <f>HYPERLINK("https://stackoverflow.com/q/45425713", "45425713")</f>
        <v>45425713</v>
      </c>
      <c r="B179" s="1" t="s">
        <v>93</v>
      </c>
      <c r="C179" s="1" t="s">
        <v>666</v>
      </c>
      <c r="D179" s="2" t="s">
        <v>667</v>
      </c>
      <c r="E179" s="1">
        <v>1.0</v>
      </c>
      <c r="F179" s="1">
        <v>4.542595E7</v>
      </c>
      <c r="I179" s="1">
        <v>2.0</v>
      </c>
      <c r="J179" s="1">
        <v>681.0</v>
      </c>
      <c r="L179" s="1">
        <v>7465890.0</v>
      </c>
      <c r="Q179" s="1" t="s">
        <v>668</v>
      </c>
      <c r="R179" s="1" t="s">
        <v>97</v>
      </c>
      <c r="S179" s="1">
        <v>2.0</v>
      </c>
      <c r="T179" s="1">
        <v>0.0</v>
      </c>
      <c r="X179" s="1" t="s">
        <v>29</v>
      </c>
      <c r="Z179" s="1" t="s">
        <v>669</v>
      </c>
    </row>
    <row r="180">
      <c r="A180" s="3" t="str">
        <f>HYPERLINK("https://stackoverflow.com/q/45480663", "45480663")</f>
        <v>45480663</v>
      </c>
      <c r="B180" s="1" t="s">
        <v>93</v>
      </c>
      <c r="C180" s="1" t="s">
        <v>670</v>
      </c>
      <c r="D180" s="2" t="s">
        <v>671</v>
      </c>
      <c r="E180" s="1">
        <v>1.0</v>
      </c>
      <c r="I180" s="1">
        <v>0.0</v>
      </c>
      <c r="J180" s="1">
        <v>381.0</v>
      </c>
      <c r="L180" s="1">
        <v>8326422.0</v>
      </c>
      <c r="Q180" s="1" t="s">
        <v>672</v>
      </c>
      <c r="R180" s="1" t="s">
        <v>97</v>
      </c>
      <c r="S180" s="1">
        <v>1.0</v>
      </c>
      <c r="T180" s="1">
        <v>3.0</v>
      </c>
      <c r="X180" s="1" t="s">
        <v>29</v>
      </c>
    </row>
    <row r="181">
      <c r="A181" s="3" t="str">
        <f>HYPERLINK("https://stackoverflow.com/q/45494320", "45494320")</f>
        <v>45494320</v>
      </c>
      <c r="B181" s="1" t="s">
        <v>93</v>
      </c>
      <c r="C181" s="1" t="s">
        <v>673</v>
      </c>
      <c r="D181" s="2" t="s">
        <v>674</v>
      </c>
      <c r="E181" s="1">
        <v>1.0</v>
      </c>
      <c r="F181" s="1">
        <v>4.5495339E7</v>
      </c>
      <c r="I181" s="1">
        <v>1.0</v>
      </c>
      <c r="J181" s="1">
        <v>443.0</v>
      </c>
      <c r="L181" s="1">
        <v>7465890.0</v>
      </c>
      <c r="N181" s="1">
        <v>7465890.0</v>
      </c>
      <c r="P181" s="1" t="s">
        <v>675</v>
      </c>
      <c r="Q181" s="1" t="s">
        <v>676</v>
      </c>
      <c r="R181" s="1" t="s">
        <v>97</v>
      </c>
      <c r="S181" s="1">
        <v>2.0</v>
      </c>
      <c r="T181" s="1">
        <v>2.0</v>
      </c>
      <c r="X181" s="1" t="s">
        <v>29</v>
      </c>
      <c r="Z181" s="1" t="s">
        <v>677</v>
      </c>
    </row>
    <row r="182">
      <c r="A182" s="3" t="str">
        <f>HYPERLINK("https://stackoverflow.com/q/45513359", "45513359")</f>
        <v>45513359</v>
      </c>
      <c r="B182" s="1" t="s">
        <v>93</v>
      </c>
      <c r="C182" s="1" t="s">
        <v>678</v>
      </c>
      <c r="D182" s="2" t="s">
        <v>679</v>
      </c>
      <c r="E182" s="1">
        <v>1.0</v>
      </c>
      <c r="F182" s="1">
        <v>4.5514807E7</v>
      </c>
      <c r="I182" s="1">
        <v>0.0</v>
      </c>
      <c r="J182" s="1">
        <v>226.0</v>
      </c>
      <c r="L182" s="1">
        <v>7465890.0</v>
      </c>
      <c r="N182" s="1">
        <v>7465890.0</v>
      </c>
      <c r="P182" s="1" t="s">
        <v>680</v>
      </c>
      <c r="Q182" s="1" t="s">
        <v>680</v>
      </c>
      <c r="R182" s="1" t="s">
        <v>97</v>
      </c>
      <c r="S182" s="1">
        <v>1.0</v>
      </c>
      <c r="T182" s="1">
        <v>0.0</v>
      </c>
      <c r="X182" s="1" t="s">
        <v>29</v>
      </c>
      <c r="Z182" s="1" t="s">
        <v>681</v>
      </c>
    </row>
    <row r="183">
      <c r="A183" s="3" t="str">
        <f>HYPERLINK("https://stackoverflow.com/q/45545220", "45545220")</f>
        <v>45545220</v>
      </c>
      <c r="B183" s="1" t="s">
        <v>93</v>
      </c>
      <c r="C183" s="1" t="s">
        <v>682</v>
      </c>
      <c r="D183" s="2" t="s">
        <v>683</v>
      </c>
      <c r="E183" s="1">
        <v>1.0</v>
      </c>
      <c r="I183" s="1">
        <v>1.0</v>
      </c>
      <c r="J183" s="1">
        <v>500.0</v>
      </c>
      <c r="L183" s="1">
        <v>7982248.0</v>
      </c>
      <c r="Q183" s="1" t="s">
        <v>684</v>
      </c>
      <c r="R183" s="1" t="s">
        <v>685</v>
      </c>
      <c r="S183" s="1">
        <v>0.0</v>
      </c>
      <c r="T183" s="1">
        <v>6.0</v>
      </c>
      <c r="X183" s="1" t="s">
        <v>29</v>
      </c>
    </row>
    <row r="184">
      <c r="A184" s="3" t="str">
        <f>HYPERLINK("https://stackoverflow.com/q/45555483", "45555483")</f>
        <v>45555483</v>
      </c>
      <c r="B184" s="1" t="s">
        <v>93</v>
      </c>
      <c r="C184" s="1" t="s">
        <v>686</v>
      </c>
      <c r="D184" s="2" t="s">
        <v>687</v>
      </c>
      <c r="E184" s="1">
        <v>1.0</v>
      </c>
      <c r="F184" s="1">
        <v>4.5555935E7</v>
      </c>
      <c r="I184" s="1">
        <v>1.0</v>
      </c>
      <c r="J184" s="1">
        <v>110.0</v>
      </c>
      <c r="L184" s="1">
        <v>8346106.0</v>
      </c>
      <c r="Q184" s="1" t="s">
        <v>688</v>
      </c>
      <c r="R184" s="1" t="s">
        <v>656</v>
      </c>
      <c r="S184" s="1">
        <v>1.0</v>
      </c>
      <c r="T184" s="1">
        <v>0.0</v>
      </c>
      <c r="X184" s="1" t="s">
        <v>29</v>
      </c>
      <c r="Z184" s="1" t="s">
        <v>688</v>
      </c>
    </row>
    <row r="185">
      <c r="A185" s="3" t="str">
        <f>HYPERLINK("https://stackoverflow.com/q/45555969", "45555969")</f>
        <v>45555969</v>
      </c>
      <c r="B185" s="1" t="s">
        <v>93</v>
      </c>
      <c r="C185" s="1" t="s">
        <v>689</v>
      </c>
      <c r="D185" s="2" t="s">
        <v>690</v>
      </c>
      <c r="E185" s="1">
        <v>1.0</v>
      </c>
      <c r="I185" s="1">
        <v>0.0</v>
      </c>
      <c r="J185" s="1">
        <v>69.0</v>
      </c>
      <c r="L185" s="1">
        <v>7919671.0</v>
      </c>
      <c r="N185" s="1">
        <v>7275720.0</v>
      </c>
      <c r="P185" s="1" t="s">
        <v>691</v>
      </c>
      <c r="Q185" s="1" t="s">
        <v>691</v>
      </c>
      <c r="R185" s="1" t="s">
        <v>692</v>
      </c>
      <c r="S185" s="1">
        <v>1.0</v>
      </c>
      <c r="T185" s="1">
        <v>0.0</v>
      </c>
      <c r="X185" s="1" t="s">
        <v>29</v>
      </c>
    </row>
    <row r="186">
      <c r="A186" s="3" t="str">
        <f>HYPERLINK("https://stackoverflow.com/q/45556919", "45556919")</f>
        <v>45556919</v>
      </c>
      <c r="B186" s="1" t="s">
        <v>93</v>
      </c>
      <c r="C186" s="1" t="s">
        <v>693</v>
      </c>
      <c r="D186" s="2" t="s">
        <v>694</v>
      </c>
      <c r="E186" s="1">
        <v>1.0</v>
      </c>
      <c r="I186" s="1">
        <v>4.0</v>
      </c>
      <c r="J186" s="1">
        <v>1048.0</v>
      </c>
      <c r="L186" s="1">
        <v>6586948.0</v>
      </c>
      <c r="Q186" s="1" t="s">
        <v>695</v>
      </c>
      <c r="R186" s="1" t="s">
        <v>696</v>
      </c>
      <c r="S186" s="1">
        <v>2.0</v>
      </c>
      <c r="T186" s="1">
        <v>4.0</v>
      </c>
      <c r="X186" s="1" t="s">
        <v>29</v>
      </c>
    </row>
    <row r="187">
      <c r="A187" s="3" t="str">
        <f>HYPERLINK("https://stackoverflow.com/q/45572394", "45572394")</f>
        <v>45572394</v>
      </c>
      <c r="B187" s="1" t="s">
        <v>93</v>
      </c>
      <c r="C187" s="1" t="s">
        <v>697</v>
      </c>
      <c r="D187" s="2" t="s">
        <v>698</v>
      </c>
      <c r="E187" s="1">
        <v>1.0</v>
      </c>
      <c r="I187" s="1">
        <v>1.0</v>
      </c>
      <c r="J187" s="1">
        <v>808.0</v>
      </c>
      <c r="L187" s="1">
        <v>1408776.0</v>
      </c>
      <c r="Q187" s="1" t="s">
        <v>699</v>
      </c>
      <c r="R187" s="1" t="s">
        <v>97</v>
      </c>
      <c r="S187" s="1">
        <v>0.0</v>
      </c>
      <c r="T187" s="1">
        <v>2.0</v>
      </c>
      <c r="X187" s="1" t="s">
        <v>29</v>
      </c>
    </row>
    <row r="188">
      <c r="A188" s="3" t="str">
        <f>HYPERLINK("https://stackoverflow.com/q/45602479", "45602479")</f>
        <v>45602479</v>
      </c>
      <c r="B188" s="1" t="s">
        <v>93</v>
      </c>
      <c r="C188" s="1" t="s">
        <v>700</v>
      </c>
      <c r="D188" s="2" t="s">
        <v>701</v>
      </c>
      <c r="E188" s="1">
        <v>1.0</v>
      </c>
      <c r="I188" s="1">
        <v>0.0</v>
      </c>
      <c r="J188" s="1">
        <v>148.0</v>
      </c>
      <c r="L188" s="1">
        <v>7465890.0</v>
      </c>
      <c r="Q188" s="1" t="s">
        <v>702</v>
      </c>
      <c r="R188" s="1" t="s">
        <v>97</v>
      </c>
      <c r="S188" s="1">
        <v>1.0</v>
      </c>
      <c r="T188" s="1">
        <v>0.0</v>
      </c>
      <c r="X188" s="1" t="s">
        <v>29</v>
      </c>
    </row>
    <row r="189">
      <c r="A189" s="3" t="str">
        <f>HYPERLINK("https://stackoverflow.com/q/45678498", "45678498")</f>
        <v>45678498</v>
      </c>
      <c r="B189" s="1" t="s">
        <v>93</v>
      </c>
      <c r="C189" s="1" t="s">
        <v>703</v>
      </c>
      <c r="D189" s="2" t="s">
        <v>704</v>
      </c>
      <c r="E189" s="1">
        <v>1.0</v>
      </c>
      <c r="I189" s="1">
        <v>1.0</v>
      </c>
      <c r="J189" s="1">
        <v>389.0</v>
      </c>
      <c r="L189" s="1">
        <v>8346106.0</v>
      </c>
      <c r="Q189" s="1" t="s">
        <v>705</v>
      </c>
      <c r="R189" s="1" t="s">
        <v>706</v>
      </c>
      <c r="S189" s="1">
        <v>2.0</v>
      </c>
      <c r="T189" s="1">
        <v>0.0</v>
      </c>
      <c r="X189" s="1" t="s">
        <v>29</v>
      </c>
    </row>
    <row r="190">
      <c r="A190" s="3" t="str">
        <f>HYPERLINK("https://stackoverflow.com/q/45686397", "45686397")</f>
        <v>45686397</v>
      </c>
      <c r="B190" s="1" t="s">
        <v>93</v>
      </c>
      <c r="C190" s="1" t="s">
        <v>707</v>
      </c>
      <c r="D190" s="2" t="s">
        <v>708</v>
      </c>
      <c r="E190" s="1">
        <v>1.0</v>
      </c>
      <c r="I190" s="1">
        <v>1.0</v>
      </c>
      <c r="J190" s="1">
        <v>266.0</v>
      </c>
      <c r="L190" s="1">
        <v>4380000.0</v>
      </c>
      <c r="Q190" s="1" t="s">
        <v>709</v>
      </c>
      <c r="R190" s="1" t="s">
        <v>97</v>
      </c>
      <c r="S190" s="1">
        <v>1.0</v>
      </c>
      <c r="T190" s="1">
        <v>3.0</v>
      </c>
      <c r="X190" s="1" t="s">
        <v>29</v>
      </c>
    </row>
    <row r="191">
      <c r="A191" s="3" t="str">
        <f>HYPERLINK("https://stackoverflow.com/q/45697947", "45697947")</f>
        <v>45697947</v>
      </c>
      <c r="B191" s="1" t="s">
        <v>93</v>
      </c>
      <c r="C191" s="1" t="s">
        <v>710</v>
      </c>
      <c r="D191" s="2" t="s">
        <v>711</v>
      </c>
      <c r="E191" s="1">
        <v>1.0</v>
      </c>
      <c r="I191" s="1">
        <v>1.0</v>
      </c>
      <c r="J191" s="1">
        <v>437.0</v>
      </c>
      <c r="L191" s="1">
        <v>8298527.0</v>
      </c>
      <c r="Q191" s="1" t="s">
        <v>710</v>
      </c>
      <c r="R191" s="1" t="s">
        <v>97</v>
      </c>
      <c r="S191" s="1">
        <v>0.0</v>
      </c>
      <c r="T191" s="1">
        <v>1.0</v>
      </c>
      <c r="X191" s="1" t="s">
        <v>29</v>
      </c>
    </row>
    <row r="192">
      <c r="A192" s="3" t="str">
        <f>HYPERLINK("https://stackoverflow.com/q/45699468", "45699468")</f>
        <v>45699468</v>
      </c>
      <c r="B192" s="1" t="s">
        <v>93</v>
      </c>
      <c r="C192" s="1" t="s">
        <v>712</v>
      </c>
      <c r="D192" s="2" t="s">
        <v>713</v>
      </c>
      <c r="E192" s="1">
        <v>1.0</v>
      </c>
      <c r="I192" s="1">
        <v>0.0</v>
      </c>
      <c r="J192" s="1">
        <v>58.0</v>
      </c>
      <c r="L192" s="1">
        <v>8298527.0</v>
      </c>
      <c r="Q192" s="1" t="s">
        <v>714</v>
      </c>
      <c r="R192" s="1" t="s">
        <v>97</v>
      </c>
      <c r="S192" s="1">
        <v>1.0</v>
      </c>
      <c r="T192" s="1">
        <v>0.0</v>
      </c>
      <c r="X192" s="1" t="s">
        <v>29</v>
      </c>
    </row>
    <row r="193">
      <c r="A193" s="3" t="str">
        <f>HYPERLINK("https://stackoverflow.com/q/45709701", "45709701")</f>
        <v>45709701</v>
      </c>
      <c r="B193" s="1" t="s">
        <v>93</v>
      </c>
      <c r="C193" s="1" t="s">
        <v>715</v>
      </c>
      <c r="D193" s="2" t="s">
        <v>716</v>
      </c>
      <c r="E193" s="1">
        <v>1.0</v>
      </c>
      <c r="F193" s="1">
        <v>4.571382E7</v>
      </c>
      <c r="I193" s="1">
        <v>0.0</v>
      </c>
      <c r="J193" s="1">
        <v>320.0</v>
      </c>
      <c r="L193" s="1">
        <v>8344549.0</v>
      </c>
      <c r="Q193" s="1" t="s">
        <v>717</v>
      </c>
      <c r="R193" s="1" t="s">
        <v>97</v>
      </c>
      <c r="S193" s="1">
        <v>2.0</v>
      </c>
      <c r="T193" s="1">
        <v>1.0</v>
      </c>
      <c r="X193" s="1" t="s">
        <v>29</v>
      </c>
      <c r="Z193" s="1" t="s">
        <v>718</v>
      </c>
    </row>
    <row r="194">
      <c r="A194" s="3" t="str">
        <f>HYPERLINK("https://stackoverflow.com/q/45722513", "45722513")</f>
        <v>45722513</v>
      </c>
      <c r="B194" s="1" t="s">
        <v>93</v>
      </c>
      <c r="C194" s="1" t="s">
        <v>719</v>
      </c>
      <c r="D194" s="2" t="s">
        <v>720</v>
      </c>
      <c r="E194" s="1">
        <v>1.0</v>
      </c>
      <c r="F194" s="1">
        <v>4.5723165E7</v>
      </c>
      <c r="I194" s="1">
        <v>2.0</v>
      </c>
      <c r="J194" s="1">
        <v>1025.0</v>
      </c>
      <c r="L194" s="1">
        <v>521032.0</v>
      </c>
      <c r="N194" s="1">
        <v>521032.0</v>
      </c>
      <c r="P194" s="1" t="s">
        <v>721</v>
      </c>
      <c r="Q194" s="1" t="s">
        <v>721</v>
      </c>
      <c r="R194" s="1" t="s">
        <v>97</v>
      </c>
      <c r="S194" s="1">
        <v>1.0</v>
      </c>
      <c r="T194" s="1">
        <v>0.0</v>
      </c>
      <c r="X194" s="1" t="s">
        <v>29</v>
      </c>
      <c r="Z194" s="1" t="s">
        <v>722</v>
      </c>
    </row>
    <row r="195">
      <c r="A195" s="3" t="str">
        <f>HYPERLINK("https://stackoverflow.com/q/45723760", "45723760")</f>
        <v>45723760</v>
      </c>
      <c r="B195" s="1" t="s">
        <v>93</v>
      </c>
      <c r="C195" s="1" t="s">
        <v>723</v>
      </c>
      <c r="D195" s="2" t="s">
        <v>724</v>
      </c>
      <c r="E195" s="1">
        <v>1.0</v>
      </c>
      <c r="F195" s="1">
        <v>4.5723948E7</v>
      </c>
      <c r="I195" s="1">
        <v>0.0</v>
      </c>
      <c r="J195" s="1">
        <v>464.0</v>
      </c>
      <c r="L195" s="1">
        <v>521032.0</v>
      </c>
      <c r="Q195" s="1" t="s">
        <v>725</v>
      </c>
      <c r="R195" s="1" t="s">
        <v>97</v>
      </c>
      <c r="S195" s="1">
        <v>1.0</v>
      </c>
      <c r="T195" s="1">
        <v>0.0</v>
      </c>
      <c r="X195" s="1" t="s">
        <v>29</v>
      </c>
      <c r="Z195" s="1" t="s">
        <v>725</v>
      </c>
    </row>
    <row r="196">
      <c r="A196" s="3" t="str">
        <f>HYPERLINK("https://stackoverflow.com/q/45740520", "45740520")</f>
        <v>45740520</v>
      </c>
      <c r="B196" s="1" t="s">
        <v>93</v>
      </c>
      <c r="C196" s="1" t="s">
        <v>726</v>
      </c>
      <c r="D196" s="2" t="s">
        <v>727</v>
      </c>
      <c r="E196" s="1">
        <v>1.0</v>
      </c>
      <c r="I196" s="1">
        <v>1.0</v>
      </c>
      <c r="J196" s="1">
        <v>515.0</v>
      </c>
      <c r="L196" s="1">
        <v>8087390.0</v>
      </c>
      <c r="Q196" s="1" t="s">
        <v>728</v>
      </c>
      <c r="R196" s="1" t="s">
        <v>97</v>
      </c>
      <c r="S196" s="1">
        <v>1.0</v>
      </c>
      <c r="T196" s="1">
        <v>0.0</v>
      </c>
      <c r="U196" s="1">
        <v>1.0</v>
      </c>
      <c r="X196" s="1" t="s">
        <v>29</v>
      </c>
    </row>
    <row r="197">
      <c r="A197" s="3" t="str">
        <f>HYPERLINK("https://stackoverflow.com/q/45748997", "45748997")</f>
        <v>45748997</v>
      </c>
      <c r="B197" s="1" t="s">
        <v>93</v>
      </c>
      <c r="C197" s="1" t="s">
        <v>729</v>
      </c>
      <c r="D197" s="2" t="s">
        <v>730</v>
      </c>
      <c r="E197" s="1">
        <v>1.0</v>
      </c>
      <c r="F197" s="1">
        <v>4.5760864E7</v>
      </c>
      <c r="I197" s="1">
        <v>0.0</v>
      </c>
      <c r="J197" s="1">
        <v>165.0</v>
      </c>
      <c r="L197" s="1">
        <v>8253068.0</v>
      </c>
      <c r="Q197" s="1" t="s">
        <v>731</v>
      </c>
      <c r="R197" s="1" t="s">
        <v>97</v>
      </c>
      <c r="S197" s="1">
        <v>1.0</v>
      </c>
      <c r="T197" s="1">
        <v>0.0</v>
      </c>
      <c r="X197" s="1" t="s">
        <v>29</v>
      </c>
      <c r="Z197" s="1" t="s">
        <v>731</v>
      </c>
    </row>
    <row r="198">
      <c r="A198" s="3" t="str">
        <f>HYPERLINK("https://stackoverflow.com/q/45766911", "45766911")</f>
        <v>45766911</v>
      </c>
      <c r="B198" s="1" t="s">
        <v>93</v>
      </c>
      <c r="C198" s="1" t="s">
        <v>732</v>
      </c>
      <c r="D198" s="2" t="s">
        <v>733</v>
      </c>
      <c r="E198" s="1">
        <v>1.0</v>
      </c>
      <c r="F198" s="1">
        <v>5.0414183E7</v>
      </c>
      <c r="I198" s="1">
        <v>1.0</v>
      </c>
      <c r="J198" s="1">
        <v>87.0</v>
      </c>
      <c r="L198" s="1">
        <v>521032.0</v>
      </c>
      <c r="Q198" s="1" t="s">
        <v>734</v>
      </c>
      <c r="R198" s="1" t="s">
        <v>97</v>
      </c>
      <c r="S198" s="1">
        <v>1.0</v>
      </c>
      <c r="T198" s="1">
        <v>0.0</v>
      </c>
      <c r="X198" s="1" t="s">
        <v>29</v>
      </c>
      <c r="Z198" s="1" t="s">
        <v>734</v>
      </c>
    </row>
    <row r="199">
      <c r="A199" s="3" t="str">
        <f>HYPERLINK("https://stackoverflow.com/q/45767036", "45767036")</f>
        <v>45767036</v>
      </c>
      <c r="B199" s="1" t="s">
        <v>93</v>
      </c>
      <c r="C199" s="1" t="s">
        <v>735</v>
      </c>
      <c r="D199" s="2" t="s">
        <v>736</v>
      </c>
      <c r="E199" s="1">
        <v>1.0</v>
      </c>
      <c r="I199" s="1">
        <v>0.0</v>
      </c>
      <c r="J199" s="1">
        <v>575.0</v>
      </c>
      <c r="L199" s="1">
        <v>521032.0</v>
      </c>
      <c r="Q199" s="1" t="s">
        <v>737</v>
      </c>
      <c r="R199" s="1" t="s">
        <v>97</v>
      </c>
      <c r="S199" s="1">
        <v>1.0</v>
      </c>
      <c r="T199" s="1">
        <v>1.0</v>
      </c>
      <c r="X199" s="1" t="s">
        <v>29</v>
      </c>
    </row>
    <row r="200">
      <c r="A200" s="3" t="str">
        <f>HYPERLINK("https://stackoverflow.com/q/45805113", "45805113")</f>
        <v>45805113</v>
      </c>
      <c r="B200" s="1" t="s">
        <v>93</v>
      </c>
      <c r="C200" s="1" t="s">
        <v>738</v>
      </c>
      <c r="D200" s="2" t="s">
        <v>739</v>
      </c>
      <c r="E200" s="1">
        <v>1.0</v>
      </c>
      <c r="I200" s="1">
        <v>0.0</v>
      </c>
      <c r="J200" s="1">
        <v>276.0</v>
      </c>
      <c r="L200" s="1">
        <v>8298527.0</v>
      </c>
      <c r="Q200" s="1" t="s">
        <v>740</v>
      </c>
      <c r="R200" s="1" t="s">
        <v>97</v>
      </c>
      <c r="S200" s="1">
        <v>1.0</v>
      </c>
      <c r="T200" s="1">
        <v>0.0</v>
      </c>
      <c r="X200" s="1" t="s">
        <v>29</v>
      </c>
    </row>
    <row r="201">
      <c r="A201" s="3" t="str">
        <f>HYPERLINK("https://stackoverflow.com/q/45822590", "45822590")</f>
        <v>45822590</v>
      </c>
      <c r="B201" s="1" t="s">
        <v>93</v>
      </c>
      <c r="C201" s="1" t="s">
        <v>741</v>
      </c>
      <c r="D201" s="2" t="s">
        <v>742</v>
      </c>
      <c r="E201" s="1">
        <v>1.0</v>
      </c>
      <c r="I201" s="1">
        <v>0.0</v>
      </c>
      <c r="J201" s="1">
        <v>228.0</v>
      </c>
      <c r="L201" s="1">
        <v>8501491.0</v>
      </c>
      <c r="Q201" s="1" t="s">
        <v>743</v>
      </c>
      <c r="R201" s="1" t="s">
        <v>97</v>
      </c>
      <c r="S201" s="1">
        <v>1.0</v>
      </c>
      <c r="T201" s="1">
        <v>0.0</v>
      </c>
      <c r="X201" s="1" t="s">
        <v>29</v>
      </c>
    </row>
    <row r="202">
      <c r="A202" s="3" t="str">
        <f>HYPERLINK("https://stackoverflow.com/q/45827341", "45827341")</f>
        <v>45827341</v>
      </c>
      <c r="B202" s="1" t="s">
        <v>93</v>
      </c>
      <c r="C202" s="1" t="s">
        <v>744</v>
      </c>
      <c r="D202" s="2" t="s">
        <v>745</v>
      </c>
      <c r="E202" s="1">
        <v>1.0</v>
      </c>
      <c r="I202" s="1">
        <v>0.0</v>
      </c>
      <c r="J202" s="1">
        <v>57.0</v>
      </c>
      <c r="L202" s="1">
        <v>8298527.0</v>
      </c>
      <c r="Q202" s="1" t="s">
        <v>746</v>
      </c>
      <c r="R202" s="1" t="s">
        <v>97</v>
      </c>
      <c r="S202" s="1">
        <v>1.0</v>
      </c>
      <c r="T202" s="1">
        <v>0.0</v>
      </c>
      <c r="X202" s="1" t="s">
        <v>29</v>
      </c>
    </row>
    <row r="203">
      <c r="A203" s="3" t="str">
        <f>HYPERLINK("https://stackoverflow.com/q/45830273", "45830273")</f>
        <v>45830273</v>
      </c>
      <c r="B203" s="1" t="s">
        <v>93</v>
      </c>
      <c r="C203" s="1" t="s">
        <v>747</v>
      </c>
      <c r="D203" s="2" t="s">
        <v>748</v>
      </c>
      <c r="E203" s="1">
        <v>1.0</v>
      </c>
      <c r="I203" s="1">
        <v>1.0</v>
      </c>
      <c r="J203" s="1">
        <v>1134.0</v>
      </c>
      <c r="L203" s="1">
        <v>4380000.0</v>
      </c>
      <c r="N203" s="1">
        <v>4380000.0</v>
      </c>
      <c r="P203" s="1" t="s">
        <v>749</v>
      </c>
      <c r="Q203" s="1" t="s">
        <v>750</v>
      </c>
      <c r="R203" s="1" t="s">
        <v>97</v>
      </c>
      <c r="S203" s="1">
        <v>4.0</v>
      </c>
      <c r="T203" s="1">
        <v>1.0</v>
      </c>
      <c r="U203" s="1">
        <v>1.0</v>
      </c>
      <c r="X203" s="1" t="s">
        <v>29</v>
      </c>
    </row>
    <row r="204">
      <c r="A204" s="3" t="str">
        <f>HYPERLINK("https://stackoverflow.com/q/45842944", "45842944")</f>
        <v>45842944</v>
      </c>
      <c r="B204" s="1" t="s">
        <v>93</v>
      </c>
      <c r="C204" s="1" t="s">
        <v>751</v>
      </c>
      <c r="D204" s="2" t="s">
        <v>752</v>
      </c>
      <c r="E204" s="1">
        <v>1.0</v>
      </c>
      <c r="I204" s="1">
        <v>0.0</v>
      </c>
      <c r="J204" s="1">
        <v>249.0</v>
      </c>
      <c r="L204" s="1">
        <v>8326422.0</v>
      </c>
      <c r="Q204" s="1" t="s">
        <v>753</v>
      </c>
      <c r="R204" s="1" t="s">
        <v>97</v>
      </c>
      <c r="S204" s="1">
        <v>1.0</v>
      </c>
      <c r="T204" s="1">
        <v>0.0</v>
      </c>
      <c r="X204" s="1" t="s">
        <v>29</v>
      </c>
    </row>
    <row r="205">
      <c r="A205" s="3" t="str">
        <f>HYPERLINK("https://stackoverflow.com/q/45875383", "45875383")</f>
        <v>45875383</v>
      </c>
      <c r="B205" s="1" t="s">
        <v>93</v>
      </c>
      <c r="C205" s="1" t="s">
        <v>754</v>
      </c>
      <c r="D205" s="2" t="s">
        <v>755</v>
      </c>
      <c r="E205" s="1">
        <v>1.0</v>
      </c>
      <c r="F205" s="1">
        <v>4.5884611E7</v>
      </c>
      <c r="I205" s="1">
        <v>1.0</v>
      </c>
      <c r="J205" s="1">
        <v>867.0</v>
      </c>
      <c r="L205" s="1">
        <v>521032.0</v>
      </c>
      <c r="Q205" s="1" t="s">
        <v>756</v>
      </c>
      <c r="R205" s="1" t="s">
        <v>97</v>
      </c>
      <c r="S205" s="1">
        <v>1.0</v>
      </c>
      <c r="T205" s="1">
        <v>1.0</v>
      </c>
      <c r="X205" s="1" t="s">
        <v>29</v>
      </c>
      <c r="Z205" s="1" t="s">
        <v>756</v>
      </c>
    </row>
    <row r="206">
      <c r="A206" s="3" t="str">
        <f>HYPERLINK("https://stackoverflow.com/q/45901296", "45901296")</f>
        <v>45901296</v>
      </c>
      <c r="B206" s="1" t="s">
        <v>93</v>
      </c>
      <c r="C206" s="1" t="s">
        <v>757</v>
      </c>
      <c r="D206" s="2" t="s">
        <v>758</v>
      </c>
      <c r="E206" s="1">
        <v>1.0</v>
      </c>
      <c r="I206" s="1">
        <v>0.0</v>
      </c>
      <c r="J206" s="1">
        <v>459.0</v>
      </c>
      <c r="L206" s="1">
        <v>521032.0</v>
      </c>
      <c r="Q206" s="1" t="s">
        <v>759</v>
      </c>
      <c r="R206" s="1" t="s">
        <v>97</v>
      </c>
      <c r="S206" s="1">
        <v>1.0</v>
      </c>
      <c r="T206" s="1">
        <v>0.0</v>
      </c>
      <c r="X206" s="1" t="s">
        <v>29</v>
      </c>
    </row>
    <row r="207">
      <c r="A207" s="3" t="str">
        <f>HYPERLINK("https://stackoverflow.com/q/45909358", "45909358")</f>
        <v>45909358</v>
      </c>
      <c r="B207" s="1" t="s">
        <v>93</v>
      </c>
      <c r="C207" s="1" t="s">
        <v>760</v>
      </c>
      <c r="D207" s="2" t="s">
        <v>761</v>
      </c>
      <c r="E207" s="1">
        <v>1.0</v>
      </c>
      <c r="I207" s="1">
        <v>1.0</v>
      </c>
      <c r="J207" s="1">
        <v>1166.0</v>
      </c>
      <c r="L207" s="1">
        <v>2932992.0</v>
      </c>
      <c r="Q207" s="1" t="s">
        <v>762</v>
      </c>
      <c r="R207" s="1" t="s">
        <v>763</v>
      </c>
      <c r="S207" s="1">
        <v>1.0</v>
      </c>
      <c r="T207" s="1">
        <v>4.0</v>
      </c>
      <c r="U207" s="1">
        <v>1.0</v>
      </c>
      <c r="X207" s="1" t="s">
        <v>29</v>
      </c>
    </row>
    <row r="208">
      <c r="A208" s="3" t="str">
        <f>HYPERLINK("https://stackoverflow.com/q/45921253", "45921253")</f>
        <v>45921253</v>
      </c>
      <c r="B208" s="1" t="s">
        <v>93</v>
      </c>
      <c r="C208" s="1" t="s">
        <v>764</v>
      </c>
      <c r="D208" s="2" t="s">
        <v>765</v>
      </c>
      <c r="E208" s="1">
        <v>1.0</v>
      </c>
      <c r="I208" s="1">
        <v>0.0</v>
      </c>
      <c r="J208" s="1">
        <v>56.0</v>
      </c>
      <c r="L208" s="1">
        <v>8298527.0</v>
      </c>
      <c r="N208" s="1">
        <v>1.2892553E7</v>
      </c>
      <c r="P208" s="1" t="s">
        <v>766</v>
      </c>
      <c r="Q208" s="1" t="s">
        <v>766</v>
      </c>
      <c r="R208" s="1" t="s">
        <v>97</v>
      </c>
      <c r="S208" s="1">
        <v>1.0</v>
      </c>
      <c r="T208" s="1">
        <v>0.0</v>
      </c>
      <c r="X208" s="1" t="s">
        <v>56</v>
      </c>
    </row>
    <row r="209">
      <c r="A209" s="3" t="str">
        <f>HYPERLINK("https://stackoverflow.com/q/45941854", "45941854")</f>
        <v>45941854</v>
      </c>
      <c r="B209" s="1" t="s">
        <v>93</v>
      </c>
      <c r="C209" s="1" t="s">
        <v>767</v>
      </c>
      <c r="D209" s="2" t="s">
        <v>768</v>
      </c>
      <c r="E209" s="1">
        <v>1.0</v>
      </c>
      <c r="F209" s="1">
        <v>4.5948958E7</v>
      </c>
      <c r="I209" s="1">
        <v>1.0</v>
      </c>
      <c r="J209" s="1">
        <v>1206.0</v>
      </c>
      <c r="L209" s="1">
        <v>5962284.0</v>
      </c>
      <c r="Q209" s="1" t="s">
        <v>769</v>
      </c>
      <c r="R209" s="1" t="s">
        <v>97</v>
      </c>
      <c r="S209" s="1">
        <v>1.0</v>
      </c>
      <c r="T209" s="1">
        <v>0.0</v>
      </c>
      <c r="X209" s="1" t="s">
        <v>29</v>
      </c>
      <c r="Z209" s="1" t="s">
        <v>769</v>
      </c>
    </row>
    <row r="210">
      <c r="A210" s="3" t="str">
        <f>HYPERLINK("https://stackoverflow.com/q/45954124", "45954124")</f>
        <v>45954124</v>
      </c>
      <c r="B210" s="1" t="s">
        <v>93</v>
      </c>
      <c r="C210" s="1" t="s">
        <v>770</v>
      </c>
      <c r="D210" s="2" t="s">
        <v>771</v>
      </c>
      <c r="E210" s="1">
        <v>1.0</v>
      </c>
      <c r="F210" s="1">
        <v>4.5964697E7</v>
      </c>
      <c r="I210" s="1">
        <v>0.0</v>
      </c>
      <c r="J210" s="1">
        <v>1920.0</v>
      </c>
      <c r="L210" s="1">
        <v>5962284.0</v>
      </c>
      <c r="N210" s="1">
        <v>555121.0</v>
      </c>
      <c r="P210" s="1" t="s">
        <v>772</v>
      </c>
      <c r="Q210" s="1" t="s">
        <v>772</v>
      </c>
      <c r="R210" s="1" t="s">
        <v>97</v>
      </c>
      <c r="S210" s="1">
        <v>1.0</v>
      </c>
      <c r="T210" s="1">
        <v>1.0</v>
      </c>
      <c r="X210" s="1" t="s">
        <v>56</v>
      </c>
      <c r="Z210" s="1" t="s">
        <v>773</v>
      </c>
    </row>
    <row r="211">
      <c r="A211" s="3" t="str">
        <f>HYPERLINK("https://stackoverflow.com/q/45963371", "45963371")</f>
        <v>45963371</v>
      </c>
      <c r="B211" s="1" t="s">
        <v>93</v>
      </c>
      <c r="C211" s="1" t="s">
        <v>774</v>
      </c>
      <c r="D211" s="2" t="s">
        <v>775</v>
      </c>
      <c r="E211" s="1">
        <v>1.0</v>
      </c>
      <c r="F211" s="1">
        <v>4.5965011E7</v>
      </c>
      <c r="I211" s="1">
        <v>0.0</v>
      </c>
      <c r="J211" s="1">
        <v>655.0</v>
      </c>
      <c r="L211" s="1">
        <v>5962284.0</v>
      </c>
      <c r="Q211" s="1" t="s">
        <v>776</v>
      </c>
      <c r="R211" s="1" t="s">
        <v>97</v>
      </c>
      <c r="S211" s="1">
        <v>1.0</v>
      </c>
      <c r="T211" s="1">
        <v>0.0</v>
      </c>
      <c r="X211" s="1" t="s">
        <v>29</v>
      </c>
      <c r="Z211" s="1" t="s">
        <v>776</v>
      </c>
    </row>
    <row r="212">
      <c r="A212" s="3" t="str">
        <f>HYPERLINK("https://stackoverflow.com/q/45975826", "45975826")</f>
        <v>45975826</v>
      </c>
      <c r="B212" s="1" t="s">
        <v>93</v>
      </c>
      <c r="C212" s="1" t="s">
        <v>777</v>
      </c>
      <c r="D212" s="2" t="s">
        <v>778</v>
      </c>
      <c r="E212" s="1">
        <v>1.0</v>
      </c>
      <c r="I212" s="1">
        <v>1.0</v>
      </c>
      <c r="J212" s="1">
        <v>85.0</v>
      </c>
      <c r="L212" s="1">
        <v>5962284.0</v>
      </c>
      <c r="Q212" s="1" t="s">
        <v>777</v>
      </c>
      <c r="R212" s="1" t="s">
        <v>779</v>
      </c>
      <c r="S212" s="1">
        <v>0.0</v>
      </c>
      <c r="T212" s="1">
        <v>2.0</v>
      </c>
      <c r="X212" s="1" t="s">
        <v>29</v>
      </c>
    </row>
    <row r="213">
      <c r="A213" s="3" t="str">
        <f>HYPERLINK("https://stackoverflow.com/q/45978094", "45978094")</f>
        <v>45978094</v>
      </c>
      <c r="B213" s="1" t="s">
        <v>93</v>
      </c>
      <c r="C213" s="1" t="s">
        <v>780</v>
      </c>
      <c r="D213" s="2" t="s">
        <v>781</v>
      </c>
      <c r="E213" s="1">
        <v>1.0</v>
      </c>
      <c r="I213" s="1">
        <v>0.0</v>
      </c>
      <c r="J213" s="1">
        <v>295.0</v>
      </c>
      <c r="L213" s="1">
        <v>5962284.0</v>
      </c>
      <c r="Q213" s="1" t="s">
        <v>780</v>
      </c>
      <c r="R213" s="1" t="s">
        <v>97</v>
      </c>
      <c r="S213" s="1">
        <v>0.0</v>
      </c>
      <c r="T213" s="1">
        <v>4.0</v>
      </c>
      <c r="X213" s="1" t="s">
        <v>29</v>
      </c>
    </row>
    <row r="214">
      <c r="A214" s="3" t="str">
        <f>HYPERLINK("https://stackoverflow.com/q/45980951", "45980951")</f>
        <v>45980951</v>
      </c>
      <c r="B214" s="1" t="s">
        <v>93</v>
      </c>
      <c r="C214" s="1" t="s">
        <v>782</v>
      </c>
      <c r="D214" s="2" t="s">
        <v>783</v>
      </c>
      <c r="E214" s="1">
        <v>1.0</v>
      </c>
      <c r="F214" s="1">
        <v>4.5986363E7</v>
      </c>
      <c r="I214" s="1">
        <v>1.0</v>
      </c>
      <c r="J214" s="1">
        <v>1099.0</v>
      </c>
      <c r="L214" s="1">
        <v>5962284.0</v>
      </c>
      <c r="N214" s="1">
        <v>555121.0</v>
      </c>
      <c r="P214" s="1" t="s">
        <v>784</v>
      </c>
      <c r="Q214" s="1" t="s">
        <v>784</v>
      </c>
      <c r="R214" s="1" t="s">
        <v>97</v>
      </c>
      <c r="S214" s="1">
        <v>1.0</v>
      </c>
      <c r="T214" s="1">
        <v>0.0</v>
      </c>
      <c r="U214" s="1">
        <v>1.0</v>
      </c>
      <c r="X214" s="1" t="s">
        <v>56</v>
      </c>
      <c r="Z214" s="1" t="s">
        <v>785</v>
      </c>
    </row>
    <row r="215">
      <c r="A215" s="3" t="str">
        <f>HYPERLINK("https://stackoverflow.com/q/45996851", "45996851")</f>
        <v>45996851</v>
      </c>
      <c r="B215" s="1" t="s">
        <v>93</v>
      </c>
      <c r="C215" s="1" t="s">
        <v>786</v>
      </c>
      <c r="D215" s="2" t="s">
        <v>787</v>
      </c>
      <c r="E215" s="1">
        <v>1.0</v>
      </c>
      <c r="F215" s="1">
        <v>4.6004654E7</v>
      </c>
      <c r="I215" s="1">
        <v>0.0</v>
      </c>
      <c r="J215" s="1">
        <v>836.0</v>
      </c>
      <c r="L215" s="1">
        <v>5962284.0</v>
      </c>
      <c r="Q215" s="1" t="s">
        <v>788</v>
      </c>
      <c r="R215" s="1" t="s">
        <v>97</v>
      </c>
      <c r="S215" s="1">
        <v>1.0</v>
      </c>
      <c r="T215" s="1">
        <v>0.0</v>
      </c>
      <c r="X215" s="1" t="s">
        <v>29</v>
      </c>
      <c r="Z215" s="1" t="s">
        <v>788</v>
      </c>
    </row>
    <row r="216">
      <c r="A216" s="3" t="str">
        <f>HYPERLINK("https://stackoverflow.com/q/46001148", "46001148")</f>
        <v>46001148</v>
      </c>
      <c r="B216" s="1" t="s">
        <v>93</v>
      </c>
      <c r="C216" s="1" t="s">
        <v>789</v>
      </c>
      <c r="D216" s="2" t="s">
        <v>790</v>
      </c>
      <c r="E216" s="1">
        <v>1.0</v>
      </c>
      <c r="F216" s="1">
        <v>4.6005068E7</v>
      </c>
      <c r="I216" s="1">
        <v>1.0</v>
      </c>
      <c r="J216" s="1">
        <v>2140.0</v>
      </c>
      <c r="L216" s="1">
        <v>5962284.0</v>
      </c>
      <c r="Q216" s="1" t="s">
        <v>791</v>
      </c>
      <c r="R216" s="1" t="s">
        <v>97</v>
      </c>
      <c r="S216" s="1">
        <v>1.0</v>
      </c>
      <c r="T216" s="1">
        <v>0.0</v>
      </c>
      <c r="X216" s="1" t="s">
        <v>29</v>
      </c>
      <c r="Z216" s="1" t="s">
        <v>792</v>
      </c>
    </row>
    <row r="217">
      <c r="A217" s="3" t="str">
        <f>HYPERLINK("https://stackoverflow.com/q/46016758", "46016758")</f>
        <v>46016758</v>
      </c>
      <c r="B217" s="1" t="s">
        <v>93</v>
      </c>
      <c r="C217" s="1" t="s">
        <v>793</v>
      </c>
      <c r="D217" s="2" t="s">
        <v>794</v>
      </c>
      <c r="E217" s="1">
        <v>1.0</v>
      </c>
      <c r="I217" s="1">
        <v>0.0</v>
      </c>
      <c r="J217" s="1">
        <v>370.0</v>
      </c>
      <c r="L217" s="1">
        <v>5962284.0</v>
      </c>
      <c r="Q217" s="1" t="s">
        <v>795</v>
      </c>
      <c r="R217" s="1" t="s">
        <v>97</v>
      </c>
      <c r="S217" s="1">
        <v>1.0</v>
      </c>
      <c r="T217" s="1">
        <v>0.0</v>
      </c>
      <c r="X217" s="1" t="s">
        <v>29</v>
      </c>
    </row>
    <row r="218">
      <c r="A218" s="3" t="str">
        <f>HYPERLINK("https://stackoverflow.com/q/46038130", "46038130")</f>
        <v>46038130</v>
      </c>
      <c r="B218" s="1" t="s">
        <v>93</v>
      </c>
      <c r="C218" s="1" t="s">
        <v>796</v>
      </c>
      <c r="D218" s="2" t="s">
        <v>797</v>
      </c>
      <c r="E218" s="1">
        <v>1.0</v>
      </c>
      <c r="I218" s="1">
        <v>2.0</v>
      </c>
      <c r="J218" s="1">
        <v>325.0</v>
      </c>
      <c r="L218" s="1">
        <v>8363339.0</v>
      </c>
      <c r="Q218" s="1" t="s">
        <v>798</v>
      </c>
      <c r="R218" s="1" t="s">
        <v>97</v>
      </c>
      <c r="S218" s="1">
        <v>1.0</v>
      </c>
      <c r="T218" s="1">
        <v>1.0</v>
      </c>
      <c r="X218" s="1" t="s">
        <v>29</v>
      </c>
    </row>
    <row r="219">
      <c r="A219" s="3" t="str">
        <f>HYPERLINK("https://stackoverflow.com/q/46041253", "46041253")</f>
        <v>46041253</v>
      </c>
      <c r="B219" s="1" t="s">
        <v>93</v>
      </c>
      <c r="C219" s="1" t="s">
        <v>799</v>
      </c>
      <c r="D219" s="2" t="s">
        <v>800</v>
      </c>
      <c r="E219" s="1">
        <v>1.0</v>
      </c>
      <c r="I219" s="1">
        <v>0.0</v>
      </c>
      <c r="J219" s="1">
        <v>159.0</v>
      </c>
      <c r="L219" s="1">
        <v>8559705.0</v>
      </c>
      <c r="Q219" s="1" t="s">
        <v>799</v>
      </c>
      <c r="R219" s="1" t="s">
        <v>97</v>
      </c>
      <c r="S219" s="1">
        <v>0.0</v>
      </c>
      <c r="T219" s="1">
        <v>2.0</v>
      </c>
      <c r="X219" s="1" t="s">
        <v>29</v>
      </c>
    </row>
    <row r="220">
      <c r="A220" s="3" t="str">
        <f>HYPERLINK("https://stackoverflow.com/q/46057517", "46057517")</f>
        <v>46057517</v>
      </c>
      <c r="B220" s="1" t="s">
        <v>93</v>
      </c>
      <c r="C220" s="1" t="s">
        <v>801</v>
      </c>
      <c r="D220" s="2" t="s">
        <v>802</v>
      </c>
      <c r="E220" s="1">
        <v>1.0</v>
      </c>
      <c r="F220" s="1">
        <v>4.605984E7</v>
      </c>
      <c r="I220" s="1">
        <v>0.0</v>
      </c>
      <c r="J220" s="1">
        <v>818.0</v>
      </c>
      <c r="L220" s="1">
        <v>5962284.0</v>
      </c>
      <c r="Q220" s="1" t="s">
        <v>803</v>
      </c>
      <c r="R220" s="1" t="s">
        <v>97</v>
      </c>
      <c r="S220" s="1">
        <v>1.0</v>
      </c>
      <c r="T220" s="1">
        <v>0.0</v>
      </c>
      <c r="X220" s="1" t="s">
        <v>29</v>
      </c>
      <c r="Z220" s="1" t="s">
        <v>803</v>
      </c>
    </row>
    <row r="221">
      <c r="A221" s="3" t="str">
        <f>HYPERLINK("https://stackoverflow.com/q/46058884", "46058884")</f>
        <v>46058884</v>
      </c>
      <c r="B221" s="1" t="s">
        <v>93</v>
      </c>
      <c r="C221" s="1" t="s">
        <v>804</v>
      </c>
      <c r="D221" s="2" t="s">
        <v>805</v>
      </c>
      <c r="E221" s="1">
        <v>1.0</v>
      </c>
      <c r="I221" s="1">
        <v>0.0</v>
      </c>
      <c r="J221" s="1">
        <v>49.0</v>
      </c>
      <c r="L221" s="1">
        <v>8298527.0</v>
      </c>
      <c r="Q221" s="1" t="s">
        <v>806</v>
      </c>
      <c r="R221" s="1" t="s">
        <v>97</v>
      </c>
      <c r="S221" s="1">
        <v>1.0</v>
      </c>
      <c r="T221" s="1">
        <v>0.0</v>
      </c>
      <c r="X221" s="1" t="s">
        <v>29</v>
      </c>
    </row>
    <row r="222">
      <c r="A222" s="3" t="str">
        <f>HYPERLINK("https://stackoverflow.com/q/46060441", "46060441")</f>
        <v>46060441</v>
      </c>
      <c r="B222" s="1" t="s">
        <v>93</v>
      </c>
      <c r="C222" s="1" t="s">
        <v>807</v>
      </c>
      <c r="D222" s="2" t="s">
        <v>808</v>
      </c>
      <c r="E222" s="1">
        <v>1.0</v>
      </c>
      <c r="F222" s="1">
        <v>4.6064499E7</v>
      </c>
      <c r="I222" s="1">
        <v>0.0</v>
      </c>
      <c r="J222" s="1">
        <v>228.0</v>
      </c>
      <c r="L222" s="1">
        <v>5962284.0</v>
      </c>
      <c r="Q222" s="1" t="s">
        <v>809</v>
      </c>
      <c r="R222" s="1" t="s">
        <v>97</v>
      </c>
      <c r="S222" s="1">
        <v>1.0</v>
      </c>
      <c r="T222" s="1">
        <v>0.0</v>
      </c>
      <c r="X222" s="1" t="s">
        <v>29</v>
      </c>
      <c r="Z222" s="1" t="s">
        <v>809</v>
      </c>
    </row>
    <row r="223">
      <c r="A223" s="3" t="str">
        <f>HYPERLINK("https://stackoverflow.com/q/46061585", "46061585")</f>
        <v>46061585</v>
      </c>
      <c r="B223" s="1" t="s">
        <v>93</v>
      </c>
      <c r="C223" s="1" t="s">
        <v>810</v>
      </c>
      <c r="D223" s="2" t="s">
        <v>811</v>
      </c>
      <c r="E223" s="1">
        <v>1.0</v>
      </c>
      <c r="I223" s="1">
        <v>0.0</v>
      </c>
      <c r="J223" s="1">
        <v>339.0</v>
      </c>
      <c r="L223" s="1">
        <v>8298527.0</v>
      </c>
      <c r="Q223" s="1" t="s">
        <v>812</v>
      </c>
      <c r="R223" s="1" t="s">
        <v>97</v>
      </c>
      <c r="S223" s="1">
        <v>1.0</v>
      </c>
      <c r="T223" s="1">
        <v>0.0</v>
      </c>
      <c r="U223" s="1">
        <v>1.0</v>
      </c>
      <c r="X223" s="1" t="s">
        <v>29</v>
      </c>
    </row>
    <row r="224">
      <c r="A224" s="3" t="str">
        <f>HYPERLINK("https://stackoverflow.com/q/46067509", "46067509")</f>
        <v>46067509</v>
      </c>
      <c r="B224" s="1" t="s">
        <v>93</v>
      </c>
      <c r="C224" s="1" t="s">
        <v>813</v>
      </c>
      <c r="D224" s="2" t="s">
        <v>814</v>
      </c>
      <c r="E224" s="1">
        <v>1.0</v>
      </c>
      <c r="F224" s="1">
        <v>4.6080418E7</v>
      </c>
      <c r="I224" s="1">
        <v>1.0</v>
      </c>
      <c r="J224" s="1">
        <v>781.0</v>
      </c>
      <c r="L224" s="1">
        <v>5962284.0</v>
      </c>
      <c r="Q224" s="1" t="s">
        <v>815</v>
      </c>
      <c r="R224" s="1" t="s">
        <v>97</v>
      </c>
      <c r="S224" s="1">
        <v>1.0</v>
      </c>
      <c r="T224" s="1">
        <v>0.0</v>
      </c>
      <c r="X224" s="1" t="s">
        <v>29</v>
      </c>
      <c r="Z224" s="1" t="s">
        <v>815</v>
      </c>
    </row>
    <row r="225">
      <c r="A225" s="3" t="str">
        <f>HYPERLINK("https://stackoverflow.com/q/46077840", "46077840")</f>
        <v>46077840</v>
      </c>
      <c r="B225" s="1" t="s">
        <v>93</v>
      </c>
      <c r="C225" s="1" t="s">
        <v>816</v>
      </c>
      <c r="D225" s="2" t="s">
        <v>817</v>
      </c>
      <c r="E225" s="1">
        <v>1.0</v>
      </c>
      <c r="I225" s="1">
        <v>0.0</v>
      </c>
      <c r="J225" s="1">
        <v>190.0</v>
      </c>
      <c r="L225" s="1">
        <v>5962284.0</v>
      </c>
      <c r="Q225" s="1" t="s">
        <v>816</v>
      </c>
      <c r="R225" s="1" t="s">
        <v>97</v>
      </c>
      <c r="S225" s="1">
        <v>0.0</v>
      </c>
      <c r="T225" s="1">
        <v>6.0</v>
      </c>
      <c r="X225" s="1" t="s">
        <v>29</v>
      </c>
    </row>
    <row r="226">
      <c r="A226" s="3" t="str">
        <f>HYPERLINK("https://stackoverflow.com/q/46088465", "46088465")</f>
        <v>46088465</v>
      </c>
      <c r="B226" s="1" t="s">
        <v>93</v>
      </c>
      <c r="C226" s="1" t="s">
        <v>818</v>
      </c>
      <c r="D226" s="2" t="s">
        <v>819</v>
      </c>
      <c r="E226" s="1">
        <v>1.0</v>
      </c>
      <c r="F226" s="1">
        <v>4.6822312E7</v>
      </c>
      <c r="I226" s="1">
        <v>1.0</v>
      </c>
      <c r="J226" s="1">
        <v>1813.0</v>
      </c>
      <c r="L226" s="1">
        <v>587773.0</v>
      </c>
      <c r="Q226" s="1" t="s">
        <v>820</v>
      </c>
      <c r="R226" s="1" t="s">
        <v>97</v>
      </c>
      <c r="S226" s="1">
        <v>3.0</v>
      </c>
      <c r="T226" s="1">
        <v>0.0</v>
      </c>
      <c r="U226" s="1">
        <v>2.0</v>
      </c>
      <c r="X226" s="1" t="s">
        <v>29</v>
      </c>
      <c r="Z226" s="1" t="s">
        <v>821</v>
      </c>
    </row>
    <row r="227">
      <c r="A227" s="3" t="str">
        <f>HYPERLINK("https://stackoverflow.com/q/46124156", "46124156")</f>
        <v>46124156</v>
      </c>
      <c r="B227" s="1" t="s">
        <v>93</v>
      </c>
      <c r="C227" s="1" t="s">
        <v>822</v>
      </c>
      <c r="D227" s="2" t="s">
        <v>823</v>
      </c>
      <c r="E227" s="1">
        <v>1.0</v>
      </c>
      <c r="I227" s="1">
        <v>1.0</v>
      </c>
      <c r="J227" s="1">
        <v>70.0</v>
      </c>
      <c r="L227" s="1">
        <v>8581921.0</v>
      </c>
      <c r="Q227" s="1" t="s">
        <v>822</v>
      </c>
      <c r="R227" s="1" t="s">
        <v>97</v>
      </c>
      <c r="S227" s="1">
        <v>0.0</v>
      </c>
      <c r="T227" s="1">
        <v>1.0</v>
      </c>
      <c r="X227" s="1" t="s">
        <v>29</v>
      </c>
    </row>
    <row r="228">
      <c r="A228" s="3" t="str">
        <f>HYPERLINK("https://stackoverflow.com/q/46144718", "46144718")</f>
        <v>46144718</v>
      </c>
      <c r="B228" s="1" t="s">
        <v>93</v>
      </c>
      <c r="C228" s="1" t="s">
        <v>824</v>
      </c>
      <c r="D228" s="2" t="s">
        <v>825</v>
      </c>
      <c r="E228" s="1">
        <v>1.0</v>
      </c>
      <c r="I228" s="1">
        <v>0.0</v>
      </c>
      <c r="J228" s="1">
        <v>479.0</v>
      </c>
      <c r="L228" s="1">
        <v>5962284.0</v>
      </c>
      <c r="Q228" s="1" t="s">
        <v>824</v>
      </c>
      <c r="R228" s="1" t="s">
        <v>97</v>
      </c>
      <c r="S228" s="1">
        <v>0.0</v>
      </c>
      <c r="T228" s="1">
        <v>4.0</v>
      </c>
      <c r="X228" s="1" t="s">
        <v>29</v>
      </c>
    </row>
    <row r="229">
      <c r="A229" s="3" t="str">
        <f>HYPERLINK("https://stackoverflow.com/q/46158698", "46158698")</f>
        <v>46158698</v>
      </c>
      <c r="B229" s="1" t="s">
        <v>93</v>
      </c>
      <c r="C229" s="1" t="s">
        <v>826</v>
      </c>
      <c r="D229" s="2" t="s">
        <v>827</v>
      </c>
      <c r="E229" s="1">
        <v>1.0</v>
      </c>
      <c r="I229" s="1">
        <v>0.0</v>
      </c>
      <c r="J229" s="1">
        <v>522.0</v>
      </c>
      <c r="L229" s="1">
        <v>5962284.0</v>
      </c>
      <c r="Q229" s="1" t="s">
        <v>828</v>
      </c>
      <c r="R229" s="1" t="s">
        <v>97</v>
      </c>
      <c r="S229" s="1">
        <v>1.0</v>
      </c>
      <c r="T229" s="1">
        <v>2.0</v>
      </c>
      <c r="X229" s="1" t="s">
        <v>29</v>
      </c>
    </row>
    <row r="230">
      <c r="A230" s="3" t="str">
        <f>HYPERLINK("https://stackoverflow.com/q/46195839", "46195839")</f>
        <v>46195839</v>
      </c>
      <c r="B230" s="1" t="s">
        <v>93</v>
      </c>
      <c r="C230" s="1" t="s">
        <v>829</v>
      </c>
      <c r="D230" s="2" t="s">
        <v>830</v>
      </c>
      <c r="E230" s="1">
        <v>1.0</v>
      </c>
      <c r="I230" s="1">
        <v>0.0</v>
      </c>
      <c r="J230" s="1">
        <v>498.0</v>
      </c>
      <c r="L230" s="1">
        <v>5962284.0</v>
      </c>
      <c r="N230" s="1">
        <v>454137.0</v>
      </c>
      <c r="P230" s="1" t="s">
        <v>831</v>
      </c>
      <c r="Q230" s="1" t="s">
        <v>832</v>
      </c>
      <c r="R230" s="1" t="s">
        <v>97</v>
      </c>
      <c r="S230" s="1">
        <v>2.0</v>
      </c>
      <c r="T230" s="1">
        <v>0.0</v>
      </c>
      <c r="X230" s="1" t="s">
        <v>29</v>
      </c>
    </row>
    <row r="231">
      <c r="A231" s="3" t="str">
        <f>HYPERLINK("https://stackoverflow.com/q/46206200", "46206200")</f>
        <v>46206200</v>
      </c>
      <c r="B231" s="1" t="s">
        <v>93</v>
      </c>
      <c r="C231" s="1" t="s">
        <v>833</v>
      </c>
      <c r="D231" s="2" t="s">
        <v>834</v>
      </c>
      <c r="E231" s="1">
        <v>1.0</v>
      </c>
      <c r="I231" s="1">
        <v>0.0</v>
      </c>
      <c r="J231" s="1">
        <v>88.0</v>
      </c>
      <c r="L231" s="1">
        <v>8605513.0</v>
      </c>
      <c r="N231" s="1">
        <v>1.2892553E7</v>
      </c>
      <c r="P231" s="1" t="s">
        <v>835</v>
      </c>
      <c r="Q231" s="1" t="s">
        <v>835</v>
      </c>
      <c r="R231" s="1" t="s">
        <v>97</v>
      </c>
      <c r="S231" s="1">
        <v>1.0</v>
      </c>
      <c r="T231" s="1">
        <v>0.0</v>
      </c>
      <c r="X231" s="1" t="s">
        <v>56</v>
      </c>
    </row>
    <row r="232">
      <c r="A232" s="3" t="str">
        <f>HYPERLINK("https://stackoverflow.com/q/46206207", "46206207")</f>
        <v>46206207</v>
      </c>
      <c r="B232" s="1" t="s">
        <v>93</v>
      </c>
      <c r="C232" s="1" t="s">
        <v>836</v>
      </c>
      <c r="D232" s="2" t="s">
        <v>837</v>
      </c>
      <c r="E232" s="1">
        <v>1.0</v>
      </c>
      <c r="F232" s="1">
        <v>4.6206515E7</v>
      </c>
      <c r="I232" s="1">
        <v>0.0</v>
      </c>
      <c r="J232" s="1">
        <v>73.0</v>
      </c>
      <c r="L232" s="1">
        <v>7893296.0</v>
      </c>
      <c r="Q232" s="1" t="s">
        <v>838</v>
      </c>
      <c r="R232" s="1" t="s">
        <v>97</v>
      </c>
      <c r="S232" s="1">
        <v>1.0</v>
      </c>
      <c r="T232" s="1">
        <v>1.0</v>
      </c>
      <c r="X232" s="1" t="s">
        <v>29</v>
      </c>
      <c r="Z232" s="1" t="s">
        <v>838</v>
      </c>
    </row>
    <row r="233">
      <c r="A233" s="3" t="str">
        <f>HYPERLINK("https://stackoverflow.com/q/46226398", "46226398")</f>
        <v>46226398</v>
      </c>
      <c r="B233" s="1" t="s">
        <v>93</v>
      </c>
      <c r="C233" s="1" t="s">
        <v>839</v>
      </c>
      <c r="D233" s="2" t="s">
        <v>840</v>
      </c>
      <c r="E233" s="1">
        <v>1.0</v>
      </c>
      <c r="I233" s="1">
        <v>0.0</v>
      </c>
      <c r="J233" s="1">
        <v>213.0</v>
      </c>
      <c r="L233" s="1">
        <v>7893296.0</v>
      </c>
      <c r="N233" s="1">
        <v>1.2892553E7</v>
      </c>
      <c r="P233" s="1" t="s">
        <v>841</v>
      </c>
      <c r="Q233" s="1" t="s">
        <v>841</v>
      </c>
      <c r="R233" s="1" t="s">
        <v>97</v>
      </c>
      <c r="S233" s="1">
        <v>1.0</v>
      </c>
      <c r="T233" s="1">
        <v>1.0</v>
      </c>
      <c r="X233" s="1" t="s">
        <v>56</v>
      </c>
    </row>
    <row r="234">
      <c r="A234" s="3" t="str">
        <f>HYPERLINK("https://stackoverflow.com/q/46227182", "46227182")</f>
        <v>46227182</v>
      </c>
      <c r="B234" s="1" t="s">
        <v>93</v>
      </c>
      <c r="C234" s="1" t="s">
        <v>842</v>
      </c>
      <c r="D234" s="2" t="s">
        <v>843</v>
      </c>
      <c r="E234" s="1">
        <v>1.0</v>
      </c>
      <c r="F234" s="1">
        <v>4.6227509E7</v>
      </c>
      <c r="I234" s="1">
        <v>0.0</v>
      </c>
      <c r="J234" s="1">
        <v>714.0</v>
      </c>
      <c r="L234" s="1">
        <v>1422413.0</v>
      </c>
      <c r="N234" s="1">
        <v>555121.0</v>
      </c>
      <c r="P234" s="1" t="s">
        <v>844</v>
      </c>
      <c r="Q234" s="1" t="s">
        <v>844</v>
      </c>
      <c r="R234" s="1" t="s">
        <v>97</v>
      </c>
      <c r="S234" s="1">
        <v>1.0</v>
      </c>
      <c r="T234" s="1">
        <v>0.0</v>
      </c>
      <c r="X234" s="1" t="s">
        <v>56</v>
      </c>
      <c r="Z234" s="1" t="s">
        <v>845</v>
      </c>
    </row>
    <row r="235">
      <c r="A235" s="3" t="str">
        <f>HYPERLINK("https://stackoverflow.com/q/46236405", "46236405")</f>
        <v>46236405</v>
      </c>
      <c r="B235" s="1" t="s">
        <v>93</v>
      </c>
      <c r="C235" s="1" t="s">
        <v>846</v>
      </c>
      <c r="D235" s="2" t="s">
        <v>847</v>
      </c>
      <c r="E235" s="1">
        <v>1.0</v>
      </c>
      <c r="F235" s="1">
        <v>4.6241295E7</v>
      </c>
      <c r="I235" s="1">
        <v>0.0</v>
      </c>
      <c r="J235" s="1">
        <v>162.0</v>
      </c>
      <c r="L235" s="1">
        <v>3214863.0</v>
      </c>
      <c r="Q235" s="1" t="s">
        <v>848</v>
      </c>
      <c r="R235" s="1" t="s">
        <v>97</v>
      </c>
      <c r="S235" s="1">
        <v>1.0</v>
      </c>
      <c r="T235" s="1">
        <v>0.0</v>
      </c>
      <c r="X235" s="1" t="s">
        <v>29</v>
      </c>
      <c r="Z235" s="1" t="s">
        <v>848</v>
      </c>
    </row>
    <row r="236">
      <c r="A236" s="3" t="str">
        <f>HYPERLINK("https://stackoverflow.com/q/46257017", "46257017")</f>
        <v>46257017</v>
      </c>
      <c r="B236" s="1" t="s">
        <v>93</v>
      </c>
      <c r="C236" s="1" t="s">
        <v>849</v>
      </c>
      <c r="D236" s="2" t="s">
        <v>850</v>
      </c>
      <c r="E236" s="1">
        <v>1.0</v>
      </c>
      <c r="I236" s="1">
        <v>0.0</v>
      </c>
      <c r="J236" s="1">
        <v>400.0</v>
      </c>
      <c r="L236" s="1">
        <v>6946807.0</v>
      </c>
      <c r="N236" s="1">
        <v>1.2892553E7</v>
      </c>
      <c r="P236" s="1" t="s">
        <v>851</v>
      </c>
      <c r="Q236" s="1" t="s">
        <v>851</v>
      </c>
      <c r="R236" s="1" t="s">
        <v>97</v>
      </c>
      <c r="S236" s="1">
        <v>1.0</v>
      </c>
      <c r="T236" s="1">
        <v>0.0</v>
      </c>
      <c r="X236" s="1" t="s">
        <v>56</v>
      </c>
    </row>
    <row r="237">
      <c r="A237" s="3" t="str">
        <f>HYPERLINK("https://stackoverflow.com/q/46271988", "46271988")</f>
        <v>46271988</v>
      </c>
      <c r="B237" s="1" t="s">
        <v>93</v>
      </c>
      <c r="C237" s="1" t="s">
        <v>852</v>
      </c>
      <c r="D237" s="2" t="s">
        <v>853</v>
      </c>
      <c r="E237" s="1">
        <v>1.0</v>
      </c>
      <c r="I237" s="1">
        <v>1.0</v>
      </c>
      <c r="J237" s="1">
        <v>102.0</v>
      </c>
      <c r="L237" s="1">
        <v>8017626.0</v>
      </c>
      <c r="Q237" s="1" t="s">
        <v>852</v>
      </c>
      <c r="R237" s="1" t="s">
        <v>97</v>
      </c>
      <c r="S237" s="1">
        <v>0.0</v>
      </c>
      <c r="T237" s="1">
        <v>3.0</v>
      </c>
      <c r="X237" s="1" t="s">
        <v>29</v>
      </c>
    </row>
    <row r="238">
      <c r="A238" s="3" t="str">
        <f>HYPERLINK("https://stackoverflow.com/q/46275169", "46275169")</f>
        <v>46275169</v>
      </c>
      <c r="B238" s="1" t="s">
        <v>93</v>
      </c>
      <c r="C238" s="1" t="s">
        <v>854</v>
      </c>
      <c r="D238" s="2" t="s">
        <v>855</v>
      </c>
      <c r="E238" s="1">
        <v>1.0</v>
      </c>
      <c r="F238" s="1">
        <v>4.6314852E7</v>
      </c>
      <c r="I238" s="1">
        <v>0.0</v>
      </c>
      <c r="J238" s="1">
        <v>123.0</v>
      </c>
      <c r="L238" s="1">
        <v>8253068.0</v>
      </c>
      <c r="Q238" s="1" t="s">
        <v>856</v>
      </c>
      <c r="R238" s="1" t="s">
        <v>97</v>
      </c>
      <c r="S238" s="1">
        <v>1.0</v>
      </c>
      <c r="T238" s="1">
        <v>1.0</v>
      </c>
      <c r="X238" s="1" t="s">
        <v>29</v>
      </c>
      <c r="Z238" s="1" t="s">
        <v>857</v>
      </c>
    </row>
    <row r="239">
      <c r="A239" s="3" t="str">
        <f>HYPERLINK("https://stackoverflow.com/q/46295367", "46295367")</f>
        <v>46295367</v>
      </c>
      <c r="B239" s="1" t="s">
        <v>93</v>
      </c>
      <c r="C239" s="1" t="s">
        <v>858</v>
      </c>
      <c r="D239" s="2" t="s">
        <v>859</v>
      </c>
      <c r="E239" s="1">
        <v>1.0</v>
      </c>
      <c r="I239" s="1">
        <v>0.0</v>
      </c>
      <c r="J239" s="1">
        <v>468.0</v>
      </c>
      <c r="L239" s="1">
        <v>5962284.0</v>
      </c>
      <c r="Q239" s="1" t="s">
        <v>860</v>
      </c>
      <c r="R239" s="1" t="s">
        <v>97</v>
      </c>
      <c r="S239" s="1">
        <v>1.0</v>
      </c>
      <c r="T239" s="1">
        <v>0.0</v>
      </c>
      <c r="U239" s="1">
        <v>1.0</v>
      </c>
      <c r="X239" s="1" t="s">
        <v>29</v>
      </c>
    </row>
    <row r="240">
      <c r="A240" s="3" t="str">
        <f>HYPERLINK("https://stackoverflow.com/q/46297894", "46297894")</f>
        <v>46297894</v>
      </c>
      <c r="B240" s="1" t="s">
        <v>93</v>
      </c>
      <c r="C240" s="1" t="s">
        <v>861</v>
      </c>
      <c r="D240" s="2" t="s">
        <v>862</v>
      </c>
      <c r="E240" s="1">
        <v>1.0</v>
      </c>
      <c r="I240" s="1">
        <v>0.0</v>
      </c>
      <c r="J240" s="1">
        <v>642.0</v>
      </c>
      <c r="L240" s="1">
        <v>5962284.0</v>
      </c>
      <c r="Q240" s="1" t="s">
        <v>863</v>
      </c>
      <c r="R240" s="1" t="s">
        <v>97</v>
      </c>
      <c r="S240" s="1">
        <v>1.0</v>
      </c>
      <c r="T240" s="1">
        <v>0.0</v>
      </c>
      <c r="X240" s="1" t="s">
        <v>29</v>
      </c>
    </row>
    <row r="241">
      <c r="A241" s="3" t="str">
        <f>HYPERLINK("https://stackoverflow.com/q/46321865", "46321865")</f>
        <v>46321865</v>
      </c>
      <c r="B241" s="1" t="s">
        <v>93</v>
      </c>
      <c r="C241" s="1" t="s">
        <v>864</v>
      </c>
      <c r="D241" s="2" t="s">
        <v>865</v>
      </c>
      <c r="E241" s="1">
        <v>1.0</v>
      </c>
      <c r="F241" s="1">
        <v>4.6356296E7</v>
      </c>
      <c r="I241" s="1">
        <v>0.0</v>
      </c>
      <c r="J241" s="1">
        <v>783.0</v>
      </c>
      <c r="L241" s="1">
        <v>5962284.0</v>
      </c>
      <c r="Q241" s="1" t="s">
        <v>866</v>
      </c>
      <c r="R241" s="1" t="s">
        <v>97</v>
      </c>
      <c r="S241" s="1">
        <v>1.0</v>
      </c>
      <c r="T241" s="1">
        <v>0.0</v>
      </c>
      <c r="X241" s="1" t="s">
        <v>29</v>
      </c>
      <c r="Z241" s="1" t="s">
        <v>866</v>
      </c>
    </row>
    <row r="242">
      <c r="A242" s="3" t="str">
        <f>HYPERLINK("https://stackoverflow.com/q/46330301", "46330301")</f>
        <v>46330301</v>
      </c>
      <c r="B242" s="1" t="s">
        <v>93</v>
      </c>
      <c r="C242" s="1" t="s">
        <v>867</v>
      </c>
      <c r="D242" s="2" t="s">
        <v>868</v>
      </c>
      <c r="E242" s="1">
        <v>1.0</v>
      </c>
      <c r="F242" s="1">
        <v>4.6356207E7</v>
      </c>
      <c r="I242" s="1">
        <v>0.0</v>
      </c>
      <c r="J242" s="1">
        <v>174.0</v>
      </c>
      <c r="L242" s="1">
        <v>5641970.0</v>
      </c>
      <c r="N242" s="1">
        <v>454137.0</v>
      </c>
      <c r="P242" s="1" t="s">
        <v>869</v>
      </c>
      <c r="Q242" s="1" t="s">
        <v>869</v>
      </c>
      <c r="R242" s="1" t="s">
        <v>870</v>
      </c>
      <c r="S242" s="1">
        <v>1.0</v>
      </c>
      <c r="T242" s="1">
        <v>0.0</v>
      </c>
      <c r="X242" s="1" t="s">
        <v>29</v>
      </c>
      <c r="Z242" s="1" t="s">
        <v>871</v>
      </c>
    </row>
    <row r="243">
      <c r="A243" s="3" t="str">
        <f>HYPERLINK("https://stackoverflow.com/q/46342043", "46342043")</f>
        <v>46342043</v>
      </c>
      <c r="B243" s="1" t="s">
        <v>93</v>
      </c>
      <c r="C243" s="1" t="s">
        <v>872</v>
      </c>
      <c r="D243" s="2" t="s">
        <v>873</v>
      </c>
      <c r="E243" s="1">
        <v>1.0</v>
      </c>
      <c r="I243" s="1">
        <v>0.0</v>
      </c>
      <c r="J243" s="1">
        <v>439.0</v>
      </c>
      <c r="L243" s="1">
        <v>5962284.0</v>
      </c>
      <c r="Q243" s="1" t="s">
        <v>874</v>
      </c>
      <c r="R243" s="1" t="s">
        <v>97</v>
      </c>
      <c r="S243" s="1">
        <v>1.0</v>
      </c>
      <c r="T243" s="1">
        <v>0.0</v>
      </c>
      <c r="U243" s="1">
        <v>1.0</v>
      </c>
      <c r="X243" s="1" t="s">
        <v>29</v>
      </c>
    </row>
    <row r="244">
      <c r="A244" s="3" t="str">
        <f>HYPERLINK("https://stackoverflow.com/q/46348449", "46348449")</f>
        <v>46348449</v>
      </c>
      <c r="B244" s="1" t="s">
        <v>93</v>
      </c>
      <c r="C244" s="1" t="s">
        <v>875</v>
      </c>
      <c r="D244" s="2" t="s">
        <v>876</v>
      </c>
      <c r="E244" s="1">
        <v>1.0</v>
      </c>
      <c r="I244" s="1">
        <v>0.0</v>
      </c>
      <c r="J244" s="1">
        <v>64.0</v>
      </c>
      <c r="L244" s="1">
        <v>8298527.0</v>
      </c>
      <c r="Q244" s="1" t="s">
        <v>877</v>
      </c>
      <c r="R244" s="1" t="s">
        <v>97</v>
      </c>
      <c r="S244" s="1">
        <v>1.0</v>
      </c>
      <c r="T244" s="1">
        <v>0.0</v>
      </c>
      <c r="X244" s="1" t="s">
        <v>29</v>
      </c>
    </row>
    <row r="245">
      <c r="A245" s="3" t="str">
        <f>HYPERLINK("https://stackoverflow.com/q/46369742", "46369742")</f>
        <v>46369742</v>
      </c>
      <c r="B245" s="1" t="s">
        <v>93</v>
      </c>
      <c r="C245" s="1" t="s">
        <v>878</v>
      </c>
      <c r="D245" s="2" t="s">
        <v>879</v>
      </c>
      <c r="E245" s="1">
        <v>1.0</v>
      </c>
      <c r="I245" s="1">
        <v>0.0</v>
      </c>
      <c r="J245" s="1">
        <v>46.0</v>
      </c>
      <c r="L245" s="1">
        <v>8298527.0</v>
      </c>
      <c r="N245" s="1">
        <v>1.2892553E7</v>
      </c>
      <c r="P245" s="1" t="s">
        <v>880</v>
      </c>
      <c r="Q245" s="1" t="s">
        <v>880</v>
      </c>
      <c r="R245" s="1" t="s">
        <v>97</v>
      </c>
      <c r="S245" s="1">
        <v>1.0</v>
      </c>
      <c r="T245" s="1">
        <v>0.0</v>
      </c>
      <c r="X245" s="1" t="s">
        <v>56</v>
      </c>
    </row>
    <row r="246">
      <c r="A246" s="3" t="str">
        <f>HYPERLINK("https://stackoverflow.com/q/46378576", "46378576")</f>
        <v>46378576</v>
      </c>
      <c r="B246" s="1" t="s">
        <v>93</v>
      </c>
      <c r="C246" s="1" t="s">
        <v>881</v>
      </c>
      <c r="D246" s="2" t="s">
        <v>882</v>
      </c>
      <c r="E246" s="1">
        <v>1.0</v>
      </c>
      <c r="F246" s="1">
        <v>4.6431687E7</v>
      </c>
      <c r="I246" s="1">
        <v>0.0</v>
      </c>
      <c r="J246" s="1">
        <v>102.0</v>
      </c>
      <c r="L246" s="1">
        <v>8017626.0</v>
      </c>
      <c r="Q246" s="1" t="s">
        <v>883</v>
      </c>
      <c r="R246" s="1" t="s">
        <v>884</v>
      </c>
      <c r="S246" s="1">
        <v>1.0</v>
      </c>
      <c r="T246" s="1">
        <v>0.0</v>
      </c>
      <c r="X246" s="1" t="s">
        <v>29</v>
      </c>
      <c r="Z246" s="1" t="s">
        <v>883</v>
      </c>
    </row>
    <row r="247">
      <c r="A247" s="3" t="str">
        <f>HYPERLINK("https://stackoverflow.com/q/46382002", "46382002")</f>
        <v>46382002</v>
      </c>
      <c r="B247" s="1" t="s">
        <v>93</v>
      </c>
      <c r="C247" s="1" t="s">
        <v>885</v>
      </c>
      <c r="D247" s="2" t="s">
        <v>886</v>
      </c>
      <c r="E247" s="1">
        <v>1.0</v>
      </c>
      <c r="I247" s="1">
        <v>0.0</v>
      </c>
      <c r="J247" s="1">
        <v>105.0</v>
      </c>
      <c r="L247" s="1">
        <v>6586948.0</v>
      </c>
      <c r="Q247" s="1" t="s">
        <v>887</v>
      </c>
      <c r="R247" s="1" t="s">
        <v>696</v>
      </c>
      <c r="S247" s="1">
        <v>2.0</v>
      </c>
      <c r="T247" s="1">
        <v>0.0</v>
      </c>
      <c r="X247" s="1" t="s">
        <v>29</v>
      </c>
    </row>
    <row r="248">
      <c r="A248" s="3" t="str">
        <f>HYPERLINK("https://stackoverflow.com/q/46387200", "46387200")</f>
        <v>46387200</v>
      </c>
      <c r="B248" s="1" t="s">
        <v>93</v>
      </c>
      <c r="C248" s="1" t="s">
        <v>888</v>
      </c>
      <c r="D248" s="2" t="s">
        <v>889</v>
      </c>
      <c r="E248" s="1">
        <v>1.0</v>
      </c>
      <c r="I248" s="1">
        <v>1.0</v>
      </c>
      <c r="J248" s="1">
        <v>532.0</v>
      </c>
      <c r="L248" s="1">
        <v>3749053.0</v>
      </c>
      <c r="Q248" s="1" t="s">
        <v>890</v>
      </c>
      <c r="R248" s="1" t="s">
        <v>190</v>
      </c>
      <c r="S248" s="1">
        <v>1.0</v>
      </c>
      <c r="T248" s="1">
        <v>0.0</v>
      </c>
      <c r="X248" s="1" t="s">
        <v>29</v>
      </c>
    </row>
    <row r="249">
      <c r="A249" s="3" t="str">
        <f>HYPERLINK("https://stackoverflow.com/q/46429884", "46429884")</f>
        <v>46429884</v>
      </c>
      <c r="B249" s="1" t="s">
        <v>93</v>
      </c>
      <c r="C249" s="1" t="s">
        <v>891</v>
      </c>
      <c r="D249" s="2" t="s">
        <v>892</v>
      </c>
      <c r="E249" s="1">
        <v>1.0</v>
      </c>
      <c r="I249" s="1">
        <v>0.0</v>
      </c>
      <c r="J249" s="1">
        <v>66.0</v>
      </c>
      <c r="L249" s="1">
        <v>8298527.0</v>
      </c>
      <c r="Q249" s="1" t="s">
        <v>891</v>
      </c>
      <c r="R249" s="1" t="s">
        <v>97</v>
      </c>
      <c r="S249" s="1">
        <v>0.0</v>
      </c>
      <c r="T249" s="1">
        <v>2.0</v>
      </c>
      <c r="X249" s="1" t="s">
        <v>29</v>
      </c>
    </row>
    <row r="250">
      <c r="A250" s="3" t="str">
        <f>HYPERLINK("https://stackoverflow.com/q/46447525", "46447525")</f>
        <v>46447525</v>
      </c>
      <c r="B250" s="1" t="s">
        <v>93</v>
      </c>
      <c r="C250" s="1" t="s">
        <v>893</v>
      </c>
      <c r="D250" s="2" t="s">
        <v>894</v>
      </c>
      <c r="E250" s="1">
        <v>1.0</v>
      </c>
      <c r="I250" s="1">
        <v>0.0</v>
      </c>
      <c r="J250" s="1">
        <v>82.0</v>
      </c>
      <c r="L250" s="1">
        <v>8682770.0</v>
      </c>
      <c r="N250" s="1">
        <v>454137.0</v>
      </c>
      <c r="P250" s="1" t="s">
        <v>895</v>
      </c>
      <c r="Q250" s="1" t="s">
        <v>895</v>
      </c>
      <c r="R250" s="1" t="s">
        <v>97</v>
      </c>
      <c r="S250" s="1">
        <v>1.0</v>
      </c>
      <c r="T250" s="1">
        <v>1.0</v>
      </c>
      <c r="X250" s="1" t="s">
        <v>29</v>
      </c>
    </row>
    <row r="251">
      <c r="A251" s="3" t="str">
        <f>HYPERLINK("https://stackoverflow.com/q/46453448", "46453448")</f>
        <v>46453448</v>
      </c>
      <c r="B251" s="1" t="s">
        <v>93</v>
      </c>
      <c r="C251" s="1" t="s">
        <v>896</v>
      </c>
      <c r="D251" s="2" t="s">
        <v>897</v>
      </c>
      <c r="E251" s="1">
        <v>1.0</v>
      </c>
      <c r="I251" s="1">
        <v>0.0</v>
      </c>
      <c r="J251" s="1">
        <v>1110.0</v>
      </c>
      <c r="L251" s="1">
        <v>5962284.0</v>
      </c>
      <c r="Q251" s="1" t="s">
        <v>898</v>
      </c>
      <c r="R251" s="1" t="s">
        <v>97</v>
      </c>
      <c r="S251" s="1">
        <v>1.0</v>
      </c>
      <c r="T251" s="1">
        <v>0.0</v>
      </c>
      <c r="X251" s="1" t="s">
        <v>29</v>
      </c>
    </row>
    <row r="252">
      <c r="A252" s="3" t="str">
        <f>HYPERLINK("https://stackoverflow.com/q/46493441", "46493441")</f>
        <v>46493441</v>
      </c>
      <c r="B252" s="1" t="s">
        <v>93</v>
      </c>
      <c r="C252" s="1" t="s">
        <v>899</v>
      </c>
      <c r="D252" s="2" t="s">
        <v>900</v>
      </c>
      <c r="E252" s="1">
        <v>1.0</v>
      </c>
      <c r="I252" s="1">
        <v>0.0</v>
      </c>
      <c r="J252" s="1">
        <v>46.0</v>
      </c>
      <c r="L252" s="1">
        <v>8298527.0</v>
      </c>
      <c r="Q252" s="1" t="s">
        <v>901</v>
      </c>
      <c r="R252" s="1" t="s">
        <v>97</v>
      </c>
      <c r="S252" s="1">
        <v>1.0</v>
      </c>
      <c r="T252" s="1">
        <v>0.0</v>
      </c>
      <c r="X252" s="1" t="s">
        <v>29</v>
      </c>
    </row>
    <row r="253">
      <c r="A253" s="3" t="str">
        <f>HYPERLINK("https://stackoverflow.com/q/46495006", "46495006")</f>
        <v>46495006</v>
      </c>
      <c r="B253" s="1" t="s">
        <v>93</v>
      </c>
      <c r="C253" s="1" t="s">
        <v>902</v>
      </c>
      <c r="D253" s="2" t="s">
        <v>903</v>
      </c>
      <c r="E253" s="1">
        <v>1.0</v>
      </c>
      <c r="I253" s="1">
        <v>0.0</v>
      </c>
      <c r="J253" s="1">
        <v>58.0</v>
      </c>
      <c r="L253" s="1">
        <v>8298527.0</v>
      </c>
      <c r="Q253" s="1" t="s">
        <v>902</v>
      </c>
      <c r="R253" s="1" t="s">
        <v>97</v>
      </c>
      <c r="S253" s="1">
        <v>0.0</v>
      </c>
      <c r="T253" s="1">
        <v>2.0</v>
      </c>
      <c r="X253" s="1" t="s">
        <v>29</v>
      </c>
    </row>
    <row r="254">
      <c r="A254" s="3" t="str">
        <f>HYPERLINK("https://stackoverflow.com/q/46514457", "46514457")</f>
        <v>46514457</v>
      </c>
      <c r="B254" s="1" t="s">
        <v>93</v>
      </c>
      <c r="C254" s="1" t="s">
        <v>904</v>
      </c>
      <c r="D254" s="2" t="s">
        <v>905</v>
      </c>
      <c r="E254" s="1">
        <v>1.0</v>
      </c>
      <c r="F254" s="1">
        <v>4.6531415E7</v>
      </c>
      <c r="I254" s="1">
        <v>0.0</v>
      </c>
      <c r="J254" s="1">
        <v>171.0</v>
      </c>
      <c r="L254" s="1">
        <v>7047388.0</v>
      </c>
      <c r="N254" s="1">
        <v>7047388.0</v>
      </c>
      <c r="P254" s="1" t="s">
        <v>906</v>
      </c>
      <c r="Q254" s="1" t="s">
        <v>907</v>
      </c>
      <c r="R254" s="1" t="s">
        <v>908</v>
      </c>
      <c r="S254" s="1">
        <v>1.0</v>
      </c>
      <c r="T254" s="1">
        <v>0.0</v>
      </c>
      <c r="X254" s="1" t="s">
        <v>29</v>
      </c>
      <c r="Z254" s="1" t="s">
        <v>909</v>
      </c>
    </row>
    <row r="255">
      <c r="A255" s="3" t="str">
        <f>HYPERLINK("https://stackoverflow.com/q/46537440", "46537440")</f>
        <v>46537440</v>
      </c>
      <c r="B255" s="1" t="s">
        <v>93</v>
      </c>
      <c r="C255" s="1" t="s">
        <v>910</v>
      </c>
      <c r="D255" s="2" t="s">
        <v>911</v>
      </c>
      <c r="E255" s="1">
        <v>1.0</v>
      </c>
      <c r="I255" s="1">
        <v>0.0</v>
      </c>
      <c r="J255" s="1">
        <v>153.0</v>
      </c>
      <c r="L255" s="1">
        <v>8017626.0</v>
      </c>
      <c r="N255" s="1">
        <v>8404453.0</v>
      </c>
      <c r="P255" s="1" t="s">
        <v>912</v>
      </c>
      <c r="Q255" s="1" t="s">
        <v>913</v>
      </c>
      <c r="R255" s="1" t="s">
        <v>914</v>
      </c>
      <c r="S255" s="1">
        <v>1.0</v>
      </c>
      <c r="T255" s="1">
        <v>0.0</v>
      </c>
      <c r="X255" s="1" t="s">
        <v>29</v>
      </c>
    </row>
    <row r="256">
      <c r="A256" s="3" t="str">
        <f>HYPERLINK("https://stackoverflow.com/q/46550925", "46550925")</f>
        <v>46550925</v>
      </c>
      <c r="B256" s="1" t="s">
        <v>93</v>
      </c>
      <c r="C256" s="1" t="s">
        <v>915</v>
      </c>
      <c r="D256" s="2" t="s">
        <v>916</v>
      </c>
      <c r="E256" s="1">
        <v>1.0</v>
      </c>
      <c r="I256" s="1">
        <v>0.0</v>
      </c>
      <c r="J256" s="1">
        <v>61.0</v>
      </c>
      <c r="L256" s="1">
        <v>8715850.0</v>
      </c>
      <c r="Q256" s="1" t="s">
        <v>917</v>
      </c>
      <c r="R256" s="1" t="s">
        <v>97</v>
      </c>
      <c r="S256" s="1">
        <v>1.0</v>
      </c>
      <c r="T256" s="1">
        <v>0.0</v>
      </c>
      <c r="X256" s="1" t="s">
        <v>29</v>
      </c>
    </row>
    <row r="257">
      <c r="A257" s="3" t="str">
        <f>HYPERLINK("https://stackoverflow.com/q/46565154", "46565154")</f>
        <v>46565154</v>
      </c>
      <c r="B257" s="1" t="s">
        <v>93</v>
      </c>
      <c r="C257" s="1" t="s">
        <v>918</v>
      </c>
      <c r="D257" s="2" t="s">
        <v>919</v>
      </c>
      <c r="E257" s="1">
        <v>1.0</v>
      </c>
      <c r="I257" s="1">
        <v>0.0</v>
      </c>
      <c r="J257" s="1">
        <v>84.0</v>
      </c>
      <c r="L257" s="1">
        <v>8720071.0</v>
      </c>
      <c r="Q257" s="1" t="s">
        <v>920</v>
      </c>
      <c r="R257" s="1" t="s">
        <v>921</v>
      </c>
      <c r="S257" s="1">
        <v>1.0</v>
      </c>
      <c r="T257" s="1">
        <v>0.0</v>
      </c>
      <c r="X257" s="1" t="s">
        <v>29</v>
      </c>
    </row>
    <row r="258">
      <c r="A258" s="3" t="str">
        <f>HYPERLINK("https://stackoverflow.com/q/46574894", "46574894")</f>
        <v>46574894</v>
      </c>
      <c r="B258" s="1" t="s">
        <v>93</v>
      </c>
      <c r="C258" s="1" t="s">
        <v>922</v>
      </c>
      <c r="D258" s="2" t="s">
        <v>923</v>
      </c>
      <c r="E258" s="1">
        <v>1.0</v>
      </c>
      <c r="I258" s="1">
        <v>0.0</v>
      </c>
      <c r="J258" s="1">
        <v>102.0</v>
      </c>
      <c r="L258" s="1">
        <v>8722947.0</v>
      </c>
      <c r="N258" s="1">
        <v>1.2892553E7</v>
      </c>
      <c r="P258" s="1" t="s">
        <v>924</v>
      </c>
      <c r="Q258" s="1" t="s">
        <v>924</v>
      </c>
      <c r="R258" s="1" t="s">
        <v>97</v>
      </c>
      <c r="S258" s="1">
        <v>0.0</v>
      </c>
      <c r="T258" s="1">
        <v>2.0</v>
      </c>
      <c r="X258" s="1" t="s">
        <v>56</v>
      </c>
    </row>
    <row r="259">
      <c r="A259" s="3" t="str">
        <f>HYPERLINK("https://stackoverflow.com/q/46595947", "46595947")</f>
        <v>46595947</v>
      </c>
      <c r="B259" s="1" t="s">
        <v>93</v>
      </c>
      <c r="C259" s="1" t="s">
        <v>925</v>
      </c>
      <c r="D259" s="2" t="s">
        <v>926</v>
      </c>
      <c r="E259" s="1">
        <v>1.0</v>
      </c>
      <c r="I259" s="1">
        <v>0.0</v>
      </c>
      <c r="J259" s="1">
        <v>96.0</v>
      </c>
      <c r="L259" s="1">
        <v>8605513.0</v>
      </c>
      <c r="Q259" s="1" t="s">
        <v>925</v>
      </c>
      <c r="R259" s="1" t="s">
        <v>97</v>
      </c>
      <c r="S259" s="1">
        <v>0.0</v>
      </c>
      <c r="T259" s="1">
        <v>3.0</v>
      </c>
      <c r="U259" s="1">
        <v>1.0</v>
      </c>
      <c r="X259" s="1" t="s">
        <v>29</v>
      </c>
    </row>
    <row r="260">
      <c r="A260" s="3" t="str">
        <f>HYPERLINK("https://stackoverflow.com/q/46606062", "46606062")</f>
        <v>46606062</v>
      </c>
      <c r="B260" s="1" t="s">
        <v>93</v>
      </c>
      <c r="C260" s="1" t="s">
        <v>927</v>
      </c>
      <c r="D260" s="2" t="s">
        <v>928</v>
      </c>
      <c r="E260" s="1">
        <v>1.0</v>
      </c>
      <c r="I260" s="1">
        <v>0.0</v>
      </c>
      <c r="J260" s="1">
        <v>1319.0</v>
      </c>
      <c r="L260" s="1">
        <v>5962284.0</v>
      </c>
      <c r="Q260" s="1" t="s">
        <v>929</v>
      </c>
      <c r="R260" s="1" t="s">
        <v>97</v>
      </c>
      <c r="S260" s="1">
        <v>1.0</v>
      </c>
      <c r="T260" s="1">
        <v>0.0</v>
      </c>
      <c r="U260" s="1">
        <v>0.0</v>
      </c>
      <c r="X260" s="1" t="s">
        <v>29</v>
      </c>
    </row>
    <row r="261">
      <c r="A261" s="3" t="str">
        <f>HYPERLINK("https://stackoverflow.com/q/46608926", "46608926")</f>
        <v>46608926</v>
      </c>
      <c r="B261" s="1" t="s">
        <v>93</v>
      </c>
      <c r="C261" s="1" t="s">
        <v>930</v>
      </c>
      <c r="D261" s="2" t="s">
        <v>931</v>
      </c>
      <c r="E261" s="1">
        <v>1.0</v>
      </c>
      <c r="F261" s="1">
        <v>4.6614637E7</v>
      </c>
      <c r="I261" s="1">
        <v>0.0</v>
      </c>
      <c r="J261" s="1">
        <v>67.0</v>
      </c>
      <c r="L261" s="1">
        <v>5596743.0</v>
      </c>
      <c r="Q261" s="1" t="s">
        <v>932</v>
      </c>
      <c r="R261" s="1" t="s">
        <v>933</v>
      </c>
      <c r="S261" s="1">
        <v>1.0</v>
      </c>
      <c r="T261" s="1">
        <v>1.0</v>
      </c>
      <c r="V261" s="1" t="s">
        <v>934</v>
      </c>
      <c r="X261" s="1" t="s">
        <v>29</v>
      </c>
      <c r="Z261" s="1" t="s">
        <v>932</v>
      </c>
    </row>
    <row r="262">
      <c r="A262" s="3" t="str">
        <f>HYPERLINK("https://stackoverflow.com/q/46612872", "46612872")</f>
        <v>46612872</v>
      </c>
      <c r="B262" s="1" t="s">
        <v>93</v>
      </c>
      <c r="C262" s="1" t="s">
        <v>935</v>
      </c>
      <c r="D262" s="2" t="s">
        <v>936</v>
      </c>
      <c r="E262" s="1">
        <v>1.0</v>
      </c>
      <c r="I262" s="1">
        <v>0.0</v>
      </c>
      <c r="J262" s="1">
        <v>56.0</v>
      </c>
      <c r="L262" s="1">
        <v>8722947.0</v>
      </c>
      <c r="N262" s="1">
        <v>1.2892553E7</v>
      </c>
      <c r="P262" s="1" t="s">
        <v>937</v>
      </c>
      <c r="Q262" s="1" t="s">
        <v>937</v>
      </c>
      <c r="R262" s="1" t="s">
        <v>97</v>
      </c>
      <c r="S262" s="1">
        <v>1.0</v>
      </c>
      <c r="T262" s="1">
        <v>4.0</v>
      </c>
      <c r="X262" s="1" t="s">
        <v>56</v>
      </c>
    </row>
    <row r="263">
      <c r="A263" s="3" t="str">
        <f>HYPERLINK("https://stackoverflow.com/q/46614237", "46614237")</f>
        <v>46614237</v>
      </c>
      <c r="B263" s="1" t="s">
        <v>93</v>
      </c>
      <c r="C263" s="1" t="s">
        <v>938</v>
      </c>
      <c r="D263" s="2" t="s">
        <v>939</v>
      </c>
      <c r="E263" s="1">
        <v>1.0</v>
      </c>
      <c r="I263" s="1">
        <v>2.0</v>
      </c>
      <c r="J263" s="1">
        <v>56.0</v>
      </c>
      <c r="L263" s="1">
        <v>8734734.0</v>
      </c>
      <c r="Q263" s="1" t="s">
        <v>938</v>
      </c>
      <c r="R263" s="1" t="s">
        <v>940</v>
      </c>
      <c r="S263" s="1">
        <v>0.0</v>
      </c>
      <c r="T263" s="1">
        <v>0.0</v>
      </c>
      <c r="U263" s="1">
        <v>1.0</v>
      </c>
      <c r="X263" s="1" t="s">
        <v>29</v>
      </c>
    </row>
    <row r="264">
      <c r="A264" s="3" t="str">
        <f>HYPERLINK("https://stackoverflow.com/q/46647666", "46647666")</f>
        <v>46647666</v>
      </c>
      <c r="B264" s="1" t="s">
        <v>93</v>
      </c>
      <c r="C264" s="1" t="s">
        <v>941</v>
      </c>
      <c r="D264" s="2" t="s">
        <v>942</v>
      </c>
      <c r="E264" s="1">
        <v>1.0</v>
      </c>
      <c r="I264" s="1">
        <v>0.0</v>
      </c>
      <c r="J264" s="1">
        <v>70.0</v>
      </c>
      <c r="L264" s="1">
        <v>6408940.0</v>
      </c>
      <c r="N264" s="1">
        <v>6408940.0</v>
      </c>
      <c r="P264" s="1" t="s">
        <v>943</v>
      </c>
      <c r="Q264" s="1" t="s">
        <v>943</v>
      </c>
      <c r="R264" s="1" t="s">
        <v>97</v>
      </c>
      <c r="S264" s="1">
        <v>1.0</v>
      </c>
      <c r="T264" s="1">
        <v>0.0</v>
      </c>
      <c r="X264" s="1" t="s">
        <v>29</v>
      </c>
    </row>
    <row r="265">
      <c r="A265" s="3" t="str">
        <f>HYPERLINK("https://stackoverflow.com/q/46655042", "46655042")</f>
        <v>46655042</v>
      </c>
      <c r="B265" s="1" t="s">
        <v>93</v>
      </c>
      <c r="C265" s="1" t="s">
        <v>944</v>
      </c>
      <c r="D265" s="2" t="s">
        <v>945</v>
      </c>
      <c r="E265" s="1">
        <v>1.0</v>
      </c>
      <c r="F265" s="1">
        <v>4.6655198E7</v>
      </c>
      <c r="I265" s="1">
        <v>0.0</v>
      </c>
      <c r="J265" s="1">
        <v>132.0</v>
      </c>
      <c r="L265" s="1">
        <v>3490987.0</v>
      </c>
      <c r="Q265" s="1" t="s">
        <v>946</v>
      </c>
      <c r="R265" s="1" t="s">
        <v>947</v>
      </c>
      <c r="S265" s="1">
        <v>1.0</v>
      </c>
      <c r="T265" s="1">
        <v>0.0</v>
      </c>
      <c r="X265" s="1" t="s">
        <v>29</v>
      </c>
      <c r="Z265" s="1" t="s">
        <v>946</v>
      </c>
    </row>
    <row r="266">
      <c r="A266" s="3" t="str">
        <f>HYPERLINK("https://stackoverflow.com/q/46669690", "46669690")</f>
        <v>46669690</v>
      </c>
      <c r="B266" s="1" t="s">
        <v>93</v>
      </c>
      <c r="C266" s="1" t="s">
        <v>948</v>
      </c>
      <c r="D266" s="2" t="s">
        <v>949</v>
      </c>
      <c r="E266" s="1">
        <v>1.0</v>
      </c>
      <c r="I266" s="1">
        <v>2.0</v>
      </c>
      <c r="J266" s="1">
        <v>174.0</v>
      </c>
      <c r="L266" s="1">
        <v>5962284.0</v>
      </c>
      <c r="Q266" s="1" t="s">
        <v>950</v>
      </c>
      <c r="R266" s="1" t="s">
        <v>97</v>
      </c>
      <c r="S266" s="1">
        <v>1.0</v>
      </c>
      <c r="T266" s="1">
        <v>0.0</v>
      </c>
      <c r="X266" s="1" t="s">
        <v>29</v>
      </c>
    </row>
    <row r="267">
      <c r="A267" s="3" t="str">
        <f>HYPERLINK("https://stackoverflow.com/q/46684369", "46684369")</f>
        <v>46684369</v>
      </c>
      <c r="B267" s="1" t="s">
        <v>93</v>
      </c>
      <c r="C267" s="1" t="s">
        <v>951</v>
      </c>
      <c r="D267" s="2" t="s">
        <v>952</v>
      </c>
      <c r="E267" s="1">
        <v>1.0</v>
      </c>
      <c r="I267" s="1">
        <v>2.0</v>
      </c>
      <c r="J267" s="1">
        <v>498.0</v>
      </c>
      <c r="L267" s="1">
        <v>5962284.0</v>
      </c>
      <c r="Q267" s="1" t="s">
        <v>953</v>
      </c>
      <c r="R267" s="1" t="s">
        <v>97</v>
      </c>
      <c r="S267" s="1">
        <v>1.0</v>
      </c>
      <c r="T267" s="1">
        <v>0.0</v>
      </c>
      <c r="X267" s="1" t="s">
        <v>29</v>
      </c>
    </row>
    <row r="268">
      <c r="A268" s="3" t="str">
        <f>HYPERLINK("https://stackoverflow.com/q/46732318", "46732318")</f>
        <v>46732318</v>
      </c>
      <c r="B268" s="1" t="s">
        <v>93</v>
      </c>
      <c r="C268" s="1" t="s">
        <v>954</v>
      </c>
      <c r="D268" s="2" t="s">
        <v>955</v>
      </c>
      <c r="E268" s="1">
        <v>1.0</v>
      </c>
      <c r="I268" s="1">
        <v>3.0</v>
      </c>
      <c r="J268" s="1">
        <v>210.0</v>
      </c>
      <c r="L268" s="1">
        <v>3197476.0</v>
      </c>
      <c r="Q268" s="1" t="s">
        <v>956</v>
      </c>
      <c r="R268" s="1" t="s">
        <v>957</v>
      </c>
      <c r="S268" s="1">
        <v>0.0</v>
      </c>
      <c r="T268" s="1">
        <v>2.0</v>
      </c>
      <c r="X268" s="1" t="s">
        <v>29</v>
      </c>
    </row>
    <row r="269">
      <c r="A269" s="3" t="str">
        <f>HYPERLINK("https://stackoverflow.com/q/46739891", "46739891")</f>
        <v>46739891</v>
      </c>
      <c r="B269" s="1" t="s">
        <v>93</v>
      </c>
      <c r="C269" s="1" t="s">
        <v>958</v>
      </c>
      <c r="D269" s="2" t="s">
        <v>959</v>
      </c>
      <c r="E269" s="1">
        <v>1.0</v>
      </c>
      <c r="F269" s="1">
        <v>4.6821549E7</v>
      </c>
      <c r="I269" s="1">
        <v>2.0</v>
      </c>
      <c r="J269" s="1">
        <v>206.0</v>
      </c>
      <c r="L269" s="1">
        <v>587773.0</v>
      </c>
      <c r="N269" s="1">
        <v>587773.0</v>
      </c>
      <c r="P269" s="1" t="s">
        <v>960</v>
      </c>
      <c r="Q269" s="1" t="s">
        <v>961</v>
      </c>
      <c r="R269" s="1" t="s">
        <v>97</v>
      </c>
      <c r="S269" s="1">
        <v>1.0</v>
      </c>
      <c r="T269" s="1">
        <v>0.0</v>
      </c>
      <c r="U269" s="1">
        <v>0.0</v>
      </c>
      <c r="X269" s="1" t="s">
        <v>29</v>
      </c>
      <c r="Z269" s="1" t="s">
        <v>961</v>
      </c>
    </row>
    <row r="270">
      <c r="A270" s="3" t="str">
        <f>HYPERLINK("https://stackoverflow.com/q/46767048", "46767048")</f>
        <v>46767048</v>
      </c>
      <c r="B270" s="1" t="s">
        <v>93</v>
      </c>
      <c r="C270" s="1" t="s">
        <v>962</v>
      </c>
      <c r="D270" s="2" t="s">
        <v>963</v>
      </c>
      <c r="E270" s="1">
        <v>1.0</v>
      </c>
      <c r="I270" s="1">
        <v>1.0</v>
      </c>
      <c r="J270" s="1">
        <v>199.0</v>
      </c>
      <c r="L270" s="1">
        <v>6595758.0</v>
      </c>
      <c r="N270" s="1">
        <v>6595758.0</v>
      </c>
      <c r="P270" s="1" t="s">
        <v>964</v>
      </c>
      <c r="Q270" s="1" t="s">
        <v>965</v>
      </c>
      <c r="R270" s="1" t="s">
        <v>97</v>
      </c>
      <c r="S270" s="1">
        <v>1.0</v>
      </c>
      <c r="T270" s="1">
        <v>1.0</v>
      </c>
      <c r="X270" s="1" t="s">
        <v>29</v>
      </c>
    </row>
    <row r="271">
      <c r="A271" s="3" t="str">
        <f>HYPERLINK("https://stackoverflow.com/q/46776955", "46776955")</f>
        <v>46776955</v>
      </c>
      <c r="B271" s="1" t="s">
        <v>93</v>
      </c>
      <c r="C271" s="1" t="s">
        <v>966</v>
      </c>
      <c r="D271" s="2" t="s">
        <v>967</v>
      </c>
      <c r="E271" s="1">
        <v>1.0</v>
      </c>
      <c r="F271" s="1">
        <v>4.6858732E7</v>
      </c>
      <c r="I271" s="1">
        <v>1.0</v>
      </c>
      <c r="J271" s="1">
        <v>354.0</v>
      </c>
      <c r="L271" s="1">
        <v>8611687.0</v>
      </c>
      <c r="Q271" s="1" t="s">
        <v>968</v>
      </c>
      <c r="R271" s="1" t="s">
        <v>97</v>
      </c>
      <c r="S271" s="1">
        <v>1.0</v>
      </c>
      <c r="T271" s="1">
        <v>0.0</v>
      </c>
      <c r="U271" s="1">
        <v>2.0</v>
      </c>
      <c r="X271" s="1" t="s">
        <v>29</v>
      </c>
      <c r="Z271" s="1" t="s">
        <v>968</v>
      </c>
    </row>
    <row r="272">
      <c r="A272" s="3" t="str">
        <f>HYPERLINK("https://stackoverflow.com/q/46798235", "46798235")</f>
        <v>46798235</v>
      </c>
      <c r="B272" s="1" t="s">
        <v>93</v>
      </c>
      <c r="C272" s="1" t="s">
        <v>969</v>
      </c>
      <c r="D272" s="2" t="s">
        <v>970</v>
      </c>
      <c r="E272" s="1">
        <v>1.0</v>
      </c>
      <c r="I272" s="1">
        <v>3.0</v>
      </c>
      <c r="J272" s="1">
        <v>711.0</v>
      </c>
      <c r="L272" s="1">
        <v>8298527.0</v>
      </c>
      <c r="Q272" s="1" t="s">
        <v>971</v>
      </c>
      <c r="R272" s="1" t="s">
        <v>97</v>
      </c>
      <c r="S272" s="1">
        <v>2.0</v>
      </c>
      <c r="T272" s="1">
        <v>0.0</v>
      </c>
      <c r="U272" s="1">
        <v>1.0</v>
      </c>
      <c r="X272" s="1" t="s">
        <v>29</v>
      </c>
    </row>
    <row r="273">
      <c r="A273" s="3" t="str">
        <f>HYPERLINK("https://stackoverflow.com/q/46801400", "46801400")</f>
        <v>46801400</v>
      </c>
      <c r="B273" s="1" t="s">
        <v>93</v>
      </c>
      <c r="C273" s="1" t="s">
        <v>972</v>
      </c>
      <c r="D273" s="2" t="s">
        <v>973</v>
      </c>
      <c r="E273" s="1">
        <v>1.0</v>
      </c>
      <c r="F273" s="1">
        <v>4.6821065E7</v>
      </c>
      <c r="I273" s="1">
        <v>3.0</v>
      </c>
      <c r="J273" s="1">
        <v>414.0</v>
      </c>
      <c r="L273" s="1">
        <v>7465890.0</v>
      </c>
      <c r="N273" s="1">
        <v>7465890.0</v>
      </c>
      <c r="P273" s="1" t="s">
        <v>974</v>
      </c>
      <c r="Q273" s="1" t="s">
        <v>975</v>
      </c>
      <c r="R273" s="1" t="s">
        <v>97</v>
      </c>
      <c r="S273" s="1">
        <v>1.0</v>
      </c>
      <c r="T273" s="1">
        <v>2.0</v>
      </c>
      <c r="U273" s="1">
        <v>1.0</v>
      </c>
      <c r="X273" s="1" t="s">
        <v>29</v>
      </c>
      <c r="Z273" s="1" t="s">
        <v>976</v>
      </c>
    </row>
    <row r="274">
      <c r="A274" s="3" t="str">
        <f>HYPERLINK("https://stackoverflow.com/q/46837399", "46837399")</f>
        <v>46837399</v>
      </c>
      <c r="B274" s="1" t="s">
        <v>93</v>
      </c>
      <c r="C274" s="1" t="s">
        <v>977</v>
      </c>
      <c r="D274" s="2" t="s">
        <v>978</v>
      </c>
      <c r="E274" s="1">
        <v>1.0</v>
      </c>
      <c r="I274" s="1">
        <v>3.0</v>
      </c>
      <c r="J274" s="1">
        <v>160.0</v>
      </c>
      <c r="L274" s="1">
        <v>7465890.0</v>
      </c>
      <c r="Q274" s="1" t="s">
        <v>977</v>
      </c>
      <c r="R274" s="1" t="s">
        <v>97</v>
      </c>
      <c r="S274" s="1">
        <v>0.0</v>
      </c>
      <c r="T274" s="1">
        <v>0.0</v>
      </c>
      <c r="X274" s="1" t="s">
        <v>29</v>
      </c>
    </row>
    <row r="275">
      <c r="A275" s="3" t="str">
        <f>HYPERLINK("https://stackoverflow.com/q/46866935", "46866935")</f>
        <v>46866935</v>
      </c>
      <c r="B275" s="1" t="s">
        <v>93</v>
      </c>
      <c r="C275" s="1" t="s">
        <v>979</v>
      </c>
      <c r="D275" s="2" t="s">
        <v>980</v>
      </c>
      <c r="E275" s="1">
        <v>1.0</v>
      </c>
      <c r="I275" s="1">
        <v>1.0</v>
      </c>
      <c r="J275" s="1">
        <v>232.0</v>
      </c>
      <c r="L275" s="1">
        <v>7388636.0</v>
      </c>
      <c r="Q275" s="1" t="s">
        <v>981</v>
      </c>
      <c r="R275" s="1" t="s">
        <v>97</v>
      </c>
      <c r="S275" s="1">
        <v>1.0</v>
      </c>
      <c r="T275" s="1">
        <v>3.0</v>
      </c>
      <c r="U275" s="1">
        <v>2.0</v>
      </c>
      <c r="X275" s="1" t="s">
        <v>29</v>
      </c>
    </row>
    <row r="276">
      <c r="A276" s="3" t="str">
        <f>HYPERLINK("https://stackoverflow.com/q/46882235", "46882235")</f>
        <v>46882235</v>
      </c>
      <c r="B276" s="1" t="s">
        <v>93</v>
      </c>
      <c r="C276" s="1" t="s">
        <v>982</v>
      </c>
      <c r="D276" s="2" t="s">
        <v>983</v>
      </c>
      <c r="E276" s="1">
        <v>1.0</v>
      </c>
      <c r="F276" s="1">
        <v>4.6917027E7</v>
      </c>
      <c r="I276" s="1">
        <v>1.0</v>
      </c>
      <c r="J276" s="1">
        <v>669.0</v>
      </c>
      <c r="L276" s="1">
        <v>7872990.0</v>
      </c>
      <c r="N276" s="1">
        <v>7872990.0</v>
      </c>
      <c r="P276" s="1" t="s">
        <v>984</v>
      </c>
      <c r="Q276" s="1" t="s">
        <v>985</v>
      </c>
      <c r="R276" s="1" t="s">
        <v>97</v>
      </c>
      <c r="S276" s="1">
        <v>2.0</v>
      </c>
      <c r="T276" s="1">
        <v>4.0</v>
      </c>
      <c r="U276" s="1">
        <v>1.0</v>
      </c>
      <c r="X276" s="1" t="s">
        <v>29</v>
      </c>
      <c r="Z276" s="1" t="s">
        <v>985</v>
      </c>
    </row>
    <row r="277">
      <c r="A277" s="3" t="str">
        <f>HYPERLINK("https://stackoverflow.com/q/46894604", "46894604")</f>
        <v>46894604</v>
      </c>
      <c r="B277" s="1" t="s">
        <v>93</v>
      </c>
      <c r="C277" s="1" t="s">
        <v>986</v>
      </c>
      <c r="D277" s="2" t="s">
        <v>987</v>
      </c>
      <c r="E277" s="1">
        <v>1.0</v>
      </c>
      <c r="I277" s="1">
        <v>0.0</v>
      </c>
      <c r="J277" s="1">
        <v>164.0</v>
      </c>
      <c r="L277" s="1">
        <v>8298527.0</v>
      </c>
      <c r="Q277" s="1" t="s">
        <v>988</v>
      </c>
      <c r="R277" s="1" t="s">
        <v>97</v>
      </c>
      <c r="S277" s="1">
        <v>1.0</v>
      </c>
      <c r="T277" s="1">
        <v>0.0</v>
      </c>
      <c r="X277" s="1" t="s">
        <v>29</v>
      </c>
    </row>
    <row r="278">
      <c r="A278" s="3" t="str">
        <f>HYPERLINK("https://stackoverflow.com/q/46921029", "46921029")</f>
        <v>46921029</v>
      </c>
      <c r="B278" s="1" t="s">
        <v>93</v>
      </c>
      <c r="C278" s="1" t="s">
        <v>989</v>
      </c>
      <c r="D278" s="2" t="s">
        <v>990</v>
      </c>
      <c r="E278" s="1">
        <v>1.0</v>
      </c>
      <c r="F278" s="1">
        <v>4.6921746E7</v>
      </c>
      <c r="I278" s="1">
        <v>0.0</v>
      </c>
      <c r="J278" s="1">
        <v>327.0</v>
      </c>
      <c r="L278" s="1">
        <v>7465890.0</v>
      </c>
      <c r="Q278" s="1" t="s">
        <v>991</v>
      </c>
      <c r="R278" s="1" t="s">
        <v>97</v>
      </c>
      <c r="S278" s="1">
        <v>1.0</v>
      </c>
      <c r="T278" s="1">
        <v>0.0</v>
      </c>
      <c r="X278" s="1" t="s">
        <v>29</v>
      </c>
      <c r="Z278" s="1" t="s">
        <v>991</v>
      </c>
    </row>
    <row r="279">
      <c r="A279" s="3" t="str">
        <f>HYPERLINK("https://stackoverflow.com/q/46966587", "46966587")</f>
        <v>46966587</v>
      </c>
      <c r="B279" s="1" t="s">
        <v>93</v>
      </c>
      <c r="C279" s="1" t="s">
        <v>992</v>
      </c>
      <c r="D279" s="2" t="s">
        <v>993</v>
      </c>
      <c r="E279" s="1">
        <v>1.0</v>
      </c>
      <c r="I279" s="1">
        <v>2.0</v>
      </c>
      <c r="J279" s="1">
        <v>1164.0</v>
      </c>
      <c r="L279" s="1">
        <v>4755588.0</v>
      </c>
      <c r="Q279" s="1" t="s">
        <v>994</v>
      </c>
      <c r="R279" s="1" t="s">
        <v>97</v>
      </c>
      <c r="S279" s="1">
        <v>1.0</v>
      </c>
      <c r="T279" s="1">
        <v>2.0</v>
      </c>
      <c r="U279" s="1">
        <v>1.0</v>
      </c>
      <c r="V279" s="1" t="s">
        <v>995</v>
      </c>
      <c r="X279" s="1" t="s">
        <v>29</v>
      </c>
    </row>
    <row r="280">
      <c r="A280" s="3" t="str">
        <f>HYPERLINK("https://stackoverflow.com/q/46974480", "46974480")</f>
        <v>46974480</v>
      </c>
      <c r="B280" s="1" t="s">
        <v>93</v>
      </c>
      <c r="C280" s="1" t="s">
        <v>996</v>
      </c>
      <c r="D280" s="2" t="s">
        <v>997</v>
      </c>
      <c r="E280" s="1">
        <v>1.0</v>
      </c>
      <c r="I280" s="1">
        <v>1.0</v>
      </c>
      <c r="J280" s="1">
        <v>2194.0</v>
      </c>
      <c r="L280" s="1">
        <v>8843356.0</v>
      </c>
      <c r="N280" s="1">
        <v>8843356.0</v>
      </c>
      <c r="P280" s="1" t="s">
        <v>998</v>
      </c>
      <c r="Q280" s="1" t="s">
        <v>999</v>
      </c>
      <c r="R280" s="1" t="s">
        <v>97</v>
      </c>
      <c r="S280" s="1">
        <v>2.0</v>
      </c>
      <c r="T280" s="1">
        <v>0.0</v>
      </c>
      <c r="X280" s="1" t="s">
        <v>29</v>
      </c>
    </row>
    <row r="281">
      <c r="A281" s="3" t="str">
        <f>HYPERLINK("https://stackoverflow.com/q/46976184", "46976184")</f>
        <v>46976184</v>
      </c>
      <c r="B281" s="1" t="s">
        <v>93</v>
      </c>
      <c r="C281" s="1" t="s">
        <v>1000</v>
      </c>
      <c r="D281" s="2" t="s">
        <v>1001</v>
      </c>
      <c r="E281" s="1">
        <v>1.0</v>
      </c>
      <c r="I281" s="1">
        <v>0.0</v>
      </c>
      <c r="J281" s="1">
        <v>213.0</v>
      </c>
      <c r="L281" s="1">
        <v>8363339.0</v>
      </c>
      <c r="N281" s="1">
        <v>1315120.0</v>
      </c>
      <c r="P281" s="1" t="s">
        <v>1002</v>
      </c>
      <c r="Q281" s="1" t="s">
        <v>1003</v>
      </c>
      <c r="R281" s="1" t="s">
        <v>1004</v>
      </c>
      <c r="S281" s="1">
        <v>1.0</v>
      </c>
      <c r="T281" s="1">
        <v>0.0</v>
      </c>
      <c r="X281" s="1" t="s">
        <v>29</v>
      </c>
    </row>
    <row r="282">
      <c r="A282" s="3" t="str">
        <f>HYPERLINK("https://stackoverflow.com/q/46976482", "46976482")</f>
        <v>46976482</v>
      </c>
      <c r="B282" s="1" t="s">
        <v>93</v>
      </c>
      <c r="C282" s="1" t="s">
        <v>1005</v>
      </c>
      <c r="D282" s="2" t="s">
        <v>1006</v>
      </c>
      <c r="E282" s="1">
        <v>1.0</v>
      </c>
      <c r="I282" s="1">
        <v>0.0</v>
      </c>
      <c r="J282" s="1">
        <v>82.0</v>
      </c>
      <c r="L282" s="1">
        <v>8843798.0</v>
      </c>
      <c r="Q282" s="1" t="s">
        <v>1007</v>
      </c>
      <c r="R282" s="1" t="s">
        <v>97</v>
      </c>
      <c r="S282" s="1">
        <v>1.0</v>
      </c>
      <c r="T282" s="1">
        <v>0.0</v>
      </c>
      <c r="X282" s="1" t="s">
        <v>29</v>
      </c>
    </row>
    <row r="283">
      <c r="A283" s="3" t="str">
        <f>HYPERLINK("https://stackoverflow.com/q/46978495", "46978495")</f>
        <v>46978495</v>
      </c>
      <c r="B283" s="1" t="s">
        <v>93</v>
      </c>
      <c r="C283" s="1" t="s">
        <v>1008</v>
      </c>
      <c r="D283" s="2" t="s">
        <v>1009</v>
      </c>
      <c r="E283" s="1">
        <v>1.0</v>
      </c>
      <c r="F283" s="1">
        <v>4.6978771E7</v>
      </c>
      <c r="I283" s="1">
        <v>0.0</v>
      </c>
      <c r="J283" s="1">
        <v>309.0</v>
      </c>
      <c r="L283" s="1">
        <v>7709702.0</v>
      </c>
      <c r="Q283" s="1" t="s">
        <v>1010</v>
      </c>
      <c r="R283" s="1" t="s">
        <v>97</v>
      </c>
      <c r="S283" s="1">
        <v>1.0</v>
      </c>
      <c r="T283" s="1">
        <v>0.0</v>
      </c>
      <c r="X283" s="1" t="s">
        <v>29</v>
      </c>
      <c r="Z283" s="1" t="s">
        <v>1010</v>
      </c>
    </row>
    <row r="284">
      <c r="A284" s="3" t="str">
        <f>HYPERLINK("https://stackoverflow.com/q/46978829", "46978829")</f>
        <v>46978829</v>
      </c>
      <c r="B284" s="1" t="s">
        <v>93</v>
      </c>
      <c r="C284" s="1" t="s">
        <v>1011</v>
      </c>
      <c r="D284" s="2" t="s">
        <v>1012</v>
      </c>
      <c r="E284" s="1">
        <v>1.0</v>
      </c>
      <c r="I284" s="1">
        <v>1.0</v>
      </c>
      <c r="J284" s="1">
        <v>845.0</v>
      </c>
      <c r="L284" s="1">
        <v>8133871.0</v>
      </c>
      <c r="Q284" s="1" t="s">
        <v>1013</v>
      </c>
      <c r="R284" s="1" t="s">
        <v>97</v>
      </c>
      <c r="S284" s="1">
        <v>2.0</v>
      </c>
      <c r="T284" s="1">
        <v>0.0</v>
      </c>
      <c r="X284" s="1" t="s">
        <v>29</v>
      </c>
    </row>
    <row r="285">
      <c r="A285" s="3" t="str">
        <f>HYPERLINK("https://stackoverflow.com/q/47013133", "47013133")</f>
        <v>47013133</v>
      </c>
      <c r="B285" s="1" t="s">
        <v>93</v>
      </c>
      <c r="C285" s="1" t="s">
        <v>1014</v>
      </c>
      <c r="D285" s="2" t="s">
        <v>1015</v>
      </c>
      <c r="E285" s="1">
        <v>1.0</v>
      </c>
      <c r="I285" s="1">
        <v>1.0</v>
      </c>
      <c r="J285" s="1">
        <v>338.0</v>
      </c>
      <c r="L285" s="1">
        <v>3197476.0</v>
      </c>
      <c r="Q285" s="1" t="s">
        <v>1016</v>
      </c>
      <c r="R285" s="1" t="s">
        <v>97</v>
      </c>
      <c r="S285" s="1">
        <v>0.0</v>
      </c>
      <c r="T285" s="1">
        <v>1.0</v>
      </c>
      <c r="X285" s="1" t="s">
        <v>29</v>
      </c>
    </row>
    <row r="286">
      <c r="A286" s="3" t="str">
        <f>HYPERLINK("https://stackoverflow.com/q/47013716", "47013716")</f>
        <v>47013716</v>
      </c>
      <c r="B286" s="1" t="s">
        <v>93</v>
      </c>
      <c r="C286" s="1" t="s">
        <v>1017</v>
      </c>
      <c r="D286" s="2" t="s">
        <v>1018</v>
      </c>
      <c r="E286" s="1">
        <v>1.0</v>
      </c>
      <c r="I286" s="1">
        <v>0.0</v>
      </c>
      <c r="J286" s="1">
        <v>145.0</v>
      </c>
      <c r="L286" s="1">
        <v>1544336.0</v>
      </c>
      <c r="Q286" s="1" t="s">
        <v>1019</v>
      </c>
      <c r="R286" s="1" t="s">
        <v>97</v>
      </c>
      <c r="S286" s="1">
        <v>1.0</v>
      </c>
      <c r="T286" s="1">
        <v>1.0</v>
      </c>
      <c r="X286" s="1" t="s">
        <v>29</v>
      </c>
    </row>
    <row r="287">
      <c r="A287" s="3" t="str">
        <f>HYPERLINK("https://stackoverflow.com/q/47025667", "47025667")</f>
        <v>47025667</v>
      </c>
      <c r="B287" s="1" t="s">
        <v>93</v>
      </c>
      <c r="C287" s="1" t="s">
        <v>1020</v>
      </c>
      <c r="D287" s="2" t="s">
        <v>1021</v>
      </c>
      <c r="E287" s="1">
        <v>1.0</v>
      </c>
      <c r="F287" s="1">
        <v>4.7025945E7</v>
      </c>
      <c r="I287" s="1">
        <v>0.0</v>
      </c>
      <c r="J287" s="1">
        <v>142.0</v>
      </c>
      <c r="L287" s="1">
        <v>7465890.0</v>
      </c>
      <c r="Q287" s="1" t="s">
        <v>1022</v>
      </c>
      <c r="R287" s="1" t="s">
        <v>97</v>
      </c>
      <c r="S287" s="1">
        <v>1.0</v>
      </c>
      <c r="T287" s="1">
        <v>0.0</v>
      </c>
      <c r="X287" s="1" t="s">
        <v>29</v>
      </c>
      <c r="Z287" s="1" t="s">
        <v>1022</v>
      </c>
    </row>
    <row r="288">
      <c r="A288" s="3" t="str">
        <f>HYPERLINK("https://stackoverflow.com/q/47087186", "47087186")</f>
        <v>47087186</v>
      </c>
      <c r="B288" s="1" t="s">
        <v>93</v>
      </c>
      <c r="C288" s="1" t="s">
        <v>1023</v>
      </c>
      <c r="D288" s="2" t="s">
        <v>1024</v>
      </c>
      <c r="E288" s="1">
        <v>1.0</v>
      </c>
      <c r="F288" s="1">
        <v>4.7129909E7</v>
      </c>
      <c r="I288" s="1">
        <v>0.0</v>
      </c>
      <c r="J288" s="1">
        <v>234.0</v>
      </c>
      <c r="L288" s="1">
        <v>5663011.0</v>
      </c>
      <c r="Q288" s="1" t="s">
        <v>1025</v>
      </c>
      <c r="R288" s="1" t="s">
        <v>97</v>
      </c>
      <c r="S288" s="1">
        <v>3.0</v>
      </c>
      <c r="T288" s="1">
        <v>0.0</v>
      </c>
      <c r="X288" s="1" t="s">
        <v>29</v>
      </c>
      <c r="Z288" s="1" t="s">
        <v>1026</v>
      </c>
    </row>
    <row r="289">
      <c r="A289" s="3" t="str">
        <f>HYPERLINK("https://stackoverflow.com/q/47194231", "47194231")</f>
        <v>47194231</v>
      </c>
      <c r="B289" s="1" t="s">
        <v>93</v>
      </c>
      <c r="C289" s="1" t="s">
        <v>1027</v>
      </c>
      <c r="D289" s="2" t="s">
        <v>1028</v>
      </c>
      <c r="E289" s="1">
        <v>1.0</v>
      </c>
      <c r="I289" s="1">
        <v>2.0</v>
      </c>
      <c r="J289" s="1">
        <v>749.0</v>
      </c>
      <c r="L289" s="1">
        <v>4902830.0</v>
      </c>
      <c r="N289" s="1">
        <v>555121.0</v>
      </c>
      <c r="P289" s="1" t="s">
        <v>1029</v>
      </c>
      <c r="Q289" s="1" t="s">
        <v>1030</v>
      </c>
      <c r="R289" s="1" t="s">
        <v>97</v>
      </c>
      <c r="S289" s="1">
        <v>3.0</v>
      </c>
      <c r="T289" s="1">
        <v>0.0</v>
      </c>
      <c r="U289" s="1">
        <v>1.0</v>
      </c>
      <c r="X289" s="1" t="s">
        <v>56</v>
      </c>
    </row>
    <row r="290">
      <c r="A290" s="3" t="str">
        <f>HYPERLINK("https://stackoverflow.com/q/47296300", "47296300")</f>
        <v>47296300</v>
      </c>
      <c r="B290" s="1" t="s">
        <v>93</v>
      </c>
      <c r="C290" s="1" t="s">
        <v>1031</v>
      </c>
      <c r="D290" s="2" t="s">
        <v>1032</v>
      </c>
      <c r="E290" s="1">
        <v>1.0</v>
      </c>
      <c r="I290" s="1">
        <v>1.0</v>
      </c>
      <c r="J290" s="1">
        <v>669.0</v>
      </c>
      <c r="L290" s="1">
        <v>1408776.0</v>
      </c>
      <c r="Q290" s="1" t="s">
        <v>1033</v>
      </c>
      <c r="R290" s="1" t="s">
        <v>97</v>
      </c>
      <c r="S290" s="1">
        <v>1.0</v>
      </c>
      <c r="T290" s="1">
        <v>0.0</v>
      </c>
      <c r="U290" s="1">
        <v>1.0</v>
      </c>
      <c r="X290" s="1" t="s">
        <v>29</v>
      </c>
    </row>
    <row r="291">
      <c r="A291" s="3" t="str">
        <f>HYPERLINK("https://stackoverflow.com/q/47305630", "47305630")</f>
        <v>47305630</v>
      </c>
      <c r="B291" s="1" t="s">
        <v>93</v>
      </c>
      <c r="C291" s="1" t="s">
        <v>1034</v>
      </c>
      <c r="D291" s="2" t="s">
        <v>1035</v>
      </c>
      <c r="E291" s="1">
        <v>1.0</v>
      </c>
      <c r="F291" s="1">
        <v>4.7314358E7</v>
      </c>
      <c r="I291" s="1">
        <v>0.0</v>
      </c>
      <c r="J291" s="1">
        <v>221.0</v>
      </c>
      <c r="L291" s="1">
        <v>8944527.0</v>
      </c>
      <c r="N291" s="1">
        <v>1.2892553E7</v>
      </c>
      <c r="P291" s="1" t="s">
        <v>1036</v>
      </c>
      <c r="Q291" s="1" t="s">
        <v>1036</v>
      </c>
      <c r="R291" s="1" t="s">
        <v>97</v>
      </c>
      <c r="S291" s="1">
        <v>1.0</v>
      </c>
      <c r="T291" s="1">
        <v>0.0</v>
      </c>
      <c r="X291" s="1" t="s">
        <v>56</v>
      </c>
      <c r="Z291" s="1" t="s">
        <v>1037</v>
      </c>
    </row>
    <row r="292">
      <c r="A292" s="3" t="str">
        <f>HYPERLINK("https://stackoverflow.com/q/47317006", "47317006")</f>
        <v>47317006</v>
      </c>
      <c r="B292" s="1" t="s">
        <v>93</v>
      </c>
      <c r="C292" s="1" t="s">
        <v>1038</v>
      </c>
      <c r="D292" s="2" t="s">
        <v>1039</v>
      </c>
      <c r="E292" s="1">
        <v>1.0</v>
      </c>
      <c r="F292" s="1">
        <v>4.7317299E7</v>
      </c>
      <c r="I292" s="1">
        <v>1.0</v>
      </c>
      <c r="J292" s="1">
        <v>343.0</v>
      </c>
      <c r="L292" s="1">
        <v>7465890.0</v>
      </c>
      <c r="Q292" s="1" t="s">
        <v>1040</v>
      </c>
      <c r="R292" s="1" t="s">
        <v>97</v>
      </c>
      <c r="S292" s="1">
        <v>1.0</v>
      </c>
      <c r="T292" s="1">
        <v>0.0</v>
      </c>
      <c r="U292" s="1">
        <v>1.0</v>
      </c>
      <c r="X292" s="1" t="s">
        <v>29</v>
      </c>
      <c r="Z292" s="1" t="s">
        <v>1040</v>
      </c>
    </row>
    <row r="293">
      <c r="A293" s="3" t="str">
        <f>HYPERLINK("https://stackoverflow.com/q/47333242", "47333242")</f>
        <v>47333242</v>
      </c>
      <c r="B293" s="1" t="s">
        <v>93</v>
      </c>
      <c r="C293" s="1" t="s">
        <v>1041</v>
      </c>
      <c r="D293" s="2" t="s">
        <v>1042</v>
      </c>
      <c r="E293" s="1">
        <v>1.0</v>
      </c>
      <c r="I293" s="1">
        <v>0.0</v>
      </c>
      <c r="J293" s="1">
        <v>75.0</v>
      </c>
      <c r="L293" s="1">
        <v>7872990.0</v>
      </c>
      <c r="Q293" s="1" t="s">
        <v>1043</v>
      </c>
      <c r="R293" s="1" t="s">
        <v>97</v>
      </c>
      <c r="S293" s="1">
        <v>1.0</v>
      </c>
      <c r="T293" s="1">
        <v>1.0</v>
      </c>
      <c r="X293" s="1" t="s">
        <v>29</v>
      </c>
    </row>
    <row r="294">
      <c r="A294" s="3" t="str">
        <f>HYPERLINK("https://stackoverflow.com/q/47430596", "47430596")</f>
        <v>47430596</v>
      </c>
      <c r="B294" s="1" t="s">
        <v>93</v>
      </c>
      <c r="C294" s="1" t="s">
        <v>1044</v>
      </c>
      <c r="D294" s="2" t="s">
        <v>1045</v>
      </c>
      <c r="E294" s="1">
        <v>1.0</v>
      </c>
      <c r="I294" s="1">
        <v>1.0</v>
      </c>
      <c r="J294" s="1">
        <v>791.0</v>
      </c>
      <c r="L294" s="1">
        <v>8978738.0</v>
      </c>
      <c r="N294" s="1">
        <v>555121.0</v>
      </c>
      <c r="P294" s="1" t="s">
        <v>1046</v>
      </c>
      <c r="Q294" s="1" t="s">
        <v>1046</v>
      </c>
      <c r="R294" s="1" t="s">
        <v>1047</v>
      </c>
      <c r="S294" s="1">
        <v>1.0</v>
      </c>
      <c r="T294" s="1">
        <v>1.0</v>
      </c>
      <c r="U294" s="1">
        <v>1.0</v>
      </c>
      <c r="X294" s="1" t="s">
        <v>56</v>
      </c>
    </row>
    <row r="295">
      <c r="A295" s="3" t="str">
        <f>HYPERLINK("https://stackoverflow.com/q/47442099", "47442099")</f>
        <v>47442099</v>
      </c>
      <c r="B295" s="1" t="s">
        <v>93</v>
      </c>
      <c r="C295" s="1" t="s">
        <v>1048</v>
      </c>
      <c r="D295" s="2" t="s">
        <v>1049</v>
      </c>
      <c r="E295" s="1">
        <v>1.0</v>
      </c>
      <c r="F295" s="1">
        <v>4.7442519E7</v>
      </c>
      <c r="I295" s="1">
        <v>1.0</v>
      </c>
      <c r="J295" s="1">
        <v>249.0</v>
      </c>
      <c r="L295" s="1">
        <v>8992831.0</v>
      </c>
      <c r="Q295" s="1" t="s">
        <v>1050</v>
      </c>
      <c r="R295" s="1" t="s">
        <v>190</v>
      </c>
      <c r="S295" s="1">
        <v>1.0</v>
      </c>
      <c r="T295" s="1">
        <v>0.0</v>
      </c>
      <c r="X295" s="1" t="s">
        <v>29</v>
      </c>
      <c r="Z295" s="1" t="s">
        <v>1051</v>
      </c>
    </row>
    <row r="296">
      <c r="A296" s="3" t="str">
        <f>HYPERLINK("https://stackoverflow.com/q/47451392", "47451392")</f>
        <v>47451392</v>
      </c>
      <c r="B296" s="1" t="s">
        <v>93</v>
      </c>
      <c r="C296" s="1" t="s">
        <v>1052</v>
      </c>
      <c r="D296" s="2" t="s">
        <v>1053</v>
      </c>
      <c r="E296" s="1">
        <v>1.0</v>
      </c>
      <c r="F296" s="1">
        <v>4.7477534E7</v>
      </c>
      <c r="I296" s="1">
        <v>0.0</v>
      </c>
      <c r="J296" s="1">
        <v>223.0</v>
      </c>
      <c r="L296" s="1">
        <v>7488715.0</v>
      </c>
      <c r="Q296" s="1" t="s">
        <v>1054</v>
      </c>
      <c r="R296" s="1" t="s">
        <v>97</v>
      </c>
      <c r="S296" s="1">
        <v>1.0</v>
      </c>
      <c r="T296" s="1">
        <v>0.0</v>
      </c>
      <c r="X296" s="1" t="s">
        <v>29</v>
      </c>
      <c r="Z296" s="1" t="s">
        <v>1054</v>
      </c>
    </row>
    <row r="297">
      <c r="A297" s="3" t="str">
        <f>HYPERLINK("https://stackoverflow.com/q/47518599", "47518599")</f>
        <v>47518599</v>
      </c>
      <c r="B297" s="1" t="s">
        <v>93</v>
      </c>
      <c r="C297" s="1" t="s">
        <v>1055</v>
      </c>
      <c r="D297" s="2" t="s">
        <v>1056</v>
      </c>
      <c r="E297" s="1">
        <v>1.0</v>
      </c>
      <c r="F297" s="1">
        <v>4.7542651E7</v>
      </c>
      <c r="I297" s="1">
        <v>1.0</v>
      </c>
      <c r="J297" s="1">
        <v>410.0</v>
      </c>
      <c r="L297" s="1">
        <v>8605513.0</v>
      </c>
      <c r="N297" s="1">
        <v>8605513.0</v>
      </c>
      <c r="P297" s="1" t="s">
        <v>1057</v>
      </c>
      <c r="Q297" s="1" t="s">
        <v>1058</v>
      </c>
      <c r="R297" s="1" t="s">
        <v>696</v>
      </c>
      <c r="S297" s="1">
        <v>1.0</v>
      </c>
      <c r="T297" s="1">
        <v>0.0</v>
      </c>
      <c r="U297" s="1">
        <v>1.0</v>
      </c>
      <c r="X297" s="1" t="s">
        <v>29</v>
      </c>
      <c r="Z297" s="1" t="s">
        <v>1058</v>
      </c>
    </row>
    <row r="298">
      <c r="A298" s="3" t="str">
        <f>HYPERLINK("https://stackoverflow.com/q/47520197", "47520197")</f>
        <v>47520197</v>
      </c>
      <c r="B298" s="1" t="s">
        <v>93</v>
      </c>
      <c r="C298" s="1" t="s">
        <v>1059</v>
      </c>
      <c r="D298" s="2" t="s">
        <v>1060</v>
      </c>
      <c r="E298" s="1">
        <v>1.0</v>
      </c>
      <c r="F298" s="1">
        <v>4.7601611E7</v>
      </c>
      <c r="I298" s="1">
        <v>1.0</v>
      </c>
      <c r="J298" s="1">
        <v>429.0</v>
      </c>
      <c r="L298" s="1">
        <v>7709702.0</v>
      </c>
      <c r="Q298" s="1" t="s">
        <v>1061</v>
      </c>
      <c r="R298" s="1" t="s">
        <v>97</v>
      </c>
      <c r="S298" s="1">
        <v>1.0</v>
      </c>
      <c r="T298" s="1">
        <v>0.0</v>
      </c>
      <c r="X298" s="1" t="s">
        <v>29</v>
      </c>
      <c r="Z298" s="1" t="s">
        <v>1061</v>
      </c>
    </row>
    <row r="299">
      <c r="A299" s="3" t="str">
        <f>HYPERLINK("https://stackoverflow.com/q/47522277", "47522277")</f>
        <v>47522277</v>
      </c>
      <c r="B299" s="1" t="s">
        <v>93</v>
      </c>
      <c r="C299" s="1" t="s">
        <v>1062</v>
      </c>
      <c r="D299" s="2" t="s">
        <v>1063</v>
      </c>
      <c r="E299" s="1">
        <v>1.0</v>
      </c>
      <c r="I299" s="1">
        <v>0.0</v>
      </c>
      <c r="J299" s="1">
        <v>307.0</v>
      </c>
      <c r="L299" s="1">
        <v>8017626.0</v>
      </c>
      <c r="Q299" s="1" t="s">
        <v>1064</v>
      </c>
      <c r="R299" s="1" t="s">
        <v>97</v>
      </c>
      <c r="S299" s="1">
        <v>1.0</v>
      </c>
      <c r="T299" s="1">
        <v>0.0</v>
      </c>
      <c r="X299" s="1" t="s">
        <v>29</v>
      </c>
    </row>
    <row r="300">
      <c r="A300" s="3" t="str">
        <f>HYPERLINK("https://stackoverflow.com/q/47704069", "47704069")</f>
        <v>47704069</v>
      </c>
      <c r="B300" s="1" t="s">
        <v>93</v>
      </c>
      <c r="C300" s="1" t="s">
        <v>1065</v>
      </c>
      <c r="D300" s="2" t="s">
        <v>1066</v>
      </c>
      <c r="E300" s="1">
        <v>1.0</v>
      </c>
      <c r="F300" s="1">
        <v>4.7705874E7</v>
      </c>
      <c r="I300" s="1">
        <v>1.0</v>
      </c>
      <c r="J300" s="1">
        <v>757.0</v>
      </c>
      <c r="L300" s="1">
        <v>3850478.0</v>
      </c>
      <c r="Q300" s="1" t="s">
        <v>1067</v>
      </c>
      <c r="R300" s="1" t="s">
        <v>1068</v>
      </c>
      <c r="S300" s="1">
        <v>2.0</v>
      </c>
      <c r="T300" s="1">
        <v>0.0</v>
      </c>
      <c r="X300" s="1" t="s">
        <v>29</v>
      </c>
      <c r="Z300" s="1" t="s">
        <v>1069</v>
      </c>
    </row>
    <row r="301">
      <c r="A301" s="3" t="str">
        <f>HYPERLINK("https://stackoverflow.com/q/47705174", "47705174")</f>
        <v>47705174</v>
      </c>
      <c r="B301" s="1" t="s">
        <v>93</v>
      </c>
      <c r="C301" s="1" t="s">
        <v>1070</v>
      </c>
      <c r="D301" s="2" t="s">
        <v>1071</v>
      </c>
      <c r="E301" s="1">
        <v>1.0</v>
      </c>
      <c r="I301" s="1">
        <v>0.0</v>
      </c>
      <c r="J301" s="1">
        <v>504.0</v>
      </c>
      <c r="L301" s="1">
        <v>8605513.0</v>
      </c>
      <c r="Q301" s="1" t="s">
        <v>1072</v>
      </c>
      <c r="R301" s="1" t="s">
        <v>97</v>
      </c>
      <c r="S301" s="1">
        <v>1.0</v>
      </c>
      <c r="T301" s="1">
        <v>0.0</v>
      </c>
      <c r="X301" s="1" t="s">
        <v>29</v>
      </c>
    </row>
    <row r="302">
      <c r="A302" s="3" t="str">
        <f>HYPERLINK("https://stackoverflow.com/q/47706182", "47706182")</f>
        <v>47706182</v>
      </c>
      <c r="B302" s="1" t="s">
        <v>93</v>
      </c>
      <c r="C302" s="1" t="s">
        <v>1073</v>
      </c>
      <c r="D302" s="2" t="s">
        <v>1074</v>
      </c>
      <c r="E302" s="1">
        <v>1.0</v>
      </c>
      <c r="I302" s="1">
        <v>1.0</v>
      </c>
      <c r="J302" s="1">
        <v>802.0</v>
      </c>
      <c r="L302" s="1">
        <v>8605513.0</v>
      </c>
      <c r="Q302" s="1" t="s">
        <v>1075</v>
      </c>
      <c r="R302" s="1" t="s">
        <v>97</v>
      </c>
      <c r="S302" s="1">
        <v>1.0</v>
      </c>
      <c r="T302" s="1">
        <v>0.0</v>
      </c>
      <c r="X302" s="1" t="s">
        <v>29</v>
      </c>
    </row>
    <row r="303">
      <c r="A303" s="3" t="str">
        <f>HYPERLINK("https://stackoverflow.com/q/47731051", "47731051")</f>
        <v>47731051</v>
      </c>
      <c r="B303" s="1" t="s">
        <v>93</v>
      </c>
      <c r="C303" s="1" t="s">
        <v>1076</v>
      </c>
      <c r="D303" s="2" t="s">
        <v>1077</v>
      </c>
      <c r="E303" s="1">
        <v>1.0</v>
      </c>
      <c r="F303" s="1">
        <v>4.7757836E7</v>
      </c>
      <c r="I303" s="1">
        <v>1.0</v>
      </c>
      <c r="J303" s="1">
        <v>337.0</v>
      </c>
      <c r="L303" s="1">
        <v>7215091.0</v>
      </c>
      <c r="N303" s="1">
        <v>7215091.0</v>
      </c>
      <c r="P303" s="1" t="s">
        <v>1078</v>
      </c>
      <c r="Q303" s="1" t="s">
        <v>1079</v>
      </c>
      <c r="R303" s="1" t="s">
        <v>97</v>
      </c>
      <c r="S303" s="1">
        <v>2.0</v>
      </c>
      <c r="T303" s="1">
        <v>0.0</v>
      </c>
      <c r="X303" s="1" t="s">
        <v>29</v>
      </c>
      <c r="Z303" s="1" t="s">
        <v>1080</v>
      </c>
    </row>
    <row r="304">
      <c r="A304" s="3" t="str">
        <f>HYPERLINK("https://stackoverflow.com/q/47737631", "47737631")</f>
        <v>47737631</v>
      </c>
      <c r="B304" s="1" t="s">
        <v>93</v>
      </c>
      <c r="C304" s="1" t="s">
        <v>1081</v>
      </c>
      <c r="D304" s="2" t="s">
        <v>1082</v>
      </c>
      <c r="E304" s="1">
        <v>1.0</v>
      </c>
      <c r="F304" s="1">
        <v>4.7758205E7</v>
      </c>
      <c r="I304" s="1">
        <v>0.0</v>
      </c>
      <c r="J304" s="1">
        <v>1363.0</v>
      </c>
      <c r="L304" s="1">
        <v>4149512.0</v>
      </c>
      <c r="Q304" s="1" t="s">
        <v>1083</v>
      </c>
      <c r="R304" s="1" t="s">
        <v>97</v>
      </c>
      <c r="S304" s="1">
        <v>3.0</v>
      </c>
      <c r="T304" s="1">
        <v>0.0</v>
      </c>
      <c r="X304" s="1" t="s">
        <v>29</v>
      </c>
      <c r="Z304" s="1" t="s">
        <v>1084</v>
      </c>
    </row>
    <row r="305">
      <c r="A305" s="3" t="str">
        <f>HYPERLINK("https://stackoverflow.com/q/47742984", "47742984")</f>
        <v>47742984</v>
      </c>
      <c r="B305" s="1" t="s">
        <v>93</v>
      </c>
      <c r="C305" s="1" t="s">
        <v>1085</v>
      </c>
      <c r="D305" s="2" t="s">
        <v>1086</v>
      </c>
      <c r="E305" s="1">
        <v>1.0</v>
      </c>
      <c r="I305" s="1">
        <v>0.0</v>
      </c>
      <c r="J305" s="1">
        <v>567.0</v>
      </c>
      <c r="L305" s="1">
        <v>5962284.0</v>
      </c>
      <c r="Q305" s="1" t="s">
        <v>1087</v>
      </c>
      <c r="R305" s="1" t="s">
        <v>190</v>
      </c>
      <c r="S305" s="1">
        <v>1.0</v>
      </c>
      <c r="T305" s="1">
        <v>2.0</v>
      </c>
      <c r="X305" s="1" t="s">
        <v>29</v>
      </c>
    </row>
    <row r="306">
      <c r="A306" s="3" t="str">
        <f>HYPERLINK("https://stackoverflow.com/q/47764200", "47764200")</f>
        <v>47764200</v>
      </c>
      <c r="B306" s="1" t="s">
        <v>93</v>
      </c>
      <c r="C306" s="1" t="s">
        <v>1088</v>
      </c>
      <c r="D306" s="2" t="s">
        <v>1089</v>
      </c>
      <c r="E306" s="1">
        <v>1.0</v>
      </c>
      <c r="F306" s="1">
        <v>4.7777785E7</v>
      </c>
      <c r="I306" s="1">
        <v>0.0</v>
      </c>
      <c r="J306" s="1">
        <v>559.0</v>
      </c>
      <c r="L306" s="1">
        <v>7215091.0</v>
      </c>
      <c r="N306" s="1">
        <v>7215091.0</v>
      </c>
      <c r="P306" s="1" t="s">
        <v>1090</v>
      </c>
      <c r="Q306" s="1" t="s">
        <v>1091</v>
      </c>
      <c r="R306" s="1" t="s">
        <v>97</v>
      </c>
      <c r="S306" s="1">
        <v>2.0</v>
      </c>
      <c r="T306" s="1">
        <v>0.0</v>
      </c>
      <c r="U306" s="1">
        <v>1.0</v>
      </c>
      <c r="X306" s="1" t="s">
        <v>29</v>
      </c>
      <c r="Z306" s="1" t="s">
        <v>1092</v>
      </c>
    </row>
    <row r="307">
      <c r="A307" s="3" t="str">
        <f>HYPERLINK("https://stackoverflow.com/q/47795639", "47795639")</f>
        <v>47795639</v>
      </c>
      <c r="B307" s="1" t="s">
        <v>93</v>
      </c>
      <c r="C307" s="1" t="s">
        <v>1093</v>
      </c>
      <c r="D307" s="2" t="s">
        <v>1094</v>
      </c>
      <c r="E307" s="1">
        <v>1.0</v>
      </c>
      <c r="I307" s="1">
        <v>0.0</v>
      </c>
      <c r="J307" s="1">
        <v>272.0</v>
      </c>
      <c r="L307" s="1">
        <v>9094383.0</v>
      </c>
      <c r="Q307" s="1" t="s">
        <v>1095</v>
      </c>
      <c r="R307" s="1" t="s">
        <v>97</v>
      </c>
      <c r="S307" s="1">
        <v>1.0</v>
      </c>
      <c r="T307" s="1">
        <v>1.0</v>
      </c>
      <c r="X307" s="1" t="s">
        <v>29</v>
      </c>
    </row>
    <row r="308">
      <c r="A308" s="3" t="str">
        <f>HYPERLINK("https://stackoverflow.com/q/47802967", "47802967")</f>
        <v>47802967</v>
      </c>
      <c r="B308" s="1" t="s">
        <v>93</v>
      </c>
      <c r="C308" s="1" t="s">
        <v>1096</v>
      </c>
      <c r="D308" s="2" t="s">
        <v>1097</v>
      </c>
      <c r="E308" s="1">
        <v>1.0</v>
      </c>
      <c r="F308" s="1">
        <v>4.7803162E7</v>
      </c>
      <c r="I308" s="1">
        <v>1.0</v>
      </c>
      <c r="J308" s="1">
        <v>1237.0</v>
      </c>
      <c r="L308" s="1">
        <v>7215091.0</v>
      </c>
      <c r="N308" s="1">
        <v>7215091.0</v>
      </c>
      <c r="P308" s="1" t="s">
        <v>1098</v>
      </c>
      <c r="Q308" s="1" t="s">
        <v>1099</v>
      </c>
      <c r="R308" s="1" t="s">
        <v>97</v>
      </c>
      <c r="S308" s="1">
        <v>1.0</v>
      </c>
      <c r="T308" s="1">
        <v>0.0</v>
      </c>
      <c r="X308" s="1" t="s">
        <v>29</v>
      </c>
      <c r="Z308" s="1" t="s">
        <v>1099</v>
      </c>
    </row>
    <row r="309">
      <c r="A309" s="3" t="str">
        <f>HYPERLINK("https://stackoverflow.com/q/47817723", "47817723")</f>
        <v>47817723</v>
      </c>
      <c r="B309" s="1" t="s">
        <v>93</v>
      </c>
      <c r="C309" s="1" t="s">
        <v>1100</v>
      </c>
      <c r="D309" s="2" t="s">
        <v>1101</v>
      </c>
      <c r="E309" s="1">
        <v>1.0</v>
      </c>
      <c r="F309" s="1">
        <v>4.7819995E7</v>
      </c>
      <c r="I309" s="1">
        <v>1.0</v>
      </c>
      <c r="J309" s="1">
        <v>772.0</v>
      </c>
      <c r="L309" s="1">
        <v>9099755.0</v>
      </c>
      <c r="N309" s="1">
        <v>5007059.0</v>
      </c>
      <c r="P309" s="1" t="s">
        <v>1102</v>
      </c>
      <c r="Q309" s="1" t="s">
        <v>1103</v>
      </c>
      <c r="R309" s="1" t="s">
        <v>1104</v>
      </c>
      <c r="S309" s="1">
        <v>2.0</v>
      </c>
      <c r="T309" s="1">
        <v>0.0</v>
      </c>
      <c r="U309" s="1">
        <v>1.0</v>
      </c>
      <c r="X309" s="1" t="s">
        <v>29</v>
      </c>
      <c r="Z309" s="1" t="s">
        <v>1105</v>
      </c>
    </row>
    <row r="310">
      <c r="A310" s="3" t="str">
        <f>HYPERLINK("https://stackoverflow.com/q/47820165", "47820165")</f>
        <v>47820165</v>
      </c>
      <c r="B310" s="1" t="s">
        <v>93</v>
      </c>
      <c r="C310" s="1" t="s">
        <v>1106</v>
      </c>
      <c r="D310" s="2" t="s">
        <v>1107</v>
      </c>
      <c r="E310" s="1">
        <v>1.0</v>
      </c>
      <c r="F310" s="1">
        <v>4.7820497E7</v>
      </c>
      <c r="I310" s="1">
        <v>0.0</v>
      </c>
      <c r="J310" s="1">
        <v>581.0</v>
      </c>
      <c r="L310" s="1">
        <v>3247279.0</v>
      </c>
      <c r="Q310" s="1" t="s">
        <v>1108</v>
      </c>
      <c r="R310" s="1" t="s">
        <v>97</v>
      </c>
      <c r="S310" s="1">
        <v>1.0</v>
      </c>
      <c r="T310" s="1">
        <v>0.0</v>
      </c>
      <c r="X310" s="1" t="s">
        <v>29</v>
      </c>
      <c r="Z310" s="1" t="s">
        <v>1108</v>
      </c>
    </row>
    <row r="311">
      <c r="A311" s="3" t="str">
        <f>HYPERLINK("https://stackoverflow.com/q/47820479", "47820479")</f>
        <v>47820479</v>
      </c>
      <c r="B311" s="1" t="s">
        <v>93</v>
      </c>
      <c r="C311" s="1" t="s">
        <v>1109</v>
      </c>
      <c r="D311" s="2" t="s">
        <v>1110</v>
      </c>
      <c r="E311" s="1">
        <v>1.0</v>
      </c>
      <c r="F311" s="1">
        <v>4.782106E7</v>
      </c>
      <c r="I311" s="1">
        <v>0.0</v>
      </c>
      <c r="J311" s="1">
        <v>220.0</v>
      </c>
      <c r="L311" s="1">
        <v>3850478.0</v>
      </c>
      <c r="N311" s="1">
        <v>454137.0</v>
      </c>
      <c r="P311" s="1" t="s">
        <v>1111</v>
      </c>
      <c r="Q311" s="1" t="s">
        <v>1111</v>
      </c>
      <c r="R311" s="1" t="s">
        <v>97</v>
      </c>
      <c r="S311" s="1">
        <v>1.0</v>
      </c>
      <c r="T311" s="1">
        <v>0.0</v>
      </c>
      <c r="X311" s="1" t="s">
        <v>29</v>
      </c>
      <c r="Z311" s="1" t="s">
        <v>1112</v>
      </c>
    </row>
    <row r="312">
      <c r="A312" s="3" t="str">
        <f>HYPERLINK("https://stackoverflow.com/q/47823345", "47823345")</f>
        <v>47823345</v>
      </c>
      <c r="B312" s="1" t="s">
        <v>93</v>
      </c>
      <c r="C312" s="1" t="s">
        <v>1113</v>
      </c>
      <c r="D312" s="2" t="s">
        <v>1114</v>
      </c>
      <c r="E312" s="1">
        <v>1.0</v>
      </c>
      <c r="F312" s="1">
        <v>4.7823889E7</v>
      </c>
      <c r="I312" s="1">
        <v>2.0</v>
      </c>
      <c r="J312" s="1">
        <v>580.0</v>
      </c>
      <c r="L312" s="1">
        <v>8605513.0</v>
      </c>
      <c r="Q312" s="1" t="s">
        <v>1115</v>
      </c>
      <c r="R312" s="1" t="s">
        <v>97</v>
      </c>
      <c r="S312" s="1">
        <v>2.0</v>
      </c>
      <c r="T312" s="1">
        <v>0.0</v>
      </c>
      <c r="U312" s="1">
        <v>1.0</v>
      </c>
      <c r="X312" s="1" t="s">
        <v>29</v>
      </c>
      <c r="Z312" s="1" t="s">
        <v>1116</v>
      </c>
    </row>
    <row r="313">
      <c r="A313" s="3" t="str">
        <f>HYPERLINK("https://stackoverflow.com/q/47830107", "47830107")</f>
        <v>47830107</v>
      </c>
      <c r="B313" s="1" t="s">
        <v>93</v>
      </c>
      <c r="C313" s="1" t="s">
        <v>1117</v>
      </c>
      <c r="D313" s="2" t="s">
        <v>1118</v>
      </c>
      <c r="E313" s="1">
        <v>1.0</v>
      </c>
      <c r="F313" s="1">
        <v>4.787719E7</v>
      </c>
      <c r="I313" s="1">
        <v>1.0</v>
      </c>
      <c r="J313" s="1">
        <v>740.0</v>
      </c>
      <c r="L313" s="1">
        <v>9102869.0</v>
      </c>
      <c r="N313" s="1">
        <v>9102869.0</v>
      </c>
      <c r="P313" s="1" t="s">
        <v>1119</v>
      </c>
      <c r="Q313" s="1" t="s">
        <v>1120</v>
      </c>
      <c r="R313" s="1" t="s">
        <v>1121</v>
      </c>
      <c r="S313" s="1">
        <v>2.0</v>
      </c>
      <c r="T313" s="1">
        <v>2.0</v>
      </c>
      <c r="X313" s="1" t="s">
        <v>29</v>
      </c>
      <c r="Z313" s="1" t="s">
        <v>1120</v>
      </c>
    </row>
    <row r="314">
      <c r="A314" s="3" t="str">
        <f>HYPERLINK("https://stackoverflow.com/q/47886587", "47886587")</f>
        <v>47886587</v>
      </c>
      <c r="B314" s="1" t="s">
        <v>93</v>
      </c>
      <c r="C314" s="1" t="s">
        <v>1122</v>
      </c>
      <c r="D314" s="2" t="s">
        <v>1123</v>
      </c>
      <c r="E314" s="1">
        <v>1.0</v>
      </c>
      <c r="F314" s="1">
        <v>4.789225E7</v>
      </c>
      <c r="I314" s="1">
        <v>0.0</v>
      </c>
      <c r="J314" s="1">
        <v>549.0</v>
      </c>
      <c r="L314" s="1">
        <v>476968.0</v>
      </c>
      <c r="Q314" s="1" t="s">
        <v>1124</v>
      </c>
      <c r="R314" s="1" t="s">
        <v>97</v>
      </c>
      <c r="S314" s="1">
        <v>1.0</v>
      </c>
      <c r="T314" s="1">
        <v>0.0</v>
      </c>
      <c r="X314" s="1" t="s">
        <v>29</v>
      </c>
      <c r="Z314" s="1" t="s">
        <v>1125</v>
      </c>
    </row>
    <row r="315">
      <c r="A315" s="3" t="str">
        <f>HYPERLINK("https://stackoverflow.com/q/47910518", "47910518")</f>
        <v>47910518</v>
      </c>
      <c r="B315" s="1" t="s">
        <v>93</v>
      </c>
      <c r="C315" s="1" t="s">
        <v>1126</v>
      </c>
      <c r="D315" s="2" t="s">
        <v>1127</v>
      </c>
      <c r="E315" s="1">
        <v>1.0</v>
      </c>
      <c r="F315" s="1">
        <v>4.7914817E7</v>
      </c>
      <c r="I315" s="1">
        <v>0.0</v>
      </c>
      <c r="J315" s="1">
        <v>256.0</v>
      </c>
      <c r="L315" s="1">
        <v>3850478.0</v>
      </c>
      <c r="Q315" s="1" t="s">
        <v>1128</v>
      </c>
      <c r="R315" s="1" t="s">
        <v>97</v>
      </c>
      <c r="S315" s="1">
        <v>1.0</v>
      </c>
      <c r="T315" s="1">
        <v>0.0</v>
      </c>
      <c r="X315" s="1" t="s">
        <v>29</v>
      </c>
      <c r="Z315" s="1" t="s">
        <v>1128</v>
      </c>
    </row>
    <row r="316">
      <c r="A316" s="3" t="str">
        <f>HYPERLINK("https://stackoverflow.com/q/47943399", "47943399")</f>
        <v>47943399</v>
      </c>
      <c r="B316" s="1" t="s">
        <v>93</v>
      </c>
      <c r="C316" s="1" t="s">
        <v>1129</v>
      </c>
      <c r="D316" s="2" t="s">
        <v>1130</v>
      </c>
      <c r="E316" s="1">
        <v>1.0</v>
      </c>
      <c r="I316" s="1">
        <v>0.0</v>
      </c>
      <c r="J316" s="1">
        <v>374.0</v>
      </c>
      <c r="L316" s="1">
        <v>9102869.0</v>
      </c>
      <c r="Q316" s="1" t="s">
        <v>1131</v>
      </c>
      <c r="R316" s="1" t="s">
        <v>696</v>
      </c>
      <c r="S316" s="1">
        <v>1.0</v>
      </c>
      <c r="T316" s="1">
        <v>0.0</v>
      </c>
      <c r="X316" s="1" t="s">
        <v>29</v>
      </c>
    </row>
    <row r="317">
      <c r="A317" s="3" t="str">
        <f>HYPERLINK("https://stackoverflow.com/q/48054534", "48054534")</f>
        <v>48054534</v>
      </c>
      <c r="B317" s="1" t="s">
        <v>93</v>
      </c>
      <c r="C317" s="1" t="s">
        <v>1132</v>
      </c>
      <c r="D317" s="2" t="s">
        <v>1133</v>
      </c>
      <c r="E317" s="1">
        <v>1.0</v>
      </c>
      <c r="I317" s="1">
        <v>0.0</v>
      </c>
      <c r="J317" s="1">
        <v>220.0</v>
      </c>
      <c r="L317" s="1">
        <v>6032956.0</v>
      </c>
      <c r="Q317" s="1" t="s">
        <v>1134</v>
      </c>
      <c r="R317" s="1" t="s">
        <v>97</v>
      </c>
      <c r="S317" s="1">
        <v>2.0</v>
      </c>
      <c r="T317" s="1">
        <v>0.0</v>
      </c>
      <c r="X317" s="1" t="s">
        <v>29</v>
      </c>
    </row>
    <row r="318">
      <c r="A318" s="3" t="str">
        <f>HYPERLINK("https://stackoverflow.com/q/48082476", "48082476")</f>
        <v>48082476</v>
      </c>
      <c r="B318" s="1" t="s">
        <v>93</v>
      </c>
      <c r="C318" s="1" t="s">
        <v>1135</v>
      </c>
      <c r="D318" s="2" t="s">
        <v>1136</v>
      </c>
      <c r="E318" s="1">
        <v>1.0</v>
      </c>
      <c r="I318" s="1">
        <v>0.0</v>
      </c>
      <c r="J318" s="1">
        <v>93.0</v>
      </c>
      <c r="L318" s="1">
        <v>8581085.0</v>
      </c>
      <c r="N318" s="1">
        <v>5320906.0</v>
      </c>
      <c r="P318" s="1" t="s">
        <v>1137</v>
      </c>
      <c r="Q318" s="1" t="s">
        <v>1138</v>
      </c>
      <c r="R318" s="1" t="s">
        <v>190</v>
      </c>
      <c r="S318" s="1">
        <v>1.0</v>
      </c>
      <c r="T318" s="1">
        <v>0.0</v>
      </c>
      <c r="X318" s="1" t="s">
        <v>29</v>
      </c>
    </row>
    <row r="319">
      <c r="A319" s="3" t="str">
        <f>HYPERLINK("https://stackoverflow.com/q/48190454", "48190454")</f>
        <v>48190454</v>
      </c>
      <c r="B319" s="1" t="s">
        <v>93</v>
      </c>
      <c r="C319" s="1" t="s">
        <v>1139</v>
      </c>
      <c r="D319" s="2" t="s">
        <v>1140</v>
      </c>
      <c r="E319" s="1">
        <v>1.0</v>
      </c>
      <c r="I319" s="1">
        <v>0.0</v>
      </c>
      <c r="J319" s="1">
        <v>79.0</v>
      </c>
      <c r="L319" s="1">
        <v>8605513.0</v>
      </c>
      <c r="Q319" s="1" t="s">
        <v>1141</v>
      </c>
      <c r="R319" s="1" t="s">
        <v>97</v>
      </c>
      <c r="S319" s="1">
        <v>1.0</v>
      </c>
      <c r="T319" s="1">
        <v>0.0</v>
      </c>
      <c r="X319" s="1" t="s">
        <v>29</v>
      </c>
    </row>
    <row r="320">
      <c r="A320" s="3" t="str">
        <f>HYPERLINK("https://stackoverflow.com/q/48267239", "48267239")</f>
        <v>48267239</v>
      </c>
      <c r="B320" s="1" t="s">
        <v>93</v>
      </c>
      <c r="C320" s="1" t="s">
        <v>1142</v>
      </c>
      <c r="D320" s="2" t="s">
        <v>1143</v>
      </c>
      <c r="E320" s="1">
        <v>1.0</v>
      </c>
      <c r="I320" s="1">
        <v>0.0</v>
      </c>
      <c r="J320" s="1">
        <v>469.0</v>
      </c>
      <c r="L320" s="1">
        <v>9220376.0</v>
      </c>
      <c r="N320" s="1">
        <v>555121.0</v>
      </c>
      <c r="P320" s="1" t="s">
        <v>1144</v>
      </c>
      <c r="Q320" s="1" t="s">
        <v>1144</v>
      </c>
      <c r="R320" s="1" t="s">
        <v>97</v>
      </c>
      <c r="S320" s="1">
        <v>1.0</v>
      </c>
      <c r="T320" s="1">
        <v>0.0</v>
      </c>
      <c r="U320" s="1">
        <v>0.0</v>
      </c>
      <c r="X320" s="1" t="s">
        <v>56</v>
      </c>
    </row>
    <row r="321">
      <c r="A321" s="3" t="str">
        <f>HYPERLINK("https://stackoverflow.com/q/48279047", "48279047")</f>
        <v>48279047</v>
      </c>
      <c r="B321" s="1" t="s">
        <v>93</v>
      </c>
      <c r="C321" s="1" t="s">
        <v>1145</v>
      </c>
      <c r="D321" s="2" t="s">
        <v>1146</v>
      </c>
      <c r="E321" s="1">
        <v>1.0</v>
      </c>
      <c r="F321" s="1">
        <v>4.8283713E7</v>
      </c>
      <c r="I321" s="1">
        <v>0.0</v>
      </c>
      <c r="J321" s="1">
        <v>89.0</v>
      </c>
      <c r="L321" s="1">
        <v>8439919.0</v>
      </c>
      <c r="Q321" s="1" t="s">
        <v>1147</v>
      </c>
      <c r="R321" s="1" t="s">
        <v>97</v>
      </c>
      <c r="S321" s="1">
        <v>2.0</v>
      </c>
      <c r="T321" s="1">
        <v>0.0</v>
      </c>
      <c r="X321" s="1" t="s">
        <v>29</v>
      </c>
      <c r="Z321" s="1" t="s">
        <v>1148</v>
      </c>
    </row>
    <row r="322">
      <c r="A322" s="3" t="str">
        <f>HYPERLINK("https://stackoverflow.com/q/48287957", "48287957")</f>
        <v>48287957</v>
      </c>
      <c r="B322" s="1" t="s">
        <v>93</v>
      </c>
      <c r="C322" s="1" t="s">
        <v>1149</v>
      </c>
      <c r="D322" s="2" t="s">
        <v>1150</v>
      </c>
      <c r="E322" s="1">
        <v>1.0</v>
      </c>
      <c r="I322" s="1">
        <v>3.0</v>
      </c>
      <c r="J322" s="1">
        <v>2301.0</v>
      </c>
      <c r="L322" s="1">
        <v>9225917.0</v>
      </c>
      <c r="N322" s="1">
        <v>454137.0</v>
      </c>
      <c r="P322" s="1" t="s">
        <v>1151</v>
      </c>
      <c r="Q322" s="1" t="s">
        <v>1152</v>
      </c>
      <c r="R322" s="1" t="s">
        <v>97</v>
      </c>
      <c r="S322" s="1">
        <v>1.0</v>
      </c>
      <c r="T322" s="1">
        <v>1.0</v>
      </c>
      <c r="U322" s="1">
        <v>6.0</v>
      </c>
      <c r="X322" s="1" t="s">
        <v>29</v>
      </c>
    </row>
    <row r="323">
      <c r="A323" s="3" t="str">
        <f>HYPERLINK("https://stackoverflow.com/q/48291882", "48291882")</f>
        <v>48291882</v>
      </c>
      <c r="B323" s="1" t="s">
        <v>93</v>
      </c>
      <c r="C323" s="1" t="s">
        <v>1153</v>
      </c>
      <c r="D323" s="2" t="s">
        <v>1154</v>
      </c>
      <c r="E323" s="1">
        <v>1.0</v>
      </c>
      <c r="I323" s="1">
        <v>0.0</v>
      </c>
      <c r="J323" s="1">
        <v>336.0</v>
      </c>
      <c r="L323" s="1">
        <v>8605513.0</v>
      </c>
      <c r="Q323" s="1" t="s">
        <v>1155</v>
      </c>
      <c r="R323" s="1" t="s">
        <v>97</v>
      </c>
      <c r="S323" s="1">
        <v>3.0</v>
      </c>
      <c r="T323" s="1">
        <v>0.0</v>
      </c>
      <c r="X323" s="1" t="s">
        <v>29</v>
      </c>
    </row>
    <row r="324">
      <c r="A324" s="3" t="str">
        <f>HYPERLINK("https://stackoverflow.com/q/48324549", "48324549")</f>
        <v>48324549</v>
      </c>
      <c r="B324" s="1" t="s">
        <v>93</v>
      </c>
      <c r="C324" s="1" t="s">
        <v>1156</v>
      </c>
      <c r="D324" s="2" t="s">
        <v>1157</v>
      </c>
      <c r="E324" s="1">
        <v>1.0</v>
      </c>
      <c r="F324" s="1">
        <v>4.8328978E7</v>
      </c>
      <c r="I324" s="1">
        <v>0.0</v>
      </c>
      <c r="J324" s="1">
        <v>244.0</v>
      </c>
      <c r="L324" s="1">
        <v>9235558.0</v>
      </c>
      <c r="Q324" s="1" t="s">
        <v>1158</v>
      </c>
      <c r="R324" s="1" t="s">
        <v>1159</v>
      </c>
      <c r="S324" s="1">
        <v>1.0</v>
      </c>
      <c r="T324" s="1">
        <v>0.0</v>
      </c>
      <c r="X324" s="1" t="s">
        <v>29</v>
      </c>
      <c r="Z324" s="1" t="s">
        <v>1158</v>
      </c>
    </row>
    <row r="325">
      <c r="A325" s="3" t="str">
        <f>HYPERLINK("https://stackoverflow.com/q/48383905", "48383905")</f>
        <v>48383905</v>
      </c>
      <c r="B325" s="1" t="s">
        <v>93</v>
      </c>
      <c r="C325" s="1" t="s">
        <v>1160</v>
      </c>
      <c r="D325" s="2" t="s">
        <v>1161</v>
      </c>
      <c r="E325" s="1">
        <v>1.0</v>
      </c>
      <c r="F325" s="1">
        <v>4.8427087E7</v>
      </c>
      <c r="I325" s="1">
        <v>0.0</v>
      </c>
      <c r="J325" s="1">
        <v>328.0</v>
      </c>
      <c r="L325" s="1">
        <v>9252066.0</v>
      </c>
      <c r="N325" s="1">
        <v>5088142.0</v>
      </c>
      <c r="P325" s="1" t="s">
        <v>1162</v>
      </c>
      <c r="Q325" s="1" t="s">
        <v>1163</v>
      </c>
      <c r="R325" s="1" t="s">
        <v>97</v>
      </c>
      <c r="S325" s="1">
        <v>1.0</v>
      </c>
      <c r="T325" s="1">
        <v>0.0</v>
      </c>
      <c r="U325" s="1">
        <v>1.0</v>
      </c>
      <c r="X325" s="1" t="s">
        <v>29</v>
      </c>
      <c r="Z325" s="1" t="s">
        <v>1163</v>
      </c>
    </row>
    <row r="326">
      <c r="A326" s="3" t="str">
        <f>HYPERLINK("https://stackoverflow.com/q/48385134", "48385134")</f>
        <v>48385134</v>
      </c>
      <c r="B326" s="1" t="s">
        <v>93</v>
      </c>
      <c r="C326" s="1" t="s">
        <v>1164</v>
      </c>
      <c r="D326" s="2" t="s">
        <v>1165</v>
      </c>
      <c r="E326" s="1">
        <v>1.0</v>
      </c>
      <c r="I326" s="1">
        <v>0.0</v>
      </c>
      <c r="J326" s="1">
        <v>60.0</v>
      </c>
      <c r="L326" s="1">
        <v>6408940.0</v>
      </c>
      <c r="Q326" s="1" t="s">
        <v>1166</v>
      </c>
      <c r="R326" s="1" t="s">
        <v>97</v>
      </c>
      <c r="S326" s="1">
        <v>1.0</v>
      </c>
      <c r="T326" s="1">
        <v>0.0</v>
      </c>
      <c r="X326" s="1" t="s">
        <v>29</v>
      </c>
    </row>
    <row r="327">
      <c r="A327" s="3" t="str">
        <f>HYPERLINK("https://stackoverflow.com/q/48392222", "48392222")</f>
        <v>48392222</v>
      </c>
      <c r="B327" s="1" t="s">
        <v>93</v>
      </c>
      <c r="C327" s="1" t="s">
        <v>1167</v>
      </c>
      <c r="D327" s="2" t="s">
        <v>1168</v>
      </c>
      <c r="E327" s="1">
        <v>1.0</v>
      </c>
      <c r="I327" s="1">
        <v>0.0</v>
      </c>
      <c r="J327" s="1">
        <v>563.0</v>
      </c>
      <c r="L327" s="1">
        <v>9232083.0</v>
      </c>
      <c r="Q327" s="1" t="s">
        <v>1169</v>
      </c>
      <c r="R327" s="1" t="s">
        <v>190</v>
      </c>
      <c r="S327" s="1">
        <v>1.0</v>
      </c>
      <c r="T327" s="1">
        <v>0.0</v>
      </c>
      <c r="X327" s="1" t="s">
        <v>29</v>
      </c>
    </row>
    <row r="328">
      <c r="A328" s="3" t="str">
        <f>HYPERLINK("https://stackoverflow.com/q/48413268", "48413268")</f>
        <v>48413268</v>
      </c>
      <c r="B328" s="1" t="s">
        <v>93</v>
      </c>
      <c r="C328" s="1" t="s">
        <v>1170</v>
      </c>
      <c r="D328" s="2" t="s">
        <v>1171</v>
      </c>
      <c r="E328" s="1">
        <v>1.0</v>
      </c>
      <c r="I328" s="1">
        <v>0.0</v>
      </c>
      <c r="J328" s="1">
        <v>64.0</v>
      </c>
      <c r="L328" s="1">
        <v>6032956.0</v>
      </c>
      <c r="Q328" s="1" t="s">
        <v>1172</v>
      </c>
      <c r="R328" s="1" t="s">
        <v>97</v>
      </c>
      <c r="S328" s="1">
        <v>1.0</v>
      </c>
      <c r="T328" s="1">
        <v>0.0</v>
      </c>
      <c r="X328" s="1" t="s">
        <v>29</v>
      </c>
    </row>
    <row r="329">
      <c r="A329" s="3" t="str">
        <f>HYPERLINK("https://stackoverflow.com/q/48439868", "48439868")</f>
        <v>48439868</v>
      </c>
      <c r="B329" s="1" t="s">
        <v>93</v>
      </c>
      <c r="C329" s="1" t="s">
        <v>1173</v>
      </c>
      <c r="D329" s="2" t="s">
        <v>1174</v>
      </c>
      <c r="E329" s="1">
        <v>1.0</v>
      </c>
      <c r="F329" s="1">
        <v>4.8454348E7</v>
      </c>
      <c r="I329" s="1">
        <v>1.0</v>
      </c>
      <c r="J329" s="1">
        <v>384.0</v>
      </c>
      <c r="L329" s="1">
        <v>9252066.0</v>
      </c>
      <c r="N329" s="1">
        <v>9252066.0</v>
      </c>
      <c r="P329" s="1" t="s">
        <v>1175</v>
      </c>
      <c r="Q329" s="1" t="s">
        <v>1176</v>
      </c>
      <c r="R329" s="1" t="s">
        <v>97</v>
      </c>
      <c r="S329" s="1">
        <v>1.0</v>
      </c>
      <c r="T329" s="1">
        <v>0.0</v>
      </c>
      <c r="X329" s="1" t="s">
        <v>29</v>
      </c>
      <c r="Z329" s="1" t="s">
        <v>1176</v>
      </c>
    </row>
    <row r="330">
      <c r="A330" s="3" t="str">
        <f>HYPERLINK("https://stackoverflow.com/q/48482803", "48482803")</f>
        <v>48482803</v>
      </c>
      <c r="B330" s="1" t="s">
        <v>93</v>
      </c>
      <c r="C330" s="1" t="s">
        <v>1177</v>
      </c>
      <c r="D330" s="2" t="s">
        <v>1178</v>
      </c>
      <c r="E330" s="1">
        <v>1.0</v>
      </c>
      <c r="F330" s="1">
        <v>4.850758E7</v>
      </c>
      <c r="I330" s="1">
        <v>0.0</v>
      </c>
      <c r="J330" s="1">
        <v>506.0</v>
      </c>
      <c r="L330" s="1">
        <v>5983596.0</v>
      </c>
      <c r="N330" s="1">
        <v>5983596.0</v>
      </c>
      <c r="P330" s="1" t="s">
        <v>1179</v>
      </c>
      <c r="Q330" s="1" t="s">
        <v>1180</v>
      </c>
      <c r="R330" s="1" t="s">
        <v>97</v>
      </c>
      <c r="S330" s="1">
        <v>1.0</v>
      </c>
      <c r="T330" s="1">
        <v>0.0</v>
      </c>
      <c r="X330" s="1" t="s">
        <v>29</v>
      </c>
      <c r="Z330" s="1" t="s">
        <v>1180</v>
      </c>
    </row>
    <row r="331">
      <c r="A331" s="3" t="str">
        <f>HYPERLINK("https://stackoverflow.com/q/48528931", "48528931")</f>
        <v>48528931</v>
      </c>
      <c r="B331" s="1" t="s">
        <v>93</v>
      </c>
      <c r="C331" s="1" t="s">
        <v>1181</v>
      </c>
      <c r="D331" s="2" t="s">
        <v>1182</v>
      </c>
      <c r="E331" s="1">
        <v>1.0</v>
      </c>
      <c r="F331" s="1">
        <v>4.8531104E7</v>
      </c>
      <c r="I331" s="1">
        <v>2.0</v>
      </c>
      <c r="J331" s="1">
        <v>525.0</v>
      </c>
      <c r="L331" s="1">
        <v>9290881.0</v>
      </c>
      <c r="N331" s="1">
        <v>454137.0</v>
      </c>
      <c r="P331" s="1" t="s">
        <v>1183</v>
      </c>
      <c r="Q331" s="1" t="s">
        <v>1184</v>
      </c>
      <c r="R331" s="1" t="s">
        <v>97</v>
      </c>
      <c r="S331" s="1">
        <v>2.0</v>
      </c>
      <c r="T331" s="1">
        <v>0.0</v>
      </c>
      <c r="X331" s="1" t="s">
        <v>29</v>
      </c>
      <c r="Z331" s="1" t="s">
        <v>1185</v>
      </c>
    </row>
    <row r="332">
      <c r="A332" s="3" t="str">
        <f>HYPERLINK("https://stackoverflow.com/q/48591858", "48591858")</f>
        <v>48591858</v>
      </c>
      <c r="B332" s="1" t="s">
        <v>93</v>
      </c>
      <c r="C332" s="1" t="s">
        <v>1186</v>
      </c>
      <c r="D332" s="2" t="s">
        <v>1187</v>
      </c>
      <c r="E332" s="1">
        <v>1.0</v>
      </c>
      <c r="F332" s="1">
        <v>4.859277E7</v>
      </c>
      <c r="I332" s="1">
        <v>1.0</v>
      </c>
      <c r="J332" s="1">
        <v>384.0</v>
      </c>
      <c r="L332" s="1">
        <v>7709702.0</v>
      </c>
      <c r="Q332" s="1" t="s">
        <v>1188</v>
      </c>
      <c r="R332" s="1" t="s">
        <v>97</v>
      </c>
      <c r="S332" s="1">
        <v>2.0</v>
      </c>
      <c r="T332" s="1">
        <v>0.0</v>
      </c>
      <c r="X332" s="1" t="s">
        <v>29</v>
      </c>
      <c r="Z332" s="1" t="s">
        <v>1189</v>
      </c>
    </row>
    <row r="333">
      <c r="A333" s="3" t="str">
        <f>HYPERLINK("https://stackoverflow.com/q/48602318", "48602318")</f>
        <v>48602318</v>
      </c>
      <c r="B333" s="1" t="s">
        <v>93</v>
      </c>
      <c r="C333" s="1" t="s">
        <v>1190</v>
      </c>
      <c r="D333" s="2" t="s">
        <v>1191</v>
      </c>
      <c r="E333" s="1">
        <v>1.0</v>
      </c>
      <c r="F333" s="1">
        <v>4.864913E7</v>
      </c>
      <c r="I333" s="1">
        <v>0.0</v>
      </c>
      <c r="J333" s="1">
        <v>107.0</v>
      </c>
      <c r="L333" s="1">
        <v>5596743.0</v>
      </c>
      <c r="Q333" s="1" t="s">
        <v>1192</v>
      </c>
      <c r="R333" s="1" t="s">
        <v>97</v>
      </c>
      <c r="S333" s="1">
        <v>1.0</v>
      </c>
      <c r="T333" s="1">
        <v>0.0</v>
      </c>
      <c r="X333" s="1" t="s">
        <v>29</v>
      </c>
      <c r="Z333" s="1" t="s">
        <v>1192</v>
      </c>
    </row>
    <row r="334">
      <c r="A334" s="3" t="str">
        <f>HYPERLINK("https://stackoverflow.com/q/48642274", "48642274")</f>
        <v>48642274</v>
      </c>
      <c r="B334" s="1" t="s">
        <v>93</v>
      </c>
      <c r="C334" s="1" t="s">
        <v>1193</v>
      </c>
      <c r="D334" s="2" t="s">
        <v>1194</v>
      </c>
      <c r="E334" s="1">
        <v>1.0</v>
      </c>
      <c r="F334" s="1">
        <v>4.8648331E7</v>
      </c>
      <c r="I334" s="1">
        <v>0.0</v>
      </c>
      <c r="J334" s="1">
        <v>77.0</v>
      </c>
      <c r="L334" s="1">
        <v>527143.0</v>
      </c>
      <c r="Q334" s="1" t="s">
        <v>1195</v>
      </c>
      <c r="R334" s="1" t="s">
        <v>97</v>
      </c>
      <c r="S334" s="1">
        <v>1.0</v>
      </c>
      <c r="T334" s="1">
        <v>0.0</v>
      </c>
      <c r="X334" s="1" t="s">
        <v>29</v>
      </c>
      <c r="Z334" s="1" t="s">
        <v>1196</v>
      </c>
    </row>
    <row r="335">
      <c r="A335" s="3" t="str">
        <f>HYPERLINK("https://stackoverflow.com/q/48646795", "48646795")</f>
        <v>48646795</v>
      </c>
      <c r="B335" s="1" t="s">
        <v>93</v>
      </c>
      <c r="C335" s="1" t="s">
        <v>1197</v>
      </c>
      <c r="D335" s="2" t="s">
        <v>1198</v>
      </c>
      <c r="E335" s="1">
        <v>1.0</v>
      </c>
      <c r="F335" s="1">
        <v>4.8649699E7</v>
      </c>
      <c r="I335" s="1">
        <v>4.0</v>
      </c>
      <c r="J335" s="1">
        <v>4302.0</v>
      </c>
      <c r="L335" s="1">
        <v>9322929.0</v>
      </c>
      <c r="N335" s="1">
        <v>4228969.0</v>
      </c>
      <c r="P335" s="1" t="s">
        <v>1199</v>
      </c>
      <c r="Q335" s="1" t="s">
        <v>1199</v>
      </c>
      <c r="R335" s="1" t="s">
        <v>97</v>
      </c>
      <c r="S335" s="1">
        <v>1.0</v>
      </c>
      <c r="T335" s="1">
        <v>0.0</v>
      </c>
      <c r="U335" s="1">
        <v>1.0</v>
      </c>
      <c r="X335" s="1" t="s">
        <v>56</v>
      </c>
      <c r="Z335" s="1" t="s">
        <v>1200</v>
      </c>
    </row>
    <row r="336">
      <c r="A336" s="3" t="str">
        <f>HYPERLINK("https://stackoverflow.com/q/48647359", "48647359")</f>
        <v>48647359</v>
      </c>
      <c r="B336" s="1" t="s">
        <v>93</v>
      </c>
      <c r="C336" s="1" t="s">
        <v>1201</v>
      </c>
      <c r="D336" s="2" t="s">
        <v>1202</v>
      </c>
      <c r="E336" s="1">
        <v>1.0</v>
      </c>
      <c r="I336" s="1">
        <v>1.0</v>
      </c>
      <c r="J336" s="1">
        <v>84.0</v>
      </c>
      <c r="L336" s="1">
        <v>9323007.0</v>
      </c>
      <c r="Q336" s="1" t="s">
        <v>1203</v>
      </c>
      <c r="R336" s="1" t="s">
        <v>1204</v>
      </c>
      <c r="S336" s="1">
        <v>1.0</v>
      </c>
      <c r="T336" s="1">
        <v>2.0</v>
      </c>
      <c r="X336" s="1" t="s">
        <v>29</v>
      </c>
    </row>
    <row r="337">
      <c r="A337" s="3" t="str">
        <f>HYPERLINK("https://stackoverflow.com/q/48651904", "48651904")</f>
        <v>48651904</v>
      </c>
      <c r="B337" s="1" t="s">
        <v>93</v>
      </c>
      <c r="C337" s="1" t="s">
        <v>1205</v>
      </c>
      <c r="D337" s="2" t="s">
        <v>1206</v>
      </c>
      <c r="E337" s="1">
        <v>1.0</v>
      </c>
      <c r="F337" s="1">
        <v>4.8653416E7</v>
      </c>
      <c r="I337" s="1">
        <v>0.0</v>
      </c>
      <c r="J337" s="1">
        <v>108.0</v>
      </c>
      <c r="L337" s="1">
        <v>1422413.0</v>
      </c>
      <c r="Q337" s="1" t="s">
        <v>1207</v>
      </c>
      <c r="R337" s="1" t="s">
        <v>696</v>
      </c>
      <c r="S337" s="1">
        <v>1.0</v>
      </c>
      <c r="T337" s="1">
        <v>0.0</v>
      </c>
      <c r="X337" s="1" t="s">
        <v>29</v>
      </c>
      <c r="Z337" s="1" t="s">
        <v>1208</v>
      </c>
    </row>
    <row r="338">
      <c r="A338" s="3" t="str">
        <f>HYPERLINK("https://stackoverflow.com/q/48736701", "48736701")</f>
        <v>48736701</v>
      </c>
      <c r="B338" s="1" t="s">
        <v>93</v>
      </c>
      <c r="C338" s="1" t="s">
        <v>1209</v>
      </c>
      <c r="D338" s="2" t="s">
        <v>1210</v>
      </c>
      <c r="E338" s="1">
        <v>1.0</v>
      </c>
      <c r="I338" s="1">
        <v>0.0</v>
      </c>
      <c r="J338" s="1">
        <v>247.0</v>
      </c>
      <c r="L338" s="1">
        <v>587773.0</v>
      </c>
      <c r="N338" s="1">
        <v>587773.0</v>
      </c>
      <c r="P338" s="1" t="s">
        <v>1211</v>
      </c>
      <c r="Q338" s="1" t="s">
        <v>1212</v>
      </c>
      <c r="R338" s="1" t="s">
        <v>97</v>
      </c>
      <c r="S338" s="1">
        <v>2.0</v>
      </c>
      <c r="T338" s="1">
        <v>2.0</v>
      </c>
      <c r="U338" s="1">
        <v>1.0</v>
      </c>
      <c r="X338" s="1" t="s">
        <v>29</v>
      </c>
    </row>
    <row r="339">
      <c r="A339" s="3" t="str">
        <f>HYPERLINK("https://stackoverflow.com/q/48752410", "48752410")</f>
        <v>48752410</v>
      </c>
      <c r="B339" s="1" t="s">
        <v>93</v>
      </c>
      <c r="C339" s="1" t="s">
        <v>1213</v>
      </c>
      <c r="D339" s="2" t="s">
        <v>1214</v>
      </c>
      <c r="E339" s="1">
        <v>1.0</v>
      </c>
      <c r="I339" s="1">
        <v>0.0</v>
      </c>
      <c r="J339" s="1">
        <v>69.0</v>
      </c>
      <c r="L339" s="1">
        <v>527143.0</v>
      </c>
      <c r="N339" s="1">
        <v>454137.0</v>
      </c>
      <c r="P339" s="1" t="s">
        <v>1215</v>
      </c>
      <c r="Q339" s="1" t="s">
        <v>1215</v>
      </c>
      <c r="R339" s="1" t="s">
        <v>97</v>
      </c>
      <c r="S339" s="1">
        <v>1.0</v>
      </c>
      <c r="T339" s="1">
        <v>0.0</v>
      </c>
      <c r="X339" s="1" t="s">
        <v>29</v>
      </c>
    </row>
    <row r="340">
      <c r="A340" s="3" t="str">
        <f>HYPERLINK("https://stackoverflow.com/q/48791497", "48791497")</f>
        <v>48791497</v>
      </c>
      <c r="B340" s="1" t="s">
        <v>93</v>
      </c>
      <c r="C340" s="1" t="s">
        <v>1216</v>
      </c>
      <c r="D340" s="2" t="s">
        <v>1217</v>
      </c>
      <c r="E340" s="1">
        <v>1.0</v>
      </c>
      <c r="I340" s="1">
        <v>0.0</v>
      </c>
      <c r="J340" s="1">
        <v>168.0</v>
      </c>
      <c r="L340" s="1">
        <v>3850478.0</v>
      </c>
      <c r="Q340" s="1" t="s">
        <v>1218</v>
      </c>
      <c r="R340" s="1" t="s">
        <v>97</v>
      </c>
      <c r="S340" s="1">
        <v>0.0</v>
      </c>
      <c r="T340" s="1">
        <v>3.0</v>
      </c>
      <c r="X340" s="1" t="s">
        <v>29</v>
      </c>
    </row>
    <row r="341">
      <c r="A341" s="3" t="str">
        <f>HYPERLINK("https://stackoverflow.com/q/48794510", "48794510")</f>
        <v>48794510</v>
      </c>
      <c r="B341" s="1" t="s">
        <v>93</v>
      </c>
      <c r="C341" s="1" t="s">
        <v>1219</v>
      </c>
      <c r="D341" s="2" t="s">
        <v>1220</v>
      </c>
      <c r="E341" s="1">
        <v>1.0</v>
      </c>
      <c r="I341" s="1">
        <v>0.0</v>
      </c>
      <c r="J341" s="1">
        <v>243.0</v>
      </c>
      <c r="L341" s="1">
        <v>8605513.0</v>
      </c>
      <c r="Q341" s="1" t="s">
        <v>1221</v>
      </c>
      <c r="R341" s="1" t="s">
        <v>190</v>
      </c>
      <c r="S341" s="1">
        <v>1.0</v>
      </c>
      <c r="T341" s="1">
        <v>2.0</v>
      </c>
      <c r="U341" s="1">
        <v>1.0</v>
      </c>
      <c r="X341" s="1" t="s">
        <v>29</v>
      </c>
    </row>
    <row r="342">
      <c r="A342" s="3" t="str">
        <f>HYPERLINK("https://stackoverflow.com/q/48805877", "48805877")</f>
        <v>48805877</v>
      </c>
      <c r="B342" s="1" t="s">
        <v>93</v>
      </c>
      <c r="C342" s="1" t="s">
        <v>1222</v>
      </c>
      <c r="D342" s="2" t="s">
        <v>1223</v>
      </c>
      <c r="E342" s="1">
        <v>1.0</v>
      </c>
      <c r="F342" s="1">
        <v>4.8807985E7</v>
      </c>
      <c r="I342" s="1">
        <v>0.0</v>
      </c>
      <c r="J342" s="1">
        <v>554.0</v>
      </c>
      <c r="L342" s="1">
        <v>8602197.0</v>
      </c>
      <c r="N342" s="1">
        <v>555121.0</v>
      </c>
      <c r="P342" s="1" t="s">
        <v>1224</v>
      </c>
      <c r="Q342" s="1" t="s">
        <v>1224</v>
      </c>
      <c r="R342" s="1" t="s">
        <v>696</v>
      </c>
      <c r="S342" s="1">
        <v>1.0</v>
      </c>
      <c r="T342" s="1">
        <v>0.0</v>
      </c>
      <c r="X342" s="1" t="s">
        <v>56</v>
      </c>
      <c r="Z342" s="1" t="s">
        <v>1225</v>
      </c>
    </row>
    <row r="343">
      <c r="A343" s="3" t="str">
        <f>HYPERLINK("https://stackoverflow.com/q/48817664", "48817664")</f>
        <v>48817664</v>
      </c>
      <c r="B343" s="1" t="s">
        <v>93</v>
      </c>
      <c r="C343" s="1" t="s">
        <v>1226</v>
      </c>
      <c r="D343" s="2" t="s">
        <v>1227</v>
      </c>
      <c r="E343" s="1">
        <v>1.0</v>
      </c>
      <c r="I343" s="1">
        <v>0.0</v>
      </c>
      <c r="J343" s="1">
        <v>97.0</v>
      </c>
      <c r="L343" s="1">
        <v>5663011.0</v>
      </c>
      <c r="Q343" s="1" t="s">
        <v>1228</v>
      </c>
      <c r="R343" s="1" t="s">
        <v>696</v>
      </c>
      <c r="S343" s="1">
        <v>1.0</v>
      </c>
      <c r="T343" s="1">
        <v>0.0</v>
      </c>
      <c r="X343" s="1" t="s">
        <v>29</v>
      </c>
    </row>
    <row r="344">
      <c r="A344" s="3" t="str">
        <f>HYPERLINK("https://stackoverflow.com/q/48842439", "48842439")</f>
        <v>48842439</v>
      </c>
      <c r="B344" s="1" t="s">
        <v>93</v>
      </c>
      <c r="C344" s="1" t="s">
        <v>1229</v>
      </c>
      <c r="D344" s="2" t="s">
        <v>1230</v>
      </c>
      <c r="E344" s="1">
        <v>1.0</v>
      </c>
      <c r="F344" s="1">
        <v>4.8915964E7</v>
      </c>
      <c r="I344" s="1">
        <v>0.0</v>
      </c>
      <c r="J344" s="1">
        <v>1120.0</v>
      </c>
      <c r="L344" s="1">
        <v>5195772.0</v>
      </c>
      <c r="N344" s="1">
        <v>214143.0</v>
      </c>
      <c r="P344" s="1" t="s">
        <v>1231</v>
      </c>
      <c r="Q344" s="1" t="s">
        <v>1232</v>
      </c>
      <c r="R344" s="1" t="s">
        <v>97</v>
      </c>
      <c r="S344" s="1">
        <v>1.0</v>
      </c>
      <c r="T344" s="1">
        <v>4.0</v>
      </c>
      <c r="U344" s="1">
        <v>1.0</v>
      </c>
      <c r="X344" s="1" t="s">
        <v>29</v>
      </c>
      <c r="Z344" s="1" t="s">
        <v>1232</v>
      </c>
    </row>
    <row r="345">
      <c r="A345" s="3" t="str">
        <f>HYPERLINK("https://stackoverflow.com/q/48875608", "48875608")</f>
        <v>48875608</v>
      </c>
      <c r="B345" s="1" t="s">
        <v>93</v>
      </c>
      <c r="C345" s="1" t="s">
        <v>1233</v>
      </c>
      <c r="D345" s="2" t="s">
        <v>1234</v>
      </c>
      <c r="E345" s="1">
        <v>1.0</v>
      </c>
      <c r="F345" s="1">
        <v>4.8887044E7</v>
      </c>
      <c r="I345" s="1">
        <v>0.0</v>
      </c>
      <c r="J345" s="1">
        <v>484.0</v>
      </c>
      <c r="L345" s="1">
        <v>9383138.0</v>
      </c>
      <c r="N345" s="1">
        <v>9383138.0</v>
      </c>
      <c r="P345" s="1" t="s">
        <v>1235</v>
      </c>
      <c r="Q345" s="1" t="s">
        <v>1236</v>
      </c>
      <c r="R345" s="1" t="s">
        <v>1237</v>
      </c>
      <c r="S345" s="1">
        <v>1.0</v>
      </c>
      <c r="T345" s="1">
        <v>4.0</v>
      </c>
      <c r="X345" s="1" t="s">
        <v>29</v>
      </c>
      <c r="Z345" s="1" t="s">
        <v>1236</v>
      </c>
    </row>
    <row r="346">
      <c r="A346" s="3" t="str">
        <f>HYPERLINK("https://stackoverflow.com/q/48880561", "48880561")</f>
        <v>48880561</v>
      </c>
      <c r="B346" s="1" t="s">
        <v>93</v>
      </c>
      <c r="C346" s="1" t="s">
        <v>1238</v>
      </c>
      <c r="D346" s="2" t="s">
        <v>1239</v>
      </c>
      <c r="E346" s="1">
        <v>1.0</v>
      </c>
      <c r="I346" s="1">
        <v>0.0</v>
      </c>
      <c r="J346" s="1">
        <v>138.0</v>
      </c>
      <c r="L346" s="1">
        <v>527143.0</v>
      </c>
      <c r="Q346" s="1" t="s">
        <v>1240</v>
      </c>
      <c r="R346" s="1" t="s">
        <v>97</v>
      </c>
      <c r="S346" s="1">
        <v>1.0</v>
      </c>
      <c r="T346" s="1">
        <v>0.0</v>
      </c>
      <c r="X346" s="1" t="s">
        <v>29</v>
      </c>
    </row>
    <row r="347">
      <c r="A347" s="3" t="str">
        <f>HYPERLINK("https://stackoverflow.com/q/48881877", "48881877")</f>
        <v>48881877</v>
      </c>
      <c r="B347" s="1" t="s">
        <v>93</v>
      </c>
      <c r="C347" s="1" t="s">
        <v>1241</v>
      </c>
      <c r="D347" s="2" t="s">
        <v>1242</v>
      </c>
      <c r="E347" s="1">
        <v>1.0</v>
      </c>
      <c r="I347" s="1">
        <v>0.0</v>
      </c>
      <c r="J347" s="1">
        <v>197.0</v>
      </c>
      <c r="L347" s="1">
        <v>9381027.0</v>
      </c>
      <c r="N347" s="1">
        <v>454137.0</v>
      </c>
      <c r="P347" s="1" t="s">
        <v>1243</v>
      </c>
      <c r="Q347" s="1" t="s">
        <v>1244</v>
      </c>
      <c r="R347" s="1" t="s">
        <v>1245</v>
      </c>
      <c r="S347" s="1">
        <v>3.0</v>
      </c>
      <c r="T347" s="1">
        <v>0.0</v>
      </c>
      <c r="X347" s="1" t="s">
        <v>29</v>
      </c>
    </row>
    <row r="348">
      <c r="A348" s="3" t="str">
        <f>HYPERLINK("https://stackoverflow.com/q/48891615", "48891615")</f>
        <v>48891615</v>
      </c>
      <c r="B348" s="1" t="s">
        <v>93</v>
      </c>
      <c r="C348" s="1" t="s">
        <v>1246</v>
      </c>
      <c r="D348" s="2" t="s">
        <v>1247</v>
      </c>
      <c r="E348" s="1">
        <v>1.0</v>
      </c>
      <c r="F348" s="1">
        <v>4.8917812E7</v>
      </c>
      <c r="I348" s="1">
        <v>0.0</v>
      </c>
      <c r="J348" s="1">
        <v>658.0</v>
      </c>
      <c r="L348" s="1">
        <v>9370883.0</v>
      </c>
      <c r="N348" s="1">
        <v>555121.0</v>
      </c>
      <c r="P348" s="1" t="s">
        <v>1248</v>
      </c>
      <c r="Q348" s="1" t="s">
        <v>1248</v>
      </c>
      <c r="R348" s="1" t="s">
        <v>97</v>
      </c>
      <c r="S348" s="1">
        <v>1.0</v>
      </c>
      <c r="T348" s="1">
        <v>0.0</v>
      </c>
      <c r="X348" s="1" t="s">
        <v>56</v>
      </c>
      <c r="Z348" s="1" t="s">
        <v>1249</v>
      </c>
    </row>
    <row r="349">
      <c r="A349" s="3" t="str">
        <f>HYPERLINK("https://stackoverflow.com/q/48926866", "48926866")</f>
        <v>48926866</v>
      </c>
      <c r="B349" s="1" t="s">
        <v>93</v>
      </c>
      <c r="C349" s="1" t="s">
        <v>1250</v>
      </c>
      <c r="D349" s="2" t="s">
        <v>1251</v>
      </c>
      <c r="E349" s="1">
        <v>1.0</v>
      </c>
      <c r="F349" s="1">
        <v>4.8934032E7</v>
      </c>
      <c r="I349" s="1">
        <v>2.0</v>
      </c>
      <c r="J349" s="1">
        <v>1193.0</v>
      </c>
      <c r="L349" s="1">
        <v>8602197.0</v>
      </c>
      <c r="Q349" s="1" t="s">
        <v>1252</v>
      </c>
      <c r="R349" s="1" t="s">
        <v>97</v>
      </c>
      <c r="S349" s="1">
        <v>1.0</v>
      </c>
      <c r="T349" s="1">
        <v>0.0</v>
      </c>
      <c r="U349" s="1">
        <v>0.0</v>
      </c>
      <c r="X349" s="1" t="s">
        <v>29</v>
      </c>
      <c r="Z349" s="1" t="s">
        <v>1252</v>
      </c>
    </row>
    <row r="350">
      <c r="A350" s="3" t="str">
        <f>HYPERLINK("https://stackoverflow.com/q/48952883", "48952883")</f>
        <v>48952883</v>
      </c>
      <c r="B350" s="1" t="s">
        <v>93</v>
      </c>
      <c r="C350" s="1" t="s">
        <v>1253</v>
      </c>
      <c r="D350" s="2" t="s">
        <v>1254</v>
      </c>
      <c r="E350" s="1">
        <v>1.0</v>
      </c>
      <c r="I350" s="1">
        <v>0.0</v>
      </c>
      <c r="J350" s="1">
        <v>460.0</v>
      </c>
      <c r="L350" s="1">
        <v>9402515.0</v>
      </c>
      <c r="N350" s="1">
        <v>4076315.0</v>
      </c>
      <c r="P350" s="1" t="s">
        <v>1255</v>
      </c>
      <c r="Q350" s="1" t="s">
        <v>1255</v>
      </c>
      <c r="R350" s="1" t="s">
        <v>97</v>
      </c>
      <c r="S350" s="1">
        <v>1.0</v>
      </c>
      <c r="T350" s="1">
        <v>1.0</v>
      </c>
      <c r="X350" s="1" t="s">
        <v>56</v>
      </c>
    </row>
    <row r="351">
      <c r="A351" s="3" t="str">
        <f>HYPERLINK("https://stackoverflow.com/q/48997601", "48997601")</f>
        <v>48997601</v>
      </c>
      <c r="B351" s="1" t="s">
        <v>93</v>
      </c>
      <c r="C351" s="1" t="s">
        <v>1256</v>
      </c>
      <c r="D351" s="2" t="s">
        <v>1257</v>
      </c>
      <c r="E351" s="1">
        <v>1.0</v>
      </c>
      <c r="I351" s="1">
        <v>0.0</v>
      </c>
      <c r="J351" s="1">
        <v>1543.0</v>
      </c>
      <c r="L351" s="1">
        <v>9052443.0</v>
      </c>
      <c r="Q351" s="1" t="s">
        <v>1258</v>
      </c>
      <c r="R351" s="1" t="s">
        <v>97</v>
      </c>
      <c r="S351" s="1">
        <v>1.0</v>
      </c>
      <c r="T351" s="1">
        <v>0.0</v>
      </c>
      <c r="U351" s="1">
        <v>1.0</v>
      </c>
      <c r="X351" s="1" t="s">
        <v>29</v>
      </c>
    </row>
    <row r="352">
      <c r="A352" s="3" t="str">
        <f>HYPERLINK("https://stackoverflow.com/q/49020892", "49020892")</f>
        <v>49020892</v>
      </c>
      <c r="B352" s="1" t="s">
        <v>93</v>
      </c>
      <c r="C352" s="1" t="s">
        <v>1259</v>
      </c>
      <c r="D352" s="2" t="s">
        <v>1260</v>
      </c>
      <c r="E352" s="1">
        <v>1.0</v>
      </c>
      <c r="F352" s="1">
        <v>4.9036396E7</v>
      </c>
      <c r="I352" s="1">
        <v>1.0</v>
      </c>
      <c r="J352" s="1">
        <v>423.0</v>
      </c>
      <c r="L352" s="1">
        <v>4080180.0</v>
      </c>
      <c r="Q352" s="1" t="s">
        <v>1261</v>
      </c>
      <c r="R352" s="1" t="s">
        <v>1262</v>
      </c>
      <c r="S352" s="1">
        <v>1.0</v>
      </c>
      <c r="T352" s="1">
        <v>1.0</v>
      </c>
      <c r="X352" s="1" t="s">
        <v>29</v>
      </c>
      <c r="Z352" s="1" t="s">
        <v>1261</v>
      </c>
    </row>
    <row r="353">
      <c r="A353" s="3" t="str">
        <f>HYPERLINK("https://stackoverflow.com/q/49035373", "49035373")</f>
        <v>49035373</v>
      </c>
      <c r="B353" s="1" t="s">
        <v>93</v>
      </c>
      <c r="C353" s="1" t="s">
        <v>1263</v>
      </c>
      <c r="D353" s="2" t="s">
        <v>1264</v>
      </c>
      <c r="E353" s="1">
        <v>1.0</v>
      </c>
      <c r="I353" s="1">
        <v>1.0</v>
      </c>
      <c r="J353" s="1">
        <v>80.0</v>
      </c>
      <c r="L353" s="1">
        <v>9424871.0</v>
      </c>
      <c r="Q353" s="1" t="s">
        <v>1265</v>
      </c>
      <c r="R353" s="1" t="s">
        <v>1266</v>
      </c>
      <c r="S353" s="1">
        <v>1.0</v>
      </c>
      <c r="T353" s="1">
        <v>3.0</v>
      </c>
      <c r="X353" s="1" t="s">
        <v>29</v>
      </c>
    </row>
    <row r="354">
      <c r="A354" s="3" t="str">
        <f>HYPERLINK("https://stackoverflow.com/q/49042255", "49042255")</f>
        <v>49042255</v>
      </c>
      <c r="B354" s="1" t="s">
        <v>93</v>
      </c>
      <c r="C354" s="1" t="s">
        <v>1267</v>
      </c>
      <c r="D354" s="2" t="s">
        <v>1268</v>
      </c>
      <c r="E354" s="1">
        <v>1.0</v>
      </c>
      <c r="F354" s="1">
        <v>4.9051555E7</v>
      </c>
      <c r="I354" s="1">
        <v>3.0</v>
      </c>
      <c r="J354" s="1">
        <v>1313.0</v>
      </c>
      <c r="L354" s="1">
        <v>9426876.0</v>
      </c>
      <c r="Q354" s="1" t="s">
        <v>1269</v>
      </c>
      <c r="R354" s="1" t="s">
        <v>696</v>
      </c>
      <c r="S354" s="1">
        <v>2.0</v>
      </c>
      <c r="T354" s="1">
        <v>2.0</v>
      </c>
      <c r="U354" s="1">
        <v>4.0</v>
      </c>
      <c r="X354" s="1" t="s">
        <v>29</v>
      </c>
      <c r="Z354" s="1" t="s">
        <v>1270</v>
      </c>
    </row>
    <row r="355">
      <c r="A355" s="3" t="str">
        <f>HYPERLINK("https://stackoverflow.com/q/49103880", "49103880")</f>
        <v>49103880</v>
      </c>
      <c r="B355" s="1" t="s">
        <v>93</v>
      </c>
      <c r="C355" s="1" t="s">
        <v>1271</v>
      </c>
      <c r="D355" s="2" t="s">
        <v>1272</v>
      </c>
      <c r="E355" s="1">
        <v>1.0</v>
      </c>
      <c r="F355" s="1">
        <v>4.911735E7</v>
      </c>
      <c r="I355" s="1">
        <v>0.0</v>
      </c>
      <c r="J355" s="1">
        <v>461.0</v>
      </c>
      <c r="L355" s="1">
        <v>9443995.0</v>
      </c>
      <c r="Q355" s="1" t="s">
        <v>1273</v>
      </c>
      <c r="R355" s="1" t="s">
        <v>185</v>
      </c>
      <c r="S355" s="1">
        <v>2.0</v>
      </c>
      <c r="T355" s="1">
        <v>1.0</v>
      </c>
      <c r="X355" s="1" t="s">
        <v>29</v>
      </c>
      <c r="Z355" s="1" t="s">
        <v>1273</v>
      </c>
    </row>
    <row r="356">
      <c r="A356" s="3" t="str">
        <f>HYPERLINK("https://stackoverflow.com/q/49138059", "49138059")</f>
        <v>49138059</v>
      </c>
      <c r="B356" s="1" t="s">
        <v>93</v>
      </c>
      <c r="C356" s="1" t="s">
        <v>1274</v>
      </c>
      <c r="D356" s="2" t="s">
        <v>1275</v>
      </c>
      <c r="E356" s="1">
        <v>1.0</v>
      </c>
      <c r="I356" s="1">
        <v>0.0</v>
      </c>
      <c r="J356" s="1">
        <v>196.0</v>
      </c>
      <c r="L356" s="1">
        <v>8605513.0</v>
      </c>
      <c r="Q356" s="1" t="s">
        <v>1276</v>
      </c>
      <c r="R356" s="1" t="s">
        <v>97</v>
      </c>
      <c r="S356" s="1">
        <v>1.0</v>
      </c>
      <c r="T356" s="1">
        <v>0.0</v>
      </c>
      <c r="X356" s="1" t="s">
        <v>29</v>
      </c>
    </row>
    <row r="357">
      <c r="A357" s="3" t="str">
        <f>HYPERLINK("https://stackoverflow.com/q/49143658", "49143658")</f>
        <v>49143658</v>
      </c>
      <c r="B357" s="1" t="s">
        <v>93</v>
      </c>
      <c r="C357" s="1" t="s">
        <v>1277</v>
      </c>
      <c r="D357" s="2" t="s">
        <v>1278</v>
      </c>
      <c r="E357" s="1">
        <v>1.0</v>
      </c>
      <c r="I357" s="1">
        <v>0.0</v>
      </c>
      <c r="J357" s="1">
        <v>887.0</v>
      </c>
      <c r="L357" s="1">
        <v>9426876.0</v>
      </c>
      <c r="N357" s="1">
        <v>4187933.0</v>
      </c>
      <c r="P357" s="1" t="s">
        <v>1279</v>
      </c>
      <c r="Q357" s="1" t="s">
        <v>1280</v>
      </c>
      <c r="R357" s="1" t="s">
        <v>1281</v>
      </c>
      <c r="S357" s="1">
        <v>1.0</v>
      </c>
      <c r="T357" s="1">
        <v>5.0</v>
      </c>
      <c r="X357" s="1" t="s">
        <v>29</v>
      </c>
    </row>
    <row r="358">
      <c r="A358" s="3" t="str">
        <f>HYPERLINK("https://stackoverflow.com/q/49146043", "49146043")</f>
        <v>49146043</v>
      </c>
      <c r="B358" s="1" t="s">
        <v>93</v>
      </c>
      <c r="C358" s="1" t="s">
        <v>1282</v>
      </c>
      <c r="D358" s="2" t="s">
        <v>1283</v>
      </c>
      <c r="E358" s="1">
        <v>1.0</v>
      </c>
      <c r="F358" s="1">
        <v>4.916135E7</v>
      </c>
      <c r="I358" s="1">
        <v>0.0</v>
      </c>
      <c r="J358" s="1">
        <v>680.0</v>
      </c>
      <c r="L358" s="1">
        <v>9443995.0</v>
      </c>
      <c r="Q358" s="1" t="s">
        <v>1284</v>
      </c>
      <c r="R358" s="1" t="s">
        <v>1285</v>
      </c>
      <c r="S358" s="1">
        <v>1.0</v>
      </c>
      <c r="T358" s="1">
        <v>0.0</v>
      </c>
      <c r="U358" s="1">
        <v>2.0</v>
      </c>
      <c r="X358" s="1" t="s">
        <v>29</v>
      </c>
      <c r="Z358" s="1" t="s">
        <v>1286</v>
      </c>
    </row>
    <row r="359">
      <c r="A359" s="3" t="str">
        <f>HYPERLINK("https://stackoverflow.com/q/49148407", "49148407")</f>
        <v>49148407</v>
      </c>
      <c r="B359" s="1" t="s">
        <v>93</v>
      </c>
      <c r="C359" s="1" t="s">
        <v>1287</v>
      </c>
      <c r="D359" s="2" t="s">
        <v>1288</v>
      </c>
      <c r="E359" s="1">
        <v>1.0</v>
      </c>
      <c r="I359" s="1">
        <v>0.0</v>
      </c>
      <c r="J359" s="1">
        <v>190.0</v>
      </c>
      <c r="L359" s="1">
        <v>9426876.0</v>
      </c>
      <c r="Q359" s="1" t="s">
        <v>1289</v>
      </c>
      <c r="R359" s="1" t="s">
        <v>1290</v>
      </c>
      <c r="S359" s="1">
        <v>1.0</v>
      </c>
      <c r="T359" s="1">
        <v>0.0</v>
      </c>
      <c r="X359" s="1" t="s">
        <v>29</v>
      </c>
    </row>
    <row r="360">
      <c r="A360" s="3" t="str">
        <f>HYPERLINK("https://stackoverflow.com/q/49164897", "49164897")</f>
        <v>49164897</v>
      </c>
      <c r="B360" s="1" t="s">
        <v>93</v>
      </c>
      <c r="C360" s="1" t="s">
        <v>1291</v>
      </c>
      <c r="D360" s="2" t="s">
        <v>1292</v>
      </c>
      <c r="E360" s="1">
        <v>1.0</v>
      </c>
      <c r="I360" s="1">
        <v>0.0</v>
      </c>
      <c r="J360" s="1">
        <v>199.0</v>
      </c>
      <c r="L360" s="1">
        <v>9426876.0</v>
      </c>
      <c r="N360" s="1">
        <v>1.2892553E7</v>
      </c>
      <c r="P360" s="1" t="s">
        <v>1293</v>
      </c>
      <c r="Q360" s="1" t="s">
        <v>1293</v>
      </c>
      <c r="R360" s="1" t="s">
        <v>1294</v>
      </c>
      <c r="S360" s="1">
        <v>1.0</v>
      </c>
      <c r="T360" s="1">
        <v>2.0</v>
      </c>
      <c r="X360" s="1" t="s">
        <v>56</v>
      </c>
    </row>
    <row r="361">
      <c r="A361" s="3" t="str">
        <f>HYPERLINK("https://stackoverflow.com/q/49172417", "49172417")</f>
        <v>49172417</v>
      </c>
      <c r="B361" s="1" t="s">
        <v>93</v>
      </c>
      <c r="C361" s="1" t="s">
        <v>1295</v>
      </c>
      <c r="D361" s="2" t="s">
        <v>1296</v>
      </c>
      <c r="E361" s="1">
        <v>1.0</v>
      </c>
      <c r="I361" s="1">
        <v>0.0</v>
      </c>
      <c r="J361" s="1">
        <v>120.0</v>
      </c>
      <c r="L361" s="1">
        <v>8471390.0</v>
      </c>
      <c r="N361" s="1">
        <v>454137.0</v>
      </c>
      <c r="P361" s="1" t="s">
        <v>1297</v>
      </c>
      <c r="Q361" s="1" t="s">
        <v>1298</v>
      </c>
      <c r="R361" s="1" t="s">
        <v>97</v>
      </c>
      <c r="S361" s="1">
        <v>1.0</v>
      </c>
      <c r="T361" s="1">
        <v>0.0</v>
      </c>
      <c r="X361" s="1" t="s">
        <v>29</v>
      </c>
    </row>
    <row r="362">
      <c r="A362" s="3" t="str">
        <f>HYPERLINK("https://stackoverflow.com/q/49175094", "49175094")</f>
        <v>49175094</v>
      </c>
      <c r="B362" s="1" t="s">
        <v>93</v>
      </c>
      <c r="C362" s="1" t="s">
        <v>1299</v>
      </c>
      <c r="D362" s="2" t="s">
        <v>1300</v>
      </c>
      <c r="E362" s="1">
        <v>1.0</v>
      </c>
      <c r="F362" s="1">
        <v>4.9181247E7</v>
      </c>
      <c r="I362" s="1">
        <v>1.0</v>
      </c>
      <c r="J362" s="1">
        <v>267.0</v>
      </c>
      <c r="L362" s="1">
        <v>9462582.0</v>
      </c>
      <c r="Q362" s="1" t="s">
        <v>1301</v>
      </c>
      <c r="R362" s="1" t="s">
        <v>97</v>
      </c>
      <c r="S362" s="1">
        <v>1.0</v>
      </c>
      <c r="T362" s="1">
        <v>0.0</v>
      </c>
      <c r="X362" s="1" t="s">
        <v>29</v>
      </c>
      <c r="Z362" s="1" t="s">
        <v>1301</v>
      </c>
    </row>
    <row r="363">
      <c r="A363" s="3" t="str">
        <f>HYPERLINK("https://stackoverflow.com/q/49223721", "49223721")</f>
        <v>49223721</v>
      </c>
      <c r="B363" s="1" t="s">
        <v>93</v>
      </c>
      <c r="C363" s="1" t="s">
        <v>1302</v>
      </c>
      <c r="D363" s="2" t="s">
        <v>1303</v>
      </c>
      <c r="E363" s="1">
        <v>1.0</v>
      </c>
      <c r="F363" s="1">
        <v>4.9239557E7</v>
      </c>
      <c r="I363" s="1">
        <v>0.0</v>
      </c>
      <c r="J363" s="1">
        <v>121.0</v>
      </c>
      <c r="L363" s="1">
        <v>9443995.0</v>
      </c>
      <c r="N363" s="1">
        <v>9443995.0</v>
      </c>
      <c r="P363" s="1" t="s">
        <v>1304</v>
      </c>
      <c r="Q363" s="1" t="s">
        <v>1305</v>
      </c>
      <c r="R363" s="1" t="s">
        <v>190</v>
      </c>
      <c r="S363" s="1">
        <v>1.0</v>
      </c>
      <c r="T363" s="1">
        <v>3.0</v>
      </c>
      <c r="X363" s="1" t="s">
        <v>29</v>
      </c>
      <c r="Z363" s="1" t="s">
        <v>1305</v>
      </c>
    </row>
    <row r="364">
      <c r="A364" s="3" t="str">
        <f>HYPERLINK("https://stackoverflow.com/q/49229199", "49229199")</f>
        <v>49229199</v>
      </c>
      <c r="B364" s="1" t="s">
        <v>93</v>
      </c>
      <c r="C364" s="1" t="s">
        <v>1306</v>
      </c>
      <c r="D364" s="2" t="s">
        <v>1307</v>
      </c>
      <c r="E364" s="1">
        <v>1.0</v>
      </c>
      <c r="F364" s="1">
        <v>4.9238182E7</v>
      </c>
      <c r="I364" s="1">
        <v>0.0</v>
      </c>
      <c r="J364" s="1">
        <v>437.0</v>
      </c>
      <c r="L364" s="1">
        <v>7797288.0</v>
      </c>
      <c r="Q364" s="1" t="s">
        <v>1308</v>
      </c>
      <c r="R364" s="1" t="s">
        <v>97</v>
      </c>
      <c r="S364" s="1">
        <v>1.0</v>
      </c>
      <c r="T364" s="1">
        <v>0.0</v>
      </c>
      <c r="X364" s="1" t="s">
        <v>29</v>
      </c>
      <c r="Z364" s="1" t="s">
        <v>1308</v>
      </c>
    </row>
    <row r="365">
      <c r="A365" s="3" t="str">
        <f>HYPERLINK("https://stackoverflow.com/q/49242888", "49242888")</f>
        <v>49242888</v>
      </c>
      <c r="B365" s="1" t="s">
        <v>93</v>
      </c>
      <c r="C365" s="1" t="s">
        <v>1309</v>
      </c>
      <c r="D365" s="2" t="s">
        <v>1310</v>
      </c>
      <c r="E365" s="1">
        <v>1.0</v>
      </c>
      <c r="F365" s="1">
        <v>4.9244844E7</v>
      </c>
      <c r="I365" s="1">
        <v>0.0</v>
      </c>
      <c r="J365" s="1">
        <v>291.0</v>
      </c>
      <c r="L365" s="1">
        <v>9424871.0</v>
      </c>
      <c r="N365" s="1">
        <v>4370109.0</v>
      </c>
      <c r="P365" s="1" t="s">
        <v>1311</v>
      </c>
      <c r="Q365" s="1" t="s">
        <v>1311</v>
      </c>
      <c r="R365" s="1" t="s">
        <v>1312</v>
      </c>
      <c r="S365" s="1">
        <v>1.0</v>
      </c>
      <c r="T365" s="1">
        <v>0.0</v>
      </c>
      <c r="X365" s="1" t="s">
        <v>29</v>
      </c>
      <c r="Z365" s="1" t="s">
        <v>1313</v>
      </c>
    </row>
    <row r="366">
      <c r="A366" s="3" t="str">
        <f>HYPERLINK("https://stackoverflow.com/q/49249899", "49249899")</f>
        <v>49249899</v>
      </c>
      <c r="B366" s="1" t="s">
        <v>93</v>
      </c>
      <c r="C366" s="1" t="s">
        <v>1314</v>
      </c>
      <c r="D366" s="2" t="s">
        <v>1315</v>
      </c>
      <c r="E366" s="1">
        <v>1.0</v>
      </c>
      <c r="I366" s="1">
        <v>0.0</v>
      </c>
      <c r="J366" s="1">
        <v>79.0</v>
      </c>
      <c r="L366" s="1">
        <v>7797288.0</v>
      </c>
      <c r="N366" s="1">
        <v>454137.0</v>
      </c>
      <c r="P366" s="1" t="s">
        <v>1316</v>
      </c>
      <c r="Q366" s="1" t="s">
        <v>1317</v>
      </c>
      <c r="R366" s="1" t="s">
        <v>97</v>
      </c>
      <c r="S366" s="1">
        <v>1.0</v>
      </c>
      <c r="T366" s="1">
        <v>4.0</v>
      </c>
      <c r="X366" s="1" t="s">
        <v>29</v>
      </c>
    </row>
    <row r="367">
      <c r="A367" s="3" t="str">
        <f>HYPERLINK("https://stackoverflow.com/q/49286426", "49286426")</f>
        <v>49286426</v>
      </c>
      <c r="B367" s="1" t="s">
        <v>93</v>
      </c>
      <c r="C367" s="1" t="s">
        <v>1318</v>
      </c>
      <c r="D367" s="2" t="s">
        <v>1319</v>
      </c>
      <c r="E367" s="1">
        <v>1.0</v>
      </c>
      <c r="I367" s="1">
        <v>0.0</v>
      </c>
      <c r="J367" s="1">
        <v>227.0</v>
      </c>
      <c r="L367" s="1">
        <v>1449436.0</v>
      </c>
      <c r="Q367" s="1" t="s">
        <v>1318</v>
      </c>
      <c r="R367" s="1" t="s">
        <v>97</v>
      </c>
      <c r="S367" s="1">
        <v>0.0</v>
      </c>
      <c r="T367" s="1">
        <v>7.0</v>
      </c>
      <c r="U367" s="1">
        <v>1.0</v>
      </c>
      <c r="X367" s="1" t="s">
        <v>29</v>
      </c>
    </row>
    <row r="368">
      <c r="A368" s="3" t="str">
        <f>HYPERLINK("https://stackoverflow.com/q/49288450", "49288450")</f>
        <v>49288450</v>
      </c>
      <c r="B368" s="1" t="s">
        <v>93</v>
      </c>
      <c r="C368" s="1" t="s">
        <v>1320</v>
      </c>
      <c r="D368" s="2" t="s">
        <v>1321</v>
      </c>
      <c r="E368" s="1">
        <v>1.0</v>
      </c>
      <c r="I368" s="1">
        <v>0.0</v>
      </c>
      <c r="J368" s="1">
        <v>88.0</v>
      </c>
      <c r="L368" s="1">
        <v>8605513.0</v>
      </c>
      <c r="Q368" s="1" t="s">
        <v>1322</v>
      </c>
      <c r="R368" s="1" t="s">
        <v>516</v>
      </c>
      <c r="S368" s="1">
        <v>1.0</v>
      </c>
      <c r="T368" s="1">
        <v>1.0</v>
      </c>
      <c r="X368" s="1" t="s">
        <v>29</v>
      </c>
    </row>
    <row r="369">
      <c r="A369" s="3" t="str">
        <f>HYPERLINK("https://stackoverflow.com/q/49301986", "49301986")</f>
        <v>49301986</v>
      </c>
      <c r="B369" s="1" t="s">
        <v>93</v>
      </c>
      <c r="C369" s="1" t="s">
        <v>1323</v>
      </c>
      <c r="D369" s="2" t="s">
        <v>1324</v>
      </c>
      <c r="E369" s="1">
        <v>1.0</v>
      </c>
      <c r="F369" s="1">
        <v>4.9310952E7</v>
      </c>
      <c r="I369" s="1">
        <v>0.0</v>
      </c>
      <c r="J369" s="1">
        <v>142.0</v>
      </c>
      <c r="L369" s="1">
        <v>9497963.0</v>
      </c>
      <c r="N369" s="1">
        <v>454137.0</v>
      </c>
      <c r="P369" s="1" t="s">
        <v>1325</v>
      </c>
      <c r="Q369" s="1" t="s">
        <v>1326</v>
      </c>
      <c r="R369" s="1" t="s">
        <v>97</v>
      </c>
      <c r="S369" s="1">
        <v>1.0</v>
      </c>
      <c r="T369" s="1">
        <v>0.0</v>
      </c>
      <c r="X369" s="1" t="s">
        <v>29</v>
      </c>
      <c r="Z369" s="1" t="s">
        <v>1326</v>
      </c>
    </row>
    <row r="370">
      <c r="A370" s="3" t="str">
        <f>HYPERLINK("https://stackoverflow.com/q/49375184", "49375184")</f>
        <v>49375184</v>
      </c>
      <c r="B370" s="1" t="s">
        <v>93</v>
      </c>
      <c r="C370" s="1" t="s">
        <v>1327</v>
      </c>
      <c r="D370" s="2" t="s">
        <v>1328</v>
      </c>
      <c r="E370" s="1">
        <v>1.0</v>
      </c>
      <c r="I370" s="1">
        <v>0.0</v>
      </c>
      <c r="J370" s="1">
        <v>111.0</v>
      </c>
      <c r="L370" s="1">
        <v>9519983.0</v>
      </c>
      <c r="Q370" s="1" t="s">
        <v>1329</v>
      </c>
      <c r="R370" s="1" t="s">
        <v>97</v>
      </c>
      <c r="S370" s="1">
        <v>1.0</v>
      </c>
      <c r="T370" s="1">
        <v>0.0</v>
      </c>
      <c r="X370" s="1" t="s">
        <v>29</v>
      </c>
    </row>
    <row r="371">
      <c r="A371" s="3" t="str">
        <f>HYPERLINK("https://stackoverflow.com/q/49409218", "49409218")</f>
        <v>49409218</v>
      </c>
      <c r="B371" s="1" t="s">
        <v>93</v>
      </c>
      <c r="C371" s="1" t="s">
        <v>1330</v>
      </c>
      <c r="D371" s="2" t="s">
        <v>1331</v>
      </c>
      <c r="E371" s="1">
        <v>1.0</v>
      </c>
      <c r="I371" s="1">
        <v>0.0</v>
      </c>
      <c r="J371" s="1">
        <v>158.0</v>
      </c>
      <c r="L371" s="1">
        <v>9517124.0</v>
      </c>
      <c r="Q371" s="1" t="s">
        <v>1332</v>
      </c>
      <c r="R371" s="1" t="s">
        <v>97</v>
      </c>
      <c r="S371" s="1">
        <v>1.0</v>
      </c>
      <c r="T371" s="1">
        <v>2.0</v>
      </c>
      <c r="X371" s="1" t="s">
        <v>29</v>
      </c>
    </row>
    <row r="372">
      <c r="A372" s="3" t="str">
        <f>HYPERLINK("https://stackoverflow.com/q/49419372", "49419372")</f>
        <v>49419372</v>
      </c>
      <c r="B372" s="1" t="s">
        <v>93</v>
      </c>
      <c r="C372" s="1" t="s">
        <v>1333</v>
      </c>
      <c r="D372" s="2" t="s">
        <v>1334</v>
      </c>
      <c r="E372" s="1">
        <v>1.0</v>
      </c>
      <c r="I372" s="1">
        <v>0.0</v>
      </c>
      <c r="J372" s="1">
        <v>107.0</v>
      </c>
      <c r="L372" s="1">
        <v>9426876.0</v>
      </c>
      <c r="Q372" s="1" t="s">
        <v>1335</v>
      </c>
      <c r="R372" s="1" t="s">
        <v>1336</v>
      </c>
      <c r="S372" s="1">
        <v>1.0</v>
      </c>
      <c r="T372" s="1">
        <v>2.0</v>
      </c>
      <c r="X372" s="1" t="s">
        <v>29</v>
      </c>
    </row>
    <row r="373">
      <c r="A373" s="3" t="str">
        <f>HYPERLINK("https://stackoverflow.com/q/49434916", "49434916")</f>
        <v>49434916</v>
      </c>
      <c r="B373" s="1" t="s">
        <v>93</v>
      </c>
      <c r="C373" s="1" t="s">
        <v>1337</v>
      </c>
      <c r="D373" s="2" t="s">
        <v>1338</v>
      </c>
      <c r="E373" s="1">
        <v>1.0</v>
      </c>
      <c r="F373" s="1">
        <v>4.9437423E7</v>
      </c>
      <c r="I373" s="1">
        <v>0.0</v>
      </c>
      <c r="J373" s="1">
        <v>239.0</v>
      </c>
      <c r="L373" s="1">
        <v>9443995.0</v>
      </c>
      <c r="N373" s="1">
        <v>9337071.0</v>
      </c>
      <c r="P373" s="1" t="s">
        <v>1339</v>
      </c>
      <c r="Q373" s="1" t="s">
        <v>1340</v>
      </c>
      <c r="R373" s="1" t="s">
        <v>190</v>
      </c>
      <c r="S373" s="1">
        <v>1.0</v>
      </c>
      <c r="T373" s="1">
        <v>0.0</v>
      </c>
      <c r="X373" s="1" t="s">
        <v>29</v>
      </c>
      <c r="Z373" s="1" t="s">
        <v>1340</v>
      </c>
    </row>
    <row r="374">
      <c r="A374" s="3" t="str">
        <f>HYPERLINK("https://stackoverflow.com/q/49439737", "49439737")</f>
        <v>49439737</v>
      </c>
      <c r="B374" s="1" t="s">
        <v>93</v>
      </c>
      <c r="C374" s="1" t="s">
        <v>1341</v>
      </c>
      <c r="D374" s="2" t="s">
        <v>1342</v>
      </c>
      <c r="E374" s="1">
        <v>1.0</v>
      </c>
      <c r="I374" s="1">
        <v>0.0</v>
      </c>
      <c r="J374" s="1">
        <v>471.0</v>
      </c>
      <c r="L374" s="1">
        <v>9290881.0</v>
      </c>
      <c r="Q374" s="1" t="s">
        <v>1343</v>
      </c>
      <c r="R374" s="1" t="s">
        <v>1344</v>
      </c>
      <c r="S374" s="1">
        <v>2.0</v>
      </c>
      <c r="T374" s="1">
        <v>0.0</v>
      </c>
      <c r="X374" s="1" t="s">
        <v>29</v>
      </c>
    </row>
    <row r="375">
      <c r="A375" s="3" t="str">
        <f>HYPERLINK("https://stackoverflow.com/q/49447462", "49447462")</f>
        <v>49447462</v>
      </c>
      <c r="B375" s="1" t="s">
        <v>93</v>
      </c>
      <c r="C375" s="1" t="s">
        <v>1345</v>
      </c>
      <c r="D375" s="2" t="s">
        <v>1346</v>
      </c>
      <c r="E375" s="1">
        <v>1.0</v>
      </c>
      <c r="F375" s="1">
        <v>4.9453797E7</v>
      </c>
      <c r="I375" s="1">
        <v>0.0</v>
      </c>
      <c r="J375" s="1">
        <v>414.0</v>
      </c>
      <c r="L375" s="1">
        <v>9443995.0</v>
      </c>
      <c r="Q375" s="1" t="s">
        <v>1347</v>
      </c>
      <c r="R375" s="1" t="s">
        <v>97</v>
      </c>
      <c r="S375" s="1">
        <v>1.0</v>
      </c>
      <c r="T375" s="1">
        <v>1.0</v>
      </c>
      <c r="X375" s="1" t="s">
        <v>29</v>
      </c>
      <c r="Z375" s="1" t="s">
        <v>1347</v>
      </c>
    </row>
    <row r="376">
      <c r="A376" s="3" t="str">
        <f>HYPERLINK("https://stackoverflow.com/q/49449205", "49449205")</f>
        <v>49449205</v>
      </c>
      <c r="B376" s="1" t="s">
        <v>93</v>
      </c>
      <c r="C376" s="1" t="s">
        <v>1348</v>
      </c>
      <c r="D376" s="2" t="s">
        <v>1349</v>
      </c>
      <c r="E376" s="1">
        <v>1.0</v>
      </c>
      <c r="F376" s="1">
        <v>4.9453973E7</v>
      </c>
      <c r="I376" s="1">
        <v>0.0</v>
      </c>
      <c r="J376" s="1">
        <v>181.0</v>
      </c>
      <c r="L376" s="1">
        <v>7797288.0</v>
      </c>
      <c r="Q376" s="1" t="s">
        <v>1350</v>
      </c>
      <c r="R376" s="1" t="s">
        <v>97</v>
      </c>
      <c r="S376" s="1">
        <v>1.0</v>
      </c>
      <c r="T376" s="1">
        <v>2.0</v>
      </c>
      <c r="X376" s="1" t="s">
        <v>29</v>
      </c>
      <c r="Z376" s="1" t="s">
        <v>1350</v>
      </c>
    </row>
    <row r="377">
      <c r="A377" s="3" t="str">
        <f>HYPERLINK("https://stackoverflow.com/q/49467664", "49467664")</f>
        <v>49467664</v>
      </c>
      <c r="B377" s="1" t="s">
        <v>93</v>
      </c>
      <c r="C377" s="1" t="s">
        <v>1351</v>
      </c>
      <c r="D377" s="2" t="s">
        <v>1352</v>
      </c>
      <c r="E377" s="1">
        <v>1.0</v>
      </c>
      <c r="F377" s="1">
        <v>4.9504934E7</v>
      </c>
      <c r="I377" s="1">
        <v>1.0</v>
      </c>
      <c r="J377" s="1">
        <v>534.0</v>
      </c>
      <c r="L377" s="1">
        <v>4663651.0</v>
      </c>
      <c r="Q377" s="1" t="s">
        <v>1353</v>
      </c>
      <c r="R377" s="1" t="s">
        <v>97</v>
      </c>
      <c r="S377" s="1">
        <v>1.0</v>
      </c>
      <c r="T377" s="1">
        <v>0.0</v>
      </c>
      <c r="X377" s="1" t="s">
        <v>29</v>
      </c>
      <c r="Z377" s="1" t="s">
        <v>1353</v>
      </c>
    </row>
    <row r="378">
      <c r="A378" s="3" t="str">
        <f>HYPERLINK("https://stackoverflow.com/q/49503406", "49503406")</f>
        <v>49503406</v>
      </c>
      <c r="B378" s="1" t="s">
        <v>93</v>
      </c>
      <c r="C378" s="1" t="s">
        <v>1354</v>
      </c>
      <c r="D378" s="2" t="s">
        <v>1355</v>
      </c>
      <c r="E378" s="1">
        <v>1.0</v>
      </c>
      <c r="I378" s="1">
        <v>0.0</v>
      </c>
      <c r="J378" s="1">
        <v>523.0</v>
      </c>
      <c r="L378" s="1">
        <v>9426876.0</v>
      </c>
      <c r="Q378" s="1" t="s">
        <v>1356</v>
      </c>
      <c r="R378" s="1" t="s">
        <v>1357</v>
      </c>
      <c r="S378" s="1">
        <v>1.0</v>
      </c>
      <c r="T378" s="1">
        <v>0.0</v>
      </c>
      <c r="X378" s="1" t="s">
        <v>29</v>
      </c>
    </row>
    <row r="379">
      <c r="A379" s="3" t="str">
        <f>HYPERLINK("https://stackoverflow.com/q/49504777", "49504777")</f>
        <v>49504777</v>
      </c>
      <c r="B379" s="1" t="s">
        <v>93</v>
      </c>
      <c r="C379" s="1" t="s">
        <v>1358</v>
      </c>
      <c r="D379" s="2" t="s">
        <v>1359</v>
      </c>
      <c r="E379" s="1">
        <v>1.0</v>
      </c>
      <c r="F379" s="1">
        <v>4.9560905E7</v>
      </c>
      <c r="I379" s="1">
        <v>0.0</v>
      </c>
      <c r="J379" s="1">
        <v>490.0</v>
      </c>
      <c r="L379" s="1">
        <v>1423927.0</v>
      </c>
      <c r="N379" s="1">
        <v>1423927.0</v>
      </c>
      <c r="P379" s="1" t="s">
        <v>1360</v>
      </c>
      <c r="Q379" s="1" t="s">
        <v>1360</v>
      </c>
      <c r="R379" s="1" t="s">
        <v>190</v>
      </c>
      <c r="S379" s="1">
        <v>2.0</v>
      </c>
      <c r="T379" s="1">
        <v>9.0</v>
      </c>
      <c r="X379" s="1" t="s">
        <v>29</v>
      </c>
      <c r="Z379" s="1" t="s">
        <v>1361</v>
      </c>
    </row>
    <row r="380">
      <c r="A380" s="3" t="str">
        <f>HYPERLINK("https://stackoverflow.com/q/49506812", "49506812")</f>
        <v>49506812</v>
      </c>
      <c r="B380" s="1" t="s">
        <v>93</v>
      </c>
      <c r="C380" s="1" t="s">
        <v>1362</v>
      </c>
      <c r="D380" s="2" t="s">
        <v>1363</v>
      </c>
      <c r="E380" s="1">
        <v>1.0</v>
      </c>
      <c r="F380" s="1">
        <v>4.9560414E7</v>
      </c>
      <c r="I380" s="1">
        <v>0.0</v>
      </c>
      <c r="J380" s="1">
        <v>202.0</v>
      </c>
      <c r="L380" s="1">
        <v>9443995.0</v>
      </c>
      <c r="N380" s="1">
        <v>9443995.0</v>
      </c>
      <c r="P380" s="1" t="s">
        <v>1364</v>
      </c>
      <c r="Q380" s="1" t="s">
        <v>1365</v>
      </c>
      <c r="R380" s="1" t="s">
        <v>97</v>
      </c>
      <c r="S380" s="1">
        <v>2.0</v>
      </c>
      <c r="T380" s="1">
        <v>0.0</v>
      </c>
      <c r="U380" s="1">
        <v>1.0</v>
      </c>
      <c r="X380" s="1" t="s">
        <v>29</v>
      </c>
      <c r="Z380" s="1" t="s">
        <v>1366</v>
      </c>
    </row>
    <row r="381">
      <c r="A381" s="3" t="str">
        <f>HYPERLINK("https://stackoverflow.com/q/49509195", "49509195")</f>
        <v>49509195</v>
      </c>
      <c r="B381" s="1" t="s">
        <v>93</v>
      </c>
      <c r="C381" s="1" t="s">
        <v>1367</v>
      </c>
      <c r="D381" s="2" t="s">
        <v>1368</v>
      </c>
      <c r="E381" s="1">
        <v>1.0</v>
      </c>
      <c r="F381" s="1">
        <v>4.9515061E7</v>
      </c>
      <c r="I381" s="1">
        <v>1.0</v>
      </c>
      <c r="J381" s="1">
        <v>230.0</v>
      </c>
      <c r="L381" s="1">
        <v>9426876.0</v>
      </c>
      <c r="Q381" s="1" t="s">
        <v>1369</v>
      </c>
      <c r="R381" s="1" t="s">
        <v>1370</v>
      </c>
      <c r="S381" s="1">
        <v>2.0</v>
      </c>
      <c r="T381" s="1">
        <v>0.0</v>
      </c>
      <c r="X381" s="1" t="s">
        <v>29</v>
      </c>
      <c r="Z381" s="1" t="s">
        <v>1371</v>
      </c>
    </row>
    <row r="382">
      <c r="A382" s="3" t="str">
        <f>HYPERLINK("https://stackoverflow.com/q/49528679", "49528679")</f>
        <v>49528679</v>
      </c>
      <c r="B382" s="1" t="s">
        <v>93</v>
      </c>
      <c r="C382" s="1" t="s">
        <v>1372</v>
      </c>
      <c r="D382" s="2" t="s">
        <v>1373</v>
      </c>
      <c r="E382" s="1">
        <v>1.0</v>
      </c>
      <c r="F382" s="1">
        <v>4.9561806E7</v>
      </c>
      <c r="I382" s="1">
        <v>0.0</v>
      </c>
      <c r="J382" s="1">
        <v>102.0</v>
      </c>
      <c r="L382" s="1">
        <v>9443995.0</v>
      </c>
      <c r="Q382" s="1" t="s">
        <v>1374</v>
      </c>
      <c r="R382" s="1" t="s">
        <v>1375</v>
      </c>
      <c r="S382" s="1">
        <v>2.0</v>
      </c>
      <c r="T382" s="1">
        <v>0.0</v>
      </c>
      <c r="X382" s="1" t="s">
        <v>29</v>
      </c>
      <c r="Z382" s="1" t="s">
        <v>1374</v>
      </c>
    </row>
    <row r="383">
      <c r="A383" s="3" t="str">
        <f>HYPERLINK("https://stackoverflow.com/q/49544447", "49544447")</f>
        <v>49544447</v>
      </c>
      <c r="B383" s="1" t="s">
        <v>93</v>
      </c>
      <c r="C383" s="1" t="s">
        <v>1376</v>
      </c>
      <c r="D383" s="2" t="s">
        <v>1377</v>
      </c>
      <c r="E383" s="1">
        <v>1.0</v>
      </c>
      <c r="F383" s="1">
        <v>4.9563164E7</v>
      </c>
      <c r="I383" s="1">
        <v>0.0</v>
      </c>
      <c r="J383" s="1">
        <v>291.0</v>
      </c>
      <c r="L383" s="1">
        <v>9535853.0</v>
      </c>
      <c r="N383" s="1">
        <v>454137.0</v>
      </c>
      <c r="P383" s="1" t="s">
        <v>1378</v>
      </c>
      <c r="Q383" s="1" t="s">
        <v>1378</v>
      </c>
      <c r="R383" s="1" t="s">
        <v>1379</v>
      </c>
      <c r="S383" s="1">
        <v>2.0</v>
      </c>
      <c r="T383" s="1">
        <v>0.0</v>
      </c>
      <c r="X383" s="1" t="s">
        <v>29</v>
      </c>
      <c r="Z383" s="1" t="s">
        <v>1380</v>
      </c>
    </row>
    <row r="384">
      <c r="A384" s="3" t="str">
        <f>HYPERLINK("https://stackoverflow.com/q/49544718", "49544718")</f>
        <v>49544718</v>
      </c>
      <c r="B384" s="1" t="s">
        <v>93</v>
      </c>
      <c r="C384" s="1" t="s">
        <v>1381</v>
      </c>
      <c r="D384" s="2" t="s">
        <v>1382</v>
      </c>
      <c r="E384" s="1">
        <v>1.0</v>
      </c>
      <c r="I384" s="1">
        <v>0.0</v>
      </c>
      <c r="J384" s="1">
        <v>345.0</v>
      </c>
      <c r="L384" s="1">
        <v>8605513.0</v>
      </c>
      <c r="Q384" s="1" t="s">
        <v>1383</v>
      </c>
      <c r="R384" s="1" t="s">
        <v>97</v>
      </c>
      <c r="S384" s="1">
        <v>2.0</v>
      </c>
      <c r="T384" s="1">
        <v>0.0</v>
      </c>
      <c r="X384" s="1" t="s">
        <v>29</v>
      </c>
    </row>
    <row r="385">
      <c r="A385" s="3" t="str">
        <f>HYPERLINK("https://stackoverflow.com/q/49565318", "49565318")</f>
        <v>49565318</v>
      </c>
      <c r="B385" s="1" t="s">
        <v>93</v>
      </c>
      <c r="C385" s="1" t="s">
        <v>1384</v>
      </c>
      <c r="D385" s="2" t="s">
        <v>1385</v>
      </c>
      <c r="E385" s="1">
        <v>1.0</v>
      </c>
      <c r="F385" s="1">
        <v>4.9579261E7</v>
      </c>
      <c r="I385" s="1">
        <v>1.0</v>
      </c>
      <c r="J385" s="1">
        <v>616.0</v>
      </c>
      <c r="L385" s="1">
        <v>82156.0</v>
      </c>
      <c r="N385" s="1">
        <v>881229.0</v>
      </c>
      <c r="P385" s="1" t="s">
        <v>1386</v>
      </c>
      <c r="Q385" s="1" t="s">
        <v>1386</v>
      </c>
      <c r="R385" s="1" t="s">
        <v>190</v>
      </c>
      <c r="S385" s="1">
        <v>1.0</v>
      </c>
      <c r="T385" s="1">
        <v>2.0</v>
      </c>
      <c r="U385" s="1">
        <v>1.0</v>
      </c>
      <c r="X385" s="1" t="s">
        <v>56</v>
      </c>
      <c r="Z385" s="1" t="s">
        <v>1387</v>
      </c>
    </row>
    <row r="386">
      <c r="A386" s="3" t="str">
        <f>HYPERLINK("https://stackoverflow.com/q/49573392", "49573392")</f>
        <v>49573392</v>
      </c>
      <c r="B386" s="1" t="s">
        <v>93</v>
      </c>
      <c r="C386" s="1" t="s">
        <v>1388</v>
      </c>
      <c r="D386" s="2" t="s">
        <v>1389</v>
      </c>
      <c r="E386" s="1">
        <v>1.0</v>
      </c>
      <c r="F386" s="1">
        <v>4.9577258E7</v>
      </c>
      <c r="I386" s="1">
        <v>3.0</v>
      </c>
      <c r="J386" s="1">
        <v>453.0</v>
      </c>
      <c r="L386" s="1">
        <v>9572003.0</v>
      </c>
      <c r="N386" s="1">
        <v>9572003.0</v>
      </c>
      <c r="P386" s="1" t="s">
        <v>1390</v>
      </c>
      <c r="Q386" s="1" t="s">
        <v>1391</v>
      </c>
      <c r="R386" s="1" t="s">
        <v>97</v>
      </c>
      <c r="S386" s="1">
        <v>1.0</v>
      </c>
      <c r="T386" s="1">
        <v>1.0</v>
      </c>
      <c r="U386" s="1">
        <v>1.0</v>
      </c>
      <c r="X386" s="1" t="s">
        <v>29</v>
      </c>
      <c r="Z386" s="1" t="s">
        <v>1392</v>
      </c>
    </row>
    <row r="387">
      <c r="A387" s="3" t="str">
        <f>HYPERLINK("https://stackoverflow.com/q/49580441", "49580441")</f>
        <v>49580441</v>
      </c>
      <c r="B387" s="1" t="s">
        <v>93</v>
      </c>
      <c r="C387" s="1" t="s">
        <v>1393</v>
      </c>
      <c r="D387" s="2" t="s">
        <v>1394</v>
      </c>
      <c r="E387" s="1">
        <v>1.0</v>
      </c>
      <c r="I387" s="1">
        <v>0.0</v>
      </c>
      <c r="J387" s="1">
        <v>78.0</v>
      </c>
      <c r="L387" s="1">
        <v>9443995.0</v>
      </c>
      <c r="Q387" s="1" t="s">
        <v>1395</v>
      </c>
      <c r="R387" s="1" t="s">
        <v>97</v>
      </c>
      <c r="S387" s="1">
        <v>1.0</v>
      </c>
      <c r="T387" s="1">
        <v>2.0</v>
      </c>
      <c r="X387" s="1" t="s">
        <v>29</v>
      </c>
    </row>
    <row r="388">
      <c r="A388" s="3" t="str">
        <f>HYPERLINK("https://stackoverflow.com/q/49615281", "49615281")</f>
        <v>49615281</v>
      </c>
      <c r="B388" s="1" t="s">
        <v>93</v>
      </c>
      <c r="C388" s="1" t="s">
        <v>1396</v>
      </c>
      <c r="D388" s="2" t="s">
        <v>1397</v>
      </c>
      <c r="E388" s="1">
        <v>1.0</v>
      </c>
      <c r="F388" s="1">
        <v>4.9618006E7</v>
      </c>
      <c r="I388" s="1">
        <v>0.0</v>
      </c>
      <c r="J388" s="1">
        <v>310.0</v>
      </c>
      <c r="L388" s="1">
        <v>9443995.0</v>
      </c>
      <c r="N388" s="1">
        <v>9443995.0</v>
      </c>
      <c r="P388" s="1" t="s">
        <v>1398</v>
      </c>
      <c r="Q388" s="1" t="s">
        <v>1399</v>
      </c>
      <c r="R388" s="1" t="s">
        <v>1400</v>
      </c>
      <c r="S388" s="1">
        <v>2.0</v>
      </c>
      <c r="T388" s="1">
        <v>1.0</v>
      </c>
      <c r="X388" s="1" t="s">
        <v>29</v>
      </c>
      <c r="Z388" s="1" t="s">
        <v>1399</v>
      </c>
    </row>
    <row r="389">
      <c r="A389" s="3" t="str">
        <f>HYPERLINK("https://stackoverflow.com/q/49666940", "49666940")</f>
        <v>49666940</v>
      </c>
      <c r="B389" s="1" t="s">
        <v>93</v>
      </c>
      <c r="C389" s="1" t="s">
        <v>1401</v>
      </c>
      <c r="D389" s="2" t="s">
        <v>1402</v>
      </c>
      <c r="E389" s="1">
        <v>1.0</v>
      </c>
      <c r="F389" s="1">
        <v>4.9677679E7</v>
      </c>
      <c r="I389" s="1">
        <v>0.0</v>
      </c>
      <c r="J389" s="1">
        <v>880.0</v>
      </c>
      <c r="L389" s="1">
        <v>9426876.0</v>
      </c>
      <c r="Q389" s="1" t="s">
        <v>1403</v>
      </c>
      <c r="R389" s="1" t="s">
        <v>1404</v>
      </c>
      <c r="S389" s="1">
        <v>2.0</v>
      </c>
      <c r="T389" s="1">
        <v>0.0</v>
      </c>
      <c r="U389" s="1">
        <v>1.0</v>
      </c>
      <c r="X389" s="1" t="s">
        <v>29</v>
      </c>
      <c r="Z389" s="1" t="s">
        <v>1405</v>
      </c>
    </row>
    <row r="390">
      <c r="A390" s="3" t="str">
        <f>HYPERLINK("https://stackoverflow.com/q/49670353", "49670353")</f>
        <v>49670353</v>
      </c>
      <c r="B390" s="1" t="s">
        <v>93</v>
      </c>
      <c r="C390" s="1" t="s">
        <v>1406</v>
      </c>
      <c r="D390" s="2" t="s">
        <v>1407</v>
      </c>
      <c r="E390" s="1">
        <v>1.0</v>
      </c>
      <c r="F390" s="1">
        <v>4.967117E7</v>
      </c>
      <c r="I390" s="1">
        <v>5.0</v>
      </c>
      <c r="J390" s="1">
        <v>3619.0</v>
      </c>
      <c r="L390" s="1">
        <v>1423927.0</v>
      </c>
      <c r="N390" s="1">
        <v>9337071.0</v>
      </c>
      <c r="P390" s="1" t="s">
        <v>1408</v>
      </c>
      <c r="Q390" s="1" t="s">
        <v>1409</v>
      </c>
      <c r="R390" s="1" t="s">
        <v>1410</v>
      </c>
      <c r="S390" s="1">
        <v>1.0</v>
      </c>
      <c r="T390" s="1">
        <v>2.0</v>
      </c>
      <c r="U390" s="1">
        <v>1.0</v>
      </c>
      <c r="X390" s="1" t="s">
        <v>56</v>
      </c>
      <c r="Z390" s="1" t="s">
        <v>1411</v>
      </c>
    </row>
    <row r="391">
      <c r="A391" s="3" t="str">
        <f>HYPERLINK("https://stackoverflow.com/q/49689289", "49689289")</f>
        <v>49689289</v>
      </c>
      <c r="B391" s="1" t="s">
        <v>93</v>
      </c>
      <c r="C391" s="1" t="s">
        <v>1412</v>
      </c>
      <c r="D391" s="2" t="s">
        <v>1413</v>
      </c>
      <c r="E391" s="1">
        <v>1.0</v>
      </c>
      <c r="F391" s="1">
        <v>4.9736731E7</v>
      </c>
      <c r="I391" s="1">
        <v>0.0</v>
      </c>
      <c r="J391" s="1">
        <v>245.0</v>
      </c>
      <c r="L391" s="1">
        <v>9426876.0</v>
      </c>
      <c r="Q391" s="1" t="s">
        <v>1414</v>
      </c>
      <c r="R391" s="1" t="s">
        <v>1415</v>
      </c>
      <c r="S391" s="1">
        <v>1.0</v>
      </c>
      <c r="T391" s="1">
        <v>2.0</v>
      </c>
      <c r="X391" s="1" t="s">
        <v>29</v>
      </c>
      <c r="Z391" s="1" t="s">
        <v>1416</v>
      </c>
    </row>
    <row r="392">
      <c r="A392" s="3" t="str">
        <f>HYPERLINK("https://stackoverflow.com/q/49715967", "49715967")</f>
        <v>49715967</v>
      </c>
      <c r="B392" s="1" t="s">
        <v>93</v>
      </c>
      <c r="C392" s="1" t="s">
        <v>1417</v>
      </c>
      <c r="D392" s="2" t="s">
        <v>1418</v>
      </c>
      <c r="E392" s="1">
        <v>1.0</v>
      </c>
      <c r="F392" s="1">
        <v>4.9736E7</v>
      </c>
      <c r="I392" s="1">
        <v>0.0</v>
      </c>
      <c r="J392" s="1">
        <v>332.0</v>
      </c>
      <c r="L392" s="1">
        <v>4663651.0</v>
      </c>
      <c r="N392" s="1">
        <v>454137.0</v>
      </c>
      <c r="P392" s="1" t="s">
        <v>1419</v>
      </c>
      <c r="Q392" s="1" t="s">
        <v>1420</v>
      </c>
      <c r="R392" s="1" t="s">
        <v>97</v>
      </c>
      <c r="S392" s="1">
        <v>1.0</v>
      </c>
      <c r="T392" s="1">
        <v>0.0</v>
      </c>
      <c r="X392" s="1" t="s">
        <v>29</v>
      </c>
      <c r="Z392" s="1" t="s">
        <v>1421</v>
      </c>
    </row>
    <row r="393">
      <c r="A393" s="3" t="str">
        <f>HYPERLINK("https://stackoverflow.com/q/49717039", "49717039")</f>
        <v>49717039</v>
      </c>
      <c r="B393" s="1" t="s">
        <v>93</v>
      </c>
      <c r="C393" s="1" t="s">
        <v>1422</v>
      </c>
      <c r="D393" s="2" t="s">
        <v>1423</v>
      </c>
      <c r="E393" s="1">
        <v>1.0</v>
      </c>
      <c r="F393" s="1">
        <v>4.975597E7</v>
      </c>
      <c r="I393" s="1">
        <v>0.0</v>
      </c>
      <c r="J393" s="1">
        <v>162.0</v>
      </c>
      <c r="L393" s="1">
        <v>4663651.0</v>
      </c>
      <c r="Q393" s="1" t="s">
        <v>1424</v>
      </c>
      <c r="R393" s="1" t="s">
        <v>97</v>
      </c>
      <c r="S393" s="1">
        <v>1.0</v>
      </c>
      <c r="T393" s="1">
        <v>3.0</v>
      </c>
      <c r="X393" s="1" t="s">
        <v>29</v>
      </c>
      <c r="Z393" s="1" t="s">
        <v>1425</v>
      </c>
    </row>
    <row r="394">
      <c r="A394" s="3" t="str">
        <f>HYPERLINK("https://stackoverflow.com/q/49738995", "49738995")</f>
        <v>49738995</v>
      </c>
      <c r="B394" s="1" t="s">
        <v>93</v>
      </c>
      <c r="C394" s="1" t="s">
        <v>1426</v>
      </c>
      <c r="D394" s="2" t="s">
        <v>1427</v>
      </c>
      <c r="E394" s="1">
        <v>1.0</v>
      </c>
      <c r="F394" s="1">
        <v>4.9741987E7</v>
      </c>
      <c r="I394" s="1">
        <v>0.0</v>
      </c>
      <c r="J394" s="1">
        <v>347.0</v>
      </c>
      <c r="L394" s="1">
        <v>9620904.0</v>
      </c>
      <c r="N394" s="1">
        <v>9620904.0</v>
      </c>
      <c r="P394" s="1" t="s">
        <v>1428</v>
      </c>
      <c r="Q394" s="1" t="s">
        <v>1429</v>
      </c>
      <c r="R394" s="1" t="s">
        <v>190</v>
      </c>
      <c r="S394" s="1">
        <v>1.0</v>
      </c>
      <c r="T394" s="1">
        <v>0.0</v>
      </c>
      <c r="X394" s="1" t="s">
        <v>29</v>
      </c>
      <c r="Z394" s="1" t="s">
        <v>1429</v>
      </c>
    </row>
    <row r="395">
      <c r="A395" s="3" t="str">
        <f>HYPERLINK("https://stackoverflow.com/q/49740870", "49740870")</f>
        <v>49740870</v>
      </c>
      <c r="B395" s="1" t="s">
        <v>93</v>
      </c>
      <c r="C395" s="1" t="s">
        <v>1430</v>
      </c>
      <c r="D395" s="2" t="s">
        <v>1431</v>
      </c>
      <c r="E395" s="1">
        <v>1.0</v>
      </c>
      <c r="I395" s="1">
        <v>0.0</v>
      </c>
      <c r="J395" s="1">
        <v>310.0</v>
      </c>
      <c r="L395" s="1">
        <v>9424871.0</v>
      </c>
      <c r="N395" s="1">
        <v>1841839.0</v>
      </c>
      <c r="P395" s="1" t="s">
        <v>1432</v>
      </c>
      <c r="Q395" s="1" t="s">
        <v>1432</v>
      </c>
      <c r="R395" s="1" t="s">
        <v>1433</v>
      </c>
      <c r="S395" s="1">
        <v>1.0</v>
      </c>
      <c r="T395" s="1">
        <v>0.0</v>
      </c>
      <c r="X395" s="1" t="s">
        <v>29</v>
      </c>
    </row>
    <row r="396">
      <c r="A396" s="3" t="str">
        <f>HYPERLINK("https://stackoverflow.com/q/49763535", "49763535")</f>
        <v>49763535</v>
      </c>
      <c r="B396" s="1" t="s">
        <v>93</v>
      </c>
      <c r="C396" s="1" t="s">
        <v>1434</v>
      </c>
      <c r="D396" s="2" t="s">
        <v>1435</v>
      </c>
      <c r="E396" s="1">
        <v>1.0</v>
      </c>
      <c r="I396" s="1">
        <v>3.0</v>
      </c>
      <c r="J396" s="1">
        <v>1410.0</v>
      </c>
      <c r="L396" s="1">
        <v>9627359.0</v>
      </c>
      <c r="N396" s="1">
        <v>454137.0</v>
      </c>
      <c r="P396" s="1" t="s">
        <v>1436</v>
      </c>
      <c r="Q396" s="1" t="s">
        <v>1436</v>
      </c>
      <c r="R396" s="1" t="s">
        <v>130</v>
      </c>
      <c r="S396" s="1">
        <v>1.0</v>
      </c>
      <c r="T396" s="1">
        <v>0.0</v>
      </c>
      <c r="U396" s="1">
        <v>2.0</v>
      </c>
      <c r="X396" s="1" t="s">
        <v>56</v>
      </c>
    </row>
    <row r="397">
      <c r="A397" s="3" t="str">
        <f>HYPERLINK("https://stackoverflow.com/q/49772445", "49772445")</f>
        <v>49772445</v>
      </c>
      <c r="B397" s="1" t="s">
        <v>93</v>
      </c>
      <c r="C397" s="1" t="s">
        <v>1437</v>
      </c>
      <c r="D397" s="2" t="s">
        <v>1438</v>
      </c>
      <c r="E397" s="1">
        <v>1.0</v>
      </c>
      <c r="I397" s="1">
        <v>0.0</v>
      </c>
      <c r="J397" s="1">
        <v>171.0</v>
      </c>
      <c r="L397" s="1">
        <v>9426876.0</v>
      </c>
      <c r="Q397" s="1" t="s">
        <v>1439</v>
      </c>
      <c r="R397" s="1" t="s">
        <v>130</v>
      </c>
      <c r="S397" s="1">
        <v>0.0</v>
      </c>
      <c r="T397" s="1">
        <v>9.0</v>
      </c>
      <c r="X397" s="1" t="s">
        <v>29</v>
      </c>
    </row>
    <row r="398">
      <c r="A398" s="3" t="str">
        <f>HYPERLINK("https://stackoverflow.com/q/49809115", "49809115")</f>
        <v>49809115</v>
      </c>
      <c r="B398" s="1" t="s">
        <v>93</v>
      </c>
      <c r="C398" s="1" t="s">
        <v>1440</v>
      </c>
      <c r="D398" s="2" t="s">
        <v>1441</v>
      </c>
      <c r="E398" s="1">
        <v>1.0</v>
      </c>
      <c r="F398" s="1">
        <v>4.9821135E7</v>
      </c>
      <c r="I398" s="1">
        <v>0.0</v>
      </c>
      <c r="J398" s="1">
        <v>634.0</v>
      </c>
      <c r="L398" s="1">
        <v>9426876.0</v>
      </c>
      <c r="Q398" s="1" t="s">
        <v>1442</v>
      </c>
      <c r="R398" s="1" t="s">
        <v>1443</v>
      </c>
      <c r="S398" s="1">
        <v>1.0</v>
      </c>
      <c r="T398" s="1">
        <v>0.0</v>
      </c>
      <c r="X398" s="1" t="s">
        <v>29</v>
      </c>
      <c r="Z398" s="1" t="s">
        <v>1442</v>
      </c>
    </row>
    <row r="399">
      <c r="A399" s="3" t="str">
        <f>HYPERLINK("https://stackoverflow.com/q/49891856", "49891856")</f>
        <v>49891856</v>
      </c>
      <c r="B399" s="1" t="s">
        <v>93</v>
      </c>
      <c r="C399" s="1" t="s">
        <v>1444</v>
      </c>
      <c r="D399" s="2" t="s">
        <v>1445</v>
      </c>
      <c r="E399" s="1">
        <v>1.0</v>
      </c>
      <c r="I399" s="1">
        <v>0.0</v>
      </c>
      <c r="J399" s="1">
        <v>160.0</v>
      </c>
      <c r="L399" s="1">
        <v>9662191.0</v>
      </c>
      <c r="Q399" s="1" t="s">
        <v>1446</v>
      </c>
      <c r="R399" s="1" t="s">
        <v>97</v>
      </c>
      <c r="S399" s="1">
        <v>1.0</v>
      </c>
      <c r="T399" s="1">
        <v>0.0</v>
      </c>
      <c r="X399" s="1" t="s">
        <v>29</v>
      </c>
    </row>
    <row r="400">
      <c r="A400" s="3" t="str">
        <f>HYPERLINK("https://stackoverflow.com/q/49895043", "49895043")</f>
        <v>49895043</v>
      </c>
      <c r="B400" s="1" t="s">
        <v>93</v>
      </c>
      <c r="C400" s="1" t="s">
        <v>1447</v>
      </c>
      <c r="D400" s="2" t="s">
        <v>1448</v>
      </c>
      <c r="E400" s="1">
        <v>1.0</v>
      </c>
      <c r="F400" s="1">
        <v>4.9904647E7</v>
      </c>
      <c r="I400" s="1">
        <v>1.0</v>
      </c>
      <c r="J400" s="1">
        <v>357.0</v>
      </c>
      <c r="L400" s="1">
        <v>9426876.0</v>
      </c>
      <c r="Q400" s="1" t="s">
        <v>1449</v>
      </c>
      <c r="R400" s="1" t="s">
        <v>1450</v>
      </c>
      <c r="S400" s="1">
        <v>1.0</v>
      </c>
      <c r="T400" s="1">
        <v>2.0</v>
      </c>
      <c r="U400" s="1">
        <v>1.0</v>
      </c>
      <c r="X400" s="1" t="s">
        <v>29</v>
      </c>
      <c r="Z400" s="1" t="s">
        <v>1451</v>
      </c>
    </row>
    <row r="401">
      <c r="A401" s="3" t="str">
        <f>HYPERLINK("https://stackoverflow.com/q/49897894", "49897894")</f>
        <v>49897894</v>
      </c>
      <c r="B401" s="1" t="s">
        <v>93</v>
      </c>
      <c r="C401" s="1" t="s">
        <v>1452</v>
      </c>
      <c r="D401" s="2" t="s">
        <v>1453</v>
      </c>
      <c r="E401" s="1">
        <v>1.0</v>
      </c>
      <c r="F401" s="1">
        <v>4.9927422E7</v>
      </c>
      <c r="I401" s="1">
        <v>1.0</v>
      </c>
      <c r="J401" s="1">
        <v>1205.0</v>
      </c>
      <c r="L401" s="1">
        <v>9653619.0</v>
      </c>
      <c r="Q401" s="1" t="s">
        <v>1454</v>
      </c>
      <c r="R401" s="1" t="s">
        <v>97</v>
      </c>
      <c r="S401" s="1">
        <v>1.0</v>
      </c>
      <c r="T401" s="1">
        <v>4.0</v>
      </c>
      <c r="U401" s="1">
        <v>1.0</v>
      </c>
      <c r="X401" s="1" t="s">
        <v>29</v>
      </c>
      <c r="Z401" s="1" t="s">
        <v>1454</v>
      </c>
    </row>
    <row r="402">
      <c r="A402" s="3" t="str">
        <f>HYPERLINK("https://stackoverflow.com/q/49913681", "49913681")</f>
        <v>49913681</v>
      </c>
      <c r="B402" s="1" t="s">
        <v>93</v>
      </c>
      <c r="C402" s="1" t="s">
        <v>1455</v>
      </c>
      <c r="D402" s="2" t="s">
        <v>1456</v>
      </c>
      <c r="E402" s="1">
        <v>1.0</v>
      </c>
      <c r="I402" s="1">
        <v>1.0</v>
      </c>
      <c r="J402" s="1">
        <v>223.0</v>
      </c>
      <c r="L402" s="1">
        <v>9426876.0</v>
      </c>
      <c r="N402" s="1">
        <v>9188803.0</v>
      </c>
      <c r="P402" s="1" t="s">
        <v>1457</v>
      </c>
      <c r="Q402" s="1" t="s">
        <v>1458</v>
      </c>
      <c r="R402" s="1" t="s">
        <v>130</v>
      </c>
      <c r="S402" s="1">
        <v>1.0</v>
      </c>
      <c r="T402" s="1">
        <v>2.0</v>
      </c>
      <c r="X402" s="1" t="s">
        <v>29</v>
      </c>
    </row>
    <row r="403">
      <c r="A403" s="3" t="str">
        <f>HYPERLINK("https://stackoverflow.com/q/49914445", "49914445")</f>
        <v>49914445</v>
      </c>
      <c r="B403" s="1" t="s">
        <v>93</v>
      </c>
      <c r="C403" s="1" t="s">
        <v>1459</v>
      </c>
      <c r="D403" s="2" t="s">
        <v>1460</v>
      </c>
      <c r="E403" s="1">
        <v>1.0</v>
      </c>
      <c r="I403" s="1">
        <v>3.0</v>
      </c>
      <c r="J403" s="1">
        <v>945.0</v>
      </c>
      <c r="L403" s="1">
        <v>9517124.0</v>
      </c>
      <c r="Q403" s="1" t="s">
        <v>1461</v>
      </c>
      <c r="R403" s="1" t="s">
        <v>97</v>
      </c>
      <c r="S403" s="1">
        <v>2.0</v>
      </c>
      <c r="T403" s="1">
        <v>0.0</v>
      </c>
      <c r="U403" s="1">
        <v>1.0</v>
      </c>
      <c r="X403" s="1" t="s">
        <v>29</v>
      </c>
    </row>
    <row r="404">
      <c r="A404" s="3" t="str">
        <f>HYPERLINK("https://stackoverflow.com/q/49920361", "49920361")</f>
        <v>49920361</v>
      </c>
      <c r="B404" s="1" t="s">
        <v>93</v>
      </c>
      <c r="C404" s="1" t="s">
        <v>1462</v>
      </c>
      <c r="D404" s="2" t="s">
        <v>1463</v>
      </c>
      <c r="E404" s="1">
        <v>1.0</v>
      </c>
      <c r="F404" s="1">
        <v>4.9926916E7</v>
      </c>
      <c r="I404" s="1">
        <v>1.0</v>
      </c>
      <c r="J404" s="1">
        <v>709.0</v>
      </c>
      <c r="L404" s="1">
        <v>1423927.0</v>
      </c>
      <c r="N404" s="1">
        <v>454137.0</v>
      </c>
      <c r="P404" s="1" t="s">
        <v>1464</v>
      </c>
      <c r="Q404" s="1" t="s">
        <v>1464</v>
      </c>
      <c r="R404" s="1" t="s">
        <v>97</v>
      </c>
      <c r="S404" s="1">
        <v>1.0</v>
      </c>
      <c r="T404" s="1">
        <v>0.0</v>
      </c>
      <c r="X404" s="1" t="s">
        <v>29</v>
      </c>
      <c r="Z404" s="1" t="s">
        <v>1465</v>
      </c>
    </row>
    <row r="405">
      <c r="A405" s="3" t="str">
        <f>HYPERLINK("https://stackoverflow.com/q/49925236", "49925236")</f>
        <v>49925236</v>
      </c>
      <c r="B405" s="1" t="s">
        <v>93</v>
      </c>
      <c r="C405" s="1" t="s">
        <v>1466</v>
      </c>
      <c r="D405" s="2" t="s">
        <v>1467</v>
      </c>
      <c r="E405" s="1">
        <v>1.0</v>
      </c>
      <c r="F405" s="1">
        <v>4.9926085E7</v>
      </c>
      <c r="I405" s="1">
        <v>1.0</v>
      </c>
      <c r="J405" s="1">
        <v>194.0</v>
      </c>
      <c r="L405" s="1">
        <v>9322929.0</v>
      </c>
      <c r="Q405" s="1" t="s">
        <v>1468</v>
      </c>
      <c r="R405" s="1" t="s">
        <v>1469</v>
      </c>
      <c r="S405" s="1">
        <v>1.0</v>
      </c>
      <c r="T405" s="1">
        <v>0.0</v>
      </c>
      <c r="X405" s="1" t="s">
        <v>29</v>
      </c>
      <c r="Z405" s="1" t="s">
        <v>1468</v>
      </c>
    </row>
    <row r="406">
      <c r="A406" s="3" t="str">
        <f>HYPERLINK("https://stackoverflow.com/q/49928032", "49928032")</f>
        <v>49928032</v>
      </c>
      <c r="B406" s="1" t="s">
        <v>93</v>
      </c>
      <c r="C406" s="1" t="s">
        <v>1470</v>
      </c>
      <c r="D406" s="2" t="s">
        <v>1471</v>
      </c>
      <c r="E406" s="1">
        <v>1.0</v>
      </c>
      <c r="I406" s="1">
        <v>2.0</v>
      </c>
      <c r="J406" s="1">
        <v>99.0</v>
      </c>
      <c r="L406" s="1">
        <v>82156.0</v>
      </c>
      <c r="Q406" s="1" t="s">
        <v>1472</v>
      </c>
      <c r="R406" s="1" t="s">
        <v>97</v>
      </c>
      <c r="S406" s="1">
        <v>2.0</v>
      </c>
      <c r="T406" s="1">
        <v>0.0</v>
      </c>
      <c r="X406" s="1" t="s">
        <v>29</v>
      </c>
    </row>
    <row r="407">
      <c r="A407" s="3" t="str">
        <f>HYPERLINK("https://stackoverflow.com/q/49933936", "49933936")</f>
        <v>49933936</v>
      </c>
      <c r="B407" s="1" t="s">
        <v>93</v>
      </c>
      <c r="C407" s="1" t="s">
        <v>1473</v>
      </c>
      <c r="D407" s="2" t="s">
        <v>1474</v>
      </c>
      <c r="E407" s="1">
        <v>1.0</v>
      </c>
      <c r="F407" s="1">
        <v>5.0049137E7</v>
      </c>
      <c r="I407" s="1">
        <v>0.0</v>
      </c>
      <c r="J407" s="1">
        <v>403.0</v>
      </c>
      <c r="L407" s="1">
        <v>9426876.0</v>
      </c>
      <c r="Q407" s="1" t="s">
        <v>1475</v>
      </c>
      <c r="R407" s="1" t="s">
        <v>1476</v>
      </c>
      <c r="S407" s="1">
        <v>1.0</v>
      </c>
      <c r="T407" s="1">
        <v>6.0</v>
      </c>
      <c r="X407" s="1" t="s">
        <v>29</v>
      </c>
      <c r="Z407" s="1" t="s">
        <v>1475</v>
      </c>
    </row>
    <row r="408">
      <c r="A408" s="3" t="str">
        <f>HYPERLINK("https://stackoverflow.com/q/49944261", "49944261")</f>
        <v>49944261</v>
      </c>
      <c r="B408" s="1" t="s">
        <v>93</v>
      </c>
      <c r="C408" s="1" t="s">
        <v>1477</v>
      </c>
      <c r="D408" s="2" t="s">
        <v>1478</v>
      </c>
      <c r="E408" s="1">
        <v>1.0</v>
      </c>
      <c r="F408" s="1">
        <v>4.9946296E7</v>
      </c>
      <c r="I408" s="1">
        <v>0.0</v>
      </c>
      <c r="J408" s="1">
        <v>83.0</v>
      </c>
      <c r="L408" s="1">
        <v>9443995.0</v>
      </c>
      <c r="N408" s="1">
        <v>9443995.0</v>
      </c>
      <c r="P408" s="1" t="s">
        <v>1479</v>
      </c>
      <c r="Q408" s="1" t="s">
        <v>1479</v>
      </c>
      <c r="R408" s="1" t="s">
        <v>97</v>
      </c>
      <c r="S408" s="1">
        <v>1.0</v>
      </c>
      <c r="T408" s="1">
        <v>2.0</v>
      </c>
      <c r="X408" s="1" t="s">
        <v>29</v>
      </c>
      <c r="Z408" s="1" t="s">
        <v>1480</v>
      </c>
    </row>
    <row r="409">
      <c r="A409" s="3" t="str">
        <f>HYPERLINK("https://stackoverflow.com/q/49956884", "49956884")</f>
        <v>49956884</v>
      </c>
      <c r="B409" s="1" t="s">
        <v>93</v>
      </c>
      <c r="C409" s="1" t="s">
        <v>1481</v>
      </c>
      <c r="D409" s="2" t="s">
        <v>1482</v>
      </c>
      <c r="E409" s="1">
        <v>1.0</v>
      </c>
      <c r="I409" s="1">
        <v>2.0</v>
      </c>
      <c r="J409" s="1">
        <v>711.0</v>
      </c>
      <c r="L409" s="1">
        <v>8163746.0</v>
      </c>
      <c r="N409" s="1">
        <v>682840.0</v>
      </c>
      <c r="P409" s="1" t="s">
        <v>1483</v>
      </c>
      <c r="Q409" s="1" t="s">
        <v>1484</v>
      </c>
      <c r="R409" s="1" t="s">
        <v>97</v>
      </c>
      <c r="S409" s="1">
        <v>1.0</v>
      </c>
      <c r="T409" s="1">
        <v>0.0</v>
      </c>
      <c r="X409" s="1" t="s">
        <v>29</v>
      </c>
    </row>
    <row r="410">
      <c r="A410" s="3" t="str">
        <f>HYPERLINK("https://stackoverflow.com/q/49957580", "49957580")</f>
        <v>49957580</v>
      </c>
      <c r="B410" s="1" t="s">
        <v>93</v>
      </c>
      <c r="C410" s="1" t="s">
        <v>1485</v>
      </c>
      <c r="D410" s="2" t="s">
        <v>1486</v>
      </c>
      <c r="E410" s="1">
        <v>1.0</v>
      </c>
      <c r="F410" s="1">
        <v>4.9986912E7</v>
      </c>
      <c r="I410" s="1">
        <v>0.0</v>
      </c>
      <c r="J410" s="1">
        <v>122.0</v>
      </c>
      <c r="L410" s="1">
        <v>9653619.0</v>
      </c>
      <c r="N410" s="1">
        <v>1423927.0</v>
      </c>
      <c r="P410" s="1" t="s">
        <v>1487</v>
      </c>
      <c r="Q410" s="1" t="s">
        <v>1487</v>
      </c>
      <c r="R410" s="1" t="s">
        <v>190</v>
      </c>
      <c r="S410" s="1">
        <v>1.0</v>
      </c>
      <c r="T410" s="1">
        <v>3.0</v>
      </c>
      <c r="X410" s="1" t="s">
        <v>29</v>
      </c>
      <c r="Z410" s="1" t="s">
        <v>1488</v>
      </c>
    </row>
    <row r="411">
      <c r="A411" s="3" t="str">
        <f>HYPERLINK("https://stackoverflow.com/q/49958989", "49958989")</f>
        <v>49958989</v>
      </c>
      <c r="B411" s="1" t="s">
        <v>93</v>
      </c>
      <c r="C411" s="1" t="s">
        <v>1489</v>
      </c>
      <c r="D411" s="2" t="s">
        <v>1490</v>
      </c>
      <c r="E411" s="1">
        <v>1.0</v>
      </c>
      <c r="F411" s="1">
        <v>4.9967478E7</v>
      </c>
      <c r="I411" s="1">
        <v>0.0</v>
      </c>
      <c r="J411" s="1">
        <v>55.0</v>
      </c>
      <c r="L411" s="1">
        <v>9443995.0</v>
      </c>
      <c r="Q411" s="1" t="s">
        <v>1491</v>
      </c>
      <c r="R411" s="1" t="s">
        <v>97</v>
      </c>
      <c r="S411" s="1">
        <v>1.0</v>
      </c>
      <c r="T411" s="1">
        <v>0.0</v>
      </c>
      <c r="X411" s="1" t="s">
        <v>29</v>
      </c>
      <c r="Z411" s="1" t="s">
        <v>1491</v>
      </c>
    </row>
    <row r="412">
      <c r="A412" s="3" t="str">
        <f>HYPERLINK("https://stackoverflow.com/q/49986234", "49986234")</f>
        <v>49986234</v>
      </c>
      <c r="B412" s="1" t="s">
        <v>93</v>
      </c>
      <c r="C412" s="1" t="s">
        <v>1492</v>
      </c>
      <c r="D412" s="2" t="s">
        <v>1493</v>
      </c>
      <c r="E412" s="1">
        <v>1.0</v>
      </c>
      <c r="I412" s="1">
        <v>1.0</v>
      </c>
      <c r="J412" s="1">
        <v>336.0</v>
      </c>
      <c r="L412" s="1">
        <v>9443995.0</v>
      </c>
      <c r="N412" s="1">
        <v>9443995.0</v>
      </c>
      <c r="P412" s="1" t="s">
        <v>1494</v>
      </c>
      <c r="Q412" s="1" t="s">
        <v>1495</v>
      </c>
      <c r="R412" s="1" t="s">
        <v>97</v>
      </c>
      <c r="S412" s="1">
        <v>1.0</v>
      </c>
      <c r="T412" s="1">
        <v>0.0</v>
      </c>
      <c r="X412" s="1" t="s">
        <v>29</v>
      </c>
    </row>
    <row r="413">
      <c r="A413" s="3" t="str">
        <f>HYPERLINK("https://stackoverflow.com/q/49988947", "49988947")</f>
        <v>49988947</v>
      </c>
      <c r="B413" s="1" t="s">
        <v>93</v>
      </c>
      <c r="C413" s="1" t="s">
        <v>1496</v>
      </c>
      <c r="D413" s="2" t="s">
        <v>1497</v>
      </c>
      <c r="E413" s="1">
        <v>1.0</v>
      </c>
      <c r="F413" s="1">
        <v>4.9989238E7</v>
      </c>
      <c r="I413" s="1">
        <v>0.0</v>
      </c>
      <c r="J413" s="1">
        <v>204.0</v>
      </c>
      <c r="L413" s="1">
        <v>9572003.0</v>
      </c>
      <c r="N413" s="1">
        <v>1.2892553E7</v>
      </c>
      <c r="P413" s="1" t="s">
        <v>1498</v>
      </c>
      <c r="Q413" s="1" t="s">
        <v>1498</v>
      </c>
      <c r="R413" s="1" t="s">
        <v>97</v>
      </c>
      <c r="S413" s="1">
        <v>1.0</v>
      </c>
      <c r="T413" s="1">
        <v>0.0</v>
      </c>
      <c r="X413" s="1" t="s">
        <v>56</v>
      </c>
      <c r="Z413" s="1" t="s">
        <v>1499</v>
      </c>
    </row>
    <row r="414">
      <c r="A414" s="3" t="str">
        <f>HYPERLINK("https://stackoverflow.com/q/49994108", "49994108")</f>
        <v>49994108</v>
      </c>
      <c r="B414" s="1" t="s">
        <v>93</v>
      </c>
      <c r="C414" s="1" t="s">
        <v>1500</v>
      </c>
      <c r="D414" s="2" t="s">
        <v>1501</v>
      </c>
      <c r="E414" s="1">
        <v>1.0</v>
      </c>
      <c r="I414" s="1">
        <v>1.0</v>
      </c>
      <c r="J414" s="1">
        <v>416.0</v>
      </c>
      <c r="L414" s="1">
        <v>9689199.0</v>
      </c>
      <c r="Q414" s="1" t="s">
        <v>1502</v>
      </c>
      <c r="R414" s="1" t="s">
        <v>1503</v>
      </c>
      <c r="S414" s="1">
        <v>1.0</v>
      </c>
      <c r="T414" s="1">
        <v>3.0</v>
      </c>
      <c r="X414" s="1" t="s">
        <v>29</v>
      </c>
    </row>
    <row r="415">
      <c r="A415" s="3" t="str">
        <f>HYPERLINK("https://stackoverflow.com/q/49997339", "49997339")</f>
        <v>49997339</v>
      </c>
      <c r="B415" s="1" t="s">
        <v>93</v>
      </c>
      <c r="C415" s="1" t="s">
        <v>1504</v>
      </c>
      <c r="D415" s="2" t="s">
        <v>1505</v>
      </c>
      <c r="E415" s="1">
        <v>1.0</v>
      </c>
      <c r="F415" s="1">
        <v>5.0030748E7</v>
      </c>
      <c r="I415" s="1">
        <v>1.0</v>
      </c>
      <c r="J415" s="1">
        <v>549.0</v>
      </c>
      <c r="L415" s="1">
        <v>1423927.0</v>
      </c>
      <c r="Q415" s="1" t="s">
        <v>1506</v>
      </c>
      <c r="R415" s="1" t="s">
        <v>97</v>
      </c>
      <c r="S415" s="1">
        <v>1.0</v>
      </c>
      <c r="T415" s="1">
        <v>0.0</v>
      </c>
      <c r="U415" s="1">
        <v>1.0</v>
      </c>
      <c r="X415" s="1" t="s">
        <v>29</v>
      </c>
      <c r="Z415" s="1" t="s">
        <v>1506</v>
      </c>
    </row>
    <row r="416">
      <c r="A416" s="3" t="str">
        <f>HYPERLINK("https://stackoverflow.com/q/50013399", "50013399")</f>
        <v>50013399</v>
      </c>
      <c r="B416" s="1" t="s">
        <v>93</v>
      </c>
      <c r="C416" s="1" t="s">
        <v>1507</v>
      </c>
      <c r="D416" s="2" t="s">
        <v>1508</v>
      </c>
      <c r="E416" s="1">
        <v>1.0</v>
      </c>
      <c r="F416" s="1">
        <v>5.0031333E7</v>
      </c>
      <c r="I416" s="1">
        <v>2.0</v>
      </c>
      <c r="J416" s="1">
        <v>453.0</v>
      </c>
      <c r="L416" s="1">
        <v>9653619.0</v>
      </c>
      <c r="Q416" s="1" t="s">
        <v>1509</v>
      </c>
      <c r="R416" s="1" t="s">
        <v>97</v>
      </c>
      <c r="S416" s="1">
        <v>1.0</v>
      </c>
      <c r="T416" s="1">
        <v>1.0</v>
      </c>
      <c r="X416" s="1" t="s">
        <v>29</v>
      </c>
      <c r="Z416" s="1" t="s">
        <v>1509</v>
      </c>
    </row>
    <row r="417">
      <c r="A417" s="3" t="str">
        <f>HYPERLINK("https://stackoverflow.com/q/50024563", "50024563")</f>
        <v>50024563</v>
      </c>
      <c r="B417" s="1" t="s">
        <v>93</v>
      </c>
      <c r="C417" s="1" t="s">
        <v>1510</v>
      </c>
      <c r="D417" s="2" t="s">
        <v>1511</v>
      </c>
      <c r="E417" s="1">
        <v>1.0</v>
      </c>
      <c r="F417" s="1">
        <v>5.0033107E7</v>
      </c>
      <c r="I417" s="1">
        <v>0.0</v>
      </c>
      <c r="J417" s="1">
        <v>143.0</v>
      </c>
      <c r="L417" s="1">
        <v>5983596.0</v>
      </c>
      <c r="Q417" s="1" t="s">
        <v>1512</v>
      </c>
      <c r="R417" s="1" t="s">
        <v>97</v>
      </c>
      <c r="S417" s="1">
        <v>1.0</v>
      </c>
      <c r="T417" s="1">
        <v>2.0</v>
      </c>
      <c r="U417" s="1">
        <v>1.0</v>
      </c>
      <c r="X417" s="1" t="s">
        <v>29</v>
      </c>
      <c r="Z417" s="1" t="s">
        <v>1512</v>
      </c>
    </row>
    <row r="418">
      <c r="A418" s="3" t="str">
        <f>HYPERLINK("https://stackoverflow.com/q/50038246", "50038246")</f>
        <v>50038246</v>
      </c>
      <c r="B418" s="1" t="s">
        <v>93</v>
      </c>
      <c r="C418" s="1" t="s">
        <v>1513</v>
      </c>
      <c r="D418" s="2" t="s">
        <v>1514</v>
      </c>
      <c r="E418" s="1">
        <v>1.0</v>
      </c>
      <c r="I418" s="1">
        <v>0.0</v>
      </c>
      <c r="J418" s="1">
        <v>145.0</v>
      </c>
      <c r="L418" s="1">
        <v>8163746.0</v>
      </c>
      <c r="N418" s="1">
        <v>454137.0</v>
      </c>
      <c r="P418" s="1" t="s">
        <v>1515</v>
      </c>
      <c r="Q418" s="1" t="s">
        <v>1516</v>
      </c>
      <c r="R418" s="1" t="s">
        <v>1517</v>
      </c>
      <c r="S418" s="1">
        <v>1.0</v>
      </c>
      <c r="T418" s="1">
        <v>0.0</v>
      </c>
      <c r="X418" s="1" t="s">
        <v>29</v>
      </c>
    </row>
    <row r="419">
      <c r="A419" s="3" t="str">
        <f>HYPERLINK("https://stackoverflow.com/q/50038740", "50038740")</f>
        <v>50038740</v>
      </c>
      <c r="B419" s="1" t="s">
        <v>93</v>
      </c>
      <c r="C419" s="1" t="s">
        <v>1518</v>
      </c>
      <c r="D419" s="2" t="s">
        <v>1519</v>
      </c>
      <c r="E419" s="1">
        <v>1.0</v>
      </c>
      <c r="F419" s="1">
        <v>5.0039482E7</v>
      </c>
      <c r="I419" s="1">
        <v>1.0</v>
      </c>
      <c r="J419" s="1">
        <v>467.0</v>
      </c>
      <c r="L419" s="1">
        <v>8602197.0</v>
      </c>
      <c r="Q419" s="1" t="s">
        <v>1520</v>
      </c>
      <c r="R419" s="1" t="s">
        <v>190</v>
      </c>
      <c r="S419" s="1">
        <v>1.0</v>
      </c>
      <c r="T419" s="1">
        <v>0.0</v>
      </c>
      <c r="X419" s="1" t="s">
        <v>29</v>
      </c>
      <c r="Z419" s="1" t="s">
        <v>1520</v>
      </c>
    </row>
    <row r="420">
      <c r="A420" s="3" t="str">
        <f>HYPERLINK("https://stackoverflow.com/q/50102219", "50102219")</f>
        <v>50102219</v>
      </c>
      <c r="B420" s="1" t="s">
        <v>93</v>
      </c>
      <c r="C420" s="1" t="s">
        <v>1521</v>
      </c>
      <c r="D420" s="2" t="s">
        <v>1522</v>
      </c>
      <c r="E420" s="1">
        <v>1.0</v>
      </c>
      <c r="F420" s="1">
        <v>5.0104807E7</v>
      </c>
      <c r="I420" s="1">
        <v>0.0</v>
      </c>
      <c r="J420" s="1">
        <v>42.0</v>
      </c>
      <c r="L420" s="1">
        <v>799759.0</v>
      </c>
      <c r="Q420" s="1" t="s">
        <v>1523</v>
      </c>
      <c r="R420" s="1" t="s">
        <v>97</v>
      </c>
      <c r="S420" s="1">
        <v>1.0</v>
      </c>
      <c r="T420" s="1">
        <v>0.0</v>
      </c>
      <c r="X420" s="1" t="s">
        <v>29</v>
      </c>
      <c r="Z420" s="1" t="s">
        <v>1523</v>
      </c>
    </row>
    <row r="421">
      <c r="A421" s="3" t="str">
        <f>HYPERLINK("https://stackoverflow.com/q/50104914", "50104914")</f>
        <v>50104914</v>
      </c>
      <c r="B421" s="1" t="s">
        <v>93</v>
      </c>
      <c r="C421" s="1" t="s">
        <v>1524</v>
      </c>
      <c r="D421" s="2" t="s">
        <v>1525</v>
      </c>
      <c r="E421" s="1">
        <v>1.0</v>
      </c>
      <c r="I421" s="1">
        <v>3.0</v>
      </c>
      <c r="J421" s="1">
        <v>2332.0</v>
      </c>
      <c r="L421" s="1">
        <v>9517124.0</v>
      </c>
      <c r="Q421" s="1" t="s">
        <v>1526</v>
      </c>
      <c r="R421" s="1" t="s">
        <v>97</v>
      </c>
      <c r="S421" s="1">
        <v>2.0</v>
      </c>
      <c r="T421" s="1">
        <v>0.0</v>
      </c>
      <c r="U421" s="1">
        <v>0.0</v>
      </c>
      <c r="X421" s="1" t="s">
        <v>29</v>
      </c>
    </row>
    <row r="422">
      <c r="A422" s="3" t="str">
        <f>HYPERLINK("https://stackoverflow.com/q/50115856", "50115856")</f>
        <v>50115856</v>
      </c>
      <c r="B422" s="1" t="s">
        <v>93</v>
      </c>
      <c r="C422" s="1" t="s">
        <v>1527</v>
      </c>
      <c r="D422" s="2" t="s">
        <v>1528</v>
      </c>
      <c r="E422" s="1">
        <v>1.0</v>
      </c>
      <c r="I422" s="1">
        <v>2.0</v>
      </c>
      <c r="J422" s="1">
        <v>162.0</v>
      </c>
      <c r="L422" s="1">
        <v>9517124.0</v>
      </c>
      <c r="Q422" s="1" t="s">
        <v>1529</v>
      </c>
      <c r="R422" s="1" t="s">
        <v>97</v>
      </c>
      <c r="S422" s="1">
        <v>1.0</v>
      </c>
      <c r="T422" s="1">
        <v>0.0</v>
      </c>
      <c r="X422" s="1" t="s">
        <v>29</v>
      </c>
    </row>
    <row r="423">
      <c r="A423" s="3" t="str">
        <f>HYPERLINK("https://stackoverflow.com/q/50128461", "50128461")</f>
        <v>50128461</v>
      </c>
      <c r="B423" s="1" t="s">
        <v>93</v>
      </c>
      <c r="C423" s="1" t="s">
        <v>1530</v>
      </c>
      <c r="D423" s="2" t="s">
        <v>1531</v>
      </c>
      <c r="E423" s="1">
        <v>1.0</v>
      </c>
      <c r="F423" s="1">
        <v>5.0139564E7</v>
      </c>
      <c r="I423" s="1">
        <v>1.0</v>
      </c>
      <c r="J423" s="1">
        <v>156.0</v>
      </c>
      <c r="M423" s="1" t="s">
        <v>1532</v>
      </c>
      <c r="Q423" s="1" t="s">
        <v>1533</v>
      </c>
      <c r="R423" s="1" t="s">
        <v>97</v>
      </c>
      <c r="S423" s="1">
        <v>1.0</v>
      </c>
      <c r="T423" s="1">
        <v>0.0</v>
      </c>
      <c r="U423" s="1">
        <v>0.0</v>
      </c>
      <c r="X423" s="1" t="s">
        <v>56</v>
      </c>
      <c r="Z423" s="1" t="s">
        <v>1533</v>
      </c>
    </row>
    <row r="424">
      <c r="A424" s="3" t="str">
        <f>HYPERLINK("https://stackoverflow.com/q/50130057", "50130057")</f>
        <v>50130057</v>
      </c>
      <c r="B424" s="1" t="s">
        <v>93</v>
      </c>
      <c r="C424" s="1" t="s">
        <v>1534</v>
      </c>
      <c r="D424" s="2" t="s">
        <v>1535</v>
      </c>
      <c r="E424" s="1">
        <v>1.0</v>
      </c>
      <c r="F424" s="1">
        <v>5.0139802E7</v>
      </c>
      <c r="I424" s="1">
        <v>3.0</v>
      </c>
      <c r="J424" s="1">
        <v>871.0</v>
      </c>
      <c r="M424" s="1" t="s">
        <v>1536</v>
      </c>
      <c r="O424" s="1" t="s">
        <v>1536</v>
      </c>
      <c r="P424" s="1" t="s">
        <v>1537</v>
      </c>
      <c r="Q424" s="1" t="s">
        <v>1538</v>
      </c>
      <c r="R424" s="1" t="s">
        <v>97</v>
      </c>
      <c r="S424" s="1">
        <v>1.0</v>
      </c>
      <c r="T424" s="1">
        <v>0.0</v>
      </c>
      <c r="X424" s="1" t="s">
        <v>56</v>
      </c>
      <c r="Z424" s="1" t="s">
        <v>1538</v>
      </c>
    </row>
    <row r="425">
      <c r="A425" s="3" t="str">
        <f>HYPERLINK("https://stackoverflow.com/q/50130081", "50130081")</f>
        <v>50130081</v>
      </c>
      <c r="B425" s="1" t="s">
        <v>93</v>
      </c>
      <c r="C425" s="1" t="s">
        <v>1539</v>
      </c>
      <c r="D425" s="2" t="s">
        <v>1540</v>
      </c>
      <c r="E425" s="1">
        <v>1.0</v>
      </c>
      <c r="F425" s="1">
        <v>5.0130249E7</v>
      </c>
      <c r="I425" s="1">
        <v>0.0</v>
      </c>
      <c r="J425" s="1">
        <v>215.0</v>
      </c>
      <c r="L425" s="1">
        <v>7797288.0</v>
      </c>
      <c r="Q425" s="1" t="s">
        <v>1541</v>
      </c>
      <c r="R425" s="1" t="s">
        <v>97</v>
      </c>
      <c r="S425" s="1">
        <v>1.0</v>
      </c>
      <c r="T425" s="1">
        <v>1.0</v>
      </c>
      <c r="X425" s="1" t="s">
        <v>56</v>
      </c>
      <c r="Z425" s="1" t="s">
        <v>1542</v>
      </c>
    </row>
    <row r="426">
      <c r="A426" s="3" t="str">
        <f>HYPERLINK("https://stackoverflow.com/q/50130435", "50130435")</f>
        <v>50130435</v>
      </c>
      <c r="B426" s="1" t="s">
        <v>93</v>
      </c>
      <c r="C426" s="1" t="s">
        <v>1543</v>
      </c>
      <c r="D426" s="2" t="s">
        <v>1544</v>
      </c>
      <c r="E426" s="1">
        <v>1.0</v>
      </c>
      <c r="F426" s="1">
        <v>5.0143195E7</v>
      </c>
      <c r="I426" s="1">
        <v>1.0</v>
      </c>
      <c r="J426" s="1">
        <v>114.0</v>
      </c>
      <c r="L426" s="1">
        <v>1423927.0</v>
      </c>
      <c r="Q426" s="1" t="s">
        <v>1545</v>
      </c>
      <c r="R426" s="1" t="s">
        <v>97</v>
      </c>
      <c r="S426" s="1">
        <v>1.0</v>
      </c>
      <c r="T426" s="1">
        <v>0.0</v>
      </c>
      <c r="X426" s="1" t="s">
        <v>56</v>
      </c>
      <c r="Z426" s="1" t="s">
        <v>1545</v>
      </c>
    </row>
    <row r="427">
      <c r="A427" s="3" t="str">
        <f>HYPERLINK("https://stackoverflow.com/q/50142255", "50142255")</f>
        <v>50142255</v>
      </c>
      <c r="B427" s="1" t="s">
        <v>93</v>
      </c>
      <c r="C427" s="1" t="s">
        <v>1546</v>
      </c>
      <c r="D427" s="2" t="s">
        <v>1547</v>
      </c>
      <c r="E427" s="1">
        <v>1.0</v>
      </c>
      <c r="F427" s="1">
        <v>5.0143101E7</v>
      </c>
      <c r="I427" s="1">
        <v>0.0</v>
      </c>
      <c r="J427" s="1">
        <v>270.0</v>
      </c>
      <c r="L427" s="1">
        <v>9443995.0</v>
      </c>
      <c r="Q427" s="1" t="s">
        <v>1548</v>
      </c>
      <c r="R427" s="1" t="s">
        <v>97</v>
      </c>
      <c r="S427" s="1">
        <v>1.0</v>
      </c>
      <c r="T427" s="1">
        <v>0.0</v>
      </c>
      <c r="U427" s="1">
        <v>1.0</v>
      </c>
      <c r="X427" s="1" t="s">
        <v>56</v>
      </c>
      <c r="Z427" s="1" t="s">
        <v>1548</v>
      </c>
    </row>
    <row r="428">
      <c r="A428" s="3" t="str">
        <f>HYPERLINK("https://stackoverflow.com/q/50164098", "50164098")</f>
        <v>50164098</v>
      </c>
      <c r="B428" s="1" t="s">
        <v>93</v>
      </c>
      <c r="C428" s="1" t="s">
        <v>1549</v>
      </c>
      <c r="D428" s="2" t="s">
        <v>1550</v>
      </c>
      <c r="E428" s="1">
        <v>1.0</v>
      </c>
      <c r="I428" s="1">
        <v>0.0</v>
      </c>
      <c r="J428" s="1">
        <v>186.0</v>
      </c>
      <c r="L428" s="1">
        <v>9737949.0</v>
      </c>
      <c r="N428" s="1">
        <v>454137.0</v>
      </c>
      <c r="P428" s="1" t="s">
        <v>1551</v>
      </c>
      <c r="Q428" s="1" t="s">
        <v>1551</v>
      </c>
      <c r="R428" s="1" t="s">
        <v>97</v>
      </c>
      <c r="S428" s="1">
        <v>1.0</v>
      </c>
      <c r="T428" s="1">
        <v>0.0</v>
      </c>
      <c r="U428" s="1">
        <v>1.0</v>
      </c>
      <c r="X428" s="1" t="s">
        <v>56</v>
      </c>
    </row>
    <row r="429">
      <c r="A429" s="3" t="str">
        <f>HYPERLINK("https://stackoverflow.com/q/50168257", "50168257")</f>
        <v>50168257</v>
      </c>
      <c r="B429" s="1" t="s">
        <v>93</v>
      </c>
      <c r="C429" s="1" t="s">
        <v>1552</v>
      </c>
      <c r="D429" s="2" t="s">
        <v>1553</v>
      </c>
      <c r="E429" s="1">
        <v>1.0</v>
      </c>
      <c r="F429" s="1">
        <v>5.0178027E7</v>
      </c>
      <c r="I429" s="1">
        <v>1.0</v>
      </c>
      <c r="J429" s="1">
        <v>156.0</v>
      </c>
      <c r="L429" s="1">
        <v>9738899.0</v>
      </c>
      <c r="N429" s="1">
        <v>9738899.0</v>
      </c>
      <c r="P429" s="1" t="s">
        <v>1554</v>
      </c>
      <c r="Q429" s="1" t="s">
        <v>1554</v>
      </c>
      <c r="R429" s="1" t="s">
        <v>97</v>
      </c>
      <c r="S429" s="1">
        <v>1.0</v>
      </c>
      <c r="T429" s="1">
        <v>0.0</v>
      </c>
      <c r="X429" s="1" t="s">
        <v>56</v>
      </c>
      <c r="Z429" s="1" t="s">
        <v>1555</v>
      </c>
    </row>
    <row r="430">
      <c r="A430" s="3" t="str">
        <f>HYPERLINK("https://stackoverflow.com/q/50171963", "50171963")</f>
        <v>50171963</v>
      </c>
      <c r="B430" s="1" t="s">
        <v>93</v>
      </c>
      <c r="C430" s="1" t="s">
        <v>1556</v>
      </c>
      <c r="D430" s="2" t="s">
        <v>1557</v>
      </c>
      <c r="E430" s="1">
        <v>1.0</v>
      </c>
      <c r="I430" s="1">
        <v>0.0</v>
      </c>
      <c r="J430" s="1">
        <v>71.0</v>
      </c>
      <c r="L430" s="1">
        <v>9426876.0</v>
      </c>
      <c r="Q430" s="1" t="s">
        <v>1556</v>
      </c>
      <c r="R430" s="1" t="s">
        <v>97</v>
      </c>
      <c r="S430" s="1">
        <v>0.0</v>
      </c>
      <c r="T430" s="1">
        <v>2.0</v>
      </c>
      <c r="X430" s="1" t="s">
        <v>56</v>
      </c>
    </row>
    <row r="431">
      <c r="A431" s="3" t="str">
        <f>HYPERLINK("https://stackoverflow.com/q/50184405", "50184405")</f>
        <v>50184405</v>
      </c>
      <c r="B431" s="1" t="s">
        <v>93</v>
      </c>
      <c r="C431" s="1" t="s">
        <v>1558</v>
      </c>
      <c r="D431" s="2" t="s">
        <v>1559</v>
      </c>
      <c r="E431" s="1">
        <v>1.0</v>
      </c>
      <c r="I431" s="1">
        <v>0.0</v>
      </c>
      <c r="J431" s="1">
        <v>370.0</v>
      </c>
      <c r="L431" s="1">
        <v>4907384.0</v>
      </c>
      <c r="Q431" s="1" t="s">
        <v>1560</v>
      </c>
      <c r="R431" s="1" t="s">
        <v>97</v>
      </c>
      <c r="S431" s="1">
        <v>3.0</v>
      </c>
      <c r="T431" s="1">
        <v>1.0</v>
      </c>
      <c r="X431" s="1" t="s">
        <v>56</v>
      </c>
    </row>
    <row r="432">
      <c r="A432" s="3" t="str">
        <f>HYPERLINK("https://stackoverflow.com/q/50191802", "50191802")</f>
        <v>50191802</v>
      </c>
      <c r="B432" s="1" t="s">
        <v>93</v>
      </c>
      <c r="C432" s="1" t="s">
        <v>1561</v>
      </c>
      <c r="D432" s="2" t="s">
        <v>1562</v>
      </c>
      <c r="E432" s="1">
        <v>1.0</v>
      </c>
      <c r="I432" s="1">
        <v>0.0</v>
      </c>
      <c r="J432" s="1">
        <v>54.0</v>
      </c>
      <c r="L432" s="1">
        <v>6586948.0</v>
      </c>
      <c r="N432" s="1">
        <v>881229.0</v>
      </c>
      <c r="P432" s="1" t="s">
        <v>1563</v>
      </c>
      <c r="Q432" s="1" t="s">
        <v>1563</v>
      </c>
      <c r="R432" s="1" t="s">
        <v>190</v>
      </c>
      <c r="S432" s="1">
        <v>1.0</v>
      </c>
      <c r="T432" s="1">
        <v>0.0</v>
      </c>
      <c r="X432" s="1" t="s">
        <v>56</v>
      </c>
    </row>
    <row r="433">
      <c r="A433" s="3" t="str">
        <f>HYPERLINK("https://stackoverflow.com/q/50194352", "50194352")</f>
        <v>50194352</v>
      </c>
      <c r="B433" s="1" t="s">
        <v>93</v>
      </c>
      <c r="C433" s="1" t="s">
        <v>1564</v>
      </c>
      <c r="D433" s="2" t="s">
        <v>1565</v>
      </c>
      <c r="E433" s="1">
        <v>1.0</v>
      </c>
      <c r="F433" s="1">
        <v>5.0194645E7</v>
      </c>
      <c r="I433" s="1">
        <v>2.0</v>
      </c>
      <c r="J433" s="1">
        <v>200.0</v>
      </c>
      <c r="L433" s="1">
        <v>1644677.0</v>
      </c>
      <c r="N433" s="1">
        <v>1644677.0</v>
      </c>
      <c r="P433" s="1" t="s">
        <v>1566</v>
      </c>
      <c r="Q433" s="1" t="s">
        <v>1567</v>
      </c>
      <c r="R433" s="1" t="s">
        <v>97</v>
      </c>
      <c r="S433" s="1">
        <v>1.0</v>
      </c>
      <c r="T433" s="1">
        <v>0.0</v>
      </c>
      <c r="X433" s="1" t="s">
        <v>56</v>
      </c>
      <c r="Z433" s="1" t="s">
        <v>1568</v>
      </c>
    </row>
    <row r="434">
      <c r="A434" s="3" t="str">
        <f>HYPERLINK("https://stackoverflow.com/q/50197317", "50197317")</f>
        <v>50197317</v>
      </c>
      <c r="B434" s="1" t="s">
        <v>93</v>
      </c>
      <c r="C434" s="1" t="s">
        <v>1569</v>
      </c>
      <c r="D434" s="2" t="s">
        <v>1570</v>
      </c>
      <c r="E434" s="1">
        <v>1.0</v>
      </c>
      <c r="I434" s="1">
        <v>0.0</v>
      </c>
      <c r="J434" s="1">
        <v>324.0</v>
      </c>
      <c r="L434" s="1">
        <v>9517124.0</v>
      </c>
      <c r="Q434" s="1" t="s">
        <v>1569</v>
      </c>
      <c r="R434" s="1" t="s">
        <v>97</v>
      </c>
      <c r="S434" s="1">
        <v>0.0</v>
      </c>
      <c r="T434" s="1">
        <v>2.0</v>
      </c>
      <c r="X434" s="1" t="s">
        <v>56</v>
      </c>
    </row>
    <row r="435">
      <c r="A435" s="3" t="str">
        <f>HYPERLINK("https://stackoverflow.com/q/50218500", "50218500")</f>
        <v>50218500</v>
      </c>
      <c r="B435" s="1" t="s">
        <v>93</v>
      </c>
      <c r="C435" s="1" t="s">
        <v>1571</v>
      </c>
      <c r="D435" s="2" t="s">
        <v>1572</v>
      </c>
      <c r="E435" s="1">
        <v>1.0</v>
      </c>
      <c r="F435" s="1">
        <v>5.0220533E7</v>
      </c>
      <c r="I435" s="1">
        <v>1.0</v>
      </c>
      <c r="J435" s="1">
        <v>172.0</v>
      </c>
      <c r="L435" s="1">
        <v>9443995.0</v>
      </c>
      <c r="Q435" s="1" t="s">
        <v>1573</v>
      </c>
      <c r="R435" s="1" t="s">
        <v>97</v>
      </c>
      <c r="S435" s="1">
        <v>2.0</v>
      </c>
      <c r="T435" s="1">
        <v>0.0</v>
      </c>
      <c r="X435" s="1" t="s">
        <v>56</v>
      </c>
      <c r="Z435" s="1" t="s">
        <v>1574</v>
      </c>
    </row>
    <row r="436">
      <c r="A436" s="3" t="str">
        <f>HYPERLINK("https://stackoverflow.com/q/50247924", "50247924")</f>
        <v>50247924</v>
      </c>
      <c r="B436" s="1" t="s">
        <v>93</v>
      </c>
      <c r="C436" s="1" t="s">
        <v>1575</v>
      </c>
      <c r="D436" s="2" t="s">
        <v>1576</v>
      </c>
      <c r="E436" s="1">
        <v>1.0</v>
      </c>
      <c r="F436" s="1">
        <v>5.0250067E7</v>
      </c>
      <c r="I436" s="1">
        <v>0.0</v>
      </c>
      <c r="J436" s="1">
        <v>700.0</v>
      </c>
      <c r="L436" s="1">
        <v>7797288.0</v>
      </c>
      <c r="Q436" s="1" t="s">
        <v>1577</v>
      </c>
      <c r="R436" s="1" t="s">
        <v>97</v>
      </c>
      <c r="S436" s="1">
        <v>1.0</v>
      </c>
      <c r="T436" s="1">
        <v>3.0</v>
      </c>
      <c r="U436" s="1">
        <v>1.0</v>
      </c>
      <c r="X436" s="1" t="s">
        <v>56</v>
      </c>
      <c r="Z436" s="1" t="s">
        <v>1577</v>
      </c>
    </row>
    <row r="437">
      <c r="A437" s="3" t="str">
        <f>HYPERLINK("https://stackoverflow.com/q/50326508", "50326508")</f>
        <v>50326508</v>
      </c>
      <c r="B437" s="1" t="s">
        <v>93</v>
      </c>
      <c r="C437" s="1" t="s">
        <v>1578</v>
      </c>
      <c r="D437" s="2" t="s">
        <v>1579</v>
      </c>
      <c r="E437" s="1">
        <v>1.0</v>
      </c>
      <c r="F437" s="1">
        <v>5.0441853E7</v>
      </c>
      <c r="I437" s="1">
        <v>0.0</v>
      </c>
      <c r="J437" s="1">
        <v>1516.0</v>
      </c>
      <c r="L437" s="1">
        <v>9653619.0</v>
      </c>
      <c r="Q437" s="1" t="s">
        <v>1580</v>
      </c>
      <c r="R437" s="1" t="s">
        <v>97</v>
      </c>
      <c r="S437" s="1">
        <v>2.0</v>
      </c>
      <c r="T437" s="1">
        <v>0.0</v>
      </c>
      <c r="U437" s="1">
        <v>1.0</v>
      </c>
      <c r="X437" s="1" t="s">
        <v>56</v>
      </c>
      <c r="Z437" s="1" t="s">
        <v>1581</v>
      </c>
    </row>
    <row r="438">
      <c r="A438" s="3" t="str">
        <f>HYPERLINK("https://stackoverflow.com/q/50326783", "50326783")</f>
        <v>50326783</v>
      </c>
      <c r="B438" s="1" t="s">
        <v>93</v>
      </c>
      <c r="C438" s="1" t="s">
        <v>1582</v>
      </c>
      <c r="D438" s="2" t="s">
        <v>1583</v>
      </c>
      <c r="E438" s="1">
        <v>1.0</v>
      </c>
      <c r="I438" s="1">
        <v>1.0</v>
      </c>
      <c r="J438" s="1">
        <v>613.0</v>
      </c>
      <c r="L438" s="1">
        <v>9322929.0</v>
      </c>
      <c r="N438" s="1">
        <v>454137.0</v>
      </c>
      <c r="P438" s="1" t="s">
        <v>1584</v>
      </c>
      <c r="Q438" s="1" t="s">
        <v>1584</v>
      </c>
      <c r="R438" s="1" t="s">
        <v>1585</v>
      </c>
      <c r="S438" s="1">
        <v>0.0</v>
      </c>
      <c r="T438" s="1">
        <v>5.0</v>
      </c>
      <c r="X438" s="1" t="s">
        <v>56</v>
      </c>
    </row>
    <row r="439">
      <c r="A439" s="3" t="str">
        <f>HYPERLINK("https://stackoverflow.com/q/50442085", "50442085")</f>
        <v>50442085</v>
      </c>
      <c r="B439" s="1" t="s">
        <v>93</v>
      </c>
      <c r="C439" s="1" t="s">
        <v>1586</v>
      </c>
      <c r="D439" s="2" t="s">
        <v>1587</v>
      </c>
      <c r="E439" s="1">
        <v>1.0</v>
      </c>
      <c r="F439" s="1">
        <v>5.0454423E7</v>
      </c>
      <c r="I439" s="1">
        <v>0.0</v>
      </c>
      <c r="J439" s="1">
        <v>219.0</v>
      </c>
      <c r="L439" s="1">
        <v>9426876.0</v>
      </c>
      <c r="N439" s="1">
        <v>9426876.0</v>
      </c>
      <c r="P439" s="1" t="s">
        <v>1588</v>
      </c>
      <c r="Q439" s="1" t="s">
        <v>1589</v>
      </c>
      <c r="R439" s="1" t="s">
        <v>1590</v>
      </c>
      <c r="S439" s="1">
        <v>2.0</v>
      </c>
      <c r="T439" s="1">
        <v>5.0</v>
      </c>
      <c r="X439" s="1" t="s">
        <v>56</v>
      </c>
      <c r="Z439" s="1" t="s">
        <v>1589</v>
      </c>
    </row>
    <row r="440">
      <c r="A440" s="3" t="str">
        <f>HYPERLINK("https://stackoverflow.com/q/50454105", "50454105")</f>
        <v>50454105</v>
      </c>
      <c r="B440" s="1" t="s">
        <v>93</v>
      </c>
      <c r="C440" s="1" t="s">
        <v>1591</v>
      </c>
      <c r="D440" s="2" t="s">
        <v>1592</v>
      </c>
      <c r="E440" s="1">
        <v>1.0</v>
      </c>
      <c r="F440" s="1">
        <v>5.0471152E7</v>
      </c>
      <c r="I440" s="1">
        <v>0.0</v>
      </c>
      <c r="J440" s="1">
        <v>582.0</v>
      </c>
      <c r="L440" s="1">
        <v>4663651.0</v>
      </c>
      <c r="Q440" s="1" t="s">
        <v>1593</v>
      </c>
      <c r="R440" s="1" t="s">
        <v>97</v>
      </c>
      <c r="S440" s="1">
        <v>1.0</v>
      </c>
      <c r="T440" s="1">
        <v>0.0</v>
      </c>
      <c r="X440" s="1" t="s">
        <v>56</v>
      </c>
      <c r="Z440" s="1" t="s">
        <v>1593</v>
      </c>
    </row>
    <row r="441">
      <c r="A441" s="3" t="str">
        <f>HYPERLINK("https://stackoverflow.com/q/50462355", "50462355")</f>
        <v>50462355</v>
      </c>
      <c r="B441" s="1" t="s">
        <v>93</v>
      </c>
      <c r="C441" s="1" t="s">
        <v>1594</v>
      </c>
      <c r="D441" s="2" t="s">
        <v>1595</v>
      </c>
      <c r="E441" s="1">
        <v>1.0</v>
      </c>
      <c r="I441" s="1">
        <v>1.0</v>
      </c>
      <c r="J441" s="1">
        <v>476.0</v>
      </c>
      <c r="L441" s="1">
        <v>9426876.0</v>
      </c>
      <c r="N441" s="1">
        <v>454137.0</v>
      </c>
      <c r="P441" s="1" t="s">
        <v>1596</v>
      </c>
      <c r="Q441" s="1" t="s">
        <v>1596</v>
      </c>
      <c r="R441" s="1" t="s">
        <v>1597</v>
      </c>
      <c r="S441" s="1">
        <v>0.0</v>
      </c>
      <c r="T441" s="1">
        <v>7.0</v>
      </c>
      <c r="X441" s="1" t="s">
        <v>56</v>
      </c>
    </row>
    <row r="442">
      <c r="A442" s="3" t="str">
        <f>HYPERLINK("https://stackoverflow.com/q/50479987", "50479987")</f>
        <v>50479987</v>
      </c>
      <c r="B442" s="1" t="s">
        <v>93</v>
      </c>
      <c r="C442" s="1" t="s">
        <v>1598</v>
      </c>
      <c r="D442" s="2" t="s">
        <v>1599</v>
      </c>
      <c r="E442" s="1">
        <v>1.0</v>
      </c>
      <c r="F442" s="1">
        <v>5.0492983E7</v>
      </c>
      <c r="I442" s="1">
        <v>1.0</v>
      </c>
      <c r="J442" s="1">
        <v>497.0</v>
      </c>
      <c r="L442" s="1">
        <v>9426876.0</v>
      </c>
      <c r="Q442" s="1" t="s">
        <v>1600</v>
      </c>
      <c r="R442" s="1" t="s">
        <v>1597</v>
      </c>
      <c r="S442" s="1">
        <v>2.0</v>
      </c>
      <c r="T442" s="1">
        <v>4.0</v>
      </c>
      <c r="X442" s="1" t="s">
        <v>56</v>
      </c>
      <c r="Z442" s="1" t="s">
        <v>1601</v>
      </c>
    </row>
    <row r="443">
      <c r="A443" s="3" t="str">
        <f>HYPERLINK("https://stackoverflow.com/q/50480858", "50480858")</f>
        <v>50480858</v>
      </c>
      <c r="B443" s="1" t="s">
        <v>93</v>
      </c>
      <c r="C443" s="1" t="s">
        <v>1602</v>
      </c>
      <c r="D443" s="2" t="s">
        <v>1603</v>
      </c>
      <c r="E443" s="1">
        <v>1.0</v>
      </c>
      <c r="I443" s="1">
        <v>1.0</v>
      </c>
      <c r="J443" s="1">
        <v>808.0</v>
      </c>
      <c r="L443" s="1">
        <v>1423927.0</v>
      </c>
      <c r="N443" s="1">
        <v>454137.0</v>
      </c>
      <c r="P443" s="1" t="s">
        <v>1604</v>
      </c>
      <c r="Q443" s="1" t="s">
        <v>1605</v>
      </c>
      <c r="R443" s="1" t="s">
        <v>1606</v>
      </c>
      <c r="S443" s="1">
        <v>1.0</v>
      </c>
      <c r="T443" s="1">
        <v>0.0</v>
      </c>
      <c r="U443" s="1">
        <v>1.0</v>
      </c>
      <c r="X443" s="1" t="s">
        <v>56</v>
      </c>
    </row>
    <row r="444">
      <c r="A444" s="3" t="str">
        <f>HYPERLINK("https://stackoverflow.com/q/50506366", "50506366")</f>
        <v>50506366</v>
      </c>
      <c r="B444" s="1" t="s">
        <v>93</v>
      </c>
      <c r="C444" s="1" t="s">
        <v>1607</v>
      </c>
      <c r="D444" s="2" t="s">
        <v>1608</v>
      </c>
      <c r="E444" s="1">
        <v>1.0</v>
      </c>
      <c r="F444" s="1">
        <v>5.0515235E7</v>
      </c>
      <c r="I444" s="1">
        <v>0.0</v>
      </c>
      <c r="J444" s="1">
        <v>325.0</v>
      </c>
      <c r="L444" s="1">
        <v>9839938.0</v>
      </c>
      <c r="N444" s="1">
        <v>454137.0</v>
      </c>
      <c r="P444" s="1" t="s">
        <v>1609</v>
      </c>
      <c r="Q444" s="1" t="s">
        <v>1610</v>
      </c>
      <c r="R444" s="1" t="s">
        <v>1611</v>
      </c>
      <c r="S444" s="1">
        <v>1.0</v>
      </c>
      <c r="T444" s="1">
        <v>0.0</v>
      </c>
      <c r="X444" s="1" t="s">
        <v>56</v>
      </c>
      <c r="Z444" s="1" t="s">
        <v>1610</v>
      </c>
    </row>
    <row r="445">
      <c r="A445" s="3" t="str">
        <f>HYPERLINK("https://stackoverflow.com/q/50529981", "50529981")</f>
        <v>50529981</v>
      </c>
      <c r="B445" s="1" t="s">
        <v>93</v>
      </c>
      <c r="C445" s="1" t="s">
        <v>1612</v>
      </c>
      <c r="D445" s="2" t="s">
        <v>1613</v>
      </c>
      <c r="E445" s="1">
        <v>1.0</v>
      </c>
      <c r="F445" s="1">
        <v>5.0586106E7</v>
      </c>
      <c r="I445" s="1">
        <v>0.0</v>
      </c>
      <c r="J445" s="1">
        <v>103.0</v>
      </c>
      <c r="L445" s="1">
        <v>6586249.0</v>
      </c>
      <c r="Q445" s="1" t="s">
        <v>1614</v>
      </c>
      <c r="R445" s="1" t="s">
        <v>97</v>
      </c>
      <c r="S445" s="1">
        <v>1.0</v>
      </c>
      <c r="T445" s="1">
        <v>1.0</v>
      </c>
      <c r="U445" s="1">
        <v>1.0</v>
      </c>
      <c r="X445" s="1" t="s">
        <v>56</v>
      </c>
      <c r="Z445" s="1" t="s">
        <v>1614</v>
      </c>
    </row>
    <row r="446">
      <c r="A446" s="3" t="str">
        <f>HYPERLINK("https://stackoverflow.com/q/50582355", "50582355")</f>
        <v>50582355</v>
      </c>
      <c r="B446" s="1" t="s">
        <v>93</v>
      </c>
      <c r="C446" s="1" t="s">
        <v>1615</v>
      </c>
      <c r="D446" s="2" t="s">
        <v>1616</v>
      </c>
      <c r="E446" s="1">
        <v>1.0</v>
      </c>
      <c r="F446" s="1">
        <v>5.0872129E7</v>
      </c>
      <c r="I446" s="1">
        <v>1.0</v>
      </c>
      <c r="J446" s="1">
        <v>774.0</v>
      </c>
      <c r="L446" s="1">
        <v>1423927.0</v>
      </c>
      <c r="Q446" s="1" t="s">
        <v>1617</v>
      </c>
      <c r="R446" s="1" t="s">
        <v>97</v>
      </c>
      <c r="S446" s="1">
        <v>2.0</v>
      </c>
      <c r="T446" s="1">
        <v>0.0</v>
      </c>
      <c r="X446" s="1" t="s">
        <v>56</v>
      </c>
      <c r="Z446" s="1" t="s">
        <v>1618</v>
      </c>
    </row>
    <row r="447">
      <c r="A447" s="3" t="str">
        <f>HYPERLINK("https://stackoverflow.com/q/50624609", "50624609")</f>
        <v>50624609</v>
      </c>
      <c r="B447" s="1" t="s">
        <v>93</v>
      </c>
      <c r="C447" s="1" t="s">
        <v>1619</v>
      </c>
      <c r="D447" s="2" t="s">
        <v>1620</v>
      </c>
      <c r="E447" s="1">
        <v>1.0</v>
      </c>
      <c r="I447" s="1">
        <v>0.0</v>
      </c>
      <c r="J447" s="1">
        <v>422.0</v>
      </c>
      <c r="L447" s="1">
        <v>4247704.0</v>
      </c>
      <c r="Q447" s="1" t="s">
        <v>1621</v>
      </c>
      <c r="R447" s="1" t="s">
        <v>97</v>
      </c>
      <c r="S447" s="1">
        <v>1.0</v>
      </c>
      <c r="T447" s="1">
        <v>3.0</v>
      </c>
      <c r="X447" s="1" t="s">
        <v>56</v>
      </c>
    </row>
    <row r="448">
      <c r="A448" s="3" t="str">
        <f>HYPERLINK("https://stackoverflow.com/q/50627461", "50627461")</f>
        <v>50627461</v>
      </c>
      <c r="B448" s="1" t="s">
        <v>93</v>
      </c>
      <c r="C448" s="1" t="s">
        <v>1622</v>
      </c>
      <c r="D448" s="2" t="s">
        <v>1623</v>
      </c>
      <c r="E448" s="1">
        <v>1.0</v>
      </c>
      <c r="F448" s="1">
        <v>5.0629018E7</v>
      </c>
      <c r="I448" s="1">
        <v>1.0</v>
      </c>
      <c r="J448" s="1">
        <v>800.0</v>
      </c>
      <c r="L448" s="1">
        <v>8827920.0</v>
      </c>
      <c r="Q448" s="1" t="s">
        <v>1624</v>
      </c>
      <c r="R448" s="1" t="s">
        <v>97</v>
      </c>
      <c r="S448" s="1">
        <v>1.0</v>
      </c>
      <c r="T448" s="1">
        <v>0.0</v>
      </c>
      <c r="X448" s="1" t="s">
        <v>56</v>
      </c>
      <c r="Z448" s="1" t="s">
        <v>1624</v>
      </c>
    </row>
    <row r="449">
      <c r="A449" s="3" t="str">
        <f>HYPERLINK("https://stackoverflow.com/q/50629028", "50629028")</f>
        <v>50629028</v>
      </c>
      <c r="B449" s="1" t="s">
        <v>93</v>
      </c>
      <c r="C449" s="1" t="s">
        <v>1625</v>
      </c>
      <c r="D449" s="2" t="s">
        <v>1626</v>
      </c>
      <c r="E449" s="1">
        <v>1.0</v>
      </c>
      <c r="I449" s="1">
        <v>0.0</v>
      </c>
      <c r="J449" s="1">
        <v>276.0</v>
      </c>
      <c r="L449" s="1">
        <v>9737949.0</v>
      </c>
      <c r="N449" s="1">
        <v>454137.0</v>
      </c>
      <c r="P449" s="1" t="s">
        <v>1627</v>
      </c>
      <c r="Q449" s="1" t="s">
        <v>1628</v>
      </c>
      <c r="R449" s="1" t="s">
        <v>1629</v>
      </c>
      <c r="S449" s="1">
        <v>2.0</v>
      </c>
      <c r="T449" s="1">
        <v>0.0</v>
      </c>
      <c r="X449" s="1" t="s">
        <v>56</v>
      </c>
    </row>
    <row r="450">
      <c r="A450" s="3" t="str">
        <f>HYPERLINK("https://stackoverflow.com/q/50632954", "50632954")</f>
        <v>50632954</v>
      </c>
      <c r="B450" s="1" t="s">
        <v>93</v>
      </c>
      <c r="C450" s="1" t="s">
        <v>1630</v>
      </c>
      <c r="D450" s="2" t="s">
        <v>1631</v>
      </c>
      <c r="E450" s="1">
        <v>1.0</v>
      </c>
      <c r="F450" s="1">
        <v>5.0633743E7</v>
      </c>
      <c r="I450" s="1">
        <v>0.0</v>
      </c>
      <c r="J450" s="1">
        <v>236.0</v>
      </c>
      <c r="L450" s="1">
        <v>2041458.0</v>
      </c>
      <c r="N450" s="1">
        <v>2041458.0</v>
      </c>
      <c r="P450" s="1" t="s">
        <v>1632</v>
      </c>
      <c r="Q450" s="1" t="s">
        <v>1632</v>
      </c>
      <c r="R450" s="1" t="s">
        <v>97</v>
      </c>
      <c r="S450" s="1">
        <v>1.0</v>
      </c>
      <c r="T450" s="1">
        <v>0.0</v>
      </c>
      <c r="X450" s="1" t="s">
        <v>56</v>
      </c>
      <c r="Z450" s="1" t="s">
        <v>1633</v>
      </c>
    </row>
    <row r="451">
      <c r="A451" s="3" t="str">
        <f>HYPERLINK("https://stackoverflow.com/q/50641477", "50641477")</f>
        <v>50641477</v>
      </c>
      <c r="B451" s="1" t="s">
        <v>93</v>
      </c>
      <c r="C451" s="1" t="s">
        <v>1634</v>
      </c>
      <c r="D451" s="2" t="s">
        <v>1635</v>
      </c>
      <c r="E451" s="1">
        <v>1.0</v>
      </c>
      <c r="I451" s="1">
        <v>0.0</v>
      </c>
      <c r="J451" s="1">
        <v>288.0</v>
      </c>
      <c r="L451" s="1">
        <v>9266098.0</v>
      </c>
      <c r="N451" s="1">
        <v>9266098.0</v>
      </c>
      <c r="P451" s="1" t="s">
        <v>1636</v>
      </c>
      <c r="Q451" s="1" t="s">
        <v>1636</v>
      </c>
      <c r="R451" s="1" t="s">
        <v>1637</v>
      </c>
      <c r="S451" s="1">
        <v>1.0</v>
      </c>
      <c r="T451" s="1">
        <v>1.0</v>
      </c>
      <c r="X451" s="1" t="s">
        <v>56</v>
      </c>
    </row>
    <row r="452">
      <c r="A452" s="3" t="str">
        <f>HYPERLINK("https://stackoverflow.com/q/50661246", "50661246")</f>
        <v>50661246</v>
      </c>
      <c r="B452" s="1" t="s">
        <v>93</v>
      </c>
      <c r="C452" s="1" t="s">
        <v>1638</v>
      </c>
      <c r="D452" s="2" t="s">
        <v>1639</v>
      </c>
      <c r="E452" s="1">
        <v>1.0</v>
      </c>
      <c r="I452" s="1">
        <v>0.0</v>
      </c>
      <c r="J452" s="1">
        <v>30.0</v>
      </c>
      <c r="L452" s="1">
        <v>1179740.0</v>
      </c>
      <c r="Q452" s="1" t="s">
        <v>1638</v>
      </c>
      <c r="R452" s="1" t="s">
        <v>97</v>
      </c>
      <c r="S452" s="1">
        <v>0.0</v>
      </c>
      <c r="T452" s="1">
        <v>2.0</v>
      </c>
      <c r="X452" s="1" t="s">
        <v>56</v>
      </c>
    </row>
    <row r="453">
      <c r="A453" s="3" t="str">
        <f>HYPERLINK("https://stackoverflow.com/q/50688958", "50688958")</f>
        <v>50688958</v>
      </c>
      <c r="B453" s="1" t="s">
        <v>93</v>
      </c>
      <c r="C453" s="1" t="s">
        <v>1640</v>
      </c>
      <c r="D453" s="2" t="s">
        <v>1641</v>
      </c>
      <c r="E453" s="1">
        <v>1.0</v>
      </c>
      <c r="I453" s="1">
        <v>1.0</v>
      </c>
      <c r="J453" s="1">
        <v>206.0</v>
      </c>
      <c r="L453" s="1">
        <v>9878092.0</v>
      </c>
      <c r="N453" s="1">
        <v>4495081.0</v>
      </c>
      <c r="P453" s="1" t="s">
        <v>1642</v>
      </c>
      <c r="Q453" s="1" t="s">
        <v>1642</v>
      </c>
      <c r="R453" s="1" t="s">
        <v>190</v>
      </c>
      <c r="S453" s="1">
        <v>0.0</v>
      </c>
      <c r="T453" s="1">
        <v>4.0</v>
      </c>
      <c r="X453" s="1" t="s">
        <v>56</v>
      </c>
    </row>
    <row r="454">
      <c r="A454" s="3" t="str">
        <f>HYPERLINK("https://stackoverflow.com/q/50701731", "50701731")</f>
        <v>50701731</v>
      </c>
      <c r="B454" s="1" t="s">
        <v>93</v>
      </c>
      <c r="C454" s="1" t="s">
        <v>1643</v>
      </c>
      <c r="D454" s="2" t="s">
        <v>1644</v>
      </c>
      <c r="E454" s="1">
        <v>1.0</v>
      </c>
      <c r="I454" s="1">
        <v>0.0</v>
      </c>
      <c r="J454" s="1">
        <v>332.0</v>
      </c>
      <c r="L454" s="1">
        <v>9266098.0</v>
      </c>
      <c r="Q454" s="1" t="s">
        <v>1645</v>
      </c>
      <c r="R454" s="1" t="s">
        <v>1646</v>
      </c>
      <c r="S454" s="1">
        <v>1.0</v>
      </c>
      <c r="T454" s="1">
        <v>0.0</v>
      </c>
      <c r="X454" s="1" t="s">
        <v>56</v>
      </c>
    </row>
    <row r="455">
      <c r="A455" s="3" t="str">
        <f>HYPERLINK("https://stackoverflow.com/q/50705737", "50705737")</f>
        <v>50705737</v>
      </c>
      <c r="B455" s="1" t="s">
        <v>93</v>
      </c>
      <c r="C455" s="1" t="s">
        <v>1647</v>
      </c>
      <c r="D455" s="2" t="s">
        <v>1648</v>
      </c>
      <c r="E455" s="1">
        <v>1.0</v>
      </c>
      <c r="I455" s="1">
        <v>1.0</v>
      </c>
      <c r="J455" s="1">
        <v>40.0</v>
      </c>
      <c r="L455" s="1">
        <v>9878092.0</v>
      </c>
      <c r="Q455" s="1" t="s">
        <v>1647</v>
      </c>
      <c r="R455" s="1" t="s">
        <v>190</v>
      </c>
      <c r="S455" s="1">
        <v>0.0</v>
      </c>
      <c r="T455" s="1">
        <v>1.0</v>
      </c>
      <c r="X455" s="1" t="s">
        <v>56</v>
      </c>
    </row>
    <row r="456">
      <c r="A456" s="3" t="str">
        <f>HYPERLINK("https://stackoverflow.com/q/50710541", "50710541")</f>
        <v>50710541</v>
      </c>
      <c r="B456" s="1" t="s">
        <v>93</v>
      </c>
      <c r="C456" s="1" t="s">
        <v>1649</v>
      </c>
      <c r="D456" s="2" t="s">
        <v>1650</v>
      </c>
      <c r="E456" s="1">
        <v>1.0</v>
      </c>
      <c r="F456" s="1">
        <v>5.0725819E7</v>
      </c>
      <c r="I456" s="1">
        <v>1.0</v>
      </c>
      <c r="J456" s="1">
        <v>306.0</v>
      </c>
      <c r="L456" s="1">
        <v>5983596.0</v>
      </c>
      <c r="N456" s="1">
        <v>5983596.0</v>
      </c>
      <c r="P456" s="1" t="s">
        <v>1651</v>
      </c>
      <c r="Q456" s="1" t="s">
        <v>1651</v>
      </c>
      <c r="R456" s="1" t="s">
        <v>97</v>
      </c>
      <c r="S456" s="1">
        <v>1.0</v>
      </c>
      <c r="T456" s="1">
        <v>0.0</v>
      </c>
      <c r="U456" s="1">
        <v>1.0</v>
      </c>
      <c r="X456" s="1" t="s">
        <v>56</v>
      </c>
      <c r="Z456" s="1" t="s">
        <v>1652</v>
      </c>
    </row>
    <row r="457">
      <c r="A457" s="3" t="str">
        <f>HYPERLINK("https://stackoverflow.com/q/50713215", "50713215")</f>
        <v>50713215</v>
      </c>
      <c r="B457" s="1" t="s">
        <v>93</v>
      </c>
      <c r="C457" s="1" t="s">
        <v>1653</v>
      </c>
      <c r="D457" s="2" t="s">
        <v>1654</v>
      </c>
      <c r="E457" s="1">
        <v>1.0</v>
      </c>
      <c r="F457" s="1">
        <v>5.0713321E7</v>
      </c>
      <c r="I457" s="1">
        <v>0.0</v>
      </c>
      <c r="J457" s="1">
        <v>269.0</v>
      </c>
      <c r="L457" s="1">
        <v>1423927.0</v>
      </c>
      <c r="N457" s="1">
        <v>9337071.0</v>
      </c>
      <c r="P457" s="1" t="s">
        <v>1655</v>
      </c>
      <c r="Q457" s="1" t="s">
        <v>1655</v>
      </c>
      <c r="R457" s="1" t="s">
        <v>933</v>
      </c>
      <c r="S457" s="1">
        <v>2.0</v>
      </c>
      <c r="T457" s="1">
        <v>0.0</v>
      </c>
      <c r="X457" s="1" t="s">
        <v>56</v>
      </c>
      <c r="Z457" s="1" t="s">
        <v>1656</v>
      </c>
    </row>
    <row r="458">
      <c r="A458" s="3" t="str">
        <f>HYPERLINK("https://stackoverflow.com/q/50730545", "50730545")</f>
        <v>50730545</v>
      </c>
      <c r="B458" s="1" t="s">
        <v>93</v>
      </c>
      <c r="C458" s="1" t="s">
        <v>1657</v>
      </c>
      <c r="D458" s="2" t="s">
        <v>1658</v>
      </c>
      <c r="E458" s="1">
        <v>1.0</v>
      </c>
      <c r="I458" s="1">
        <v>0.0</v>
      </c>
      <c r="J458" s="1">
        <v>198.0</v>
      </c>
      <c r="L458" s="1">
        <v>9813323.0</v>
      </c>
      <c r="Q458" s="1" t="s">
        <v>1659</v>
      </c>
      <c r="R458" s="1" t="s">
        <v>97</v>
      </c>
      <c r="S458" s="1">
        <v>1.0</v>
      </c>
      <c r="T458" s="1">
        <v>1.0</v>
      </c>
      <c r="X458" s="1" t="s">
        <v>56</v>
      </c>
    </row>
    <row r="459">
      <c r="A459" s="3" t="str">
        <f>HYPERLINK("https://stackoverflow.com/q/50749813", "50749813")</f>
        <v>50749813</v>
      </c>
      <c r="B459" s="1" t="s">
        <v>93</v>
      </c>
      <c r="C459" s="1" t="s">
        <v>1660</v>
      </c>
      <c r="D459" s="2" t="s">
        <v>1661</v>
      </c>
      <c r="E459" s="1">
        <v>1.0</v>
      </c>
      <c r="I459" s="1">
        <v>0.0</v>
      </c>
      <c r="J459" s="1">
        <v>240.0</v>
      </c>
      <c r="L459" s="1">
        <v>9737949.0</v>
      </c>
      <c r="Q459" s="1" t="s">
        <v>1660</v>
      </c>
      <c r="R459" s="1" t="s">
        <v>1629</v>
      </c>
      <c r="S459" s="1">
        <v>0.0</v>
      </c>
      <c r="T459" s="1">
        <v>2.0</v>
      </c>
      <c r="X459" s="1" t="s">
        <v>56</v>
      </c>
    </row>
    <row r="460">
      <c r="A460" s="3" t="str">
        <f>HYPERLINK("https://stackoverflow.com/q/50764255", "50764255")</f>
        <v>50764255</v>
      </c>
      <c r="B460" s="1" t="s">
        <v>93</v>
      </c>
      <c r="C460" s="1" t="s">
        <v>1662</v>
      </c>
      <c r="D460" s="2" t="s">
        <v>1663</v>
      </c>
      <c r="E460" s="1">
        <v>1.0</v>
      </c>
      <c r="F460" s="1">
        <v>5.1106211E7</v>
      </c>
      <c r="I460" s="1">
        <v>0.0</v>
      </c>
      <c r="J460" s="1">
        <v>101.0</v>
      </c>
      <c r="L460" s="1">
        <v>4663651.0</v>
      </c>
      <c r="Q460" s="1" t="s">
        <v>1664</v>
      </c>
      <c r="R460" s="1" t="s">
        <v>97</v>
      </c>
      <c r="S460" s="1">
        <v>1.0</v>
      </c>
      <c r="T460" s="1">
        <v>6.0</v>
      </c>
      <c r="U460" s="1">
        <v>0.0</v>
      </c>
      <c r="X460" s="1" t="s">
        <v>56</v>
      </c>
      <c r="Z460" s="1" t="s">
        <v>1664</v>
      </c>
    </row>
    <row r="461">
      <c r="A461" s="3" t="str">
        <f>HYPERLINK("https://stackoverflow.com/q/50766363", "50766363")</f>
        <v>50766363</v>
      </c>
      <c r="B461" s="1" t="s">
        <v>93</v>
      </c>
      <c r="C461" s="1" t="s">
        <v>1665</v>
      </c>
      <c r="D461" s="2" t="s">
        <v>1666</v>
      </c>
      <c r="E461" s="1">
        <v>1.0</v>
      </c>
      <c r="F461" s="1">
        <v>5.0802379E7</v>
      </c>
      <c r="I461" s="1">
        <v>1.0</v>
      </c>
      <c r="J461" s="1">
        <v>108.0</v>
      </c>
      <c r="L461" s="1">
        <v>9878092.0</v>
      </c>
      <c r="Q461" s="1" t="s">
        <v>1667</v>
      </c>
      <c r="R461" s="1" t="s">
        <v>190</v>
      </c>
      <c r="S461" s="1">
        <v>1.0</v>
      </c>
      <c r="T461" s="1">
        <v>1.0</v>
      </c>
      <c r="U461" s="1">
        <v>1.0</v>
      </c>
      <c r="X461" s="1" t="s">
        <v>56</v>
      </c>
      <c r="Z461" s="1" t="s">
        <v>1667</v>
      </c>
    </row>
    <row r="462">
      <c r="A462" s="3" t="str">
        <f>HYPERLINK("https://stackoverflow.com/q/50822695", "50822695")</f>
        <v>50822695</v>
      </c>
      <c r="B462" s="1" t="s">
        <v>93</v>
      </c>
      <c r="C462" s="1" t="s">
        <v>1668</v>
      </c>
      <c r="D462" s="2" t="s">
        <v>1669</v>
      </c>
      <c r="E462" s="1">
        <v>1.0</v>
      </c>
      <c r="I462" s="1">
        <v>0.0</v>
      </c>
      <c r="J462" s="1">
        <v>106.0</v>
      </c>
      <c r="L462" s="1">
        <v>9813323.0</v>
      </c>
      <c r="N462" s="1">
        <v>9813323.0</v>
      </c>
      <c r="P462" s="1" t="s">
        <v>1670</v>
      </c>
      <c r="Q462" s="1" t="s">
        <v>1670</v>
      </c>
      <c r="R462" s="1" t="s">
        <v>190</v>
      </c>
      <c r="S462" s="1">
        <v>0.0</v>
      </c>
      <c r="T462" s="1">
        <v>4.0</v>
      </c>
      <c r="X462" s="1" t="s">
        <v>56</v>
      </c>
    </row>
    <row r="463">
      <c r="A463" s="3" t="str">
        <f>HYPERLINK("https://stackoverflow.com/q/50823383", "50823383")</f>
        <v>50823383</v>
      </c>
      <c r="B463" s="1" t="s">
        <v>93</v>
      </c>
      <c r="C463" s="1" t="s">
        <v>1671</v>
      </c>
      <c r="D463" s="2" t="s">
        <v>1672</v>
      </c>
      <c r="E463" s="1">
        <v>1.0</v>
      </c>
      <c r="I463" s="1">
        <v>0.0</v>
      </c>
      <c r="J463" s="1">
        <v>1623.0</v>
      </c>
      <c r="L463" s="1">
        <v>9878092.0</v>
      </c>
      <c r="N463" s="1">
        <v>9337071.0</v>
      </c>
      <c r="P463" s="1" t="s">
        <v>1673</v>
      </c>
      <c r="Q463" s="1" t="s">
        <v>1673</v>
      </c>
      <c r="R463" s="1" t="s">
        <v>933</v>
      </c>
      <c r="S463" s="1">
        <v>1.0</v>
      </c>
      <c r="T463" s="1">
        <v>3.0</v>
      </c>
      <c r="X463" s="1" t="s">
        <v>56</v>
      </c>
    </row>
    <row r="464">
      <c r="A464" s="3" t="str">
        <f>HYPERLINK("https://stackoverflow.com/q/50825507", "50825507")</f>
        <v>50825507</v>
      </c>
      <c r="B464" s="1" t="s">
        <v>93</v>
      </c>
      <c r="C464" s="1" t="s">
        <v>1674</v>
      </c>
      <c r="D464" s="2" t="s">
        <v>1675</v>
      </c>
      <c r="E464" s="1">
        <v>1.0</v>
      </c>
      <c r="I464" s="1">
        <v>0.0</v>
      </c>
      <c r="J464" s="1">
        <v>221.0</v>
      </c>
      <c r="L464" s="1">
        <v>7746631.0</v>
      </c>
      <c r="N464" s="1">
        <v>9188803.0</v>
      </c>
      <c r="P464" s="1" t="s">
        <v>1676</v>
      </c>
      <c r="Q464" s="1" t="s">
        <v>1676</v>
      </c>
      <c r="R464" s="1" t="s">
        <v>1677</v>
      </c>
      <c r="S464" s="1">
        <v>1.0</v>
      </c>
      <c r="T464" s="1">
        <v>0.0</v>
      </c>
      <c r="U464" s="1">
        <v>1.0</v>
      </c>
      <c r="X464" s="1" t="s">
        <v>56</v>
      </c>
    </row>
    <row r="465">
      <c r="A465" s="3" t="str">
        <f>HYPERLINK("https://stackoverflow.com/q/50829992", "50829992")</f>
        <v>50829992</v>
      </c>
      <c r="B465" s="1" t="s">
        <v>93</v>
      </c>
      <c r="C465" s="1" t="s">
        <v>1678</v>
      </c>
      <c r="D465" s="2" t="s">
        <v>1679</v>
      </c>
      <c r="E465" s="1">
        <v>1.0</v>
      </c>
      <c r="I465" s="1">
        <v>1.0</v>
      </c>
      <c r="J465" s="1">
        <v>330.0</v>
      </c>
      <c r="L465" s="1">
        <v>1423927.0</v>
      </c>
      <c r="N465" s="1">
        <v>1423927.0</v>
      </c>
      <c r="P465" s="1" t="s">
        <v>1680</v>
      </c>
      <c r="Q465" s="1" t="s">
        <v>1680</v>
      </c>
      <c r="R465" s="1" t="s">
        <v>1681</v>
      </c>
      <c r="S465" s="1">
        <v>0.0</v>
      </c>
      <c r="T465" s="1">
        <v>4.0</v>
      </c>
      <c r="U465" s="1">
        <v>1.0</v>
      </c>
      <c r="X465" s="1" t="s">
        <v>56</v>
      </c>
    </row>
    <row r="466">
      <c r="A466" s="3" t="str">
        <f>HYPERLINK("https://stackoverflow.com/q/50851665", "50851665")</f>
        <v>50851665</v>
      </c>
      <c r="B466" s="1" t="s">
        <v>93</v>
      </c>
      <c r="C466" s="1" t="s">
        <v>1682</v>
      </c>
      <c r="D466" s="2" t="s">
        <v>1683</v>
      </c>
      <c r="E466" s="1">
        <v>1.0</v>
      </c>
      <c r="I466" s="1">
        <v>0.0</v>
      </c>
      <c r="J466" s="1">
        <v>48.0</v>
      </c>
      <c r="L466" s="1">
        <v>8253068.0</v>
      </c>
      <c r="Q466" s="1" t="s">
        <v>1684</v>
      </c>
      <c r="R466" s="1" t="s">
        <v>97</v>
      </c>
      <c r="S466" s="1">
        <v>1.0</v>
      </c>
      <c r="T466" s="1">
        <v>1.0</v>
      </c>
      <c r="X466" s="1" t="s">
        <v>56</v>
      </c>
    </row>
    <row r="467">
      <c r="A467" s="3" t="str">
        <f>HYPERLINK("https://stackoverflow.com/q/50862637", "50862637")</f>
        <v>50862637</v>
      </c>
      <c r="B467" s="1" t="s">
        <v>93</v>
      </c>
      <c r="C467" s="1" t="s">
        <v>1685</v>
      </c>
      <c r="D467" s="2" t="s">
        <v>1686</v>
      </c>
      <c r="E467" s="1">
        <v>1.0</v>
      </c>
      <c r="I467" s="1">
        <v>1.0</v>
      </c>
      <c r="J467" s="1">
        <v>1487.0</v>
      </c>
      <c r="L467" s="1">
        <v>1063866.0</v>
      </c>
      <c r="N467" s="1">
        <v>1595451.0</v>
      </c>
      <c r="P467" s="1" t="s">
        <v>1687</v>
      </c>
      <c r="Q467" s="1" t="s">
        <v>1688</v>
      </c>
      <c r="R467" s="1" t="s">
        <v>1689</v>
      </c>
      <c r="S467" s="1">
        <v>2.0</v>
      </c>
      <c r="T467" s="1">
        <v>0.0</v>
      </c>
      <c r="X467" s="1" t="s">
        <v>56</v>
      </c>
    </row>
    <row r="468">
      <c r="A468" s="3" t="str">
        <f>HYPERLINK("https://stackoverflow.com/q/50865772", "50865772")</f>
        <v>50865772</v>
      </c>
      <c r="B468" s="1" t="s">
        <v>93</v>
      </c>
      <c r="C468" s="1" t="s">
        <v>1690</v>
      </c>
      <c r="D468" s="2" t="s">
        <v>1691</v>
      </c>
      <c r="E468" s="1">
        <v>1.0</v>
      </c>
      <c r="F468" s="1">
        <v>5.0866811E7</v>
      </c>
      <c r="I468" s="1">
        <v>1.0</v>
      </c>
      <c r="J468" s="1">
        <v>71.0</v>
      </c>
      <c r="L468" s="1">
        <v>9711667.0</v>
      </c>
      <c r="Q468" s="1" t="s">
        <v>1692</v>
      </c>
      <c r="R468" s="1" t="s">
        <v>97</v>
      </c>
      <c r="S468" s="1">
        <v>1.0</v>
      </c>
      <c r="T468" s="1">
        <v>0.0</v>
      </c>
      <c r="U468" s="1">
        <v>1.0</v>
      </c>
      <c r="X468" s="1" t="s">
        <v>56</v>
      </c>
      <c r="Z468" s="1" t="s">
        <v>1692</v>
      </c>
    </row>
    <row r="469">
      <c r="A469" s="3" t="str">
        <f>HYPERLINK("https://stackoverflow.com/q/50867815", "50867815")</f>
        <v>50867815</v>
      </c>
      <c r="B469" s="1" t="s">
        <v>93</v>
      </c>
      <c r="C469" s="1" t="s">
        <v>1693</v>
      </c>
      <c r="D469" s="2" t="s">
        <v>1694</v>
      </c>
      <c r="E469" s="1">
        <v>1.0</v>
      </c>
      <c r="I469" s="1">
        <v>0.0</v>
      </c>
      <c r="J469" s="1">
        <v>410.0</v>
      </c>
      <c r="L469" s="1">
        <v>9944248.0</v>
      </c>
      <c r="Q469" s="1" t="s">
        <v>1695</v>
      </c>
      <c r="R469" s="1" t="s">
        <v>97</v>
      </c>
      <c r="S469" s="1">
        <v>1.0</v>
      </c>
      <c r="T469" s="1">
        <v>1.0</v>
      </c>
      <c r="X469" s="1" t="s">
        <v>56</v>
      </c>
    </row>
    <row r="470">
      <c r="A470" s="3" t="str">
        <f>HYPERLINK("https://stackoverflow.com/q/50874376", "50874376")</f>
        <v>50874376</v>
      </c>
      <c r="B470" s="1" t="s">
        <v>93</v>
      </c>
      <c r="C470" s="1" t="s">
        <v>1696</v>
      </c>
      <c r="D470" s="2" t="s">
        <v>1697</v>
      </c>
      <c r="E470" s="1">
        <v>1.0</v>
      </c>
      <c r="I470" s="1">
        <v>1.0</v>
      </c>
      <c r="J470" s="1">
        <v>545.0</v>
      </c>
      <c r="L470" s="1">
        <v>4818825.0</v>
      </c>
      <c r="Q470" s="1" t="s">
        <v>1696</v>
      </c>
      <c r="R470" s="1" t="s">
        <v>97</v>
      </c>
      <c r="S470" s="1">
        <v>0.0</v>
      </c>
      <c r="T470" s="1">
        <v>1.0</v>
      </c>
      <c r="X470" s="1" t="s">
        <v>56</v>
      </c>
    </row>
    <row r="471">
      <c r="A471" s="3" t="str">
        <f>HYPERLINK("https://stackoverflow.com/q/50876280", "50876280")</f>
        <v>50876280</v>
      </c>
      <c r="B471" s="1" t="s">
        <v>93</v>
      </c>
      <c r="C471" s="1" t="s">
        <v>1698</v>
      </c>
      <c r="D471" s="2" t="s">
        <v>1699</v>
      </c>
      <c r="E471" s="1">
        <v>1.0</v>
      </c>
      <c r="I471" s="1">
        <v>1.0</v>
      </c>
      <c r="J471" s="1">
        <v>58.0</v>
      </c>
      <c r="M471" s="1" t="s">
        <v>1700</v>
      </c>
      <c r="Q471" s="1" t="s">
        <v>1701</v>
      </c>
      <c r="R471" s="1" t="s">
        <v>97</v>
      </c>
      <c r="S471" s="1">
        <v>1.0</v>
      </c>
      <c r="T471" s="1">
        <v>0.0</v>
      </c>
      <c r="X471" s="1" t="s">
        <v>56</v>
      </c>
    </row>
    <row r="472">
      <c r="A472" s="3" t="str">
        <f>HYPERLINK("https://stackoverflow.com/q/50877919", "50877919")</f>
        <v>50877919</v>
      </c>
      <c r="B472" s="1" t="s">
        <v>93</v>
      </c>
      <c r="C472" s="1" t="s">
        <v>1702</v>
      </c>
      <c r="D472" s="2" t="s">
        <v>1703</v>
      </c>
      <c r="E472" s="1">
        <v>1.0</v>
      </c>
      <c r="F472" s="1">
        <v>5.0879369E7</v>
      </c>
      <c r="I472" s="1">
        <v>0.0</v>
      </c>
      <c r="J472" s="1">
        <v>287.0</v>
      </c>
      <c r="L472" s="1">
        <v>6586249.0</v>
      </c>
      <c r="N472" s="1">
        <v>454137.0</v>
      </c>
      <c r="P472" s="1" t="s">
        <v>1704</v>
      </c>
      <c r="Q472" s="1" t="s">
        <v>1705</v>
      </c>
      <c r="R472" s="1" t="s">
        <v>97</v>
      </c>
      <c r="S472" s="1">
        <v>1.0</v>
      </c>
      <c r="T472" s="1">
        <v>0.0</v>
      </c>
      <c r="X472" s="1" t="s">
        <v>56</v>
      </c>
      <c r="Z472" s="1" t="s">
        <v>1705</v>
      </c>
    </row>
    <row r="473">
      <c r="A473" s="3" t="str">
        <f>HYPERLINK("https://stackoverflow.com/q/50877966", "50877966")</f>
        <v>50877966</v>
      </c>
      <c r="B473" s="1" t="s">
        <v>93</v>
      </c>
      <c r="C473" s="1" t="s">
        <v>1706</v>
      </c>
      <c r="D473" s="2" t="s">
        <v>1707</v>
      </c>
      <c r="E473" s="1">
        <v>1.0</v>
      </c>
      <c r="F473" s="1">
        <v>5.0879628E7</v>
      </c>
      <c r="I473" s="1">
        <v>0.0</v>
      </c>
      <c r="J473" s="1">
        <v>115.0</v>
      </c>
      <c r="L473" s="1">
        <v>267301.0</v>
      </c>
      <c r="Q473" s="1" t="s">
        <v>1708</v>
      </c>
      <c r="R473" s="1" t="s">
        <v>97</v>
      </c>
      <c r="S473" s="1">
        <v>1.0</v>
      </c>
      <c r="T473" s="1">
        <v>0.0</v>
      </c>
      <c r="U473" s="1">
        <v>1.0</v>
      </c>
      <c r="X473" s="1" t="s">
        <v>56</v>
      </c>
      <c r="Z473" s="1" t="s">
        <v>1708</v>
      </c>
    </row>
    <row r="474">
      <c r="A474" s="3" t="str">
        <f>HYPERLINK("https://stackoverflow.com/q/50882936", "50882936")</f>
        <v>50882936</v>
      </c>
      <c r="B474" s="1" t="s">
        <v>93</v>
      </c>
      <c r="C474" s="1" t="s">
        <v>1709</v>
      </c>
      <c r="D474" s="2" t="s">
        <v>1710</v>
      </c>
      <c r="E474" s="1">
        <v>1.0</v>
      </c>
      <c r="F474" s="1">
        <v>5.0883752E7</v>
      </c>
      <c r="I474" s="1">
        <v>0.0</v>
      </c>
      <c r="J474" s="1">
        <v>434.0</v>
      </c>
      <c r="L474" s="1">
        <v>9878092.0</v>
      </c>
      <c r="Q474" s="1" t="s">
        <v>1711</v>
      </c>
      <c r="R474" s="1" t="s">
        <v>190</v>
      </c>
      <c r="S474" s="1">
        <v>2.0</v>
      </c>
      <c r="T474" s="1">
        <v>1.0</v>
      </c>
      <c r="X474" s="1" t="s">
        <v>56</v>
      </c>
      <c r="Z474" s="1" t="s">
        <v>1712</v>
      </c>
    </row>
    <row r="475">
      <c r="A475" s="3" t="str">
        <f>HYPERLINK("https://stackoverflow.com/q/50903007", "50903007")</f>
        <v>50903007</v>
      </c>
      <c r="B475" s="1" t="s">
        <v>93</v>
      </c>
      <c r="C475" s="1" t="s">
        <v>1713</v>
      </c>
      <c r="D475" s="2" t="s">
        <v>1714</v>
      </c>
      <c r="E475" s="1">
        <v>1.0</v>
      </c>
      <c r="I475" s="1">
        <v>0.0</v>
      </c>
      <c r="J475" s="1">
        <v>145.0</v>
      </c>
      <c r="L475" s="1">
        <v>7494277.0</v>
      </c>
      <c r="N475" s="1">
        <v>5859957.0</v>
      </c>
      <c r="P475" s="1" t="s">
        <v>1715</v>
      </c>
      <c r="Q475" s="1" t="s">
        <v>1716</v>
      </c>
      <c r="R475" s="1" t="s">
        <v>97</v>
      </c>
      <c r="S475" s="1">
        <v>1.0</v>
      </c>
      <c r="T475" s="1">
        <v>0.0</v>
      </c>
      <c r="X475" s="1" t="s">
        <v>56</v>
      </c>
    </row>
    <row r="476">
      <c r="A476" s="3" t="str">
        <f>HYPERLINK("https://stackoverflow.com/q/50932709", "50932709")</f>
        <v>50932709</v>
      </c>
      <c r="B476" s="1" t="s">
        <v>93</v>
      </c>
      <c r="C476" s="1" t="s">
        <v>1717</v>
      </c>
      <c r="D476" s="2" t="s">
        <v>1718</v>
      </c>
      <c r="E476" s="1">
        <v>1.0</v>
      </c>
      <c r="I476" s="1">
        <v>1.0</v>
      </c>
      <c r="J476" s="1">
        <v>340.0</v>
      </c>
      <c r="L476" s="1">
        <v>9962755.0</v>
      </c>
      <c r="N476" s="1">
        <v>9962755.0</v>
      </c>
      <c r="P476" s="1" t="s">
        <v>1719</v>
      </c>
      <c r="Q476" s="1" t="s">
        <v>1720</v>
      </c>
      <c r="R476" s="1" t="s">
        <v>97</v>
      </c>
      <c r="S476" s="1">
        <v>1.0</v>
      </c>
      <c r="T476" s="1">
        <v>11.0</v>
      </c>
      <c r="X476" s="1" t="s">
        <v>56</v>
      </c>
    </row>
    <row r="477">
      <c r="A477" s="3" t="str">
        <f>HYPERLINK("https://stackoverflow.com/q/50936643", "50936643")</f>
        <v>50936643</v>
      </c>
      <c r="B477" s="1" t="s">
        <v>93</v>
      </c>
      <c r="C477" s="1" t="s">
        <v>1721</v>
      </c>
      <c r="D477" s="2" t="s">
        <v>1722</v>
      </c>
      <c r="E477" s="1">
        <v>1.0</v>
      </c>
      <c r="F477" s="1">
        <v>5.0936866E7</v>
      </c>
      <c r="I477" s="1">
        <v>0.0</v>
      </c>
      <c r="J477" s="1">
        <v>138.0</v>
      </c>
      <c r="L477" s="1">
        <v>9878092.0</v>
      </c>
      <c r="N477" s="1">
        <v>9878092.0</v>
      </c>
      <c r="P477" s="1" t="s">
        <v>1723</v>
      </c>
      <c r="Q477" s="1" t="s">
        <v>1724</v>
      </c>
      <c r="R477" s="1" t="s">
        <v>190</v>
      </c>
      <c r="S477" s="1">
        <v>1.0</v>
      </c>
      <c r="T477" s="1">
        <v>1.0</v>
      </c>
      <c r="X477" s="1" t="s">
        <v>56</v>
      </c>
      <c r="Z477" s="1" t="s">
        <v>1724</v>
      </c>
    </row>
    <row r="478">
      <c r="A478" s="3" t="str">
        <f>HYPERLINK("https://stackoverflow.com/q/50973150", "50973150")</f>
        <v>50973150</v>
      </c>
      <c r="B478" s="1" t="s">
        <v>93</v>
      </c>
      <c r="C478" s="1" t="s">
        <v>1725</v>
      </c>
      <c r="D478" s="2" t="s">
        <v>1726</v>
      </c>
      <c r="E478" s="1">
        <v>1.0</v>
      </c>
      <c r="I478" s="1">
        <v>0.0</v>
      </c>
      <c r="J478" s="1">
        <v>710.0</v>
      </c>
      <c r="L478" s="1">
        <v>6194945.0</v>
      </c>
      <c r="Q478" s="1" t="s">
        <v>1727</v>
      </c>
      <c r="R478" s="1" t="s">
        <v>97</v>
      </c>
      <c r="S478" s="1">
        <v>1.0</v>
      </c>
      <c r="T478" s="1">
        <v>0.0</v>
      </c>
      <c r="X478" s="1" t="s">
        <v>56</v>
      </c>
    </row>
    <row r="479">
      <c r="A479" s="3" t="str">
        <f>HYPERLINK("https://stackoverflow.com/q/50977178", "50977178")</f>
        <v>50977178</v>
      </c>
      <c r="B479" s="1" t="s">
        <v>93</v>
      </c>
      <c r="C479" s="1" t="s">
        <v>1728</v>
      </c>
      <c r="D479" s="2" t="s">
        <v>1729</v>
      </c>
      <c r="E479" s="1">
        <v>1.0</v>
      </c>
      <c r="F479" s="1">
        <v>5.0977765E7</v>
      </c>
      <c r="I479" s="1">
        <v>0.0</v>
      </c>
      <c r="J479" s="1">
        <v>857.0</v>
      </c>
      <c r="L479" s="1">
        <v>9878092.0</v>
      </c>
      <c r="Q479" s="1" t="s">
        <v>1730</v>
      </c>
      <c r="R479" s="1" t="s">
        <v>190</v>
      </c>
      <c r="S479" s="1">
        <v>1.0</v>
      </c>
      <c r="T479" s="1">
        <v>1.0</v>
      </c>
      <c r="U479" s="1">
        <v>0.0</v>
      </c>
      <c r="X479" s="1" t="s">
        <v>56</v>
      </c>
      <c r="Z479" s="1" t="s">
        <v>1730</v>
      </c>
    </row>
    <row r="480">
      <c r="A480" s="3" t="str">
        <f>HYPERLINK("https://stackoverflow.com/q/50986952", "50986952")</f>
        <v>50986952</v>
      </c>
      <c r="B480" s="1" t="s">
        <v>93</v>
      </c>
      <c r="C480" s="1" t="s">
        <v>1731</v>
      </c>
      <c r="D480" s="2" t="s">
        <v>1732</v>
      </c>
      <c r="E480" s="1">
        <v>1.0</v>
      </c>
      <c r="I480" s="1">
        <v>0.0</v>
      </c>
      <c r="J480" s="1">
        <v>224.0</v>
      </c>
      <c r="L480" s="1">
        <v>1423927.0</v>
      </c>
      <c r="N480" s="1">
        <v>1423927.0</v>
      </c>
      <c r="P480" s="1" t="s">
        <v>1733</v>
      </c>
      <c r="Q480" s="1" t="s">
        <v>1733</v>
      </c>
      <c r="R480" s="1" t="s">
        <v>97</v>
      </c>
      <c r="S480" s="1">
        <v>1.0</v>
      </c>
      <c r="T480" s="1">
        <v>1.0</v>
      </c>
      <c r="U480" s="1">
        <v>1.0</v>
      </c>
      <c r="X480" s="1" t="s">
        <v>56</v>
      </c>
    </row>
    <row r="481">
      <c r="A481" s="3" t="str">
        <f>HYPERLINK("https://stackoverflow.com/q/51016243", "51016243")</f>
        <v>51016243</v>
      </c>
      <c r="B481" s="1" t="s">
        <v>93</v>
      </c>
      <c r="C481" s="1" t="s">
        <v>1734</v>
      </c>
      <c r="D481" s="2" t="s">
        <v>1735</v>
      </c>
      <c r="E481" s="1">
        <v>1.0</v>
      </c>
      <c r="I481" s="1">
        <v>0.0</v>
      </c>
      <c r="J481" s="1">
        <v>61.0</v>
      </c>
      <c r="L481" s="1">
        <v>9986861.0</v>
      </c>
      <c r="N481" s="1">
        <v>9986861.0</v>
      </c>
      <c r="P481" s="1" t="s">
        <v>1736</v>
      </c>
      <c r="Q481" s="1" t="s">
        <v>1737</v>
      </c>
      <c r="R481" s="1" t="s">
        <v>97</v>
      </c>
      <c r="S481" s="1">
        <v>1.0</v>
      </c>
      <c r="T481" s="1">
        <v>0.0</v>
      </c>
      <c r="X481" s="1" t="s">
        <v>56</v>
      </c>
    </row>
    <row r="482">
      <c r="A482" s="3" t="str">
        <f>HYPERLINK("https://stackoverflow.com/q/51018281", "51018281")</f>
        <v>51018281</v>
      </c>
      <c r="B482" s="1" t="s">
        <v>93</v>
      </c>
      <c r="C482" s="1" t="s">
        <v>1738</v>
      </c>
      <c r="D482" s="2" t="s">
        <v>1739</v>
      </c>
      <c r="E482" s="1">
        <v>1.0</v>
      </c>
      <c r="I482" s="1">
        <v>0.0</v>
      </c>
      <c r="J482" s="1">
        <v>442.0</v>
      </c>
      <c r="L482" s="1">
        <v>2552612.0</v>
      </c>
      <c r="N482" s="1">
        <v>1.2892553E7</v>
      </c>
      <c r="P482" s="1" t="s">
        <v>1740</v>
      </c>
      <c r="Q482" s="1" t="s">
        <v>1740</v>
      </c>
      <c r="R482" s="1" t="s">
        <v>97</v>
      </c>
      <c r="S482" s="1">
        <v>1.0</v>
      </c>
      <c r="T482" s="1">
        <v>4.0</v>
      </c>
      <c r="U482" s="1">
        <v>1.0</v>
      </c>
      <c r="X482" s="1" t="s">
        <v>56</v>
      </c>
    </row>
    <row r="483">
      <c r="A483" s="3" t="str">
        <f>HYPERLINK("https://stackoverflow.com/q/51024525", "51024525")</f>
        <v>51024525</v>
      </c>
      <c r="B483" s="1" t="s">
        <v>93</v>
      </c>
      <c r="C483" s="1" t="s">
        <v>1741</v>
      </c>
      <c r="D483" s="2" t="s">
        <v>1742</v>
      </c>
      <c r="E483" s="1">
        <v>1.0</v>
      </c>
      <c r="I483" s="1">
        <v>0.0</v>
      </c>
      <c r="J483" s="1">
        <v>30.0</v>
      </c>
      <c r="L483" s="1">
        <v>400790.0</v>
      </c>
      <c r="Q483" s="1" t="s">
        <v>1743</v>
      </c>
      <c r="R483" s="1" t="s">
        <v>97</v>
      </c>
      <c r="S483" s="1">
        <v>1.0</v>
      </c>
      <c r="T483" s="1">
        <v>0.0</v>
      </c>
      <c r="X483" s="1" t="s">
        <v>56</v>
      </c>
    </row>
    <row r="484">
      <c r="A484" s="3" t="str">
        <f>HYPERLINK("https://stackoverflow.com/q/51028474", "51028474")</f>
        <v>51028474</v>
      </c>
      <c r="B484" s="1" t="s">
        <v>93</v>
      </c>
      <c r="C484" s="1" t="s">
        <v>1744</v>
      </c>
      <c r="D484" s="2" t="s">
        <v>1745</v>
      </c>
      <c r="E484" s="1">
        <v>1.0</v>
      </c>
      <c r="F484" s="1">
        <v>5.1054468E7</v>
      </c>
      <c r="I484" s="1">
        <v>0.0</v>
      </c>
      <c r="J484" s="1">
        <v>122.0</v>
      </c>
      <c r="L484" s="1">
        <v>6586249.0</v>
      </c>
      <c r="Q484" s="1" t="s">
        <v>1746</v>
      </c>
      <c r="R484" s="1" t="s">
        <v>97</v>
      </c>
      <c r="S484" s="1">
        <v>1.0</v>
      </c>
      <c r="T484" s="1">
        <v>1.0</v>
      </c>
      <c r="X484" s="1" t="s">
        <v>56</v>
      </c>
      <c r="Z484" s="1" t="s">
        <v>1746</v>
      </c>
    </row>
    <row r="485">
      <c r="A485" s="3" t="str">
        <f>HYPERLINK("https://stackoverflow.com/q/51031354", "51031354")</f>
        <v>51031354</v>
      </c>
      <c r="B485" s="1" t="s">
        <v>93</v>
      </c>
      <c r="C485" s="1" t="s">
        <v>1747</v>
      </c>
      <c r="D485" s="2" t="s">
        <v>1748</v>
      </c>
      <c r="E485" s="1">
        <v>1.0</v>
      </c>
      <c r="I485" s="1">
        <v>0.0</v>
      </c>
      <c r="J485" s="1">
        <v>300.0</v>
      </c>
      <c r="L485" s="1">
        <v>9878092.0</v>
      </c>
      <c r="Q485" s="1" t="s">
        <v>1747</v>
      </c>
      <c r="R485" s="1" t="s">
        <v>190</v>
      </c>
      <c r="S485" s="1">
        <v>0.0</v>
      </c>
      <c r="T485" s="1">
        <v>3.0</v>
      </c>
      <c r="X485" s="1" t="s">
        <v>56</v>
      </c>
    </row>
    <row r="486">
      <c r="A486" s="3" t="str">
        <f>HYPERLINK("https://stackoverflow.com/q/51032451", "51032451")</f>
        <v>51032451</v>
      </c>
      <c r="B486" s="1" t="s">
        <v>93</v>
      </c>
      <c r="C486" s="1" t="s">
        <v>1749</v>
      </c>
      <c r="D486" s="2" t="s">
        <v>1750</v>
      </c>
      <c r="E486" s="1">
        <v>1.0</v>
      </c>
      <c r="F486" s="1">
        <v>5.1034708E7</v>
      </c>
      <c r="I486" s="1">
        <v>2.0</v>
      </c>
      <c r="J486" s="1">
        <v>390.0</v>
      </c>
      <c r="L486" s="1">
        <v>9878092.0</v>
      </c>
      <c r="N486" s="1">
        <v>1595451.0</v>
      </c>
      <c r="P486" s="1" t="s">
        <v>1751</v>
      </c>
      <c r="Q486" s="1" t="s">
        <v>1752</v>
      </c>
      <c r="R486" s="1" t="s">
        <v>1753</v>
      </c>
      <c r="S486" s="1">
        <v>1.0</v>
      </c>
      <c r="T486" s="1">
        <v>2.0</v>
      </c>
      <c r="U486" s="1">
        <v>0.0</v>
      </c>
      <c r="X486" s="1" t="s">
        <v>56</v>
      </c>
      <c r="Z486" s="1" t="s">
        <v>1752</v>
      </c>
    </row>
    <row r="487">
      <c r="A487" s="3" t="str">
        <f>HYPERLINK("https://stackoverflow.com/q/51033320", "51033320")</f>
        <v>51033320</v>
      </c>
      <c r="B487" s="1" t="s">
        <v>93</v>
      </c>
      <c r="C487" s="1" t="s">
        <v>1754</v>
      </c>
      <c r="D487" s="2" t="s">
        <v>1755</v>
      </c>
      <c r="E487" s="1">
        <v>1.0</v>
      </c>
      <c r="I487" s="1">
        <v>2.0</v>
      </c>
      <c r="J487" s="1">
        <v>219.0</v>
      </c>
      <c r="L487" s="1">
        <v>9878092.0</v>
      </c>
      <c r="Q487" s="1" t="s">
        <v>1756</v>
      </c>
      <c r="R487" s="1" t="s">
        <v>1757</v>
      </c>
      <c r="S487" s="1">
        <v>1.0</v>
      </c>
      <c r="T487" s="1">
        <v>0.0</v>
      </c>
      <c r="U487" s="1">
        <v>2.0</v>
      </c>
      <c r="X487" s="1" t="s">
        <v>56</v>
      </c>
    </row>
    <row r="488">
      <c r="A488" s="3" t="str">
        <f>HYPERLINK("https://stackoverflow.com/q/51043227", "51043227")</f>
        <v>51043227</v>
      </c>
      <c r="B488" s="1" t="s">
        <v>93</v>
      </c>
      <c r="C488" s="1" t="s">
        <v>1758</v>
      </c>
      <c r="D488" s="2" t="s">
        <v>1759</v>
      </c>
      <c r="E488" s="1">
        <v>1.0</v>
      </c>
      <c r="I488" s="1">
        <v>0.0</v>
      </c>
      <c r="J488" s="1">
        <v>42.0</v>
      </c>
      <c r="L488" s="1">
        <v>400790.0</v>
      </c>
      <c r="Q488" s="1" t="s">
        <v>1760</v>
      </c>
      <c r="R488" s="1" t="s">
        <v>97</v>
      </c>
      <c r="S488" s="1">
        <v>1.0</v>
      </c>
      <c r="T488" s="1">
        <v>6.0</v>
      </c>
      <c r="X488" s="1" t="s">
        <v>56</v>
      </c>
    </row>
    <row r="489">
      <c r="A489" s="3" t="str">
        <f>HYPERLINK("https://stackoverflow.com/q/51044647", "51044647")</f>
        <v>51044647</v>
      </c>
      <c r="B489" s="1" t="s">
        <v>93</v>
      </c>
      <c r="C489" s="1" t="s">
        <v>1761</v>
      </c>
      <c r="D489" s="2" t="s">
        <v>1762</v>
      </c>
      <c r="E489" s="1">
        <v>1.0</v>
      </c>
      <c r="I489" s="1">
        <v>0.0</v>
      </c>
      <c r="J489" s="1">
        <v>247.0</v>
      </c>
      <c r="L489" s="1">
        <v>9994851.0</v>
      </c>
      <c r="N489" s="1">
        <v>7120016.0</v>
      </c>
      <c r="P489" s="1" t="s">
        <v>1763</v>
      </c>
      <c r="Q489" s="1" t="s">
        <v>1763</v>
      </c>
      <c r="R489" s="1" t="s">
        <v>97</v>
      </c>
      <c r="S489" s="1">
        <v>0.0</v>
      </c>
      <c r="T489" s="1">
        <v>6.0</v>
      </c>
      <c r="X489" s="1" t="s">
        <v>56</v>
      </c>
    </row>
    <row r="490">
      <c r="A490" s="3" t="str">
        <f>HYPERLINK("https://stackoverflow.com/q/51077496", "51077496")</f>
        <v>51077496</v>
      </c>
      <c r="B490" s="1" t="s">
        <v>93</v>
      </c>
      <c r="C490" s="1" t="s">
        <v>1764</v>
      </c>
      <c r="D490" s="2" t="s">
        <v>1765</v>
      </c>
      <c r="E490" s="1">
        <v>1.0</v>
      </c>
      <c r="I490" s="1">
        <v>0.0</v>
      </c>
      <c r="J490" s="1">
        <v>263.0</v>
      </c>
      <c r="L490" s="1">
        <v>2552612.0</v>
      </c>
      <c r="N490" s="1">
        <v>2552612.0</v>
      </c>
      <c r="P490" s="1" t="s">
        <v>1766</v>
      </c>
      <c r="Q490" s="1" t="s">
        <v>1766</v>
      </c>
      <c r="R490" s="1" t="s">
        <v>97</v>
      </c>
      <c r="S490" s="1">
        <v>0.0</v>
      </c>
      <c r="T490" s="1">
        <v>5.0</v>
      </c>
      <c r="X490" s="1" t="s">
        <v>56</v>
      </c>
    </row>
    <row r="491">
      <c r="A491" s="3" t="str">
        <f>HYPERLINK("https://stackoverflow.com/q/51086790", "51086790")</f>
        <v>51086790</v>
      </c>
      <c r="B491" s="1" t="s">
        <v>93</v>
      </c>
      <c r="C491" s="1" t="s">
        <v>1767</v>
      </c>
      <c r="D491" s="2" t="s">
        <v>1768</v>
      </c>
      <c r="E491" s="1">
        <v>1.0</v>
      </c>
      <c r="I491" s="1">
        <v>0.0</v>
      </c>
      <c r="J491" s="1">
        <v>159.0</v>
      </c>
      <c r="L491" s="1">
        <v>9352266.0</v>
      </c>
      <c r="Q491" s="1" t="s">
        <v>1769</v>
      </c>
      <c r="R491" s="1" t="s">
        <v>1770</v>
      </c>
      <c r="S491" s="1">
        <v>2.0</v>
      </c>
      <c r="T491" s="1">
        <v>0.0</v>
      </c>
      <c r="X491" s="1" t="s">
        <v>56</v>
      </c>
    </row>
    <row r="492">
      <c r="A492" s="3" t="str">
        <f>HYPERLINK("https://stackoverflow.com/q/51105421", "51105421")</f>
        <v>51105421</v>
      </c>
      <c r="B492" s="1" t="s">
        <v>93</v>
      </c>
      <c r="C492" s="1" t="s">
        <v>1771</v>
      </c>
      <c r="D492" s="2" t="s">
        <v>1772</v>
      </c>
      <c r="E492" s="1">
        <v>1.0</v>
      </c>
      <c r="I492" s="1">
        <v>0.0</v>
      </c>
      <c r="J492" s="1">
        <v>89.0</v>
      </c>
      <c r="L492" s="1">
        <v>9962755.0</v>
      </c>
      <c r="Q492" s="1" t="s">
        <v>1773</v>
      </c>
      <c r="R492" s="1" t="s">
        <v>97</v>
      </c>
      <c r="S492" s="1">
        <v>1.0</v>
      </c>
      <c r="T492" s="1">
        <v>0.0</v>
      </c>
      <c r="X492" s="1" t="s">
        <v>56</v>
      </c>
    </row>
    <row r="493">
      <c r="A493" s="3" t="str">
        <f>HYPERLINK("https://stackoverflow.com/q/51110466", "51110466")</f>
        <v>51110466</v>
      </c>
      <c r="B493" s="1" t="s">
        <v>93</v>
      </c>
      <c r="C493" s="1" t="s">
        <v>1774</v>
      </c>
      <c r="D493" s="2" t="s">
        <v>1775</v>
      </c>
      <c r="E493" s="1">
        <v>1.0</v>
      </c>
      <c r="I493" s="1">
        <v>0.0</v>
      </c>
      <c r="J493" s="1">
        <v>57.0</v>
      </c>
      <c r="L493" s="1">
        <v>4907384.0</v>
      </c>
      <c r="Q493" s="1" t="s">
        <v>1774</v>
      </c>
      <c r="R493" s="1" t="s">
        <v>97</v>
      </c>
      <c r="S493" s="1">
        <v>0.0</v>
      </c>
      <c r="T493" s="1">
        <v>2.0</v>
      </c>
      <c r="X493" s="1" t="s">
        <v>56</v>
      </c>
    </row>
    <row r="494">
      <c r="A494" s="3" t="str">
        <f>HYPERLINK("https://stackoverflow.com/q/51142087", "51142087")</f>
        <v>51142087</v>
      </c>
      <c r="B494" s="1" t="s">
        <v>93</v>
      </c>
      <c r="C494" s="1" t="s">
        <v>1776</v>
      </c>
      <c r="D494" s="2" t="s">
        <v>1777</v>
      </c>
      <c r="E494" s="1">
        <v>1.0</v>
      </c>
      <c r="I494" s="1">
        <v>7.0</v>
      </c>
      <c r="J494" s="1">
        <v>1453.0</v>
      </c>
      <c r="L494" s="1">
        <v>9962755.0</v>
      </c>
      <c r="N494" s="1">
        <v>1595451.0</v>
      </c>
      <c r="P494" s="1" t="s">
        <v>1778</v>
      </c>
      <c r="Q494" s="1" t="s">
        <v>1778</v>
      </c>
      <c r="R494" s="1" t="s">
        <v>190</v>
      </c>
      <c r="S494" s="1">
        <v>2.0</v>
      </c>
      <c r="T494" s="1">
        <v>3.0</v>
      </c>
      <c r="U494" s="1">
        <v>2.0</v>
      </c>
      <c r="X494" s="1" t="s">
        <v>56</v>
      </c>
    </row>
    <row r="495">
      <c r="A495" s="3" t="str">
        <f>HYPERLINK("https://stackoverflow.com/q/51168530", "51168530")</f>
        <v>51168530</v>
      </c>
      <c r="B495" s="1" t="s">
        <v>93</v>
      </c>
      <c r="C495" s="1" t="s">
        <v>1779</v>
      </c>
      <c r="D495" s="2" t="s">
        <v>1780</v>
      </c>
      <c r="E495" s="1">
        <v>1.0</v>
      </c>
      <c r="I495" s="1">
        <v>0.0</v>
      </c>
      <c r="J495" s="1">
        <v>86.0</v>
      </c>
      <c r="L495" s="1">
        <v>2552612.0</v>
      </c>
      <c r="N495" s="1">
        <v>1055395.0</v>
      </c>
      <c r="P495" s="1" t="s">
        <v>1781</v>
      </c>
      <c r="Q495" s="1" t="s">
        <v>1782</v>
      </c>
      <c r="R495" s="1" t="s">
        <v>97</v>
      </c>
      <c r="S495" s="1">
        <v>1.0</v>
      </c>
      <c r="T495" s="1">
        <v>2.0</v>
      </c>
      <c r="X495" s="1" t="s">
        <v>56</v>
      </c>
    </row>
    <row r="496">
      <c r="A496" s="3" t="str">
        <f>HYPERLINK("https://stackoverflow.com/q/51175074", "51175074")</f>
        <v>51175074</v>
      </c>
      <c r="B496" s="1" t="s">
        <v>93</v>
      </c>
      <c r="C496" s="1" t="s">
        <v>1783</v>
      </c>
      <c r="D496" s="2" t="s">
        <v>1784</v>
      </c>
      <c r="E496" s="1">
        <v>1.0</v>
      </c>
      <c r="I496" s="1">
        <v>0.0</v>
      </c>
      <c r="J496" s="1">
        <v>75.0</v>
      </c>
      <c r="L496" s="1">
        <v>6874064.0</v>
      </c>
      <c r="N496" s="1">
        <v>6874064.0</v>
      </c>
      <c r="P496" s="1" t="s">
        <v>1785</v>
      </c>
      <c r="Q496" s="1" t="s">
        <v>1786</v>
      </c>
      <c r="R496" s="1" t="s">
        <v>97</v>
      </c>
      <c r="S496" s="1">
        <v>1.0</v>
      </c>
      <c r="T496" s="1">
        <v>0.0</v>
      </c>
      <c r="X496" s="1" t="s">
        <v>56</v>
      </c>
    </row>
    <row r="497">
      <c r="A497" s="3" t="str">
        <f>HYPERLINK("https://stackoverflow.com/q/51186512", "51186512")</f>
        <v>51186512</v>
      </c>
      <c r="B497" s="1" t="s">
        <v>93</v>
      </c>
      <c r="C497" s="1" t="s">
        <v>1787</v>
      </c>
      <c r="D497" s="2" t="s">
        <v>1788</v>
      </c>
      <c r="E497" s="1">
        <v>1.0</v>
      </c>
      <c r="F497" s="1">
        <v>5.1493731E7</v>
      </c>
      <c r="I497" s="1">
        <v>2.0</v>
      </c>
      <c r="J497" s="1">
        <v>340.0</v>
      </c>
      <c r="L497" s="1">
        <v>9798828.0</v>
      </c>
      <c r="N497" s="1">
        <v>1.2892553E7</v>
      </c>
      <c r="P497" s="1" t="s">
        <v>1789</v>
      </c>
      <c r="Q497" s="1" t="s">
        <v>1789</v>
      </c>
      <c r="R497" s="1" t="s">
        <v>97</v>
      </c>
      <c r="S497" s="1">
        <v>3.0</v>
      </c>
      <c r="T497" s="1">
        <v>2.0</v>
      </c>
      <c r="X497" s="1" t="s">
        <v>56</v>
      </c>
      <c r="Z497" s="1" t="s">
        <v>1790</v>
      </c>
    </row>
    <row r="498">
      <c r="A498" s="3" t="str">
        <f>HYPERLINK("https://stackoverflow.com/q/51194662", "51194662")</f>
        <v>51194662</v>
      </c>
      <c r="B498" s="1" t="s">
        <v>93</v>
      </c>
      <c r="C498" s="1" t="s">
        <v>1791</v>
      </c>
      <c r="D498" s="2" t="s">
        <v>1792</v>
      </c>
      <c r="E498" s="1">
        <v>1.0</v>
      </c>
      <c r="F498" s="1">
        <v>5.119617E7</v>
      </c>
      <c r="I498" s="1">
        <v>1.0</v>
      </c>
      <c r="J498" s="1">
        <v>219.0</v>
      </c>
      <c r="L498" s="1">
        <v>1.0037945E7</v>
      </c>
      <c r="N498" s="1">
        <v>1549950.0</v>
      </c>
      <c r="P498" s="1" t="s">
        <v>1793</v>
      </c>
      <c r="Q498" s="1" t="s">
        <v>1794</v>
      </c>
      <c r="R498" s="1" t="s">
        <v>97</v>
      </c>
      <c r="S498" s="1">
        <v>1.0</v>
      </c>
      <c r="T498" s="1">
        <v>0.0</v>
      </c>
      <c r="X498" s="1" t="s">
        <v>56</v>
      </c>
      <c r="Z498" s="1" t="s">
        <v>1794</v>
      </c>
    </row>
    <row r="499">
      <c r="A499" s="3" t="str">
        <f>HYPERLINK("https://stackoverflow.com/q/51196057", "51196057")</f>
        <v>51196057</v>
      </c>
      <c r="B499" s="1" t="s">
        <v>93</v>
      </c>
      <c r="C499" s="1" t="s">
        <v>1795</v>
      </c>
      <c r="D499" s="2" t="s">
        <v>1796</v>
      </c>
      <c r="E499" s="1">
        <v>1.0</v>
      </c>
      <c r="I499" s="1">
        <v>0.0</v>
      </c>
      <c r="J499" s="1">
        <v>218.0</v>
      </c>
      <c r="L499" s="1">
        <v>9962755.0</v>
      </c>
      <c r="Q499" s="1" t="s">
        <v>1795</v>
      </c>
      <c r="R499" s="1" t="s">
        <v>97</v>
      </c>
      <c r="S499" s="1">
        <v>0.0</v>
      </c>
      <c r="T499" s="1">
        <v>2.0</v>
      </c>
      <c r="X499" s="1" t="s">
        <v>56</v>
      </c>
    </row>
    <row r="500">
      <c r="A500" s="3" t="str">
        <f>HYPERLINK("https://stackoverflow.com/q/51208243", "51208243")</f>
        <v>51208243</v>
      </c>
      <c r="B500" s="1" t="s">
        <v>93</v>
      </c>
      <c r="C500" s="1" t="s">
        <v>1797</v>
      </c>
      <c r="D500" s="2" t="s">
        <v>1798</v>
      </c>
      <c r="E500" s="1">
        <v>1.0</v>
      </c>
      <c r="I500" s="1">
        <v>1.0</v>
      </c>
      <c r="J500" s="1">
        <v>225.0</v>
      </c>
      <c r="L500" s="1">
        <v>4247704.0</v>
      </c>
      <c r="Q500" s="1" t="s">
        <v>1799</v>
      </c>
      <c r="R500" s="1" t="s">
        <v>97</v>
      </c>
      <c r="S500" s="1">
        <v>1.0</v>
      </c>
      <c r="T500" s="1">
        <v>0.0</v>
      </c>
      <c r="X500" s="1" t="s">
        <v>56</v>
      </c>
    </row>
    <row r="501">
      <c r="A501" s="3" t="str">
        <f>HYPERLINK("https://stackoverflow.com/q/51230134", "51230134")</f>
        <v>51230134</v>
      </c>
      <c r="B501" s="1" t="s">
        <v>93</v>
      </c>
      <c r="C501" s="1" t="s">
        <v>1800</v>
      </c>
      <c r="D501" s="2" t="s">
        <v>1801</v>
      </c>
      <c r="E501" s="1">
        <v>1.0</v>
      </c>
      <c r="F501" s="1">
        <v>5.1243021E7</v>
      </c>
      <c r="I501" s="1">
        <v>0.0</v>
      </c>
      <c r="J501" s="1">
        <v>328.0</v>
      </c>
      <c r="L501" s="1">
        <v>9988695.0</v>
      </c>
      <c r="Q501" s="1" t="s">
        <v>1802</v>
      </c>
      <c r="R501" s="1" t="s">
        <v>97</v>
      </c>
      <c r="S501" s="1">
        <v>1.0</v>
      </c>
      <c r="T501" s="1">
        <v>0.0</v>
      </c>
      <c r="X501" s="1" t="s">
        <v>56</v>
      </c>
      <c r="Z501" s="1" t="s">
        <v>1802</v>
      </c>
    </row>
    <row r="502">
      <c r="A502" s="3" t="str">
        <f>HYPERLINK("https://stackoverflow.com/q/51282275", "51282275")</f>
        <v>51282275</v>
      </c>
      <c r="B502" s="1" t="s">
        <v>93</v>
      </c>
      <c r="C502" s="1" t="s">
        <v>1803</v>
      </c>
      <c r="D502" s="2" t="s">
        <v>1804</v>
      </c>
      <c r="E502" s="1">
        <v>1.0</v>
      </c>
      <c r="F502" s="1">
        <v>5.1283358E7</v>
      </c>
      <c r="I502" s="1">
        <v>3.0</v>
      </c>
      <c r="J502" s="1">
        <v>984.0</v>
      </c>
      <c r="L502" s="1">
        <v>8602197.0</v>
      </c>
      <c r="Q502" s="1" t="s">
        <v>1805</v>
      </c>
      <c r="R502" s="1" t="s">
        <v>190</v>
      </c>
      <c r="S502" s="1">
        <v>1.0</v>
      </c>
      <c r="T502" s="1">
        <v>0.0</v>
      </c>
      <c r="U502" s="1">
        <v>1.0</v>
      </c>
      <c r="X502" s="1" t="s">
        <v>56</v>
      </c>
      <c r="Z502" s="1" t="s">
        <v>1806</v>
      </c>
    </row>
    <row r="503">
      <c r="A503" s="3" t="str">
        <f>HYPERLINK("https://stackoverflow.com/q/51289884", "51289884")</f>
        <v>51289884</v>
      </c>
      <c r="B503" s="1" t="s">
        <v>93</v>
      </c>
      <c r="C503" s="1" t="s">
        <v>1807</v>
      </c>
      <c r="D503" s="2" t="s">
        <v>1808</v>
      </c>
      <c r="E503" s="1">
        <v>1.0</v>
      </c>
      <c r="I503" s="1">
        <v>0.0</v>
      </c>
      <c r="J503" s="1">
        <v>342.0</v>
      </c>
      <c r="L503" s="1">
        <v>9988695.0</v>
      </c>
      <c r="Q503" s="1" t="s">
        <v>1809</v>
      </c>
      <c r="R503" s="1" t="s">
        <v>97</v>
      </c>
      <c r="S503" s="1">
        <v>1.0</v>
      </c>
      <c r="T503" s="1">
        <v>0.0</v>
      </c>
      <c r="X503" s="1" t="s">
        <v>56</v>
      </c>
    </row>
    <row r="504">
      <c r="A504" s="3" t="str">
        <f>HYPERLINK("https://stackoverflow.com/q/51306484", "51306484")</f>
        <v>51306484</v>
      </c>
      <c r="B504" s="1" t="s">
        <v>93</v>
      </c>
      <c r="C504" s="1" t="s">
        <v>1810</v>
      </c>
      <c r="D504" s="2" t="s">
        <v>1811</v>
      </c>
      <c r="E504" s="1">
        <v>1.0</v>
      </c>
      <c r="I504" s="1">
        <v>0.0</v>
      </c>
      <c r="J504" s="1">
        <v>397.0</v>
      </c>
      <c r="L504" s="1">
        <v>8450899.0</v>
      </c>
      <c r="N504" s="1">
        <v>8450899.0</v>
      </c>
      <c r="P504" s="1" t="s">
        <v>1812</v>
      </c>
      <c r="Q504" s="1" t="s">
        <v>1812</v>
      </c>
      <c r="R504" s="1" t="s">
        <v>97</v>
      </c>
      <c r="S504" s="1">
        <v>0.0</v>
      </c>
      <c r="T504" s="1">
        <v>7.0</v>
      </c>
      <c r="X504" s="1" t="s">
        <v>56</v>
      </c>
    </row>
    <row r="505">
      <c r="A505" s="3" t="str">
        <f>HYPERLINK("https://stackoverflow.com/q/51306743", "51306743")</f>
        <v>51306743</v>
      </c>
      <c r="B505" s="1" t="s">
        <v>93</v>
      </c>
      <c r="C505" s="1" t="s">
        <v>1813</v>
      </c>
      <c r="D505" s="2" t="s">
        <v>1814</v>
      </c>
      <c r="E505" s="1">
        <v>1.0</v>
      </c>
      <c r="I505" s="1">
        <v>0.0</v>
      </c>
      <c r="J505" s="1">
        <v>44.0</v>
      </c>
      <c r="L505" s="1">
        <v>1.0070836E7</v>
      </c>
      <c r="N505" s="1">
        <v>1.2892553E7</v>
      </c>
      <c r="P505" s="1" t="s">
        <v>1815</v>
      </c>
      <c r="Q505" s="1" t="s">
        <v>1815</v>
      </c>
      <c r="R505" s="1" t="s">
        <v>130</v>
      </c>
      <c r="S505" s="1">
        <v>1.0</v>
      </c>
      <c r="T505" s="1">
        <v>1.0</v>
      </c>
      <c r="X505" s="1" t="s">
        <v>56</v>
      </c>
    </row>
    <row r="506">
      <c r="A506" s="3" t="str">
        <f>HYPERLINK("https://stackoverflow.com/q/51308896", "51308896")</f>
        <v>51308896</v>
      </c>
      <c r="B506" s="1" t="s">
        <v>93</v>
      </c>
      <c r="C506" s="1" t="s">
        <v>1816</v>
      </c>
      <c r="D506" s="2" t="s">
        <v>1817</v>
      </c>
      <c r="E506" s="1">
        <v>1.0</v>
      </c>
      <c r="I506" s="1">
        <v>1.0</v>
      </c>
      <c r="J506" s="1">
        <v>213.0</v>
      </c>
      <c r="L506" s="1">
        <v>9962755.0</v>
      </c>
      <c r="N506" s="1">
        <v>32429.0</v>
      </c>
      <c r="P506" s="1" t="s">
        <v>1818</v>
      </c>
      <c r="Q506" s="1" t="s">
        <v>1818</v>
      </c>
      <c r="R506" s="1" t="s">
        <v>190</v>
      </c>
      <c r="S506" s="1">
        <v>0.0</v>
      </c>
      <c r="T506" s="1">
        <v>1.0</v>
      </c>
      <c r="U506" s="1">
        <v>1.0</v>
      </c>
      <c r="X506" s="1" t="s">
        <v>56</v>
      </c>
    </row>
    <row r="507">
      <c r="A507" s="3" t="str">
        <f>HYPERLINK("https://stackoverflow.com/q/51352351", "51352351")</f>
        <v>51352351</v>
      </c>
      <c r="B507" s="1" t="s">
        <v>93</v>
      </c>
      <c r="C507" s="1" t="s">
        <v>1819</v>
      </c>
      <c r="D507" s="2" t="s">
        <v>1820</v>
      </c>
      <c r="E507" s="1">
        <v>1.0</v>
      </c>
      <c r="F507" s="1">
        <v>5.1485872E7</v>
      </c>
      <c r="I507" s="1">
        <v>0.0</v>
      </c>
      <c r="J507" s="1">
        <v>157.0</v>
      </c>
      <c r="L507" s="1">
        <v>5983596.0</v>
      </c>
      <c r="N507" s="1">
        <v>13302.0</v>
      </c>
      <c r="P507" s="1" t="s">
        <v>1821</v>
      </c>
      <c r="Q507" s="1" t="s">
        <v>1822</v>
      </c>
      <c r="R507" s="1" t="s">
        <v>97</v>
      </c>
      <c r="S507" s="1">
        <v>1.0</v>
      </c>
      <c r="T507" s="1">
        <v>4.0</v>
      </c>
      <c r="X507" s="1" t="s">
        <v>56</v>
      </c>
      <c r="Z507" s="1" t="s">
        <v>1823</v>
      </c>
    </row>
    <row r="508">
      <c r="A508" s="3" t="str">
        <f>HYPERLINK("https://stackoverflow.com/q/51364441", "51364441")</f>
        <v>51364441</v>
      </c>
      <c r="B508" s="1" t="s">
        <v>93</v>
      </c>
      <c r="C508" s="1" t="s">
        <v>1824</v>
      </c>
      <c r="D508" s="2" t="s">
        <v>1825</v>
      </c>
      <c r="E508" s="1">
        <v>1.0</v>
      </c>
      <c r="F508" s="1">
        <v>5.1364538E7</v>
      </c>
      <c r="I508" s="1">
        <v>1.0</v>
      </c>
      <c r="J508" s="1">
        <v>318.0</v>
      </c>
      <c r="L508" s="1">
        <v>8602197.0</v>
      </c>
      <c r="Q508" s="1" t="s">
        <v>1826</v>
      </c>
      <c r="R508" s="1" t="s">
        <v>97</v>
      </c>
      <c r="S508" s="1">
        <v>1.0</v>
      </c>
      <c r="T508" s="1">
        <v>0.0</v>
      </c>
      <c r="X508" s="1" t="s">
        <v>56</v>
      </c>
      <c r="Z508" s="1" t="s">
        <v>1826</v>
      </c>
    </row>
    <row r="509">
      <c r="A509" s="3" t="str">
        <f>HYPERLINK("https://stackoverflow.com/q/51364575", "51364575")</f>
        <v>51364575</v>
      </c>
      <c r="B509" s="1" t="s">
        <v>93</v>
      </c>
      <c r="C509" s="1" t="s">
        <v>1827</v>
      </c>
      <c r="D509" s="2" t="s">
        <v>1828</v>
      </c>
      <c r="E509" s="1">
        <v>1.0</v>
      </c>
      <c r="I509" s="1">
        <v>1.0</v>
      </c>
      <c r="J509" s="1">
        <v>220.0</v>
      </c>
      <c r="L509" s="1">
        <v>6789401.0</v>
      </c>
      <c r="N509" s="1">
        <v>7914637.0</v>
      </c>
      <c r="P509" s="1" t="s">
        <v>1829</v>
      </c>
      <c r="Q509" s="1" t="s">
        <v>1830</v>
      </c>
      <c r="R509" s="1" t="s">
        <v>97</v>
      </c>
      <c r="S509" s="1">
        <v>1.0</v>
      </c>
      <c r="T509" s="1">
        <v>0.0</v>
      </c>
      <c r="U509" s="1">
        <v>1.0</v>
      </c>
      <c r="X509" s="1" t="s">
        <v>56</v>
      </c>
    </row>
    <row r="510">
      <c r="A510" s="3" t="str">
        <f>HYPERLINK("https://stackoverflow.com/q/51369708", "51369708")</f>
        <v>51369708</v>
      </c>
      <c r="B510" s="1" t="s">
        <v>93</v>
      </c>
      <c r="C510" s="1" t="s">
        <v>1831</v>
      </c>
      <c r="D510" s="2" t="s">
        <v>1832</v>
      </c>
      <c r="E510" s="1">
        <v>1.0</v>
      </c>
      <c r="I510" s="1">
        <v>1.0</v>
      </c>
      <c r="J510" s="1">
        <v>296.0</v>
      </c>
      <c r="L510" s="1">
        <v>9878092.0</v>
      </c>
      <c r="Q510" s="1" t="s">
        <v>1833</v>
      </c>
      <c r="R510" s="1" t="s">
        <v>190</v>
      </c>
      <c r="S510" s="1">
        <v>1.0</v>
      </c>
      <c r="T510" s="1">
        <v>1.0</v>
      </c>
      <c r="U510" s="1">
        <v>0.0</v>
      </c>
      <c r="X510" s="1" t="s">
        <v>56</v>
      </c>
    </row>
    <row r="511">
      <c r="A511" s="3" t="str">
        <f>HYPERLINK("https://stackoverflow.com/q/51381376", "51381376")</f>
        <v>51381376</v>
      </c>
      <c r="B511" s="1" t="s">
        <v>93</v>
      </c>
      <c r="C511" s="1" t="s">
        <v>1834</v>
      </c>
      <c r="D511" s="2" t="s">
        <v>1835</v>
      </c>
      <c r="E511" s="1">
        <v>1.0</v>
      </c>
      <c r="F511" s="1">
        <v>5.1392279E7</v>
      </c>
      <c r="I511" s="1">
        <v>0.0</v>
      </c>
      <c r="J511" s="1">
        <v>184.0</v>
      </c>
      <c r="L511" s="1">
        <v>6732912.0</v>
      </c>
      <c r="Q511" s="1" t="s">
        <v>1836</v>
      </c>
      <c r="R511" s="1" t="s">
        <v>130</v>
      </c>
      <c r="S511" s="1">
        <v>1.0</v>
      </c>
      <c r="T511" s="1">
        <v>0.0</v>
      </c>
      <c r="X511" s="1" t="s">
        <v>56</v>
      </c>
      <c r="Z511" s="1" t="s">
        <v>1836</v>
      </c>
    </row>
    <row r="512">
      <c r="A512" s="3" t="str">
        <f>HYPERLINK("https://stackoverflow.com/q/51383918", "51383918")</f>
        <v>51383918</v>
      </c>
      <c r="B512" s="1" t="s">
        <v>93</v>
      </c>
      <c r="C512" s="1" t="s">
        <v>1837</v>
      </c>
      <c r="D512" s="2" t="s">
        <v>1838</v>
      </c>
      <c r="E512" s="1">
        <v>1.0</v>
      </c>
      <c r="F512" s="1">
        <v>5.1384856E7</v>
      </c>
      <c r="I512" s="1">
        <v>1.0</v>
      </c>
      <c r="J512" s="1">
        <v>1036.0</v>
      </c>
      <c r="L512" s="1">
        <v>9322929.0</v>
      </c>
      <c r="N512" s="1">
        <v>9322929.0</v>
      </c>
      <c r="P512" s="1" t="s">
        <v>1839</v>
      </c>
      <c r="Q512" s="1" t="s">
        <v>1840</v>
      </c>
      <c r="R512" s="1" t="s">
        <v>190</v>
      </c>
      <c r="S512" s="1">
        <v>2.0</v>
      </c>
      <c r="T512" s="1">
        <v>0.0</v>
      </c>
      <c r="X512" s="1" t="s">
        <v>56</v>
      </c>
      <c r="Z512" s="1" t="s">
        <v>1840</v>
      </c>
    </row>
    <row r="513">
      <c r="A513" s="3" t="str">
        <f>HYPERLINK("https://stackoverflow.com/q/51384016", "51384016")</f>
        <v>51384016</v>
      </c>
      <c r="B513" s="1" t="s">
        <v>93</v>
      </c>
      <c r="C513" s="1" t="s">
        <v>1841</v>
      </c>
      <c r="D513" s="2" t="s">
        <v>1842</v>
      </c>
      <c r="E513" s="1">
        <v>1.0</v>
      </c>
      <c r="F513" s="1">
        <v>5.1412108E7</v>
      </c>
      <c r="I513" s="1">
        <v>1.0</v>
      </c>
      <c r="J513" s="1">
        <v>262.0</v>
      </c>
      <c r="L513" s="1">
        <v>8450899.0</v>
      </c>
      <c r="N513" s="1">
        <v>555121.0</v>
      </c>
      <c r="P513" s="1" t="s">
        <v>1843</v>
      </c>
      <c r="Q513" s="1" t="s">
        <v>1844</v>
      </c>
      <c r="R513" s="1" t="s">
        <v>97</v>
      </c>
      <c r="S513" s="1">
        <v>1.0</v>
      </c>
      <c r="T513" s="1">
        <v>3.0</v>
      </c>
      <c r="X513" s="1" t="s">
        <v>56</v>
      </c>
      <c r="Z513" s="1" t="s">
        <v>1845</v>
      </c>
    </row>
    <row r="514">
      <c r="A514" s="3" t="str">
        <f>HYPERLINK("https://stackoverflow.com/q/51411038", "51411038")</f>
        <v>51411038</v>
      </c>
      <c r="B514" s="1" t="s">
        <v>93</v>
      </c>
      <c r="C514" s="1" t="s">
        <v>1846</v>
      </c>
      <c r="D514" s="2" t="s">
        <v>1847</v>
      </c>
      <c r="E514" s="1">
        <v>1.0</v>
      </c>
      <c r="I514" s="1">
        <v>0.0</v>
      </c>
      <c r="J514" s="1">
        <v>99.0</v>
      </c>
      <c r="L514" s="1">
        <v>7147041.0</v>
      </c>
      <c r="Q514" s="1" t="s">
        <v>1848</v>
      </c>
      <c r="R514" s="1" t="s">
        <v>97</v>
      </c>
      <c r="S514" s="1">
        <v>1.0</v>
      </c>
      <c r="T514" s="1">
        <v>0.0</v>
      </c>
      <c r="X514" s="1" t="s">
        <v>56</v>
      </c>
    </row>
    <row r="515">
      <c r="A515" s="3" t="str">
        <f>HYPERLINK("https://stackoverflow.com/q/51429292", "51429292")</f>
        <v>51429292</v>
      </c>
      <c r="B515" s="1" t="s">
        <v>93</v>
      </c>
      <c r="C515" s="1" t="s">
        <v>1849</v>
      </c>
      <c r="D515" s="2" t="s">
        <v>1850</v>
      </c>
      <c r="E515" s="1">
        <v>1.0</v>
      </c>
      <c r="I515" s="1">
        <v>1.0</v>
      </c>
      <c r="J515" s="1">
        <v>128.0</v>
      </c>
      <c r="L515" s="1">
        <v>1.0059725E7</v>
      </c>
      <c r="N515" s="1">
        <v>9337071.0</v>
      </c>
      <c r="P515" s="1" t="s">
        <v>1851</v>
      </c>
      <c r="Q515" s="1" t="s">
        <v>1851</v>
      </c>
      <c r="R515" s="1" t="s">
        <v>1852</v>
      </c>
      <c r="S515" s="1">
        <v>0.0</v>
      </c>
      <c r="T515" s="1">
        <v>2.0</v>
      </c>
      <c r="X515" s="1" t="s">
        <v>56</v>
      </c>
    </row>
    <row r="516">
      <c r="A516" s="3" t="str">
        <f>HYPERLINK("https://stackoverflow.com/q/51431318", "51431318")</f>
        <v>51431318</v>
      </c>
      <c r="B516" s="1" t="s">
        <v>93</v>
      </c>
      <c r="C516" s="1" t="s">
        <v>1853</v>
      </c>
      <c r="D516" s="2" t="s">
        <v>1854</v>
      </c>
      <c r="E516" s="1">
        <v>1.0</v>
      </c>
      <c r="I516" s="1">
        <v>2.0</v>
      </c>
      <c r="J516" s="1">
        <v>338.0</v>
      </c>
      <c r="L516" s="1">
        <v>1.0105843E7</v>
      </c>
      <c r="Q516" s="1" t="s">
        <v>1853</v>
      </c>
      <c r="R516" s="1" t="s">
        <v>1855</v>
      </c>
      <c r="S516" s="1">
        <v>0.0</v>
      </c>
      <c r="T516" s="1">
        <v>2.0</v>
      </c>
      <c r="X516" s="1" t="s">
        <v>56</v>
      </c>
    </row>
    <row r="517">
      <c r="A517" s="3" t="str">
        <f>HYPERLINK("https://stackoverflow.com/q/51468480", "51468480")</f>
        <v>51468480</v>
      </c>
      <c r="B517" s="1" t="s">
        <v>93</v>
      </c>
      <c r="C517" s="1" t="s">
        <v>1856</v>
      </c>
      <c r="D517" s="2" t="s">
        <v>1857</v>
      </c>
      <c r="E517" s="1">
        <v>1.0</v>
      </c>
      <c r="F517" s="1">
        <v>5.1469126E7</v>
      </c>
      <c r="I517" s="1">
        <v>1.0</v>
      </c>
      <c r="J517" s="1">
        <v>127.0</v>
      </c>
      <c r="L517" s="1">
        <v>6709990.0</v>
      </c>
      <c r="Q517" s="1" t="s">
        <v>1858</v>
      </c>
      <c r="R517" s="1" t="s">
        <v>97</v>
      </c>
      <c r="S517" s="1">
        <v>2.0</v>
      </c>
      <c r="T517" s="1">
        <v>0.0</v>
      </c>
      <c r="U517" s="1">
        <v>0.0</v>
      </c>
      <c r="X517" s="1" t="s">
        <v>56</v>
      </c>
      <c r="Z517" s="1" t="s">
        <v>1859</v>
      </c>
    </row>
    <row r="518">
      <c r="A518" s="3" t="str">
        <f>HYPERLINK("https://stackoverflow.com/q/51472013", "51472013")</f>
        <v>51472013</v>
      </c>
      <c r="B518" s="1" t="s">
        <v>93</v>
      </c>
      <c r="C518" s="1" t="s">
        <v>1860</v>
      </c>
      <c r="D518" s="2" t="s">
        <v>1861</v>
      </c>
      <c r="E518" s="1">
        <v>1.0</v>
      </c>
      <c r="F518" s="1">
        <v>5.147261E7</v>
      </c>
      <c r="I518" s="1">
        <v>1.0</v>
      </c>
      <c r="J518" s="1">
        <v>363.0</v>
      </c>
      <c r="L518" s="1">
        <v>9426876.0</v>
      </c>
      <c r="Q518" s="1" t="s">
        <v>1862</v>
      </c>
      <c r="R518" s="1" t="s">
        <v>97</v>
      </c>
      <c r="S518" s="1">
        <v>1.0</v>
      </c>
      <c r="T518" s="1">
        <v>0.0</v>
      </c>
      <c r="X518" s="1" t="s">
        <v>56</v>
      </c>
      <c r="Z518" s="1" t="s">
        <v>1863</v>
      </c>
    </row>
    <row r="519">
      <c r="A519" s="3" t="str">
        <f>HYPERLINK("https://stackoverflow.com/q/51488750", "51488750")</f>
        <v>51488750</v>
      </c>
      <c r="B519" s="1" t="s">
        <v>93</v>
      </c>
      <c r="C519" s="1" t="s">
        <v>1864</v>
      </c>
      <c r="D519" s="2" t="s">
        <v>1865</v>
      </c>
      <c r="E519" s="1">
        <v>1.0</v>
      </c>
      <c r="F519" s="1">
        <v>5.1490647E7</v>
      </c>
      <c r="I519" s="1">
        <v>2.0</v>
      </c>
      <c r="J519" s="1">
        <v>908.0</v>
      </c>
      <c r="L519" s="1">
        <v>9878092.0</v>
      </c>
      <c r="Q519" s="1" t="s">
        <v>1866</v>
      </c>
      <c r="R519" s="1" t="s">
        <v>190</v>
      </c>
      <c r="S519" s="1">
        <v>1.0</v>
      </c>
      <c r="T519" s="1">
        <v>1.0</v>
      </c>
      <c r="X519" s="1" t="s">
        <v>56</v>
      </c>
      <c r="Z519" s="1" t="s">
        <v>1866</v>
      </c>
    </row>
    <row r="520">
      <c r="A520" s="3" t="str">
        <f>HYPERLINK("https://stackoverflow.com/q/51496895", "51496895")</f>
        <v>51496895</v>
      </c>
      <c r="B520" s="1" t="s">
        <v>93</v>
      </c>
      <c r="C520" s="1" t="s">
        <v>1867</v>
      </c>
      <c r="D520" s="2" t="s">
        <v>1868</v>
      </c>
      <c r="E520" s="1">
        <v>1.0</v>
      </c>
      <c r="I520" s="1">
        <v>0.0</v>
      </c>
      <c r="J520" s="1">
        <v>542.0</v>
      </c>
      <c r="L520" s="1">
        <v>5038224.0</v>
      </c>
      <c r="N520" s="1">
        <v>1423927.0</v>
      </c>
      <c r="P520" s="1" t="s">
        <v>1869</v>
      </c>
      <c r="Q520" s="1" t="s">
        <v>1869</v>
      </c>
      <c r="R520" s="1" t="s">
        <v>1870</v>
      </c>
      <c r="S520" s="1">
        <v>1.0</v>
      </c>
      <c r="T520" s="1">
        <v>3.0</v>
      </c>
      <c r="X520" s="1" t="s">
        <v>56</v>
      </c>
    </row>
    <row r="521">
      <c r="A521" s="3" t="str">
        <f>HYPERLINK("https://stackoverflow.com/q/51529636", "51529636")</f>
        <v>51529636</v>
      </c>
      <c r="B521" s="1" t="s">
        <v>93</v>
      </c>
      <c r="C521" s="1" t="s">
        <v>1871</v>
      </c>
      <c r="D521" s="2" t="s">
        <v>1872</v>
      </c>
      <c r="E521" s="1">
        <v>1.0</v>
      </c>
      <c r="I521" s="1">
        <v>1.0</v>
      </c>
      <c r="J521" s="1">
        <v>91.0</v>
      </c>
      <c r="L521" s="1">
        <v>1.0136338E7</v>
      </c>
      <c r="Q521" s="1" t="s">
        <v>1873</v>
      </c>
      <c r="R521" s="1" t="s">
        <v>1874</v>
      </c>
      <c r="S521" s="1">
        <v>1.0</v>
      </c>
      <c r="T521" s="1">
        <v>0.0</v>
      </c>
      <c r="X521" s="1" t="s">
        <v>56</v>
      </c>
    </row>
    <row r="522">
      <c r="A522" s="3" t="str">
        <f>HYPERLINK("https://stackoverflow.com/q/51537089", "51537089")</f>
        <v>51537089</v>
      </c>
      <c r="B522" s="1" t="s">
        <v>93</v>
      </c>
      <c r="C522" s="1" t="s">
        <v>1875</v>
      </c>
      <c r="D522" s="2" t="s">
        <v>1876</v>
      </c>
      <c r="E522" s="1">
        <v>1.0</v>
      </c>
      <c r="I522" s="1">
        <v>2.0</v>
      </c>
      <c r="J522" s="1">
        <v>488.0</v>
      </c>
      <c r="L522" s="1">
        <v>5038224.0</v>
      </c>
      <c r="N522" s="1">
        <v>5038224.0</v>
      </c>
      <c r="P522" s="1" t="s">
        <v>1877</v>
      </c>
      <c r="Q522" s="1" t="s">
        <v>1877</v>
      </c>
      <c r="R522" s="1" t="s">
        <v>933</v>
      </c>
      <c r="S522" s="1">
        <v>0.0</v>
      </c>
      <c r="T522" s="1">
        <v>1.0</v>
      </c>
      <c r="X522" s="1" t="s">
        <v>56</v>
      </c>
    </row>
    <row r="523">
      <c r="A523" s="3" t="str">
        <f>HYPERLINK("https://stackoverflow.com/q/51542863", "51542863")</f>
        <v>51542863</v>
      </c>
      <c r="B523" s="1" t="s">
        <v>93</v>
      </c>
      <c r="C523" s="1" t="s">
        <v>1878</v>
      </c>
      <c r="D523" s="2" t="s">
        <v>1879</v>
      </c>
      <c r="E523" s="1">
        <v>1.0</v>
      </c>
      <c r="F523" s="1">
        <v>5.1728816E7</v>
      </c>
      <c r="I523" s="1">
        <v>2.0</v>
      </c>
      <c r="J523" s="1">
        <v>1227.0</v>
      </c>
      <c r="L523" s="1">
        <v>8602197.0</v>
      </c>
      <c r="N523" s="1">
        <v>8602197.0</v>
      </c>
      <c r="P523" s="1" t="s">
        <v>1880</v>
      </c>
      <c r="Q523" s="1" t="s">
        <v>1881</v>
      </c>
      <c r="R523" s="1" t="s">
        <v>97</v>
      </c>
      <c r="S523" s="1">
        <v>1.0</v>
      </c>
      <c r="T523" s="1">
        <v>5.0</v>
      </c>
      <c r="U523" s="1">
        <v>2.0</v>
      </c>
      <c r="X523" s="1" t="s">
        <v>56</v>
      </c>
      <c r="Z523" s="1" t="s">
        <v>1882</v>
      </c>
    </row>
    <row r="524">
      <c r="A524" s="3" t="str">
        <f>HYPERLINK("https://stackoverflow.com/q/51545104", "51545104")</f>
        <v>51545104</v>
      </c>
      <c r="B524" s="1" t="s">
        <v>93</v>
      </c>
      <c r="C524" s="1" t="s">
        <v>1883</v>
      </c>
      <c r="D524" s="2" t="s">
        <v>1884</v>
      </c>
      <c r="E524" s="1">
        <v>1.0</v>
      </c>
      <c r="I524" s="1">
        <v>1.0</v>
      </c>
      <c r="J524" s="1">
        <v>700.0</v>
      </c>
      <c r="L524" s="1">
        <v>1.0140587E7</v>
      </c>
      <c r="Q524" s="1" t="s">
        <v>1885</v>
      </c>
      <c r="R524" s="1" t="s">
        <v>1886</v>
      </c>
      <c r="S524" s="1">
        <v>1.0</v>
      </c>
      <c r="T524" s="1">
        <v>0.0</v>
      </c>
      <c r="U524" s="1">
        <v>2.0</v>
      </c>
      <c r="X524" s="1" t="s">
        <v>56</v>
      </c>
    </row>
    <row r="525">
      <c r="A525" s="3" t="str">
        <f>HYPERLINK("https://stackoverflow.com/q/51555502", "51555502")</f>
        <v>51555502</v>
      </c>
      <c r="B525" s="1" t="s">
        <v>93</v>
      </c>
      <c r="C525" s="1" t="s">
        <v>1887</v>
      </c>
      <c r="D525" s="2" t="s">
        <v>1888</v>
      </c>
      <c r="E525" s="1">
        <v>1.0</v>
      </c>
      <c r="F525" s="1">
        <v>5.1555687E7</v>
      </c>
      <c r="I525" s="1">
        <v>1.0</v>
      </c>
      <c r="J525" s="1">
        <v>54.0</v>
      </c>
      <c r="L525" s="1">
        <v>9426876.0</v>
      </c>
      <c r="Q525" s="1" t="s">
        <v>1889</v>
      </c>
      <c r="R525" s="1" t="s">
        <v>97</v>
      </c>
      <c r="S525" s="1">
        <v>1.0</v>
      </c>
      <c r="T525" s="1">
        <v>0.0</v>
      </c>
      <c r="X525" s="1" t="s">
        <v>56</v>
      </c>
      <c r="Z525" s="1" t="s">
        <v>1890</v>
      </c>
    </row>
    <row r="526">
      <c r="A526" s="3" t="str">
        <f>HYPERLINK("https://stackoverflow.com/q/51572657", "51572657")</f>
        <v>51572657</v>
      </c>
      <c r="B526" s="1" t="s">
        <v>93</v>
      </c>
      <c r="C526" s="1" t="s">
        <v>1891</v>
      </c>
      <c r="D526" s="2" t="s">
        <v>1892</v>
      </c>
      <c r="E526" s="1">
        <v>1.0</v>
      </c>
      <c r="I526" s="1">
        <v>0.0</v>
      </c>
      <c r="J526" s="1">
        <v>75.0</v>
      </c>
      <c r="L526" s="1">
        <v>9670048.0</v>
      </c>
      <c r="Q526" s="1" t="s">
        <v>1893</v>
      </c>
      <c r="R526" s="1" t="s">
        <v>97</v>
      </c>
      <c r="S526" s="1">
        <v>1.0</v>
      </c>
      <c r="T526" s="1">
        <v>1.0</v>
      </c>
      <c r="X526" s="1" t="s">
        <v>56</v>
      </c>
    </row>
    <row r="527">
      <c r="A527" s="3" t="str">
        <f>HYPERLINK("https://stackoverflow.com/q/51591812", "51591812")</f>
        <v>51591812</v>
      </c>
      <c r="B527" s="1" t="s">
        <v>93</v>
      </c>
      <c r="C527" s="1" t="s">
        <v>1894</v>
      </c>
      <c r="D527" s="2" t="s">
        <v>1895</v>
      </c>
      <c r="E527" s="1">
        <v>1.0</v>
      </c>
      <c r="F527" s="1">
        <v>5.1592478E7</v>
      </c>
      <c r="I527" s="1">
        <v>0.0</v>
      </c>
      <c r="J527" s="1">
        <v>134.0</v>
      </c>
      <c r="L527" s="1">
        <v>9988695.0</v>
      </c>
      <c r="Q527" s="1" t="s">
        <v>1896</v>
      </c>
      <c r="R527" s="1" t="s">
        <v>97</v>
      </c>
      <c r="S527" s="1">
        <v>1.0</v>
      </c>
      <c r="T527" s="1">
        <v>0.0</v>
      </c>
      <c r="X527" s="1" t="s">
        <v>56</v>
      </c>
      <c r="Z527" s="1" t="s">
        <v>1896</v>
      </c>
    </row>
    <row r="528">
      <c r="A528" s="3" t="str">
        <f>HYPERLINK("https://stackoverflow.com/q/51596007", "51596007")</f>
        <v>51596007</v>
      </c>
      <c r="B528" s="1" t="s">
        <v>93</v>
      </c>
      <c r="C528" s="1" t="s">
        <v>1897</v>
      </c>
      <c r="D528" s="2" t="s">
        <v>1898</v>
      </c>
      <c r="E528" s="1">
        <v>1.0</v>
      </c>
      <c r="F528" s="1">
        <v>5.1616853E7</v>
      </c>
      <c r="I528" s="1">
        <v>0.0</v>
      </c>
      <c r="J528" s="1">
        <v>165.0</v>
      </c>
      <c r="L528" s="1">
        <v>5274465.0</v>
      </c>
      <c r="N528" s="1">
        <v>2194471.0</v>
      </c>
      <c r="P528" s="1" t="s">
        <v>1899</v>
      </c>
      <c r="Q528" s="1" t="s">
        <v>1900</v>
      </c>
      <c r="R528" s="1" t="s">
        <v>1901</v>
      </c>
      <c r="S528" s="1">
        <v>1.0</v>
      </c>
      <c r="T528" s="1">
        <v>1.0</v>
      </c>
      <c r="X528" s="1" t="s">
        <v>56</v>
      </c>
      <c r="Z528" s="1" t="s">
        <v>1900</v>
      </c>
    </row>
    <row r="529">
      <c r="A529" s="3" t="str">
        <f>HYPERLINK("https://stackoverflow.com/q/51623407", "51623407")</f>
        <v>51623407</v>
      </c>
      <c r="B529" s="1" t="s">
        <v>93</v>
      </c>
      <c r="C529" s="1" t="s">
        <v>1902</v>
      </c>
      <c r="D529" s="2" t="s">
        <v>1903</v>
      </c>
      <c r="E529" s="1">
        <v>1.0</v>
      </c>
      <c r="F529" s="1">
        <v>5.1625323E7</v>
      </c>
      <c r="I529" s="1">
        <v>1.0</v>
      </c>
      <c r="J529" s="1">
        <v>89.0</v>
      </c>
      <c r="L529" s="1">
        <v>9878092.0</v>
      </c>
      <c r="Q529" s="1" t="s">
        <v>1904</v>
      </c>
      <c r="R529" s="1" t="s">
        <v>190</v>
      </c>
      <c r="S529" s="1">
        <v>1.0</v>
      </c>
      <c r="T529" s="1">
        <v>0.0</v>
      </c>
      <c r="X529" s="1" t="s">
        <v>56</v>
      </c>
      <c r="Z529" s="1" t="s">
        <v>1904</v>
      </c>
    </row>
    <row r="530">
      <c r="A530" s="3" t="str">
        <f>HYPERLINK("https://stackoverflow.com/q/51624741", "51624741")</f>
        <v>51624741</v>
      </c>
      <c r="B530" s="1" t="s">
        <v>93</v>
      </c>
      <c r="C530" s="1" t="s">
        <v>1905</v>
      </c>
      <c r="D530" s="2" t="s">
        <v>1906</v>
      </c>
      <c r="E530" s="1">
        <v>1.0</v>
      </c>
      <c r="F530" s="1">
        <v>5.1631187E7</v>
      </c>
      <c r="I530" s="1">
        <v>0.0</v>
      </c>
      <c r="J530" s="1">
        <v>64.0</v>
      </c>
      <c r="L530" s="1">
        <v>1.0159321E7</v>
      </c>
      <c r="Q530" s="1" t="s">
        <v>1907</v>
      </c>
      <c r="R530" s="1" t="s">
        <v>97</v>
      </c>
      <c r="S530" s="1">
        <v>1.0</v>
      </c>
      <c r="T530" s="1">
        <v>5.0</v>
      </c>
      <c r="X530" s="1" t="s">
        <v>56</v>
      </c>
      <c r="Z530" s="1" t="s">
        <v>1907</v>
      </c>
    </row>
    <row r="531">
      <c r="A531" s="3" t="str">
        <f>HYPERLINK("https://stackoverflow.com/q/51627648", "51627648")</f>
        <v>51627648</v>
      </c>
      <c r="B531" s="1" t="s">
        <v>93</v>
      </c>
      <c r="C531" s="1" t="s">
        <v>1908</v>
      </c>
      <c r="D531" s="2" t="s">
        <v>1909</v>
      </c>
      <c r="E531" s="1">
        <v>1.0</v>
      </c>
      <c r="F531" s="1">
        <v>5.1730556E7</v>
      </c>
      <c r="I531" s="1">
        <v>4.0</v>
      </c>
      <c r="J531" s="1">
        <v>514.0</v>
      </c>
      <c r="L531" s="1">
        <v>6408940.0</v>
      </c>
      <c r="Q531" s="1" t="s">
        <v>1910</v>
      </c>
      <c r="R531" s="1" t="s">
        <v>97</v>
      </c>
      <c r="S531" s="1">
        <v>3.0</v>
      </c>
      <c r="T531" s="1">
        <v>3.0</v>
      </c>
      <c r="X531" s="1" t="s">
        <v>56</v>
      </c>
      <c r="Z531" s="1" t="s">
        <v>1910</v>
      </c>
    </row>
    <row r="532">
      <c r="A532" s="3" t="str">
        <f>HYPERLINK("https://stackoverflow.com/q/51639748", "51639748")</f>
        <v>51639748</v>
      </c>
      <c r="B532" s="1" t="s">
        <v>93</v>
      </c>
      <c r="C532" s="1" t="s">
        <v>1911</v>
      </c>
      <c r="D532" s="2" t="s">
        <v>1912</v>
      </c>
      <c r="E532" s="1">
        <v>1.0</v>
      </c>
      <c r="F532" s="1">
        <v>5.1639791E7</v>
      </c>
      <c r="I532" s="1">
        <v>1.0</v>
      </c>
      <c r="J532" s="1">
        <v>520.0</v>
      </c>
      <c r="L532" s="1">
        <v>9878092.0</v>
      </c>
      <c r="Q532" s="1" t="s">
        <v>1913</v>
      </c>
      <c r="R532" s="1" t="s">
        <v>190</v>
      </c>
      <c r="S532" s="1">
        <v>2.0</v>
      </c>
      <c r="T532" s="1">
        <v>1.0</v>
      </c>
      <c r="X532" s="1" t="s">
        <v>56</v>
      </c>
      <c r="Z532" s="1" t="s">
        <v>1914</v>
      </c>
    </row>
    <row r="533">
      <c r="A533" s="3" t="str">
        <f>HYPERLINK("https://stackoverflow.com/q/51653789", "51653789")</f>
        <v>51653789</v>
      </c>
      <c r="B533" s="1" t="s">
        <v>93</v>
      </c>
      <c r="C533" s="1" t="s">
        <v>1915</v>
      </c>
      <c r="D533" s="2" t="s">
        <v>1916</v>
      </c>
      <c r="E533" s="1">
        <v>1.0</v>
      </c>
      <c r="F533" s="1">
        <v>5.165411E7</v>
      </c>
      <c r="I533" s="1">
        <v>0.0</v>
      </c>
      <c r="J533" s="1">
        <v>89.0</v>
      </c>
      <c r="L533" s="1">
        <v>8843650.0</v>
      </c>
      <c r="Q533" s="1" t="s">
        <v>1917</v>
      </c>
      <c r="R533" s="1" t="s">
        <v>97</v>
      </c>
      <c r="S533" s="1">
        <v>1.0</v>
      </c>
      <c r="T533" s="1">
        <v>0.0</v>
      </c>
      <c r="X533" s="1" t="s">
        <v>56</v>
      </c>
      <c r="Z533" s="1" t="s">
        <v>1918</v>
      </c>
    </row>
    <row r="534">
      <c r="A534" s="3" t="str">
        <f>HYPERLINK("https://stackoverflow.com/q/51655129", "51655129")</f>
        <v>51655129</v>
      </c>
      <c r="B534" s="1" t="s">
        <v>93</v>
      </c>
      <c r="C534" s="1" t="s">
        <v>1919</v>
      </c>
      <c r="D534" s="2" t="s">
        <v>1920</v>
      </c>
      <c r="E534" s="1">
        <v>1.0</v>
      </c>
      <c r="I534" s="1">
        <v>1.0</v>
      </c>
      <c r="J534" s="1">
        <v>211.0</v>
      </c>
      <c r="L534" s="1">
        <v>1.0171428E7</v>
      </c>
      <c r="Q534" s="1" t="s">
        <v>1921</v>
      </c>
      <c r="R534" s="1" t="s">
        <v>97</v>
      </c>
      <c r="S534" s="1">
        <v>1.0</v>
      </c>
      <c r="T534" s="1">
        <v>2.0</v>
      </c>
      <c r="X534" s="1" t="s">
        <v>56</v>
      </c>
    </row>
    <row r="535">
      <c r="A535" s="3" t="str">
        <f>HYPERLINK("https://stackoverflow.com/q/51656823", "51656823")</f>
        <v>51656823</v>
      </c>
      <c r="B535" s="1" t="s">
        <v>93</v>
      </c>
      <c r="C535" s="1" t="s">
        <v>1922</v>
      </c>
      <c r="D535" s="2" t="s">
        <v>1923</v>
      </c>
      <c r="E535" s="1">
        <v>1.0</v>
      </c>
      <c r="I535" s="1">
        <v>0.0</v>
      </c>
      <c r="J535" s="1">
        <v>156.0</v>
      </c>
      <c r="L535" s="1">
        <v>9176776.0</v>
      </c>
      <c r="Q535" s="1" t="s">
        <v>1924</v>
      </c>
      <c r="R535" s="1" t="s">
        <v>97</v>
      </c>
      <c r="S535" s="1">
        <v>1.0</v>
      </c>
      <c r="T535" s="1">
        <v>5.0</v>
      </c>
      <c r="X535" s="1" t="s">
        <v>56</v>
      </c>
    </row>
    <row r="536">
      <c r="A536" s="3" t="str">
        <f>HYPERLINK("https://stackoverflow.com/q/51657195", "51657195")</f>
        <v>51657195</v>
      </c>
      <c r="B536" s="1" t="s">
        <v>93</v>
      </c>
      <c r="C536" s="1" t="s">
        <v>1925</v>
      </c>
      <c r="D536" s="2" t="s">
        <v>1926</v>
      </c>
      <c r="E536" s="1">
        <v>1.0</v>
      </c>
      <c r="I536" s="1">
        <v>0.0</v>
      </c>
      <c r="J536" s="1">
        <v>130.0</v>
      </c>
      <c r="L536" s="1">
        <v>171461.0</v>
      </c>
      <c r="Q536" s="1" t="s">
        <v>1925</v>
      </c>
      <c r="R536" s="1" t="s">
        <v>97</v>
      </c>
      <c r="S536" s="1">
        <v>0.0</v>
      </c>
      <c r="T536" s="1">
        <v>3.0</v>
      </c>
      <c r="X536" s="1" t="s">
        <v>56</v>
      </c>
    </row>
    <row r="537">
      <c r="A537" s="3" t="str">
        <f>HYPERLINK("https://stackoverflow.com/q/51671846", "51671846")</f>
        <v>51671846</v>
      </c>
      <c r="B537" s="1" t="s">
        <v>93</v>
      </c>
      <c r="C537" s="1" t="s">
        <v>1927</v>
      </c>
      <c r="D537" s="2" t="s">
        <v>1928</v>
      </c>
      <c r="E537" s="1">
        <v>1.0</v>
      </c>
      <c r="I537" s="1">
        <v>2.0</v>
      </c>
      <c r="J537" s="1">
        <v>582.0</v>
      </c>
      <c r="L537" s="1">
        <v>1.0175964E7</v>
      </c>
      <c r="N537" s="1">
        <v>1.0175964E7</v>
      </c>
      <c r="P537" s="1" t="s">
        <v>1929</v>
      </c>
      <c r="Q537" s="1" t="s">
        <v>1929</v>
      </c>
      <c r="R537" s="1" t="s">
        <v>1930</v>
      </c>
      <c r="S537" s="1">
        <v>0.0</v>
      </c>
      <c r="T537" s="1">
        <v>6.0</v>
      </c>
      <c r="X537" s="1" t="s">
        <v>56</v>
      </c>
    </row>
    <row r="538">
      <c r="A538" s="3" t="str">
        <f>HYPERLINK("https://stackoverflow.com/q/51685009", "51685009")</f>
        <v>51685009</v>
      </c>
      <c r="B538" s="1" t="s">
        <v>93</v>
      </c>
      <c r="C538" s="1" t="s">
        <v>1931</v>
      </c>
      <c r="D538" s="2" t="s">
        <v>1932</v>
      </c>
      <c r="E538" s="1">
        <v>1.0</v>
      </c>
      <c r="I538" s="1">
        <v>0.0</v>
      </c>
      <c r="J538" s="1">
        <v>72.0</v>
      </c>
      <c r="L538" s="1">
        <v>6789401.0</v>
      </c>
      <c r="Q538" s="1" t="s">
        <v>1933</v>
      </c>
      <c r="R538" s="1" t="s">
        <v>97</v>
      </c>
      <c r="S538" s="1">
        <v>1.0</v>
      </c>
      <c r="T538" s="1">
        <v>0.0</v>
      </c>
      <c r="X538" s="1" t="s">
        <v>56</v>
      </c>
    </row>
    <row r="539">
      <c r="A539" s="3" t="str">
        <f>HYPERLINK("https://stackoverflow.com/q/51731481", "51731481")</f>
        <v>51731481</v>
      </c>
      <c r="B539" s="1" t="s">
        <v>93</v>
      </c>
      <c r="C539" s="1" t="s">
        <v>1934</v>
      </c>
      <c r="D539" s="2" t="s">
        <v>1935</v>
      </c>
      <c r="E539" s="1">
        <v>1.0</v>
      </c>
      <c r="I539" s="1">
        <v>1.0</v>
      </c>
      <c r="J539" s="1">
        <v>305.0</v>
      </c>
      <c r="L539" s="1">
        <v>7024669.0</v>
      </c>
      <c r="Q539" s="1" t="s">
        <v>1934</v>
      </c>
      <c r="R539" s="1" t="s">
        <v>97</v>
      </c>
      <c r="S539" s="1">
        <v>0.0</v>
      </c>
      <c r="T539" s="1">
        <v>6.0</v>
      </c>
      <c r="X539" s="1" t="s">
        <v>56</v>
      </c>
    </row>
    <row r="540">
      <c r="A540" s="3" t="str">
        <f>HYPERLINK("https://stackoverflow.com/q/51748181", "51748181")</f>
        <v>51748181</v>
      </c>
      <c r="B540" s="1" t="s">
        <v>93</v>
      </c>
      <c r="C540" s="1" t="s">
        <v>1936</v>
      </c>
      <c r="D540" s="2" t="s">
        <v>1937</v>
      </c>
      <c r="E540" s="1">
        <v>1.0</v>
      </c>
      <c r="I540" s="1">
        <v>0.0</v>
      </c>
      <c r="J540" s="1">
        <v>92.0</v>
      </c>
      <c r="L540" s="1">
        <v>1.0197981E7</v>
      </c>
      <c r="Q540" s="1" t="s">
        <v>1938</v>
      </c>
      <c r="R540" s="1" t="s">
        <v>97</v>
      </c>
      <c r="S540" s="1">
        <v>2.0</v>
      </c>
      <c r="T540" s="1">
        <v>1.0</v>
      </c>
      <c r="X540" s="1" t="s">
        <v>56</v>
      </c>
    </row>
    <row r="541">
      <c r="A541" s="3" t="str">
        <f>HYPERLINK("https://stackoverflow.com/q/51750774", "51750774")</f>
        <v>51750774</v>
      </c>
      <c r="B541" s="1" t="s">
        <v>93</v>
      </c>
      <c r="C541" s="1" t="s">
        <v>1939</v>
      </c>
      <c r="D541" s="2" t="s">
        <v>1940</v>
      </c>
      <c r="E541" s="1">
        <v>1.0</v>
      </c>
      <c r="F541" s="1">
        <v>5.1754082E7</v>
      </c>
      <c r="I541" s="1">
        <v>1.0</v>
      </c>
      <c r="J541" s="1">
        <v>575.0</v>
      </c>
      <c r="L541" s="1">
        <v>4228969.0</v>
      </c>
      <c r="Q541" s="1" t="s">
        <v>1941</v>
      </c>
      <c r="R541" s="1" t="s">
        <v>97</v>
      </c>
      <c r="S541" s="1">
        <v>2.0</v>
      </c>
      <c r="T541" s="1">
        <v>0.0</v>
      </c>
      <c r="X541" s="1" t="s">
        <v>56</v>
      </c>
      <c r="Z541" s="1" t="s">
        <v>1942</v>
      </c>
    </row>
    <row r="542">
      <c r="A542" s="3" t="str">
        <f>HYPERLINK("https://stackoverflow.com/q/51759572", "51759572")</f>
        <v>51759572</v>
      </c>
      <c r="B542" s="1" t="s">
        <v>93</v>
      </c>
      <c r="C542" s="1" t="s">
        <v>1943</v>
      </c>
      <c r="D542" s="2" t="s">
        <v>1944</v>
      </c>
      <c r="E542" s="1">
        <v>1.0</v>
      </c>
      <c r="I542" s="1">
        <v>0.0</v>
      </c>
      <c r="J542" s="1">
        <v>65.0</v>
      </c>
      <c r="L542" s="1">
        <v>7797288.0</v>
      </c>
      <c r="Q542" s="1" t="s">
        <v>1943</v>
      </c>
      <c r="R542" s="1" t="s">
        <v>97</v>
      </c>
      <c r="S542" s="1">
        <v>0.0</v>
      </c>
      <c r="T542" s="1">
        <v>2.0</v>
      </c>
      <c r="X542" s="1" t="s">
        <v>56</v>
      </c>
    </row>
    <row r="543">
      <c r="A543" s="3" t="str">
        <f>HYPERLINK("https://stackoverflow.com/q/51769448", "51769448")</f>
        <v>51769448</v>
      </c>
      <c r="B543" s="1" t="s">
        <v>93</v>
      </c>
      <c r="C543" s="1" t="s">
        <v>1945</v>
      </c>
      <c r="D543" s="2" t="s">
        <v>1946</v>
      </c>
      <c r="E543" s="1">
        <v>1.0</v>
      </c>
      <c r="F543" s="1">
        <v>5.422283E7</v>
      </c>
      <c r="I543" s="1">
        <v>2.0</v>
      </c>
      <c r="J543" s="1">
        <v>107.0</v>
      </c>
      <c r="L543" s="1">
        <v>5570233.0</v>
      </c>
      <c r="Q543" s="1" t="s">
        <v>1947</v>
      </c>
      <c r="R543" s="1" t="s">
        <v>97</v>
      </c>
      <c r="S543" s="1">
        <v>1.0</v>
      </c>
      <c r="T543" s="1">
        <v>2.0</v>
      </c>
      <c r="X543" s="1" t="s">
        <v>56</v>
      </c>
      <c r="Z543" s="1" t="s">
        <v>1947</v>
      </c>
    </row>
    <row r="544">
      <c r="A544" s="3" t="str">
        <f>HYPERLINK("https://stackoverflow.com/q/51789832", "51789832")</f>
        <v>51789832</v>
      </c>
      <c r="B544" s="1" t="s">
        <v>93</v>
      </c>
      <c r="C544" s="1" t="s">
        <v>1948</v>
      </c>
      <c r="D544" s="2" t="s">
        <v>1949</v>
      </c>
      <c r="E544" s="1">
        <v>1.0</v>
      </c>
      <c r="I544" s="1">
        <v>1.0</v>
      </c>
      <c r="J544" s="1">
        <v>133.0</v>
      </c>
      <c r="L544" s="1">
        <v>1.0209163E7</v>
      </c>
      <c r="N544" s="1">
        <v>5535245.0</v>
      </c>
      <c r="P544" s="1" t="s">
        <v>1950</v>
      </c>
      <c r="Q544" s="1" t="s">
        <v>1951</v>
      </c>
      <c r="R544" s="1" t="s">
        <v>516</v>
      </c>
      <c r="S544" s="1">
        <v>1.0</v>
      </c>
      <c r="T544" s="1">
        <v>0.0</v>
      </c>
      <c r="X544" s="1" t="s">
        <v>56</v>
      </c>
    </row>
    <row r="545">
      <c r="A545" s="3" t="str">
        <f>HYPERLINK("https://stackoverflow.com/q/51831600", "51831600")</f>
        <v>51831600</v>
      </c>
      <c r="B545" s="1" t="s">
        <v>93</v>
      </c>
      <c r="C545" s="1" t="s">
        <v>1952</v>
      </c>
      <c r="D545" s="2" t="s">
        <v>1953</v>
      </c>
      <c r="E545" s="1">
        <v>1.0</v>
      </c>
      <c r="F545" s="1">
        <v>5.1846741E7</v>
      </c>
      <c r="I545" s="1">
        <v>1.0</v>
      </c>
      <c r="J545" s="1">
        <v>142.0</v>
      </c>
      <c r="L545" s="1">
        <v>1.0221735E7</v>
      </c>
      <c r="Q545" s="1" t="s">
        <v>1954</v>
      </c>
      <c r="R545" s="1" t="s">
        <v>97</v>
      </c>
      <c r="S545" s="1">
        <v>1.0</v>
      </c>
      <c r="T545" s="1">
        <v>0.0</v>
      </c>
      <c r="U545" s="1">
        <v>1.0</v>
      </c>
      <c r="X545" s="1" t="s">
        <v>56</v>
      </c>
      <c r="Z545" s="1" t="s">
        <v>1955</v>
      </c>
    </row>
    <row r="546">
      <c r="A546" s="3" t="str">
        <f>HYPERLINK("https://stackoverflow.com/q/51836618", "51836618")</f>
        <v>51836618</v>
      </c>
      <c r="B546" s="1" t="s">
        <v>93</v>
      </c>
      <c r="C546" s="1" t="s">
        <v>1956</v>
      </c>
      <c r="D546" s="2" t="s">
        <v>1957</v>
      </c>
      <c r="E546" s="1">
        <v>1.0</v>
      </c>
      <c r="F546" s="1">
        <v>5.1843283E7</v>
      </c>
      <c r="I546" s="1">
        <v>1.0</v>
      </c>
      <c r="J546" s="1">
        <v>363.0</v>
      </c>
      <c r="L546" s="1">
        <v>9092930.0</v>
      </c>
      <c r="Q546" s="1" t="s">
        <v>1958</v>
      </c>
      <c r="R546" s="1" t="s">
        <v>97</v>
      </c>
      <c r="S546" s="1">
        <v>1.0</v>
      </c>
      <c r="T546" s="1">
        <v>0.0</v>
      </c>
      <c r="X546" s="1" t="s">
        <v>56</v>
      </c>
      <c r="Z546" s="1" t="s">
        <v>1959</v>
      </c>
    </row>
    <row r="547">
      <c r="A547" s="3" t="str">
        <f>HYPERLINK("https://stackoverflow.com/q/51847630", "51847630")</f>
        <v>51847630</v>
      </c>
      <c r="B547" s="1" t="s">
        <v>93</v>
      </c>
      <c r="C547" s="1" t="s">
        <v>1960</v>
      </c>
      <c r="D547" s="2" t="s">
        <v>1961</v>
      </c>
      <c r="E547" s="1">
        <v>1.0</v>
      </c>
      <c r="I547" s="1">
        <v>0.0</v>
      </c>
      <c r="J547" s="1">
        <v>41.0</v>
      </c>
      <c r="L547" s="1">
        <v>9962755.0</v>
      </c>
      <c r="N547" s="1">
        <v>9962755.0</v>
      </c>
      <c r="P547" s="1" t="s">
        <v>1962</v>
      </c>
      <c r="Q547" s="1" t="s">
        <v>1962</v>
      </c>
      <c r="R547" s="1" t="s">
        <v>190</v>
      </c>
      <c r="S547" s="1">
        <v>0.0</v>
      </c>
      <c r="T547" s="1">
        <v>6.0</v>
      </c>
      <c r="X547" s="1" t="s">
        <v>56</v>
      </c>
    </row>
    <row r="548">
      <c r="A548" s="3" t="str">
        <f>HYPERLINK("https://stackoverflow.com/q/51853310", "51853310")</f>
        <v>51853310</v>
      </c>
      <c r="B548" s="1" t="s">
        <v>93</v>
      </c>
      <c r="C548" s="1" t="s">
        <v>1963</v>
      </c>
      <c r="D548" s="2" t="s">
        <v>1964</v>
      </c>
      <c r="E548" s="1">
        <v>1.0</v>
      </c>
      <c r="I548" s="1">
        <v>2.0</v>
      </c>
      <c r="J548" s="1">
        <v>266.0</v>
      </c>
      <c r="L548" s="1">
        <v>1.0227714E7</v>
      </c>
      <c r="Q548" s="1" t="s">
        <v>1963</v>
      </c>
      <c r="R548" s="1" t="s">
        <v>1965</v>
      </c>
      <c r="S548" s="1">
        <v>0.0</v>
      </c>
      <c r="T548" s="1">
        <v>1.0</v>
      </c>
      <c r="X548" s="1" t="s">
        <v>56</v>
      </c>
    </row>
    <row r="549">
      <c r="A549" s="3" t="str">
        <f>HYPERLINK("https://stackoverflow.com/q/51857872", "51857872")</f>
        <v>51857872</v>
      </c>
      <c r="B549" s="1" t="s">
        <v>93</v>
      </c>
      <c r="C549" s="1" t="s">
        <v>1966</v>
      </c>
      <c r="D549" s="2" t="s">
        <v>1967</v>
      </c>
      <c r="E549" s="1">
        <v>1.0</v>
      </c>
      <c r="I549" s="1">
        <v>0.0</v>
      </c>
      <c r="J549" s="1">
        <v>186.0</v>
      </c>
      <c r="L549" s="1">
        <v>1.0228903E7</v>
      </c>
      <c r="N549" s="1">
        <v>1.0228903E7</v>
      </c>
      <c r="P549" s="1" t="s">
        <v>1968</v>
      </c>
      <c r="Q549" s="1" t="s">
        <v>1969</v>
      </c>
      <c r="R549" s="1" t="s">
        <v>696</v>
      </c>
      <c r="S549" s="1">
        <v>1.0</v>
      </c>
      <c r="T549" s="1">
        <v>1.0</v>
      </c>
      <c r="U549" s="1">
        <v>1.0</v>
      </c>
      <c r="X549" s="1" t="s">
        <v>56</v>
      </c>
    </row>
    <row r="550">
      <c r="A550" s="3" t="str">
        <f>HYPERLINK("https://stackoverflow.com/q/51865071", "51865071")</f>
        <v>51865071</v>
      </c>
      <c r="B550" s="1" t="s">
        <v>93</v>
      </c>
      <c r="C550" s="1" t="s">
        <v>1970</v>
      </c>
      <c r="D550" s="2" t="s">
        <v>1971</v>
      </c>
      <c r="E550" s="1">
        <v>1.0</v>
      </c>
      <c r="F550" s="1">
        <v>5.1866163E7</v>
      </c>
      <c r="I550" s="1">
        <v>2.0</v>
      </c>
      <c r="J550" s="1">
        <v>460.0</v>
      </c>
      <c r="L550" s="1">
        <v>1.0230981E7</v>
      </c>
      <c r="N550" s="1">
        <v>1.0230981E7</v>
      </c>
      <c r="P550" s="1" t="s">
        <v>1972</v>
      </c>
      <c r="Q550" s="1" t="s">
        <v>1972</v>
      </c>
      <c r="R550" s="1" t="s">
        <v>97</v>
      </c>
      <c r="S550" s="1">
        <v>1.0</v>
      </c>
      <c r="T550" s="1">
        <v>0.0</v>
      </c>
      <c r="X550" s="1" t="s">
        <v>56</v>
      </c>
      <c r="Z550" s="1" t="s">
        <v>1973</v>
      </c>
    </row>
    <row r="551">
      <c r="A551" s="3" t="str">
        <f>HYPERLINK("https://stackoverflow.com/q/51869363", "51869363")</f>
        <v>51869363</v>
      </c>
      <c r="B551" s="1" t="s">
        <v>93</v>
      </c>
      <c r="C551" s="1" t="s">
        <v>1974</v>
      </c>
      <c r="D551" s="2" t="s">
        <v>1975</v>
      </c>
      <c r="E551" s="1">
        <v>1.0</v>
      </c>
      <c r="F551" s="1">
        <v>5.1869485E7</v>
      </c>
      <c r="I551" s="1">
        <v>1.0</v>
      </c>
      <c r="J551" s="1">
        <v>341.0</v>
      </c>
      <c r="L551" s="1">
        <v>1.0159321E7</v>
      </c>
      <c r="Q551" s="1" t="s">
        <v>1976</v>
      </c>
      <c r="R551" s="1" t="s">
        <v>97</v>
      </c>
      <c r="S551" s="1">
        <v>1.0</v>
      </c>
      <c r="T551" s="1">
        <v>0.0</v>
      </c>
      <c r="X551" s="1" t="s">
        <v>56</v>
      </c>
      <c r="Z551" s="1" t="s">
        <v>1977</v>
      </c>
    </row>
    <row r="552">
      <c r="A552" s="3" t="str">
        <f>HYPERLINK("https://stackoverflow.com/q/51881224", "51881224")</f>
        <v>51881224</v>
      </c>
      <c r="B552" s="1" t="s">
        <v>93</v>
      </c>
      <c r="C552" s="1" t="s">
        <v>1978</v>
      </c>
      <c r="D552" s="2" t="s">
        <v>1979</v>
      </c>
      <c r="E552" s="1">
        <v>1.0</v>
      </c>
      <c r="I552" s="1">
        <v>0.0</v>
      </c>
      <c r="J552" s="1">
        <v>142.0</v>
      </c>
      <c r="L552" s="1">
        <v>9962755.0</v>
      </c>
      <c r="Q552" s="1" t="s">
        <v>1980</v>
      </c>
      <c r="R552" s="1" t="s">
        <v>97</v>
      </c>
      <c r="S552" s="1">
        <v>1.0</v>
      </c>
      <c r="T552" s="1">
        <v>0.0</v>
      </c>
      <c r="X552" s="1" t="s">
        <v>56</v>
      </c>
    </row>
    <row r="553">
      <c r="A553" s="3" t="str">
        <f>HYPERLINK("https://stackoverflow.com/q/51888709", "51888709")</f>
        <v>51888709</v>
      </c>
      <c r="B553" s="1" t="s">
        <v>93</v>
      </c>
      <c r="C553" s="1" t="s">
        <v>1981</v>
      </c>
      <c r="D553" s="2" t="s">
        <v>1982</v>
      </c>
      <c r="E553" s="1">
        <v>1.0</v>
      </c>
      <c r="F553" s="1">
        <v>5.1902077E7</v>
      </c>
      <c r="I553" s="1">
        <v>0.0</v>
      </c>
      <c r="J553" s="1">
        <v>1074.0</v>
      </c>
      <c r="L553" s="1">
        <v>1.0159321E7</v>
      </c>
      <c r="Q553" s="1" t="s">
        <v>1983</v>
      </c>
      <c r="R553" s="1" t="s">
        <v>97</v>
      </c>
      <c r="S553" s="1">
        <v>1.0</v>
      </c>
      <c r="T553" s="1">
        <v>0.0</v>
      </c>
      <c r="X553" s="1" t="s">
        <v>56</v>
      </c>
      <c r="Z553" s="1" t="s">
        <v>1983</v>
      </c>
    </row>
    <row r="554">
      <c r="A554" s="3" t="str">
        <f>HYPERLINK("https://stackoverflow.com/q/51893056", "51893056")</f>
        <v>51893056</v>
      </c>
      <c r="B554" s="1" t="s">
        <v>93</v>
      </c>
      <c r="C554" s="1" t="s">
        <v>1984</v>
      </c>
      <c r="D554" s="2" t="s">
        <v>1985</v>
      </c>
      <c r="E554" s="1">
        <v>1.0</v>
      </c>
      <c r="I554" s="1">
        <v>0.0</v>
      </c>
      <c r="J554" s="1">
        <v>80.0</v>
      </c>
      <c r="L554" s="1">
        <v>1.0238716E7</v>
      </c>
      <c r="N554" s="1">
        <v>1.2892553E7</v>
      </c>
      <c r="P554" s="1" t="s">
        <v>1986</v>
      </c>
      <c r="Q554" s="1" t="s">
        <v>1986</v>
      </c>
      <c r="R554" s="1" t="s">
        <v>1987</v>
      </c>
      <c r="S554" s="1">
        <v>1.0</v>
      </c>
      <c r="T554" s="1">
        <v>0.0</v>
      </c>
      <c r="X554" s="1" t="s">
        <v>56</v>
      </c>
    </row>
    <row r="555">
      <c r="A555" s="3" t="str">
        <f>HYPERLINK("https://stackoverflow.com/q/51923404", "51923404")</f>
        <v>51923404</v>
      </c>
      <c r="B555" s="1" t="s">
        <v>93</v>
      </c>
      <c r="C555" s="1" t="s">
        <v>1988</v>
      </c>
      <c r="D555" s="2" t="s">
        <v>1989</v>
      </c>
      <c r="E555" s="1">
        <v>1.0</v>
      </c>
      <c r="F555" s="1">
        <v>5.1932388E7</v>
      </c>
      <c r="I555" s="1">
        <v>0.0</v>
      </c>
      <c r="J555" s="1">
        <v>64.0</v>
      </c>
      <c r="L555" s="1">
        <v>4738766.0</v>
      </c>
      <c r="Q555" s="1" t="s">
        <v>1990</v>
      </c>
      <c r="R555" s="1" t="s">
        <v>97</v>
      </c>
      <c r="S555" s="1">
        <v>1.0</v>
      </c>
      <c r="T555" s="1">
        <v>0.0</v>
      </c>
      <c r="X555" s="1" t="s">
        <v>56</v>
      </c>
      <c r="Z555" s="1" t="s">
        <v>1990</v>
      </c>
    </row>
    <row r="556">
      <c r="A556" s="3" t="str">
        <f>HYPERLINK("https://stackoverflow.com/q/51966939", "51966939")</f>
        <v>51966939</v>
      </c>
      <c r="B556" s="1" t="s">
        <v>93</v>
      </c>
      <c r="C556" s="1" t="s">
        <v>1991</v>
      </c>
      <c r="D556" s="2" t="s">
        <v>1992</v>
      </c>
      <c r="E556" s="1">
        <v>1.0</v>
      </c>
      <c r="F556" s="1">
        <v>5.1975881E7</v>
      </c>
      <c r="I556" s="1">
        <v>3.0</v>
      </c>
      <c r="J556" s="1">
        <v>1121.0</v>
      </c>
      <c r="L556" s="1">
        <v>9492160.0</v>
      </c>
      <c r="N556" s="1">
        <v>9492160.0</v>
      </c>
      <c r="P556" s="1" t="s">
        <v>1993</v>
      </c>
      <c r="Q556" s="1" t="s">
        <v>1994</v>
      </c>
      <c r="R556" s="1" t="s">
        <v>190</v>
      </c>
      <c r="S556" s="1">
        <v>4.0</v>
      </c>
      <c r="T556" s="1">
        <v>0.0</v>
      </c>
      <c r="U556" s="1">
        <v>1.0</v>
      </c>
      <c r="X556" s="1" t="s">
        <v>56</v>
      </c>
      <c r="Z556" s="1" t="s">
        <v>1995</v>
      </c>
    </row>
    <row r="557">
      <c r="A557" s="3" t="str">
        <f>HYPERLINK("https://stackoverflow.com/q/51993959", "51993959")</f>
        <v>51993959</v>
      </c>
      <c r="B557" s="1" t="s">
        <v>93</v>
      </c>
      <c r="C557" s="1" t="s">
        <v>1996</v>
      </c>
      <c r="D557" s="2" t="s">
        <v>1997</v>
      </c>
      <c r="E557" s="1">
        <v>1.0</v>
      </c>
      <c r="I557" s="1">
        <v>0.0</v>
      </c>
      <c r="J557" s="1">
        <v>223.0</v>
      </c>
      <c r="L557" s="1">
        <v>1.0059725E7</v>
      </c>
      <c r="Q557" s="1" t="s">
        <v>1998</v>
      </c>
      <c r="R557" s="1" t="s">
        <v>190</v>
      </c>
      <c r="S557" s="1">
        <v>2.0</v>
      </c>
      <c r="T557" s="1">
        <v>2.0</v>
      </c>
      <c r="X557" s="1" t="s">
        <v>56</v>
      </c>
    </row>
    <row r="558">
      <c r="A558" s="3" t="str">
        <f>HYPERLINK("https://stackoverflow.com/q/52003746", "52003746")</f>
        <v>52003746</v>
      </c>
      <c r="B558" s="1" t="s">
        <v>93</v>
      </c>
      <c r="C558" s="1" t="s">
        <v>1999</v>
      </c>
      <c r="D558" s="2" t="s">
        <v>2000</v>
      </c>
      <c r="E558" s="1">
        <v>1.0</v>
      </c>
      <c r="I558" s="1">
        <v>1.0</v>
      </c>
      <c r="J558" s="1">
        <v>46.0</v>
      </c>
      <c r="L558" s="1">
        <v>1.0269376E7</v>
      </c>
      <c r="Q558" s="1" t="s">
        <v>2001</v>
      </c>
      <c r="R558" s="1" t="s">
        <v>97</v>
      </c>
      <c r="S558" s="1">
        <v>2.0</v>
      </c>
      <c r="T558" s="1">
        <v>0.0</v>
      </c>
      <c r="X558" s="1" t="s">
        <v>56</v>
      </c>
    </row>
    <row r="559">
      <c r="A559" s="3" t="str">
        <f>HYPERLINK("https://stackoverflow.com/q/52016220", "52016220")</f>
        <v>52016220</v>
      </c>
      <c r="B559" s="1" t="s">
        <v>93</v>
      </c>
      <c r="C559" s="1" t="s">
        <v>2002</v>
      </c>
      <c r="D559" s="2" t="s">
        <v>2003</v>
      </c>
      <c r="E559" s="1">
        <v>1.0</v>
      </c>
      <c r="F559" s="1">
        <v>5.2079984E7</v>
      </c>
      <c r="I559" s="1">
        <v>0.0</v>
      </c>
      <c r="J559" s="1">
        <v>210.0</v>
      </c>
      <c r="L559" s="1">
        <v>1.0230981E7</v>
      </c>
      <c r="Q559" s="1" t="s">
        <v>2004</v>
      </c>
      <c r="R559" s="1" t="s">
        <v>97</v>
      </c>
      <c r="S559" s="1">
        <v>1.0</v>
      </c>
      <c r="T559" s="1">
        <v>0.0</v>
      </c>
      <c r="X559" s="1" t="s">
        <v>56</v>
      </c>
      <c r="Z559" s="1" t="s">
        <v>2004</v>
      </c>
    </row>
    <row r="560">
      <c r="A560" s="3" t="str">
        <f>HYPERLINK("https://stackoverflow.com/q/52034362", "52034362")</f>
        <v>52034362</v>
      </c>
      <c r="B560" s="1" t="s">
        <v>93</v>
      </c>
      <c r="C560" s="1" t="s">
        <v>2005</v>
      </c>
      <c r="D560" s="2" t="s">
        <v>2006</v>
      </c>
      <c r="E560" s="1">
        <v>1.0</v>
      </c>
      <c r="I560" s="1">
        <v>0.0</v>
      </c>
      <c r="J560" s="1">
        <v>138.0</v>
      </c>
      <c r="L560" s="1">
        <v>9426876.0</v>
      </c>
      <c r="Q560" s="1" t="s">
        <v>2007</v>
      </c>
      <c r="R560" s="1" t="s">
        <v>97</v>
      </c>
      <c r="S560" s="1">
        <v>1.0</v>
      </c>
      <c r="T560" s="1">
        <v>5.0</v>
      </c>
      <c r="X560" s="1" t="s">
        <v>56</v>
      </c>
    </row>
    <row r="561">
      <c r="A561" s="3" t="str">
        <f>HYPERLINK("https://stackoverflow.com/q/52045267", "52045267")</f>
        <v>52045267</v>
      </c>
      <c r="B561" s="1" t="s">
        <v>93</v>
      </c>
      <c r="C561" s="1" t="s">
        <v>2008</v>
      </c>
      <c r="D561" s="2" t="s">
        <v>2009</v>
      </c>
      <c r="E561" s="1">
        <v>1.0</v>
      </c>
      <c r="I561" s="1">
        <v>0.0</v>
      </c>
      <c r="J561" s="1">
        <v>260.0</v>
      </c>
      <c r="L561" s="1">
        <v>1.0140587E7</v>
      </c>
      <c r="Q561" s="1" t="s">
        <v>2010</v>
      </c>
      <c r="R561" s="1" t="s">
        <v>97</v>
      </c>
      <c r="S561" s="1">
        <v>1.0</v>
      </c>
      <c r="T561" s="1">
        <v>0.0</v>
      </c>
      <c r="X561" s="1" t="s">
        <v>56</v>
      </c>
    </row>
    <row r="562">
      <c r="A562" s="3" t="str">
        <f>HYPERLINK("https://stackoverflow.com/q/52054618", "52054618")</f>
        <v>52054618</v>
      </c>
      <c r="B562" s="1" t="s">
        <v>93</v>
      </c>
      <c r="C562" s="1" t="s">
        <v>2011</v>
      </c>
      <c r="D562" s="2" t="s">
        <v>2012</v>
      </c>
      <c r="E562" s="1">
        <v>1.0</v>
      </c>
      <c r="I562" s="1">
        <v>0.0</v>
      </c>
      <c r="J562" s="1">
        <v>296.0</v>
      </c>
      <c r="L562" s="1">
        <v>9426876.0</v>
      </c>
      <c r="Q562" s="1" t="s">
        <v>2013</v>
      </c>
      <c r="R562" s="1" t="s">
        <v>97</v>
      </c>
      <c r="S562" s="1">
        <v>1.0</v>
      </c>
      <c r="T562" s="1">
        <v>0.0</v>
      </c>
      <c r="X562" s="1" t="s">
        <v>56</v>
      </c>
    </row>
    <row r="563">
      <c r="A563" s="3" t="str">
        <f>HYPERLINK("https://stackoverflow.com/q/52057206", "52057206")</f>
        <v>52057206</v>
      </c>
      <c r="B563" s="1" t="s">
        <v>93</v>
      </c>
      <c r="C563" s="1" t="s">
        <v>2014</v>
      </c>
      <c r="D563" s="2" t="s">
        <v>2015</v>
      </c>
      <c r="E563" s="1">
        <v>1.0</v>
      </c>
      <c r="I563" s="1">
        <v>0.0</v>
      </c>
      <c r="J563" s="1">
        <v>61.0</v>
      </c>
      <c r="L563" s="1">
        <v>1.0225332E7</v>
      </c>
      <c r="N563" s="1">
        <v>1.0225332E7</v>
      </c>
      <c r="P563" s="1" t="s">
        <v>2016</v>
      </c>
      <c r="Q563" s="1" t="s">
        <v>2016</v>
      </c>
      <c r="R563" s="1" t="s">
        <v>190</v>
      </c>
      <c r="S563" s="1">
        <v>0.0</v>
      </c>
      <c r="T563" s="1">
        <v>3.0</v>
      </c>
      <c r="X563" s="1" t="s">
        <v>56</v>
      </c>
    </row>
    <row r="564">
      <c r="A564" s="3" t="str">
        <f>HYPERLINK("https://stackoverflow.com/q/52058662", "52058662")</f>
        <v>52058662</v>
      </c>
      <c r="B564" s="1" t="s">
        <v>93</v>
      </c>
      <c r="C564" s="1" t="s">
        <v>2017</v>
      </c>
      <c r="D564" s="2" t="s">
        <v>2018</v>
      </c>
      <c r="E564" s="1">
        <v>1.0</v>
      </c>
      <c r="I564" s="1">
        <v>0.0</v>
      </c>
      <c r="J564" s="1">
        <v>128.0</v>
      </c>
      <c r="L564" s="1">
        <v>9492160.0</v>
      </c>
      <c r="N564" s="1">
        <v>9492160.0</v>
      </c>
      <c r="P564" s="1" t="s">
        <v>2019</v>
      </c>
      <c r="Q564" s="1" t="s">
        <v>2019</v>
      </c>
      <c r="R564" s="1" t="s">
        <v>97</v>
      </c>
      <c r="S564" s="1">
        <v>1.0</v>
      </c>
      <c r="T564" s="1">
        <v>0.0</v>
      </c>
      <c r="X564" s="1" t="s">
        <v>56</v>
      </c>
    </row>
    <row r="565">
      <c r="A565" s="3" t="str">
        <f>HYPERLINK("https://stackoverflow.com/q/52085701", "52085701")</f>
        <v>52085701</v>
      </c>
      <c r="B565" s="1" t="s">
        <v>93</v>
      </c>
      <c r="C565" s="1" t="s">
        <v>2020</v>
      </c>
      <c r="D565" s="2" t="s">
        <v>2021</v>
      </c>
      <c r="E565" s="1">
        <v>1.0</v>
      </c>
      <c r="I565" s="1">
        <v>4.0</v>
      </c>
      <c r="J565" s="1">
        <v>284.0</v>
      </c>
      <c r="L565" s="1">
        <v>7709702.0</v>
      </c>
      <c r="Q565" s="1" t="s">
        <v>2022</v>
      </c>
      <c r="R565" s="1" t="s">
        <v>97</v>
      </c>
      <c r="S565" s="1">
        <v>1.0</v>
      </c>
      <c r="T565" s="1">
        <v>3.0</v>
      </c>
      <c r="U565" s="1">
        <v>1.0</v>
      </c>
      <c r="X565" s="1" t="s">
        <v>56</v>
      </c>
    </row>
    <row r="566">
      <c r="A566" s="3" t="str">
        <f>HYPERLINK("https://stackoverflow.com/q/52088202", "52088202")</f>
        <v>52088202</v>
      </c>
      <c r="B566" s="1" t="s">
        <v>93</v>
      </c>
      <c r="C566" s="1" t="s">
        <v>2023</v>
      </c>
      <c r="D566" s="2" t="s">
        <v>2024</v>
      </c>
      <c r="E566" s="1">
        <v>1.0</v>
      </c>
      <c r="F566" s="1">
        <v>5.2099102E7</v>
      </c>
      <c r="I566" s="1">
        <v>0.0</v>
      </c>
      <c r="J566" s="1">
        <v>129.0</v>
      </c>
      <c r="L566" s="1">
        <v>1.0159321E7</v>
      </c>
      <c r="Q566" s="1" t="s">
        <v>2025</v>
      </c>
      <c r="R566" s="1" t="s">
        <v>97</v>
      </c>
      <c r="S566" s="1">
        <v>1.0</v>
      </c>
      <c r="T566" s="1">
        <v>0.0</v>
      </c>
      <c r="X566" s="1" t="s">
        <v>56</v>
      </c>
      <c r="Z566" s="1" t="s">
        <v>2026</v>
      </c>
    </row>
    <row r="567">
      <c r="A567" s="3" t="str">
        <f>HYPERLINK("https://stackoverflow.com/q/52088852", "52088852")</f>
        <v>52088852</v>
      </c>
      <c r="B567" s="1" t="s">
        <v>93</v>
      </c>
      <c r="C567" s="1" t="s">
        <v>2027</v>
      </c>
      <c r="D567" s="2" t="s">
        <v>2028</v>
      </c>
      <c r="E567" s="1">
        <v>1.0</v>
      </c>
      <c r="I567" s="1">
        <v>0.0</v>
      </c>
      <c r="J567" s="1">
        <v>42.0</v>
      </c>
      <c r="L567" s="1">
        <v>1.0292908E7</v>
      </c>
      <c r="Q567" s="1" t="s">
        <v>2027</v>
      </c>
      <c r="R567" s="1" t="s">
        <v>97</v>
      </c>
      <c r="S567" s="1">
        <v>0.0</v>
      </c>
      <c r="T567" s="1">
        <v>3.0</v>
      </c>
      <c r="X567" s="1" t="s">
        <v>56</v>
      </c>
    </row>
    <row r="568">
      <c r="A568" s="3" t="str">
        <f>HYPERLINK("https://stackoverflow.com/q/52120970", "52120970")</f>
        <v>52120970</v>
      </c>
      <c r="B568" s="1" t="s">
        <v>93</v>
      </c>
      <c r="C568" s="1" t="s">
        <v>2029</v>
      </c>
      <c r="D568" s="2" t="s">
        <v>2030</v>
      </c>
      <c r="E568" s="1">
        <v>1.0</v>
      </c>
      <c r="I568" s="1">
        <v>0.0</v>
      </c>
      <c r="J568" s="1">
        <v>72.0</v>
      </c>
      <c r="L568" s="1">
        <v>1.0140587E7</v>
      </c>
      <c r="Q568" s="1" t="s">
        <v>2031</v>
      </c>
      <c r="R568" s="1" t="s">
        <v>97</v>
      </c>
      <c r="S568" s="1">
        <v>1.0</v>
      </c>
      <c r="T568" s="1">
        <v>0.0</v>
      </c>
      <c r="X568" s="1" t="s">
        <v>56</v>
      </c>
    </row>
    <row r="569">
      <c r="A569" s="3" t="str">
        <f>HYPERLINK("https://stackoverflow.com/q/52126309", "52126309")</f>
        <v>52126309</v>
      </c>
      <c r="B569" s="1" t="s">
        <v>93</v>
      </c>
      <c r="C569" s="1" t="s">
        <v>2032</v>
      </c>
      <c r="D569" s="2" t="s">
        <v>2033</v>
      </c>
      <c r="E569" s="1">
        <v>1.0</v>
      </c>
      <c r="F569" s="1">
        <v>5.2168477E7</v>
      </c>
      <c r="I569" s="1">
        <v>1.0</v>
      </c>
      <c r="J569" s="1">
        <v>557.0</v>
      </c>
      <c r="L569" s="1">
        <v>8565030.0</v>
      </c>
      <c r="Q569" s="1" t="s">
        <v>2034</v>
      </c>
      <c r="R569" s="1" t="s">
        <v>97</v>
      </c>
      <c r="S569" s="1">
        <v>1.0</v>
      </c>
      <c r="T569" s="1">
        <v>0.0</v>
      </c>
      <c r="U569" s="1">
        <v>1.0</v>
      </c>
      <c r="X569" s="1" t="s">
        <v>56</v>
      </c>
      <c r="Z569" s="1" t="s">
        <v>2035</v>
      </c>
    </row>
    <row r="570">
      <c r="A570" s="3" t="str">
        <f>HYPERLINK("https://stackoverflow.com/q/52133532", "52133532")</f>
        <v>52133532</v>
      </c>
      <c r="B570" s="1" t="s">
        <v>93</v>
      </c>
      <c r="C570" s="1" t="s">
        <v>2036</v>
      </c>
      <c r="D570" s="2" t="s">
        <v>2037</v>
      </c>
      <c r="E570" s="1">
        <v>1.0</v>
      </c>
      <c r="I570" s="1">
        <v>0.0</v>
      </c>
      <c r="J570" s="1">
        <v>51.0</v>
      </c>
      <c r="L570" s="1">
        <v>1.0140587E7</v>
      </c>
      <c r="N570" s="1">
        <v>1.0140587E7</v>
      </c>
      <c r="P570" s="1" t="s">
        <v>2038</v>
      </c>
      <c r="Q570" s="1" t="s">
        <v>2038</v>
      </c>
      <c r="R570" s="1" t="s">
        <v>97</v>
      </c>
      <c r="S570" s="1">
        <v>0.0</v>
      </c>
      <c r="T570" s="1">
        <v>4.0</v>
      </c>
      <c r="X570" s="1" t="s">
        <v>56</v>
      </c>
    </row>
    <row r="571">
      <c r="A571" s="3" t="str">
        <f>HYPERLINK("https://stackoverflow.com/q/52154790", "52154790")</f>
        <v>52154790</v>
      </c>
      <c r="B571" s="1" t="s">
        <v>93</v>
      </c>
      <c r="C571" s="1" t="s">
        <v>2039</v>
      </c>
      <c r="D571" s="2" t="s">
        <v>2040</v>
      </c>
      <c r="E571" s="1">
        <v>1.0</v>
      </c>
      <c r="F571" s="1">
        <v>5.2154791E7</v>
      </c>
      <c r="I571" s="1">
        <v>0.0</v>
      </c>
      <c r="J571" s="1">
        <v>444.0</v>
      </c>
      <c r="L571" s="1">
        <v>9492160.0</v>
      </c>
      <c r="Q571" s="1" t="s">
        <v>2039</v>
      </c>
      <c r="R571" s="1" t="s">
        <v>97</v>
      </c>
      <c r="S571" s="1">
        <v>1.0</v>
      </c>
      <c r="T571" s="1">
        <v>0.0</v>
      </c>
      <c r="U571" s="1">
        <v>1.0</v>
      </c>
      <c r="X571" s="1" t="s">
        <v>56</v>
      </c>
      <c r="Z571" s="1" t="s">
        <v>2039</v>
      </c>
    </row>
    <row r="572">
      <c r="A572" s="3" t="str">
        <f>HYPERLINK("https://stackoverflow.com/q/52187749", "52187749")</f>
        <v>52187749</v>
      </c>
      <c r="B572" s="1" t="s">
        <v>93</v>
      </c>
      <c r="C572" s="1" t="s">
        <v>2041</v>
      </c>
      <c r="D572" s="2" t="s">
        <v>2042</v>
      </c>
      <c r="E572" s="1">
        <v>1.0</v>
      </c>
      <c r="I572" s="1">
        <v>0.0</v>
      </c>
      <c r="J572" s="1">
        <v>339.0</v>
      </c>
      <c r="L572" s="1">
        <v>1.032078E7</v>
      </c>
      <c r="N572" s="1">
        <v>1.2892553E7</v>
      </c>
      <c r="P572" s="1" t="s">
        <v>2043</v>
      </c>
      <c r="Q572" s="1" t="s">
        <v>2043</v>
      </c>
      <c r="R572" s="1" t="s">
        <v>97</v>
      </c>
      <c r="S572" s="1">
        <v>1.0</v>
      </c>
      <c r="T572" s="1">
        <v>3.0</v>
      </c>
      <c r="X572" s="1" t="s">
        <v>56</v>
      </c>
    </row>
    <row r="573">
      <c r="A573" s="3" t="str">
        <f>HYPERLINK("https://stackoverflow.com/q/52194258", "52194258")</f>
        <v>52194258</v>
      </c>
      <c r="B573" s="1" t="s">
        <v>93</v>
      </c>
      <c r="C573" s="1" t="s">
        <v>2044</v>
      </c>
      <c r="D573" s="2" t="s">
        <v>2045</v>
      </c>
      <c r="E573" s="1">
        <v>1.0</v>
      </c>
      <c r="F573" s="1">
        <v>5.2206006E7</v>
      </c>
      <c r="I573" s="1">
        <v>2.0</v>
      </c>
      <c r="J573" s="1">
        <v>187.0</v>
      </c>
      <c r="L573" s="1">
        <v>420558.0</v>
      </c>
      <c r="Q573" s="1" t="s">
        <v>2046</v>
      </c>
      <c r="R573" s="1" t="s">
        <v>97</v>
      </c>
      <c r="S573" s="1">
        <v>1.0</v>
      </c>
      <c r="T573" s="1">
        <v>0.0</v>
      </c>
      <c r="X573" s="1" t="s">
        <v>56</v>
      </c>
      <c r="Z573" s="1" t="s">
        <v>2046</v>
      </c>
    </row>
    <row r="574">
      <c r="A574" s="3" t="str">
        <f>HYPERLINK("https://stackoverflow.com/q/52205799", "52205799")</f>
        <v>52205799</v>
      </c>
      <c r="B574" s="1" t="s">
        <v>93</v>
      </c>
      <c r="C574" s="1" t="s">
        <v>2047</v>
      </c>
      <c r="D574" s="2" t="s">
        <v>2048</v>
      </c>
      <c r="E574" s="1">
        <v>1.0</v>
      </c>
      <c r="I574" s="1">
        <v>0.0</v>
      </c>
      <c r="J574" s="1">
        <v>80.0</v>
      </c>
      <c r="L574" s="1">
        <v>6152483.0</v>
      </c>
      <c r="N574" s="1">
        <v>8096743.0</v>
      </c>
      <c r="P574" s="1" t="s">
        <v>2049</v>
      </c>
      <c r="Q574" s="1" t="s">
        <v>2050</v>
      </c>
      <c r="R574" s="1" t="s">
        <v>97</v>
      </c>
      <c r="S574" s="1">
        <v>1.0</v>
      </c>
      <c r="T574" s="1">
        <v>0.0</v>
      </c>
      <c r="X574" s="1" t="s">
        <v>56</v>
      </c>
    </row>
    <row r="575">
      <c r="A575" s="3" t="str">
        <f>HYPERLINK("https://stackoverflow.com/q/52213181", "52213181")</f>
        <v>52213181</v>
      </c>
      <c r="B575" s="1" t="s">
        <v>93</v>
      </c>
      <c r="C575" s="1" t="s">
        <v>2051</v>
      </c>
      <c r="D575" s="2" t="s">
        <v>2052</v>
      </c>
      <c r="E575" s="1">
        <v>1.0</v>
      </c>
      <c r="I575" s="1">
        <v>2.0</v>
      </c>
      <c r="J575" s="1">
        <v>44.0</v>
      </c>
      <c r="L575" s="1">
        <v>171461.0</v>
      </c>
      <c r="N575" s="1">
        <v>171461.0</v>
      </c>
      <c r="P575" s="1" t="s">
        <v>2053</v>
      </c>
      <c r="Q575" s="1" t="s">
        <v>2053</v>
      </c>
      <c r="R575" s="1" t="s">
        <v>97</v>
      </c>
      <c r="S575" s="1">
        <v>0.0</v>
      </c>
      <c r="T575" s="1">
        <v>0.0</v>
      </c>
      <c r="U575" s="1">
        <v>1.0</v>
      </c>
      <c r="X575" s="1" t="s">
        <v>56</v>
      </c>
    </row>
    <row r="576">
      <c r="A576" s="3" t="str">
        <f>HYPERLINK("https://stackoverflow.com/q/52213870", "52213870")</f>
        <v>52213870</v>
      </c>
      <c r="B576" s="1" t="s">
        <v>93</v>
      </c>
      <c r="C576" s="1" t="s">
        <v>2054</v>
      </c>
      <c r="D576" s="2" t="s">
        <v>2055</v>
      </c>
      <c r="E576" s="1">
        <v>1.0</v>
      </c>
      <c r="F576" s="1">
        <v>5.2215254E7</v>
      </c>
      <c r="I576" s="1">
        <v>0.0</v>
      </c>
      <c r="J576" s="1">
        <v>103.0</v>
      </c>
      <c r="L576" s="1">
        <v>171461.0</v>
      </c>
      <c r="Q576" s="1" t="s">
        <v>2056</v>
      </c>
      <c r="R576" s="1" t="s">
        <v>97</v>
      </c>
      <c r="S576" s="1">
        <v>1.0</v>
      </c>
      <c r="T576" s="1">
        <v>0.0</v>
      </c>
      <c r="X576" s="1" t="s">
        <v>56</v>
      </c>
      <c r="Z576" s="1" t="s">
        <v>2056</v>
      </c>
    </row>
    <row r="577">
      <c r="A577" s="3" t="str">
        <f>HYPERLINK("https://stackoverflow.com/q/52215513", "52215513")</f>
        <v>52215513</v>
      </c>
      <c r="B577" s="1" t="s">
        <v>93</v>
      </c>
      <c r="C577" s="1" t="s">
        <v>2057</v>
      </c>
      <c r="D577" s="2" t="s">
        <v>2058</v>
      </c>
      <c r="E577" s="1">
        <v>1.0</v>
      </c>
      <c r="F577" s="1">
        <v>5.222677E7</v>
      </c>
      <c r="I577" s="1">
        <v>0.0</v>
      </c>
      <c r="J577" s="1">
        <v>105.0</v>
      </c>
      <c r="L577" s="1">
        <v>9235558.0</v>
      </c>
      <c r="Q577" s="1" t="s">
        <v>2059</v>
      </c>
      <c r="R577" s="1" t="s">
        <v>97</v>
      </c>
      <c r="S577" s="1">
        <v>2.0</v>
      </c>
      <c r="T577" s="1">
        <v>0.0</v>
      </c>
      <c r="X577" s="1" t="s">
        <v>56</v>
      </c>
      <c r="Z577" s="1" t="s">
        <v>2059</v>
      </c>
    </row>
    <row r="578">
      <c r="A578" s="3" t="str">
        <f>HYPERLINK("https://stackoverflow.com/q/52261990", "52261990")</f>
        <v>52261990</v>
      </c>
      <c r="B578" s="1" t="s">
        <v>93</v>
      </c>
      <c r="C578" s="1" t="s">
        <v>2060</v>
      </c>
      <c r="D578" s="2" t="s">
        <v>2061</v>
      </c>
      <c r="E578" s="1">
        <v>1.0</v>
      </c>
      <c r="I578" s="1">
        <v>1.0</v>
      </c>
      <c r="J578" s="1">
        <v>142.0</v>
      </c>
      <c r="L578" s="1">
        <v>1.0343201E7</v>
      </c>
      <c r="Q578" s="1" t="s">
        <v>2062</v>
      </c>
      <c r="R578" s="1" t="s">
        <v>97</v>
      </c>
      <c r="S578" s="1">
        <v>1.0</v>
      </c>
      <c r="T578" s="1">
        <v>2.0</v>
      </c>
      <c r="X578" s="1" t="s">
        <v>56</v>
      </c>
    </row>
    <row r="579">
      <c r="A579" s="3" t="str">
        <f>HYPERLINK("https://stackoverflow.com/q/52264141", "52264141")</f>
        <v>52264141</v>
      </c>
      <c r="B579" s="1" t="s">
        <v>93</v>
      </c>
      <c r="C579" s="1" t="s">
        <v>2063</v>
      </c>
      <c r="D579" s="2" t="s">
        <v>2064</v>
      </c>
      <c r="E579" s="1">
        <v>1.0</v>
      </c>
      <c r="F579" s="1">
        <v>5.2278963E7</v>
      </c>
      <c r="I579" s="1">
        <v>0.0</v>
      </c>
      <c r="J579" s="1">
        <v>107.0</v>
      </c>
      <c r="L579" s="1">
        <v>8565030.0</v>
      </c>
      <c r="Q579" s="1" t="s">
        <v>2065</v>
      </c>
      <c r="R579" s="1" t="s">
        <v>97</v>
      </c>
      <c r="S579" s="1">
        <v>1.0</v>
      </c>
      <c r="T579" s="1">
        <v>0.0</v>
      </c>
      <c r="X579" s="1" t="s">
        <v>56</v>
      </c>
      <c r="Z579" s="1" t="s">
        <v>2065</v>
      </c>
    </row>
    <row r="580">
      <c r="A580" s="3" t="str">
        <f>HYPERLINK("https://stackoverflow.com/q/52300209", "52300209")</f>
        <v>52300209</v>
      </c>
      <c r="B580" s="1" t="s">
        <v>93</v>
      </c>
      <c r="C580" s="1" t="s">
        <v>2066</v>
      </c>
      <c r="D580" s="2" t="s">
        <v>2067</v>
      </c>
      <c r="E580" s="1">
        <v>1.0</v>
      </c>
      <c r="F580" s="1">
        <v>5.2656312E7</v>
      </c>
      <c r="I580" s="1">
        <v>2.0</v>
      </c>
      <c r="J580" s="1">
        <v>235.0</v>
      </c>
      <c r="L580" s="1">
        <v>5983596.0</v>
      </c>
      <c r="N580" s="1">
        <v>5983596.0</v>
      </c>
      <c r="P580" s="1" t="s">
        <v>2068</v>
      </c>
      <c r="Q580" s="1" t="s">
        <v>2069</v>
      </c>
      <c r="R580" s="1" t="s">
        <v>97</v>
      </c>
      <c r="S580" s="1">
        <v>1.0</v>
      </c>
      <c r="T580" s="1">
        <v>0.0</v>
      </c>
      <c r="X580" s="1" t="s">
        <v>56</v>
      </c>
      <c r="Z580" s="1" t="s">
        <v>2070</v>
      </c>
    </row>
    <row r="581">
      <c r="A581" s="3" t="str">
        <f>HYPERLINK("https://stackoverflow.com/q/52316754", "52316754")</f>
        <v>52316754</v>
      </c>
      <c r="B581" s="1" t="s">
        <v>93</v>
      </c>
      <c r="C581" s="1" t="s">
        <v>2071</v>
      </c>
      <c r="D581" s="2" t="s">
        <v>2072</v>
      </c>
      <c r="E581" s="1">
        <v>1.0</v>
      </c>
      <c r="F581" s="1">
        <v>5.8322025E7</v>
      </c>
      <c r="I581" s="1">
        <v>1.0</v>
      </c>
      <c r="J581" s="1">
        <v>455.0</v>
      </c>
      <c r="L581" s="1">
        <v>6709990.0</v>
      </c>
      <c r="Q581" s="1" t="s">
        <v>2073</v>
      </c>
      <c r="R581" s="1" t="s">
        <v>97</v>
      </c>
      <c r="S581" s="1">
        <v>2.0</v>
      </c>
      <c r="T581" s="1">
        <v>3.0</v>
      </c>
      <c r="U581" s="1">
        <v>1.0</v>
      </c>
      <c r="X581" s="1" t="s">
        <v>56</v>
      </c>
      <c r="Z581" s="1" t="s">
        <v>2073</v>
      </c>
    </row>
    <row r="582">
      <c r="A582" s="3" t="str">
        <f>HYPERLINK("https://stackoverflow.com/q/52353918", "52353918")</f>
        <v>52353918</v>
      </c>
      <c r="B582" s="1" t="s">
        <v>93</v>
      </c>
      <c r="C582" s="1" t="s">
        <v>2074</v>
      </c>
      <c r="D582" s="2" t="s">
        <v>2075</v>
      </c>
      <c r="E582" s="1">
        <v>1.0</v>
      </c>
      <c r="F582" s="1">
        <v>5.2404263E7</v>
      </c>
      <c r="I582" s="1">
        <v>0.0</v>
      </c>
      <c r="J582" s="1">
        <v>789.0</v>
      </c>
      <c r="L582" s="1">
        <v>6152483.0</v>
      </c>
      <c r="Q582" s="1" t="s">
        <v>2076</v>
      </c>
      <c r="R582" s="1" t="s">
        <v>97</v>
      </c>
      <c r="S582" s="1">
        <v>3.0</v>
      </c>
      <c r="T582" s="1">
        <v>0.0</v>
      </c>
      <c r="X582" s="1" t="s">
        <v>56</v>
      </c>
      <c r="Z582" s="1" t="s">
        <v>2077</v>
      </c>
    </row>
    <row r="583">
      <c r="A583" s="3" t="str">
        <f>HYPERLINK("https://stackoverflow.com/q/52370474", "52370474")</f>
        <v>52370474</v>
      </c>
      <c r="B583" s="1" t="s">
        <v>93</v>
      </c>
      <c r="C583" s="1" t="s">
        <v>2078</v>
      </c>
      <c r="D583" s="2" t="s">
        <v>2079</v>
      </c>
      <c r="E583" s="1">
        <v>1.0</v>
      </c>
      <c r="I583" s="1">
        <v>0.0</v>
      </c>
      <c r="J583" s="1">
        <v>26.0</v>
      </c>
      <c r="L583" s="1">
        <v>6732912.0</v>
      </c>
      <c r="Q583" s="1" t="s">
        <v>2078</v>
      </c>
      <c r="R583" s="1" t="s">
        <v>1689</v>
      </c>
      <c r="S583" s="1">
        <v>0.0</v>
      </c>
      <c r="T583" s="1">
        <v>2.0</v>
      </c>
      <c r="X583" s="1" t="s">
        <v>56</v>
      </c>
    </row>
    <row r="584">
      <c r="A584" s="3" t="str">
        <f>HYPERLINK("https://stackoverflow.com/q/52406753", "52406753")</f>
        <v>52406753</v>
      </c>
      <c r="B584" s="1" t="s">
        <v>93</v>
      </c>
      <c r="C584" s="1" t="s">
        <v>2080</v>
      </c>
      <c r="D584" s="2" t="s">
        <v>2081</v>
      </c>
      <c r="E584" s="1">
        <v>1.0</v>
      </c>
      <c r="F584" s="1">
        <v>5.2481722E7</v>
      </c>
      <c r="I584" s="1">
        <v>0.0</v>
      </c>
      <c r="J584" s="1">
        <v>157.0</v>
      </c>
      <c r="L584" s="1">
        <v>3602730.0</v>
      </c>
      <c r="N584" s="1">
        <v>3602730.0</v>
      </c>
      <c r="P584" s="1" t="s">
        <v>2082</v>
      </c>
      <c r="Q584" s="1" t="s">
        <v>2083</v>
      </c>
      <c r="R584" s="1" t="s">
        <v>97</v>
      </c>
      <c r="S584" s="1">
        <v>1.0</v>
      </c>
      <c r="T584" s="1">
        <v>9.0</v>
      </c>
      <c r="X584" s="1" t="s">
        <v>56</v>
      </c>
      <c r="Z584" s="1" t="s">
        <v>2084</v>
      </c>
    </row>
    <row r="585">
      <c r="A585" s="3" t="str">
        <f>HYPERLINK("https://stackoverflow.com/q/52425738", "52425738")</f>
        <v>52425738</v>
      </c>
      <c r="B585" s="1" t="s">
        <v>93</v>
      </c>
      <c r="C585" s="1" t="s">
        <v>2085</v>
      </c>
      <c r="D585" s="2" t="s">
        <v>2086</v>
      </c>
      <c r="E585" s="1">
        <v>1.0</v>
      </c>
      <c r="I585" s="1">
        <v>0.0</v>
      </c>
      <c r="J585" s="1">
        <v>43.0</v>
      </c>
      <c r="L585" s="1">
        <v>1.0391464E7</v>
      </c>
      <c r="N585" s="1">
        <v>1.2892553E7</v>
      </c>
      <c r="P585" s="1" t="s">
        <v>2087</v>
      </c>
      <c r="Q585" s="1" t="s">
        <v>2087</v>
      </c>
      <c r="R585" s="1" t="s">
        <v>97</v>
      </c>
      <c r="S585" s="1">
        <v>0.0</v>
      </c>
      <c r="T585" s="1">
        <v>2.0</v>
      </c>
      <c r="X585" s="1" t="s">
        <v>56</v>
      </c>
    </row>
    <row r="586">
      <c r="A586" s="3" t="str">
        <f>HYPERLINK("https://stackoverflow.com/q/52427085", "52427085")</f>
        <v>52427085</v>
      </c>
      <c r="B586" s="1" t="s">
        <v>93</v>
      </c>
      <c r="C586" s="1" t="s">
        <v>2088</v>
      </c>
      <c r="D586" s="2" t="s">
        <v>2089</v>
      </c>
      <c r="E586" s="1">
        <v>1.0</v>
      </c>
      <c r="I586" s="1">
        <v>0.0</v>
      </c>
      <c r="J586" s="1">
        <v>45.0</v>
      </c>
      <c r="L586" s="1">
        <v>9845493.0</v>
      </c>
      <c r="N586" s="1">
        <v>1.2892553E7</v>
      </c>
      <c r="P586" s="1" t="s">
        <v>2090</v>
      </c>
      <c r="Q586" s="1" t="s">
        <v>2090</v>
      </c>
      <c r="R586" s="1" t="s">
        <v>2091</v>
      </c>
      <c r="S586" s="1">
        <v>0.0</v>
      </c>
      <c r="T586" s="1">
        <v>2.0</v>
      </c>
      <c r="X586" s="1" t="s">
        <v>56</v>
      </c>
    </row>
    <row r="587">
      <c r="A587" s="3" t="str">
        <f>HYPERLINK("https://stackoverflow.com/q/52441440", "52441440")</f>
        <v>52441440</v>
      </c>
      <c r="B587" s="1" t="s">
        <v>93</v>
      </c>
      <c r="C587" s="1" t="s">
        <v>2092</v>
      </c>
      <c r="D587" s="2" t="s">
        <v>2093</v>
      </c>
      <c r="E587" s="1">
        <v>1.0</v>
      </c>
      <c r="I587" s="1">
        <v>0.0</v>
      </c>
      <c r="J587" s="1">
        <v>337.0</v>
      </c>
      <c r="L587" s="1">
        <v>1.0391464E7</v>
      </c>
      <c r="N587" s="1">
        <v>5528203.0</v>
      </c>
      <c r="P587" s="1" t="s">
        <v>2094</v>
      </c>
      <c r="Q587" s="1" t="s">
        <v>2095</v>
      </c>
      <c r="R587" s="1" t="s">
        <v>97</v>
      </c>
      <c r="S587" s="1">
        <v>1.0</v>
      </c>
      <c r="T587" s="1">
        <v>7.0</v>
      </c>
      <c r="X587" s="1" t="s">
        <v>56</v>
      </c>
    </row>
    <row r="588">
      <c r="A588" s="3" t="str">
        <f>HYPERLINK("https://stackoverflow.com/q/52480985", "52480985")</f>
        <v>52480985</v>
      </c>
      <c r="B588" s="1" t="s">
        <v>93</v>
      </c>
      <c r="C588" s="1" t="s">
        <v>2096</v>
      </c>
      <c r="D588" s="2" t="s">
        <v>2097</v>
      </c>
      <c r="E588" s="1">
        <v>1.0</v>
      </c>
      <c r="F588" s="1">
        <v>5.2486546E7</v>
      </c>
      <c r="I588" s="1">
        <v>0.0</v>
      </c>
      <c r="J588" s="1">
        <v>367.0</v>
      </c>
      <c r="L588" s="1">
        <v>4663651.0</v>
      </c>
      <c r="Q588" s="1" t="s">
        <v>2098</v>
      </c>
      <c r="R588" s="1" t="s">
        <v>97</v>
      </c>
      <c r="S588" s="1">
        <v>3.0</v>
      </c>
      <c r="T588" s="1">
        <v>2.0</v>
      </c>
      <c r="X588" s="1" t="s">
        <v>56</v>
      </c>
      <c r="Z588" s="1" t="s">
        <v>2099</v>
      </c>
    </row>
    <row r="589">
      <c r="A589" s="3" t="str">
        <f>HYPERLINK("https://stackoverflow.com/q/52486527", "52486527")</f>
        <v>52486527</v>
      </c>
      <c r="B589" s="1" t="s">
        <v>93</v>
      </c>
      <c r="C589" s="1" t="s">
        <v>2100</v>
      </c>
      <c r="D589" s="2" t="s">
        <v>2101</v>
      </c>
      <c r="E589" s="1">
        <v>1.0</v>
      </c>
      <c r="I589" s="1">
        <v>1.0</v>
      </c>
      <c r="J589" s="1">
        <v>286.0</v>
      </c>
      <c r="L589" s="1">
        <v>2700296.0</v>
      </c>
      <c r="Q589" s="1" t="s">
        <v>2100</v>
      </c>
      <c r="R589" s="1" t="s">
        <v>2102</v>
      </c>
      <c r="S589" s="1">
        <v>0.0</v>
      </c>
      <c r="T589" s="1">
        <v>5.0</v>
      </c>
      <c r="X589" s="1" t="s">
        <v>56</v>
      </c>
    </row>
    <row r="590">
      <c r="A590" s="3" t="str">
        <f>HYPERLINK("https://stackoverflow.com/q/52497823", "52497823")</f>
        <v>52497823</v>
      </c>
      <c r="B590" s="1" t="s">
        <v>93</v>
      </c>
      <c r="C590" s="1" t="s">
        <v>2103</v>
      </c>
      <c r="D590" s="2" t="s">
        <v>2104</v>
      </c>
      <c r="E590" s="1">
        <v>1.0</v>
      </c>
      <c r="F590" s="1">
        <v>5.250003E7</v>
      </c>
      <c r="I590" s="1">
        <v>0.0</v>
      </c>
      <c r="J590" s="1">
        <v>362.0</v>
      </c>
      <c r="L590" s="1">
        <v>8843650.0</v>
      </c>
      <c r="N590" s="1">
        <v>8843650.0</v>
      </c>
      <c r="P590" s="1" t="s">
        <v>2105</v>
      </c>
      <c r="Q590" s="1" t="s">
        <v>2106</v>
      </c>
      <c r="R590" s="1" t="s">
        <v>97</v>
      </c>
      <c r="S590" s="1">
        <v>1.0</v>
      </c>
      <c r="T590" s="1">
        <v>4.0</v>
      </c>
      <c r="X590" s="1" t="s">
        <v>56</v>
      </c>
      <c r="Z590" s="1" t="s">
        <v>2106</v>
      </c>
    </row>
    <row r="591">
      <c r="A591" s="3" t="str">
        <f>HYPERLINK("https://stackoverflow.com/q/52518944", "52518944")</f>
        <v>52518944</v>
      </c>
      <c r="B591" s="1" t="s">
        <v>93</v>
      </c>
      <c r="C591" s="1" t="s">
        <v>2107</v>
      </c>
      <c r="D591" s="2" t="s">
        <v>2108</v>
      </c>
      <c r="E591" s="1">
        <v>1.0</v>
      </c>
      <c r="F591" s="1">
        <v>5.2519298E7</v>
      </c>
      <c r="I591" s="1">
        <v>0.0</v>
      </c>
      <c r="J591" s="1">
        <v>347.0</v>
      </c>
      <c r="L591" s="1">
        <v>8843650.0</v>
      </c>
      <c r="N591" s="1">
        <v>8843650.0</v>
      </c>
      <c r="P591" s="1" t="s">
        <v>2109</v>
      </c>
      <c r="Q591" s="1" t="s">
        <v>2109</v>
      </c>
      <c r="R591" s="1" t="s">
        <v>97</v>
      </c>
      <c r="S591" s="1">
        <v>1.0</v>
      </c>
      <c r="T591" s="1">
        <v>0.0</v>
      </c>
      <c r="X591" s="1" t="s">
        <v>56</v>
      </c>
      <c r="Z591" s="1" t="s">
        <v>2110</v>
      </c>
    </row>
    <row r="592">
      <c r="A592" s="3" t="str">
        <f>HYPERLINK("https://stackoverflow.com/q/52544025", "52544025")</f>
        <v>52544025</v>
      </c>
      <c r="B592" s="1" t="s">
        <v>93</v>
      </c>
      <c r="C592" s="1" t="s">
        <v>2111</v>
      </c>
      <c r="D592" s="2" t="s">
        <v>2112</v>
      </c>
      <c r="E592" s="1">
        <v>1.0</v>
      </c>
      <c r="I592" s="1">
        <v>0.0</v>
      </c>
      <c r="J592" s="1">
        <v>41.0</v>
      </c>
      <c r="L592" s="1">
        <v>1.0140587E7</v>
      </c>
      <c r="N592" s="1">
        <v>1.0140587E7</v>
      </c>
      <c r="P592" s="1" t="s">
        <v>2113</v>
      </c>
      <c r="Q592" s="1" t="s">
        <v>2114</v>
      </c>
      <c r="R592" s="1" t="s">
        <v>97</v>
      </c>
      <c r="S592" s="1">
        <v>1.0</v>
      </c>
      <c r="T592" s="1">
        <v>1.0</v>
      </c>
      <c r="X592" s="1" t="s">
        <v>56</v>
      </c>
    </row>
    <row r="593">
      <c r="A593" s="3" t="str">
        <f>HYPERLINK("https://stackoverflow.com/q/52559551", "52559551")</f>
        <v>52559551</v>
      </c>
      <c r="B593" s="1" t="s">
        <v>93</v>
      </c>
      <c r="C593" s="1" t="s">
        <v>2115</v>
      </c>
      <c r="D593" s="2" t="s">
        <v>2116</v>
      </c>
      <c r="E593" s="1">
        <v>1.0</v>
      </c>
      <c r="I593" s="1">
        <v>0.0</v>
      </c>
      <c r="J593" s="1">
        <v>241.0</v>
      </c>
      <c r="L593" s="1">
        <v>570464.0</v>
      </c>
      <c r="Q593" s="1" t="s">
        <v>2117</v>
      </c>
      <c r="R593" s="1" t="s">
        <v>97</v>
      </c>
      <c r="S593" s="1">
        <v>1.0</v>
      </c>
      <c r="T593" s="1">
        <v>0.0</v>
      </c>
      <c r="X593" s="1" t="s">
        <v>56</v>
      </c>
    </row>
    <row r="594">
      <c r="A594" s="3" t="str">
        <f>HYPERLINK("https://stackoverflow.com/q/52593036", "52593036")</f>
        <v>52593036</v>
      </c>
      <c r="B594" s="1" t="s">
        <v>93</v>
      </c>
      <c r="C594" s="1" t="s">
        <v>2118</v>
      </c>
      <c r="D594" s="2" t="s">
        <v>2119</v>
      </c>
      <c r="E594" s="1">
        <v>1.0</v>
      </c>
      <c r="I594" s="1">
        <v>0.0</v>
      </c>
      <c r="J594" s="1">
        <v>62.0</v>
      </c>
      <c r="L594" s="1">
        <v>3462852.0</v>
      </c>
      <c r="Q594" s="1" t="s">
        <v>2118</v>
      </c>
      <c r="R594" s="1" t="s">
        <v>190</v>
      </c>
      <c r="S594" s="1">
        <v>0.0</v>
      </c>
      <c r="T594" s="1">
        <v>2.0</v>
      </c>
      <c r="X594" s="1" t="s">
        <v>56</v>
      </c>
    </row>
    <row r="595">
      <c r="A595" s="3" t="str">
        <f>HYPERLINK("https://stackoverflow.com/q/52605791", "52605791")</f>
        <v>52605791</v>
      </c>
      <c r="B595" s="1" t="s">
        <v>93</v>
      </c>
      <c r="C595" s="1" t="s">
        <v>2120</v>
      </c>
      <c r="D595" s="2" t="s">
        <v>2121</v>
      </c>
      <c r="E595" s="1">
        <v>1.0</v>
      </c>
      <c r="F595" s="1">
        <v>5.2611411E7</v>
      </c>
      <c r="I595" s="1">
        <v>0.0</v>
      </c>
      <c r="J595" s="1">
        <v>180.0</v>
      </c>
      <c r="L595" s="1">
        <v>8843650.0</v>
      </c>
      <c r="Q595" s="1" t="s">
        <v>2122</v>
      </c>
      <c r="R595" s="1" t="s">
        <v>97</v>
      </c>
      <c r="S595" s="1">
        <v>1.0</v>
      </c>
      <c r="T595" s="1">
        <v>4.0</v>
      </c>
      <c r="X595" s="1" t="s">
        <v>56</v>
      </c>
      <c r="Z595" s="1" t="s">
        <v>2122</v>
      </c>
    </row>
    <row r="596">
      <c r="A596" s="3" t="str">
        <f>HYPERLINK("https://stackoverflow.com/q/52642674", "52642674")</f>
        <v>52642674</v>
      </c>
      <c r="B596" s="1" t="s">
        <v>93</v>
      </c>
      <c r="C596" s="1" t="s">
        <v>2123</v>
      </c>
      <c r="D596" s="2" t="s">
        <v>2124</v>
      </c>
      <c r="E596" s="1">
        <v>1.0</v>
      </c>
      <c r="I596" s="1">
        <v>1.0</v>
      </c>
      <c r="J596" s="1">
        <v>98.0</v>
      </c>
      <c r="L596" s="1">
        <v>1432476.0</v>
      </c>
      <c r="N596" s="1">
        <v>1432476.0</v>
      </c>
      <c r="P596" s="1" t="s">
        <v>2125</v>
      </c>
      <c r="Q596" s="1" t="s">
        <v>2126</v>
      </c>
      <c r="R596" s="1" t="s">
        <v>2127</v>
      </c>
      <c r="S596" s="1">
        <v>1.0</v>
      </c>
      <c r="T596" s="1">
        <v>3.0</v>
      </c>
      <c r="X596" s="1" t="s">
        <v>56</v>
      </c>
    </row>
    <row r="597">
      <c r="A597" s="3" t="str">
        <f>HYPERLINK("https://stackoverflow.com/q/52668100", "52668100")</f>
        <v>52668100</v>
      </c>
      <c r="B597" s="1" t="s">
        <v>93</v>
      </c>
      <c r="C597" s="1" t="s">
        <v>2128</v>
      </c>
      <c r="D597" s="2" t="s">
        <v>2129</v>
      </c>
      <c r="E597" s="1">
        <v>1.0</v>
      </c>
      <c r="I597" s="1">
        <v>0.0</v>
      </c>
      <c r="J597" s="1">
        <v>65.0</v>
      </c>
      <c r="L597" s="1">
        <v>3908242.0</v>
      </c>
      <c r="N597" s="1">
        <v>3908242.0</v>
      </c>
      <c r="P597" s="1" t="s">
        <v>2130</v>
      </c>
      <c r="Q597" s="1" t="s">
        <v>2131</v>
      </c>
      <c r="R597" s="1" t="s">
        <v>97</v>
      </c>
      <c r="S597" s="1">
        <v>1.0</v>
      </c>
      <c r="T597" s="1">
        <v>2.0</v>
      </c>
      <c r="X597" s="1" t="s">
        <v>56</v>
      </c>
    </row>
    <row r="598">
      <c r="A598" s="3" t="str">
        <f>HYPERLINK("https://stackoverflow.com/q/52706803", "52706803")</f>
        <v>52706803</v>
      </c>
      <c r="B598" s="1" t="s">
        <v>93</v>
      </c>
      <c r="C598" s="1" t="s">
        <v>2132</v>
      </c>
      <c r="D598" s="2" t="s">
        <v>2133</v>
      </c>
      <c r="E598" s="1">
        <v>1.0</v>
      </c>
      <c r="F598" s="1">
        <v>5.2711516E7</v>
      </c>
      <c r="I598" s="1">
        <v>1.0</v>
      </c>
      <c r="J598" s="1">
        <v>88.0</v>
      </c>
      <c r="L598" s="1">
        <v>8838679.0</v>
      </c>
      <c r="N598" s="1">
        <v>8838679.0</v>
      </c>
      <c r="P598" s="1" t="s">
        <v>2134</v>
      </c>
      <c r="Q598" s="1" t="s">
        <v>2135</v>
      </c>
      <c r="R598" s="1" t="s">
        <v>97</v>
      </c>
      <c r="S598" s="1">
        <v>1.0</v>
      </c>
      <c r="T598" s="1">
        <v>4.0</v>
      </c>
      <c r="X598" s="1" t="s">
        <v>56</v>
      </c>
      <c r="Z598" s="1" t="s">
        <v>2135</v>
      </c>
    </row>
    <row r="599">
      <c r="A599" s="3" t="str">
        <f>HYPERLINK("https://stackoverflow.com/q/52719697", "52719697")</f>
        <v>52719697</v>
      </c>
      <c r="B599" s="1" t="s">
        <v>93</v>
      </c>
      <c r="C599" s="1" t="s">
        <v>2136</v>
      </c>
      <c r="D599" s="2" t="s">
        <v>2137</v>
      </c>
      <c r="E599" s="1">
        <v>1.0</v>
      </c>
      <c r="I599" s="1">
        <v>0.0</v>
      </c>
      <c r="J599" s="1">
        <v>106.0</v>
      </c>
      <c r="L599" s="1">
        <v>1482652.0</v>
      </c>
      <c r="Q599" s="1" t="s">
        <v>2138</v>
      </c>
      <c r="R599" s="1" t="s">
        <v>97</v>
      </c>
      <c r="S599" s="1">
        <v>1.0</v>
      </c>
      <c r="T599" s="1">
        <v>2.0</v>
      </c>
      <c r="X599" s="1" t="s">
        <v>56</v>
      </c>
    </row>
    <row r="600">
      <c r="A600" s="3" t="str">
        <f>HYPERLINK("https://stackoverflow.com/q/52733497", "52733497")</f>
        <v>52733497</v>
      </c>
      <c r="B600" s="1" t="s">
        <v>93</v>
      </c>
      <c r="C600" s="1" t="s">
        <v>2139</v>
      </c>
      <c r="D600" s="2" t="s">
        <v>2140</v>
      </c>
      <c r="E600" s="1">
        <v>1.0</v>
      </c>
      <c r="F600" s="1">
        <v>5.2741603E7</v>
      </c>
      <c r="I600" s="1">
        <v>0.0</v>
      </c>
      <c r="J600" s="1">
        <v>423.0</v>
      </c>
      <c r="L600" s="1">
        <v>9426876.0</v>
      </c>
      <c r="Q600" s="1" t="s">
        <v>2141</v>
      </c>
      <c r="R600" s="1" t="s">
        <v>97</v>
      </c>
      <c r="S600" s="1">
        <v>1.0</v>
      </c>
      <c r="T600" s="1">
        <v>0.0</v>
      </c>
      <c r="X600" s="1" t="s">
        <v>56</v>
      </c>
      <c r="Z600" s="1" t="s">
        <v>2141</v>
      </c>
    </row>
    <row r="601">
      <c r="A601" s="3" t="str">
        <f>HYPERLINK("https://stackoverflow.com/q/52737691", "52737691")</f>
        <v>52737691</v>
      </c>
      <c r="B601" s="1" t="s">
        <v>93</v>
      </c>
      <c r="C601" s="1" t="s">
        <v>2142</v>
      </c>
      <c r="D601" s="2" t="s">
        <v>2143</v>
      </c>
      <c r="E601" s="1">
        <v>1.0</v>
      </c>
      <c r="I601" s="1">
        <v>1.0</v>
      </c>
      <c r="J601" s="1">
        <v>45.0</v>
      </c>
      <c r="L601" s="1">
        <v>1.0483431E7</v>
      </c>
      <c r="N601" s="1">
        <v>7355533.0</v>
      </c>
      <c r="P601" s="1" t="s">
        <v>2144</v>
      </c>
      <c r="Q601" s="1" t="s">
        <v>2144</v>
      </c>
      <c r="R601" s="1" t="s">
        <v>696</v>
      </c>
      <c r="S601" s="1">
        <v>0.0</v>
      </c>
      <c r="T601" s="1">
        <v>2.0</v>
      </c>
      <c r="X601" s="1" t="s">
        <v>56</v>
      </c>
    </row>
    <row r="602">
      <c r="A602" s="3" t="str">
        <f>HYPERLINK("https://stackoverflow.com/q/52744026", "52744026")</f>
        <v>52744026</v>
      </c>
      <c r="B602" s="1" t="s">
        <v>93</v>
      </c>
      <c r="C602" s="1" t="s">
        <v>2145</v>
      </c>
      <c r="D602" s="2" t="s">
        <v>2146</v>
      </c>
      <c r="E602" s="1">
        <v>1.0</v>
      </c>
      <c r="I602" s="1">
        <v>0.0</v>
      </c>
      <c r="J602" s="1">
        <v>394.0</v>
      </c>
      <c r="L602" s="1">
        <v>1.048502E7</v>
      </c>
      <c r="Q602" s="1" t="s">
        <v>2147</v>
      </c>
      <c r="R602" s="1" t="s">
        <v>2148</v>
      </c>
      <c r="S602" s="1">
        <v>1.0</v>
      </c>
      <c r="T602" s="1">
        <v>1.0</v>
      </c>
      <c r="X602" s="1" t="s">
        <v>56</v>
      </c>
    </row>
    <row r="603">
      <c r="A603" s="3" t="str">
        <f>HYPERLINK("https://stackoverflow.com/q/52753965", "52753965")</f>
        <v>52753965</v>
      </c>
      <c r="B603" s="1" t="s">
        <v>93</v>
      </c>
      <c r="C603" s="1" t="s">
        <v>2149</v>
      </c>
      <c r="D603" s="2" t="s">
        <v>2150</v>
      </c>
      <c r="E603" s="1">
        <v>1.0</v>
      </c>
      <c r="I603" s="1">
        <v>1.0</v>
      </c>
      <c r="J603" s="1">
        <v>47.0</v>
      </c>
      <c r="L603" s="1">
        <v>1.032078E7</v>
      </c>
      <c r="N603" s="1">
        <v>3235048.0</v>
      </c>
      <c r="P603" s="1" t="s">
        <v>2151</v>
      </c>
      <c r="Q603" s="1" t="s">
        <v>2151</v>
      </c>
      <c r="R603" s="1" t="s">
        <v>2152</v>
      </c>
      <c r="S603" s="1">
        <v>0.0</v>
      </c>
      <c r="T603" s="1">
        <v>0.0</v>
      </c>
      <c r="X603" s="1" t="s">
        <v>56</v>
      </c>
    </row>
    <row r="604">
      <c r="A604" s="3" t="str">
        <f>HYPERLINK("https://stackoverflow.com/q/52761661", "52761661")</f>
        <v>52761661</v>
      </c>
      <c r="B604" s="1" t="s">
        <v>93</v>
      </c>
      <c r="C604" s="1" t="s">
        <v>2153</v>
      </c>
      <c r="D604" s="2" t="s">
        <v>2154</v>
      </c>
      <c r="E604" s="1">
        <v>1.0</v>
      </c>
      <c r="F604" s="1">
        <v>5.2765114E7</v>
      </c>
      <c r="I604" s="1">
        <v>1.0</v>
      </c>
      <c r="J604" s="1">
        <v>197.0</v>
      </c>
      <c r="L604" s="1">
        <v>8602197.0</v>
      </c>
      <c r="Q604" s="1" t="s">
        <v>2155</v>
      </c>
      <c r="R604" s="1" t="s">
        <v>2156</v>
      </c>
      <c r="S604" s="1">
        <v>1.0</v>
      </c>
      <c r="T604" s="1">
        <v>0.0</v>
      </c>
      <c r="X604" s="1" t="s">
        <v>56</v>
      </c>
      <c r="Z604" s="1" t="s">
        <v>2155</v>
      </c>
    </row>
    <row r="605">
      <c r="A605" s="3" t="str">
        <f>HYPERLINK("https://stackoverflow.com/q/52776119", "52776119")</f>
        <v>52776119</v>
      </c>
      <c r="B605" s="1" t="s">
        <v>93</v>
      </c>
      <c r="C605" s="1" t="s">
        <v>2157</v>
      </c>
      <c r="D605" s="2" t="s">
        <v>2158</v>
      </c>
      <c r="E605" s="1">
        <v>1.0</v>
      </c>
      <c r="I605" s="1">
        <v>0.0</v>
      </c>
      <c r="J605" s="1">
        <v>238.0</v>
      </c>
      <c r="L605" s="1">
        <v>9674898.0</v>
      </c>
      <c r="Q605" s="1" t="s">
        <v>2159</v>
      </c>
      <c r="R605" s="1" t="s">
        <v>97</v>
      </c>
      <c r="S605" s="1">
        <v>1.0</v>
      </c>
      <c r="T605" s="1">
        <v>0.0</v>
      </c>
      <c r="X605" s="1" t="s">
        <v>56</v>
      </c>
    </row>
    <row r="606">
      <c r="A606" s="3" t="str">
        <f>HYPERLINK("https://stackoverflow.com/q/52805378", "52805378")</f>
        <v>52805378</v>
      </c>
      <c r="B606" s="1" t="s">
        <v>93</v>
      </c>
      <c r="C606" s="1" t="s">
        <v>2160</v>
      </c>
      <c r="D606" s="2" t="s">
        <v>2161</v>
      </c>
      <c r="E606" s="1">
        <v>1.0</v>
      </c>
      <c r="I606" s="1">
        <v>1.0</v>
      </c>
      <c r="J606" s="1">
        <v>689.0</v>
      </c>
      <c r="L606" s="1">
        <v>1.0503355E7</v>
      </c>
      <c r="Q606" s="1" t="s">
        <v>2162</v>
      </c>
      <c r="R606" s="1" t="s">
        <v>97</v>
      </c>
      <c r="S606" s="1">
        <v>1.0</v>
      </c>
      <c r="T606" s="1">
        <v>0.0</v>
      </c>
      <c r="X606" s="1" t="s">
        <v>56</v>
      </c>
    </row>
    <row r="607">
      <c r="A607" s="3" t="str">
        <f>HYPERLINK("https://stackoverflow.com/q/52814608", "52814608")</f>
        <v>52814608</v>
      </c>
      <c r="B607" s="1" t="s">
        <v>93</v>
      </c>
      <c r="C607" s="1" t="s">
        <v>2163</v>
      </c>
      <c r="D607" s="2" t="s">
        <v>2164</v>
      </c>
      <c r="E607" s="1">
        <v>1.0</v>
      </c>
      <c r="F607" s="1">
        <v>5.2825804E7</v>
      </c>
      <c r="I607" s="1">
        <v>2.0</v>
      </c>
      <c r="J607" s="1">
        <v>740.0</v>
      </c>
      <c r="L607" s="1">
        <v>1.0506599E7</v>
      </c>
      <c r="Q607" s="1" t="s">
        <v>2165</v>
      </c>
      <c r="R607" s="1" t="s">
        <v>97</v>
      </c>
      <c r="S607" s="1">
        <v>1.0</v>
      </c>
      <c r="T607" s="1">
        <v>1.0</v>
      </c>
      <c r="U607" s="1">
        <v>1.0</v>
      </c>
      <c r="X607" s="1" t="s">
        <v>56</v>
      </c>
      <c r="Z607" s="1" t="s">
        <v>2165</v>
      </c>
    </row>
    <row r="608">
      <c r="A608" s="3" t="str">
        <f>HYPERLINK("https://stackoverflow.com/q/52816757", "52816757")</f>
        <v>52816757</v>
      </c>
      <c r="B608" s="1" t="s">
        <v>93</v>
      </c>
      <c r="C608" s="1" t="s">
        <v>2166</v>
      </c>
      <c r="D608" s="2" t="s">
        <v>2167</v>
      </c>
      <c r="E608" s="1">
        <v>1.0</v>
      </c>
      <c r="I608" s="1">
        <v>2.0</v>
      </c>
      <c r="J608" s="1">
        <v>49.0</v>
      </c>
      <c r="L608" s="1">
        <v>6152483.0</v>
      </c>
      <c r="Q608" s="1" t="s">
        <v>2166</v>
      </c>
      <c r="R608" s="1" t="s">
        <v>97</v>
      </c>
      <c r="S608" s="1">
        <v>0.0</v>
      </c>
      <c r="T608" s="1">
        <v>2.0</v>
      </c>
      <c r="X608" s="1" t="s">
        <v>56</v>
      </c>
    </row>
    <row r="609">
      <c r="A609" s="3" t="str">
        <f>HYPERLINK("https://stackoverflow.com/q/52825572", "52825572")</f>
        <v>52825572</v>
      </c>
      <c r="B609" s="1" t="s">
        <v>93</v>
      </c>
      <c r="C609" s="1" t="s">
        <v>2168</v>
      </c>
      <c r="D609" s="2" t="s">
        <v>2169</v>
      </c>
      <c r="E609" s="1">
        <v>1.0</v>
      </c>
      <c r="I609" s="1">
        <v>0.0</v>
      </c>
      <c r="J609" s="1">
        <v>369.0</v>
      </c>
      <c r="L609" s="1">
        <v>1.0503355E7</v>
      </c>
      <c r="Q609" s="1" t="s">
        <v>2170</v>
      </c>
      <c r="R609" s="1" t="s">
        <v>97</v>
      </c>
      <c r="S609" s="1">
        <v>1.0</v>
      </c>
      <c r="T609" s="1">
        <v>2.0</v>
      </c>
      <c r="X609" s="1" t="s">
        <v>56</v>
      </c>
    </row>
    <row r="610">
      <c r="A610" s="3" t="str">
        <f>HYPERLINK("https://stackoverflow.com/q/52831801", "52831801")</f>
        <v>52831801</v>
      </c>
      <c r="B610" s="1" t="s">
        <v>93</v>
      </c>
      <c r="C610" s="1" t="s">
        <v>2171</v>
      </c>
      <c r="D610" s="2" t="s">
        <v>2172</v>
      </c>
      <c r="E610" s="1">
        <v>1.0</v>
      </c>
      <c r="F610" s="1">
        <v>5.2837634E7</v>
      </c>
      <c r="I610" s="1">
        <v>0.0</v>
      </c>
      <c r="J610" s="1">
        <v>134.0</v>
      </c>
      <c r="L610" s="1">
        <v>570464.0</v>
      </c>
      <c r="N610" s="1">
        <v>570464.0</v>
      </c>
      <c r="P610" s="1" t="s">
        <v>2173</v>
      </c>
      <c r="Q610" s="1" t="s">
        <v>2173</v>
      </c>
      <c r="R610" s="1" t="s">
        <v>2174</v>
      </c>
      <c r="S610" s="1">
        <v>1.0</v>
      </c>
      <c r="T610" s="1">
        <v>2.0</v>
      </c>
      <c r="X610" s="1" t="s">
        <v>56</v>
      </c>
      <c r="Z610" s="1" t="s">
        <v>2175</v>
      </c>
    </row>
    <row r="611">
      <c r="A611" s="3" t="str">
        <f>HYPERLINK("https://stackoverflow.com/q/52838421", "52838421")</f>
        <v>52838421</v>
      </c>
      <c r="B611" s="1" t="s">
        <v>93</v>
      </c>
      <c r="C611" s="1" t="s">
        <v>2176</v>
      </c>
      <c r="D611" s="2" t="s">
        <v>2177</v>
      </c>
      <c r="E611" s="1">
        <v>1.0</v>
      </c>
      <c r="I611" s="1">
        <v>0.0</v>
      </c>
      <c r="J611" s="1">
        <v>144.0</v>
      </c>
      <c r="L611" s="1">
        <v>9235558.0</v>
      </c>
      <c r="Q611" s="1" t="s">
        <v>2176</v>
      </c>
      <c r="R611" s="1" t="s">
        <v>2178</v>
      </c>
      <c r="S611" s="1">
        <v>0.0</v>
      </c>
      <c r="T611" s="1">
        <v>5.0</v>
      </c>
      <c r="X611" s="1" t="s">
        <v>56</v>
      </c>
    </row>
    <row r="612">
      <c r="A612" s="3" t="str">
        <f>HYPERLINK("https://stackoverflow.com/q/52840363", "52840363")</f>
        <v>52840363</v>
      </c>
      <c r="B612" s="1" t="s">
        <v>93</v>
      </c>
      <c r="C612" s="1" t="s">
        <v>2179</v>
      </c>
      <c r="D612" s="2" t="s">
        <v>2180</v>
      </c>
      <c r="E612" s="1">
        <v>1.0</v>
      </c>
      <c r="F612" s="1">
        <v>5.2840745E7</v>
      </c>
      <c r="I612" s="1">
        <v>0.0</v>
      </c>
      <c r="J612" s="1">
        <v>343.0</v>
      </c>
      <c r="L612" s="1">
        <v>1166061.0</v>
      </c>
      <c r="Q612" s="1" t="s">
        <v>2181</v>
      </c>
      <c r="R612" s="1" t="s">
        <v>97</v>
      </c>
      <c r="S612" s="1">
        <v>1.0</v>
      </c>
      <c r="T612" s="1">
        <v>4.0</v>
      </c>
      <c r="X612" s="1" t="s">
        <v>56</v>
      </c>
      <c r="Z612" s="1" t="s">
        <v>2181</v>
      </c>
    </row>
    <row r="613">
      <c r="A613" s="3" t="str">
        <f>HYPERLINK("https://stackoverflow.com/q/52843956", "52843956")</f>
        <v>52843956</v>
      </c>
      <c r="B613" s="1" t="s">
        <v>93</v>
      </c>
      <c r="C613" s="1" t="s">
        <v>2182</v>
      </c>
      <c r="D613" s="2" t="s">
        <v>2183</v>
      </c>
      <c r="E613" s="1">
        <v>1.0</v>
      </c>
      <c r="F613" s="1">
        <v>5.28445E7</v>
      </c>
      <c r="I613" s="1">
        <v>1.0</v>
      </c>
      <c r="J613" s="1">
        <v>793.0</v>
      </c>
      <c r="L613" s="1">
        <v>1166061.0</v>
      </c>
      <c r="Q613" s="1" t="s">
        <v>2184</v>
      </c>
      <c r="R613" s="1" t="s">
        <v>97</v>
      </c>
      <c r="S613" s="1">
        <v>1.0</v>
      </c>
      <c r="T613" s="1">
        <v>2.0</v>
      </c>
      <c r="X613" s="1" t="s">
        <v>56</v>
      </c>
      <c r="Z613" s="1" t="s">
        <v>2184</v>
      </c>
    </row>
    <row r="614">
      <c r="A614" s="3" t="str">
        <f>HYPERLINK("https://stackoverflow.com/q/52874947", "52874947")</f>
        <v>52874947</v>
      </c>
      <c r="B614" s="1" t="s">
        <v>93</v>
      </c>
      <c r="C614" s="1" t="s">
        <v>2185</v>
      </c>
      <c r="D614" s="2" t="s">
        <v>2186</v>
      </c>
      <c r="E614" s="1">
        <v>1.0</v>
      </c>
      <c r="I614" s="1">
        <v>0.0</v>
      </c>
      <c r="J614" s="1">
        <v>112.0</v>
      </c>
      <c r="L614" s="1">
        <v>1.0523463E7</v>
      </c>
      <c r="N614" s="1">
        <v>6408573.0</v>
      </c>
      <c r="P614" s="1" t="s">
        <v>2187</v>
      </c>
      <c r="Q614" s="1" t="s">
        <v>2188</v>
      </c>
      <c r="R614" s="1" t="s">
        <v>2189</v>
      </c>
      <c r="S614" s="1">
        <v>1.0</v>
      </c>
      <c r="T614" s="1">
        <v>0.0</v>
      </c>
      <c r="X614" s="1" t="s">
        <v>56</v>
      </c>
    </row>
    <row r="615">
      <c r="A615" s="3" t="str">
        <f>HYPERLINK("https://stackoverflow.com/q/52892670", "52892670")</f>
        <v>52892670</v>
      </c>
      <c r="B615" s="1" t="s">
        <v>93</v>
      </c>
      <c r="C615" s="1" t="s">
        <v>2190</v>
      </c>
      <c r="D615" s="2" t="s">
        <v>2191</v>
      </c>
      <c r="E615" s="1">
        <v>1.0</v>
      </c>
      <c r="I615" s="1">
        <v>0.0</v>
      </c>
      <c r="J615" s="1">
        <v>34.0</v>
      </c>
      <c r="L615" s="1">
        <v>1.0503355E7</v>
      </c>
      <c r="Q615" s="1" t="s">
        <v>2192</v>
      </c>
      <c r="R615" s="1" t="s">
        <v>97</v>
      </c>
      <c r="S615" s="1">
        <v>1.0</v>
      </c>
      <c r="T615" s="1">
        <v>0.0</v>
      </c>
      <c r="X615" s="1" t="s">
        <v>56</v>
      </c>
    </row>
    <row r="616">
      <c r="A616" s="3" t="str">
        <f>HYPERLINK("https://stackoverflow.com/q/52897466", "52897466")</f>
        <v>52897466</v>
      </c>
      <c r="B616" s="1" t="s">
        <v>93</v>
      </c>
      <c r="C616" s="1" t="s">
        <v>2193</v>
      </c>
      <c r="D616" s="2" t="s">
        <v>2194</v>
      </c>
      <c r="E616" s="1">
        <v>1.0</v>
      </c>
      <c r="I616" s="1">
        <v>1.0</v>
      </c>
      <c r="J616" s="1">
        <v>64.0</v>
      </c>
      <c r="L616" s="1">
        <v>1.0140587E7</v>
      </c>
      <c r="N616" s="1">
        <v>1.0140587E7</v>
      </c>
      <c r="P616" s="1" t="s">
        <v>2195</v>
      </c>
      <c r="Q616" s="1" t="s">
        <v>2196</v>
      </c>
      <c r="R616" s="1" t="s">
        <v>97</v>
      </c>
      <c r="S616" s="1">
        <v>2.0</v>
      </c>
      <c r="T616" s="1">
        <v>0.0</v>
      </c>
      <c r="X616" s="1" t="s">
        <v>56</v>
      </c>
    </row>
    <row r="617">
      <c r="A617" s="3" t="str">
        <f>HYPERLINK("https://stackoverflow.com/q/52898741", "52898741")</f>
        <v>52898741</v>
      </c>
      <c r="B617" s="1" t="s">
        <v>93</v>
      </c>
      <c r="C617" s="1" t="s">
        <v>2197</v>
      </c>
      <c r="D617" s="2" t="s">
        <v>2198</v>
      </c>
      <c r="E617" s="1">
        <v>1.0</v>
      </c>
      <c r="F617" s="1">
        <v>5.2899141E7</v>
      </c>
      <c r="I617" s="1">
        <v>1.0</v>
      </c>
      <c r="J617" s="1">
        <v>96.0</v>
      </c>
      <c r="L617" s="1">
        <v>1166061.0</v>
      </c>
      <c r="N617" s="1">
        <v>1166061.0</v>
      </c>
      <c r="P617" s="1" t="s">
        <v>2199</v>
      </c>
      <c r="Q617" s="1" t="s">
        <v>2199</v>
      </c>
      <c r="R617" s="1" t="s">
        <v>97</v>
      </c>
      <c r="S617" s="1">
        <v>1.0</v>
      </c>
      <c r="T617" s="1">
        <v>0.0</v>
      </c>
      <c r="X617" s="1" t="s">
        <v>56</v>
      </c>
      <c r="Z617" s="1" t="s">
        <v>2200</v>
      </c>
    </row>
    <row r="618">
      <c r="A618" s="3" t="str">
        <f>HYPERLINK("https://stackoverflow.com/q/52917737", "52917737")</f>
        <v>52917737</v>
      </c>
      <c r="B618" s="1" t="s">
        <v>93</v>
      </c>
      <c r="C618" s="1" t="s">
        <v>2201</v>
      </c>
      <c r="D618" s="2" t="s">
        <v>2202</v>
      </c>
      <c r="E618" s="1">
        <v>1.0</v>
      </c>
      <c r="F618" s="1">
        <v>5.3082674E7</v>
      </c>
      <c r="I618" s="1">
        <v>0.0</v>
      </c>
      <c r="J618" s="1">
        <v>1955.0</v>
      </c>
      <c r="L618" s="1">
        <v>6152483.0</v>
      </c>
      <c r="Q618" s="1" t="s">
        <v>2203</v>
      </c>
      <c r="R618" s="1" t="s">
        <v>97</v>
      </c>
      <c r="S618" s="1">
        <v>3.0</v>
      </c>
      <c r="T618" s="1">
        <v>0.0</v>
      </c>
      <c r="X618" s="1" t="s">
        <v>56</v>
      </c>
      <c r="Z618" s="1" t="s">
        <v>2203</v>
      </c>
    </row>
    <row r="619">
      <c r="A619" s="3" t="str">
        <f>HYPERLINK("https://stackoverflow.com/q/52919137", "52919137")</f>
        <v>52919137</v>
      </c>
      <c r="B619" s="1" t="s">
        <v>93</v>
      </c>
      <c r="C619" s="1" t="s">
        <v>2204</v>
      </c>
      <c r="D619" s="2" t="s">
        <v>2205</v>
      </c>
      <c r="E619" s="1">
        <v>1.0</v>
      </c>
      <c r="F619" s="1">
        <v>5.3788327E7</v>
      </c>
      <c r="I619" s="1">
        <v>1.0</v>
      </c>
      <c r="J619" s="1">
        <v>246.0</v>
      </c>
      <c r="L619" s="1">
        <v>1.0537394E7</v>
      </c>
      <c r="Q619" s="1" t="s">
        <v>2206</v>
      </c>
      <c r="R619" s="1" t="s">
        <v>516</v>
      </c>
      <c r="S619" s="1">
        <v>1.0</v>
      </c>
      <c r="T619" s="1">
        <v>1.0</v>
      </c>
      <c r="U619" s="1">
        <v>2.0</v>
      </c>
      <c r="X619" s="1" t="s">
        <v>56</v>
      </c>
      <c r="Z619" s="1" t="s">
        <v>2207</v>
      </c>
    </row>
    <row r="620">
      <c r="A620" s="3" t="str">
        <f>HYPERLINK("https://stackoverflow.com/q/52939680", "52939680")</f>
        <v>52939680</v>
      </c>
      <c r="B620" s="1" t="s">
        <v>93</v>
      </c>
      <c r="C620" s="1" t="s">
        <v>2208</v>
      </c>
      <c r="D620" s="2" t="s">
        <v>2209</v>
      </c>
      <c r="E620" s="1">
        <v>1.0</v>
      </c>
      <c r="F620" s="1">
        <v>5.2939784E7</v>
      </c>
      <c r="I620" s="1">
        <v>2.0</v>
      </c>
      <c r="J620" s="1">
        <v>134.0</v>
      </c>
      <c r="L620" s="1">
        <v>1.0543434E7</v>
      </c>
      <c r="Q620" s="1" t="s">
        <v>2210</v>
      </c>
      <c r="R620" s="1" t="s">
        <v>696</v>
      </c>
      <c r="S620" s="1">
        <v>1.0</v>
      </c>
      <c r="T620" s="1">
        <v>0.0</v>
      </c>
      <c r="X620" s="1" t="s">
        <v>56</v>
      </c>
      <c r="Z620" s="1" t="s">
        <v>2211</v>
      </c>
    </row>
    <row r="621">
      <c r="A621" s="3" t="str">
        <f>HYPERLINK("https://stackoverflow.com/q/52952265", "52952265")</f>
        <v>52952265</v>
      </c>
      <c r="B621" s="1" t="s">
        <v>93</v>
      </c>
      <c r="C621" s="1" t="s">
        <v>2212</v>
      </c>
      <c r="D621" s="2" t="s">
        <v>2213</v>
      </c>
      <c r="E621" s="1">
        <v>1.0</v>
      </c>
      <c r="F621" s="1">
        <v>5.3081705E7</v>
      </c>
      <c r="I621" s="1">
        <v>0.0</v>
      </c>
      <c r="J621" s="1">
        <v>62.0</v>
      </c>
      <c r="L621" s="1">
        <v>3571317.0</v>
      </c>
      <c r="Q621" s="1" t="s">
        <v>2214</v>
      </c>
      <c r="R621" s="1" t="s">
        <v>97</v>
      </c>
      <c r="S621" s="1">
        <v>1.0</v>
      </c>
      <c r="T621" s="1">
        <v>0.0</v>
      </c>
      <c r="X621" s="1" t="s">
        <v>56</v>
      </c>
      <c r="Z621" s="1" t="s">
        <v>2214</v>
      </c>
    </row>
    <row r="622">
      <c r="A622" s="3" t="str">
        <f>HYPERLINK("https://stackoverflow.com/q/52960863", "52960863")</f>
        <v>52960863</v>
      </c>
      <c r="B622" s="1" t="s">
        <v>93</v>
      </c>
      <c r="C622" s="1" t="s">
        <v>2215</v>
      </c>
      <c r="D622" s="2" t="s">
        <v>2216</v>
      </c>
      <c r="E622" s="1">
        <v>1.0</v>
      </c>
      <c r="I622" s="1">
        <v>0.0</v>
      </c>
      <c r="J622" s="1">
        <v>220.0</v>
      </c>
      <c r="L622" s="1">
        <v>9426876.0</v>
      </c>
      <c r="Q622" s="1" t="s">
        <v>2217</v>
      </c>
      <c r="R622" s="1" t="s">
        <v>2218</v>
      </c>
      <c r="S622" s="1">
        <v>1.0</v>
      </c>
      <c r="T622" s="1">
        <v>0.0</v>
      </c>
      <c r="X622" s="1" t="s">
        <v>56</v>
      </c>
    </row>
    <row r="623">
      <c r="A623" s="3" t="str">
        <f>HYPERLINK("https://stackoverflow.com/q/52961393", "52961393")</f>
        <v>52961393</v>
      </c>
      <c r="B623" s="1" t="s">
        <v>93</v>
      </c>
      <c r="C623" s="1" t="s">
        <v>2219</v>
      </c>
      <c r="D623" s="2" t="s">
        <v>2220</v>
      </c>
      <c r="E623" s="1">
        <v>1.0</v>
      </c>
      <c r="I623" s="1">
        <v>0.0</v>
      </c>
      <c r="J623" s="1">
        <v>58.0</v>
      </c>
      <c r="L623" s="1">
        <v>1.0503355E7</v>
      </c>
      <c r="Q623" s="1" t="s">
        <v>2219</v>
      </c>
      <c r="R623" s="1" t="s">
        <v>2221</v>
      </c>
      <c r="S623" s="1">
        <v>0.0</v>
      </c>
      <c r="T623" s="1">
        <v>2.0</v>
      </c>
      <c r="X623" s="1" t="s">
        <v>56</v>
      </c>
    </row>
    <row r="624">
      <c r="A624" s="3" t="str">
        <f>HYPERLINK("https://stackoverflow.com/q/53008138", "53008138")</f>
        <v>53008138</v>
      </c>
      <c r="B624" s="1" t="s">
        <v>93</v>
      </c>
      <c r="C624" s="1" t="s">
        <v>2222</v>
      </c>
      <c r="D624" s="2" t="s">
        <v>2223</v>
      </c>
      <c r="E624" s="1">
        <v>1.0</v>
      </c>
      <c r="I624" s="1">
        <v>0.0</v>
      </c>
      <c r="J624" s="1">
        <v>77.0</v>
      </c>
      <c r="L624" s="1">
        <v>3602730.0</v>
      </c>
      <c r="Q624" s="1" t="s">
        <v>2224</v>
      </c>
      <c r="R624" s="1" t="s">
        <v>97</v>
      </c>
      <c r="S624" s="1">
        <v>1.0</v>
      </c>
      <c r="T624" s="1">
        <v>0.0</v>
      </c>
      <c r="X624" s="1" t="s">
        <v>56</v>
      </c>
    </row>
    <row r="625">
      <c r="A625" s="3" t="str">
        <f>HYPERLINK("https://stackoverflow.com/q/53051838", "53051838")</f>
        <v>53051838</v>
      </c>
      <c r="B625" s="1" t="s">
        <v>93</v>
      </c>
      <c r="C625" s="1" t="s">
        <v>2225</v>
      </c>
      <c r="D625" s="2" t="s">
        <v>2226</v>
      </c>
      <c r="E625" s="1">
        <v>1.0</v>
      </c>
      <c r="I625" s="1">
        <v>0.0</v>
      </c>
      <c r="J625" s="1">
        <v>32.0</v>
      </c>
      <c r="L625" s="1">
        <v>8513942.0</v>
      </c>
      <c r="Q625" s="1" t="s">
        <v>2227</v>
      </c>
      <c r="R625" s="1" t="s">
        <v>2228</v>
      </c>
      <c r="S625" s="1">
        <v>1.0</v>
      </c>
      <c r="T625" s="1">
        <v>0.0</v>
      </c>
      <c r="X625" s="1" t="s">
        <v>56</v>
      </c>
    </row>
    <row r="626">
      <c r="A626" s="3" t="str">
        <f>HYPERLINK("https://stackoverflow.com/q/53082622", "53082622")</f>
        <v>53082622</v>
      </c>
      <c r="B626" s="1" t="s">
        <v>93</v>
      </c>
      <c r="C626" s="1" t="s">
        <v>2229</v>
      </c>
      <c r="D626" s="2" t="s">
        <v>2230</v>
      </c>
      <c r="E626" s="1">
        <v>1.0</v>
      </c>
      <c r="F626" s="1">
        <v>5.3084889E7</v>
      </c>
      <c r="I626" s="1">
        <v>0.0</v>
      </c>
      <c r="J626" s="1">
        <v>458.0</v>
      </c>
      <c r="L626" s="1">
        <v>8843650.0</v>
      </c>
      <c r="N626" s="1">
        <v>8843650.0</v>
      </c>
      <c r="P626" s="1" t="s">
        <v>2231</v>
      </c>
      <c r="Q626" s="1" t="s">
        <v>2232</v>
      </c>
      <c r="R626" s="1" t="s">
        <v>696</v>
      </c>
      <c r="S626" s="1">
        <v>1.0</v>
      </c>
      <c r="T626" s="1">
        <v>0.0</v>
      </c>
      <c r="U626" s="1">
        <v>1.0</v>
      </c>
      <c r="X626" s="1" t="s">
        <v>56</v>
      </c>
      <c r="Z626" s="1" t="s">
        <v>2232</v>
      </c>
    </row>
    <row r="627">
      <c r="A627" s="3" t="str">
        <f>HYPERLINK("https://stackoverflow.com/q/53110268", "53110268")</f>
        <v>53110268</v>
      </c>
      <c r="B627" s="1" t="s">
        <v>93</v>
      </c>
      <c r="C627" s="1" t="s">
        <v>2233</v>
      </c>
      <c r="D627" s="2" t="s">
        <v>2234</v>
      </c>
      <c r="E627" s="1">
        <v>1.0</v>
      </c>
      <c r="F627" s="1">
        <v>5.3111004E7</v>
      </c>
      <c r="I627" s="1">
        <v>0.0</v>
      </c>
      <c r="J627" s="1">
        <v>225.0</v>
      </c>
      <c r="L627" s="1">
        <v>148389.0</v>
      </c>
      <c r="Q627" s="1" t="s">
        <v>2235</v>
      </c>
      <c r="R627" s="1" t="s">
        <v>97</v>
      </c>
      <c r="S627" s="1">
        <v>1.0</v>
      </c>
      <c r="T627" s="1">
        <v>0.0</v>
      </c>
      <c r="X627" s="1" t="s">
        <v>56</v>
      </c>
      <c r="Z627" s="1" t="s">
        <v>2236</v>
      </c>
    </row>
    <row r="628">
      <c r="A628" s="3" t="str">
        <f>HYPERLINK("https://stackoverflow.com/q/53115362", "53115362")</f>
        <v>53115362</v>
      </c>
      <c r="B628" s="1" t="s">
        <v>93</v>
      </c>
      <c r="C628" s="1" t="s">
        <v>2237</v>
      </c>
      <c r="D628" s="2" t="s">
        <v>2238</v>
      </c>
      <c r="E628" s="1">
        <v>1.0</v>
      </c>
      <c r="F628" s="1">
        <v>5.3119616E7</v>
      </c>
      <c r="I628" s="1">
        <v>2.0</v>
      </c>
      <c r="J628" s="1">
        <v>836.0</v>
      </c>
      <c r="L628" s="1">
        <v>2760558.0</v>
      </c>
      <c r="Q628" s="1" t="s">
        <v>2239</v>
      </c>
      <c r="R628" s="1" t="s">
        <v>190</v>
      </c>
      <c r="S628" s="1">
        <v>1.0</v>
      </c>
      <c r="T628" s="1">
        <v>0.0</v>
      </c>
      <c r="U628" s="1">
        <v>1.0</v>
      </c>
      <c r="X628" s="1" t="s">
        <v>56</v>
      </c>
      <c r="Z628" s="1" t="s">
        <v>2239</v>
      </c>
    </row>
    <row r="629">
      <c r="A629" s="3" t="str">
        <f>HYPERLINK("https://stackoverflow.com/q/53161038", "53161038")</f>
        <v>53161038</v>
      </c>
      <c r="B629" s="1" t="s">
        <v>93</v>
      </c>
      <c r="C629" s="1" t="s">
        <v>2240</v>
      </c>
      <c r="D629" s="2" t="s">
        <v>2241</v>
      </c>
      <c r="E629" s="1">
        <v>1.0</v>
      </c>
      <c r="I629" s="1">
        <v>0.0</v>
      </c>
      <c r="J629" s="1">
        <v>80.0</v>
      </c>
      <c r="L629" s="1">
        <v>1.0609535E7</v>
      </c>
      <c r="Q629" s="1" t="s">
        <v>2240</v>
      </c>
      <c r="R629" s="1" t="s">
        <v>2242</v>
      </c>
      <c r="S629" s="1">
        <v>0.0</v>
      </c>
      <c r="T629" s="1">
        <v>5.0</v>
      </c>
      <c r="X629" s="1" t="s">
        <v>56</v>
      </c>
    </row>
    <row r="630">
      <c r="A630" s="3" t="str">
        <f>HYPERLINK("https://stackoverflow.com/q/53167215", "53167215")</f>
        <v>53167215</v>
      </c>
      <c r="B630" s="1" t="s">
        <v>93</v>
      </c>
      <c r="C630" s="1" t="s">
        <v>2243</v>
      </c>
      <c r="D630" s="2" t="s">
        <v>2244</v>
      </c>
      <c r="E630" s="1">
        <v>1.0</v>
      </c>
      <c r="F630" s="1">
        <v>5.317358E7</v>
      </c>
      <c r="I630" s="1">
        <v>1.0</v>
      </c>
      <c r="J630" s="1">
        <v>462.0</v>
      </c>
      <c r="L630" s="1">
        <v>1.0360676E7</v>
      </c>
      <c r="N630" s="1">
        <v>3064670.0</v>
      </c>
      <c r="P630" s="1" t="s">
        <v>2245</v>
      </c>
      <c r="Q630" s="1" t="s">
        <v>2246</v>
      </c>
      <c r="R630" s="1" t="s">
        <v>696</v>
      </c>
      <c r="S630" s="1">
        <v>1.0</v>
      </c>
      <c r="T630" s="1">
        <v>0.0</v>
      </c>
      <c r="X630" s="1" t="s">
        <v>56</v>
      </c>
      <c r="Z630" s="1" t="s">
        <v>2246</v>
      </c>
    </row>
    <row r="631">
      <c r="A631" s="3" t="str">
        <f>HYPERLINK("https://stackoverflow.com/q/53169033", "53169033")</f>
        <v>53169033</v>
      </c>
      <c r="B631" s="1" t="s">
        <v>93</v>
      </c>
      <c r="C631" s="1" t="s">
        <v>2247</v>
      </c>
      <c r="D631" s="2" t="s">
        <v>2248</v>
      </c>
      <c r="E631" s="1">
        <v>1.0</v>
      </c>
      <c r="F631" s="1">
        <v>5.3196018E7</v>
      </c>
      <c r="I631" s="1">
        <v>0.0</v>
      </c>
      <c r="J631" s="1">
        <v>132.0</v>
      </c>
      <c r="L631" s="1">
        <v>6185381.0</v>
      </c>
      <c r="Q631" s="1" t="s">
        <v>2249</v>
      </c>
      <c r="R631" s="1" t="s">
        <v>2250</v>
      </c>
      <c r="S631" s="1">
        <v>1.0</v>
      </c>
      <c r="T631" s="1">
        <v>0.0</v>
      </c>
      <c r="X631" s="1" t="s">
        <v>56</v>
      </c>
      <c r="Z631" s="1" t="s">
        <v>2249</v>
      </c>
    </row>
    <row r="632">
      <c r="A632" s="3" t="str">
        <f>HYPERLINK("https://stackoverflow.com/q/53171048", "53171048")</f>
        <v>53171048</v>
      </c>
      <c r="B632" s="1" t="s">
        <v>93</v>
      </c>
      <c r="C632" s="1" t="s">
        <v>2251</v>
      </c>
      <c r="D632" s="2" t="s">
        <v>2252</v>
      </c>
      <c r="E632" s="1">
        <v>1.0</v>
      </c>
      <c r="I632" s="1">
        <v>0.0</v>
      </c>
      <c r="J632" s="1">
        <v>236.0</v>
      </c>
      <c r="L632" s="1">
        <v>1764788.0</v>
      </c>
      <c r="Q632" s="1" t="s">
        <v>2251</v>
      </c>
      <c r="R632" s="1" t="s">
        <v>2253</v>
      </c>
      <c r="S632" s="1">
        <v>0.0</v>
      </c>
      <c r="T632" s="1">
        <v>2.0</v>
      </c>
      <c r="U632" s="1">
        <v>1.0</v>
      </c>
      <c r="X632" s="1" t="s">
        <v>56</v>
      </c>
    </row>
    <row r="633">
      <c r="A633" s="3" t="str">
        <f>HYPERLINK("https://stackoverflow.com/q/53173969", "53173969")</f>
        <v>53173969</v>
      </c>
      <c r="B633" s="1" t="s">
        <v>93</v>
      </c>
      <c r="C633" s="1" t="s">
        <v>2254</v>
      </c>
      <c r="D633" s="2" t="s">
        <v>2255</v>
      </c>
      <c r="E633" s="1">
        <v>1.0</v>
      </c>
      <c r="F633" s="1">
        <v>5.3174153E7</v>
      </c>
      <c r="I633" s="1">
        <v>0.0</v>
      </c>
      <c r="J633" s="1">
        <v>52.0</v>
      </c>
      <c r="L633" s="1">
        <v>1166061.0</v>
      </c>
      <c r="Q633" s="1" t="s">
        <v>2256</v>
      </c>
      <c r="R633" s="1" t="s">
        <v>97</v>
      </c>
      <c r="S633" s="1">
        <v>1.0</v>
      </c>
      <c r="T633" s="1">
        <v>2.0</v>
      </c>
      <c r="X633" s="1" t="s">
        <v>56</v>
      </c>
      <c r="Z633" s="1" t="s">
        <v>2256</v>
      </c>
    </row>
    <row r="634">
      <c r="A634" s="3" t="str">
        <f>HYPERLINK("https://stackoverflow.com/q/53174186", "53174186")</f>
        <v>53174186</v>
      </c>
      <c r="B634" s="1" t="s">
        <v>93</v>
      </c>
      <c r="C634" s="1" t="s">
        <v>2257</v>
      </c>
      <c r="D634" s="2" t="s">
        <v>2258</v>
      </c>
      <c r="E634" s="1">
        <v>1.0</v>
      </c>
      <c r="I634" s="1">
        <v>0.0</v>
      </c>
      <c r="J634" s="1">
        <v>422.0</v>
      </c>
      <c r="L634" s="1">
        <v>1.0613662E7</v>
      </c>
      <c r="N634" s="1">
        <v>1.0613662E7</v>
      </c>
      <c r="P634" s="1" t="s">
        <v>2259</v>
      </c>
      <c r="Q634" s="1" t="s">
        <v>2259</v>
      </c>
      <c r="R634" s="1" t="s">
        <v>97</v>
      </c>
      <c r="S634" s="1">
        <v>0.0</v>
      </c>
      <c r="T634" s="1">
        <v>5.0</v>
      </c>
      <c r="X634" s="1" t="s">
        <v>56</v>
      </c>
    </row>
    <row r="635">
      <c r="A635" s="3" t="str">
        <f>HYPERLINK("https://stackoverflow.com/q/53195363", "53195363")</f>
        <v>53195363</v>
      </c>
      <c r="B635" s="1" t="s">
        <v>93</v>
      </c>
      <c r="C635" s="1" t="s">
        <v>2260</v>
      </c>
      <c r="D635" s="2" t="s">
        <v>2261</v>
      </c>
      <c r="E635" s="1">
        <v>1.0</v>
      </c>
      <c r="F635" s="1">
        <v>5.319588E7</v>
      </c>
      <c r="I635" s="1">
        <v>1.0</v>
      </c>
      <c r="J635" s="1">
        <v>304.0</v>
      </c>
      <c r="L635" s="1">
        <v>1166061.0</v>
      </c>
      <c r="N635" s="1">
        <v>1166061.0</v>
      </c>
      <c r="P635" s="1" t="s">
        <v>2262</v>
      </c>
      <c r="Q635" s="1" t="s">
        <v>2263</v>
      </c>
      <c r="R635" s="1" t="s">
        <v>97</v>
      </c>
      <c r="S635" s="1">
        <v>1.0</v>
      </c>
      <c r="T635" s="1">
        <v>4.0</v>
      </c>
      <c r="X635" s="1" t="s">
        <v>56</v>
      </c>
      <c r="Z635" s="1" t="s">
        <v>2264</v>
      </c>
    </row>
    <row r="636">
      <c r="A636" s="3" t="str">
        <f>HYPERLINK("https://stackoverflow.com/q/53199680", "53199680")</f>
        <v>53199680</v>
      </c>
      <c r="B636" s="1" t="s">
        <v>93</v>
      </c>
      <c r="C636" s="1" t="s">
        <v>2265</v>
      </c>
      <c r="D636" s="2" t="s">
        <v>2266</v>
      </c>
      <c r="E636" s="1">
        <v>1.0</v>
      </c>
      <c r="F636" s="1">
        <v>5.3200445E7</v>
      </c>
      <c r="I636" s="1">
        <v>1.0</v>
      </c>
      <c r="J636" s="1">
        <v>73.0</v>
      </c>
      <c r="L636" s="1">
        <v>254201.0</v>
      </c>
      <c r="Q636" s="1" t="s">
        <v>2267</v>
      </c>
      <c r="R636" s="1" t="s">
        <v>97</v>
      </c>
      <c r="S636" s="1">
        <v>1.0</v>
      </c>
      <c r="T636" s="1">
        <v>0.0</v>
      </c>
      <c r="X636" s="1" t="s">
        <v>56</v>
      </c>
      <c r="Z636" s="1" t="s">
        <v>2268</v>
      </c>
    </row>
    <row r="637">
      <c r="A637" s="3" t="str">
        <f>HYPERLINK("https://stackoverflow.com/q/53207169", "53207169")</f>
        <v>53207169</v>
      </c>
      <c r="B637" s="1" t="s">
        <v>93</v>
      </c>
      <c r="C637" s="1" t="s">
        <v>2269</v>
      </c>
      <c r="D637" s="2" t="s">
        <v>2270</v>
      </c>
      <c r="E637" s="1">
        <v>1.0</v>
      </c>
      <c r="I637" s="1">
        <v>1.0</v>
      </c>
      <c r="J637" s="1">
        <v>104.0</v>
      </c>
      <c r="L637" s="1">
        <v>8978738.0</v>
      </c>
      <c r="Q637" s="1" t="s">
        <v>2269</v>
      </c>
      <c r="R637" s="1" t="s">
        <v>97</v>
      </c>
      <c r="S637" s="1">
        <v>0.0</v>
      </c>
      <c r="T637" s="1">
        <v>0.0</v>
      </c>
      <c r="X637" s="1" t="s">
        <v>56</v>
      </c>
    </row>
    <row r="638">
      <c r="A638" s="3" t="str">
        <f>HYPERLINK("https://stackoverflow.com/q/53207653", "53207653")</f>
        <v>53207653</v>
      </c>
      <c r="B638" s="1" t="s">
        <v>93</v>
      </c>
      <c r="C638" s="1" t="s">
        <v>2271</v>
      </c>
      <c r="D638" s="2" t="s">
        <v>2272</v>
      </c>
      <c r="E638" s="1">
        <v>1.0</v>
      </c>
      <c r="I638" s="1">
        <v>1.0</v>
      </c>
      <c r="J638" s="1">
        <v>104.0</v>
      </c>
      <c r="L638" s="1">
        <v>6152483.0</v>
      </c>
      <c r="Q638" s="1" t="s">
        <v>2273</v>
      </c>
      <c r="R638" s="1" t="s">
        <v>97</v>
      </c>
      <c r="S638" s="1">
        <v>1.0</v>
      </c>
      <c r="T638" s="1">
        <v>2.0</v>
      </c>
      <c r="X638" s="1" t="s">
        <v>56</v>
      </c>
    </row>
    <row r="639">
      <c r="A639" s="3" t="str">
        <f>HYPERLINK("https://stackoverflow.com/q/53244788", "53244788")</f>
        <v>53244788</v>
      </c>
      <c r="B639" s="1" t="s">
        <v>93</v>
      </c>
      <c r="C639" s="1" t="s">
        <v>2274</v>
      </c>
      <c r="D639" s="2" t="s">
        <v>2275</v>
      </c>
      <c r="E639" s="1">
        <v>1.0</v>
      </c>
      <c r="I639" s="1">
        <v>0.0</v>
      </c>
      <c r="J639" s="1">
        <v>33.0</v>
      </c>
      <c r="L639" s="1">
        <v>7980778.0</v>
      </c>
      <c r="Q639" s="1" t="s">
        <v>2276</v>
      </c>
      <c r="R639" s="1" t="s">
        <v>97</v>
      </c>
      <c r="S639" s="1">
        <v>1.0</v>
      </c>
      <c r="T639" s="1">
        <v>0.0</v>
      </c>
      <c r="X639" s="1" t="s">
        <v>56</v>
      </c>
    </row>
    <row r="640">
      <c r="A640" s="3" t="str">
        <f>HYPERLINK("https://stackoverflow.com/q/53258037", "53258037")</f>
        <v>53258037</v>
      </c>
      <c r="B640" s="1" t="s">
        <v>93</v>
      </c>
      <c r="C640" s="1" t="s">
        <v>2277</v>
      </c>
      <c r="D640" s="2" t="s">
        <v>2278</v>
      </c>
      <c r="E640" s="1">
        <v>1.0</v>
      </c>
      <c r="F640" s="1">
        <v>5.3258875E7</v>
      </c>
      <c r="I640" s="1">
        <v>0.0</v>
      </c>
      <c r="J640" s="1">
        <v>120.0</v>
      </c>
      <c r="L640" s="1">
        <v>1764788.0</v>
      </c>
      <c r="N640" s="1">
        <v>305319.0</v>
      </c>
      <c r="P640" s="1" t="s">
        <v>2279</v>
      </c>
      <c r="Q640" s="1" t="s">
        <v>2279</v>
      </c>
      <c r="R640" s="1" t="s">
        <v>2280</v>
      </c>
      <c r="S640" s="1">
        <v>1.0</v>
      </c>
      <c r="T640" s="1">
        <v>0.0</v>
      </c>
      <c r="X640" s="1" t="s">
        <v>56</v>
      </c>
      <c r="Z640" s="1" t="s">
        <v>2281</v>
      </c>
    </row>
    <row r="641">
      <c r="A641" s="3" t="str">
        <f>HYPERLINK("https://stackoverflow.com/q/53267924", "53267924")</f>
        <v>53267924</v>
      </c>
      <c r="B641" s="1" t="s">
        <v>93</v>
      </c>
      <c r="C641" s="1" t="s">
        <v>2282</v>
      </c>
      <c r="D641" s="2" t="s">
        <v>2283</v>
      </c>
      <c r="E641" s="1">
        <v>1.0</v>
      </c>
      <c r="F641" s="1">
        <v>5.328897E7</v>
      </c>
      <c r="I641" s="1">
        <v>2.0</v>
      </c>
      <c r="J641" s="1">
        <v>253.0</v>
      </c>
      <c r="L641" s="1">
        <v>570464.0</v>
      </c>
      <c r="Q641" s="1" t="s">
        <v>2284</v>
      </c>
      <c r="R641" s="1" t="s">
        <v>97</v>
      </c>
      <c r="S641" s="1">
        <v>1.0</v>
      </c>
      <c r="T641" s="1">
        <v>3.0</v>
      </c>
      <c r="X641" s="1" t="s">
        <v>56</v>
      </c>
      <c r="Z641" s="1" t="s">
        <v>2285</v>
      </c>
    </row>
    <row r="642">
      <c r="A642" s="3" t="str">
        <f>HYPERLINK("https://stackoverflow.com/q/53279941", "53279941")</f>
        <v>53279941</v>
      </c>
      <c r="B642" s="1" t="s">
        <v>93</v>
      </c>
      <c r="C642" s="1" t="s">
        <v>2286</v>
      </c>
      <c r="D642" s="2" t="s">
        <v>2287</v>
      </c>
      <c r="E642" s="1">
        <v>1.0</v>
      </c>
      <c r="I642" s="1">
        <v>0.0</v>
      </c>
      <c r="J642" s="1">
        <v>59.0</v>
      </c>
      <c r="L642" s="1">
        <v>7980778.0</v>
      </c>
      <c r="Q642" s="1" t="s">
        <v>2286</v>
      </c>
      <c r="R642" s="1" t="s">
        <v>97</v>
      </c>
      <c r="S642" s="1">
        <v>0.0</v>
      </c>
      <c r="T642" s="1">
        <v>2.0</v>
      </c>
      <c r="X642" s="1" t="s">
        <v>56</v>
      </c>
    </row>
    <row r="643">
      <c r="A643" s="3" t="str">
        <f>HYPERLINK("https://stackoverflow.com/q/53287555", "53287555")</f>
        <v>53287555</v>
      </c>
      <c r="B643" s="1" t="s">
        <v>93</v>
      </c>
      <c r="C643" s="1" t="s">
        <v>2288</v>
      </c>
      <c r="D643" s="2" t="s">
        <v>2289</v>
      </c>
      <c r="E643" s="1">
        <v>1.0</v>
      </c>
      <c r="I643" s="1">
        <v>1.0</v>
      </c>
      <c r="J643" s="1">
        <v>175.0</v>
      </c>
      <c r="L643" s="1">
        <v>1166061.0</v>
      </c>
      <c r="Q643" s="1" t="s">
        <v>2290</v>
      </c>
      <c r="R643" s="1" t="s">
        <v>97</v>
      </c>
      <c r="S643" s="1">
        <v>1.0</v>
      </c>
      <c r="T643" s="1">
        <v>0.0</v>
      </c>
      <c r="X643" s="1" t="s">
        <v>56</v>
      </c>
    </row>
    <row r="644">
      <c r="A644" s="3" t="str">
        <f>HYPERLINK("https://stackoverflow.com/q/53288846", "53288846")</f>
        <v>53288846</v>
      </c>
      <c r="B644" s="1" t="s">
        <v>93</v>
      </c>
      <c r="C644" s="1" t="s">
        <v>2291</v>
      </c>
      <c r="D644" s="2" t="s">
        <v>2292</v>
      </c>
      <c r="E644" s="1">
        <v>1.0</v>
      </c>
      <c r="I644" s="1">
        <v>0.0</v>
      </c>
      <c r="J644" s="1">
        <v>76.0</v>
      </c>
      <c r="L644" s="1">
        <v>82156.0</v>
      </c>
      <c r="N644" s="1">
        <v>82156.0</v>
      </c>
      <c r="P644" s="1" t="s">
        <v>2293</v>
      </c>
      <c r="Q644" s="1" t="s">
        <v>2294</v>
      </c>
      <c r="R644" s="1" t="s">
        <v>97</v>
      </c>
      <c r="S644" s="1">
        <v>1.0</v>
      </c>
      <c r="T644" s="1">
        <v>0.0</v>
      </c>
      <c r="X644" s="1" t="s">
        <v>56</v>
      </c>
    </row>
    <row r="645">
      <c r="A645" s="3" t="str">
        <f>HYPERLINK("https://stackoverflow.com/q/53290593", "53290593")</f>
        <v>53290593</v>
      </c>
      <c r="B645" s="1" t="s">
        <v>93</v>
      </c>
      <c r="C645" s="1" t="s">
        <v>2295</v>
      </c>
      <c r="D645" s="2" t="s">
        <v>2296</v>
      </c>
      <c r="E645" s="1">
        <v>1.0</v>
      </c>
      <c r="F645" s="1">
        <v>5.3291003E7</v>
      </c>
      <c r="I645" s="1">
        <v>1.0</v>
      </c>
      <c r="J645" s="1">
        <v>340.0</v>
      </c>
      <c r="L645" s="1">
        <v>1422413.0</v>
      </c>
      <c r="Q645" s="1" t="s">
        <v>2297</v>
      </c>
      <c r="R645" s="1" t="s">
        <v>2298</v>
      </c>
      <c r="S645" s="1">
        <v>1.0</v>
      </c>
      <c r="T645" s="1">
        <v>0.0</v>
      </c>
      <c r="X645" s="1" t="s">
        <v>56</v>
      </c>
      <c r="Z645" s="1" t="s">
        <v>2299</v>
      </c>
    </row>
    <row r="646">
      <c r="A646" s="3" t="str">
        <f>HYPERLINK("https://stackoverflow.com/q/53299189", "53299189")</f>
        <v>53299189</v>
      </c>
      <c r="B646" s="1" t="s">
        <v>93</v>
      </c>
      <c r="C646" s="1" t="s">
        <v>2300</v>
      </c>
      <c r="D646" s="2" t="s">
        <v>2301</v>
      </c>
      <c r="E646" s="1">
        <v>1.0</v>
      </c>
      <c r="I646" s="1">
        <v>1.0</v>
      </c>
      <c r="J646" s="1">
        <v>219.0</v>
      </c>
      <c r="L646" s="1">
        <v>1320573.0</v>
      </c>
      <c r="N646" s="1">
        <v>1320573.0</v>
      </c>
      <c r="P646" s="1" t="s">
        <v>2302</v>
      </c>
      <c r="Q646" s="1" t="s">
        <v>2303</v>
      </c>
      <c r="R646" s="1" t="s">
        <v>190</v>
      </c>
      <c r="S646" s="1">
        <v>1.0</v>
      </c>
      <c r="T646" s="1">
        <v>2.0</v>
      </c>
      <c r="X646" s="1" t="s">
        <v>56</v>
      </c>
    </row>
    <row r="647">
      <c r="A647" s="3" t="str">
        <f>HYPERLINK("https://stackoverflow.com/q/53305663", "53305663")</f>
        <v>53305663</v>
      </c>
      <c r="B647" s="1" t="s">
        <v>93</v>
      </c>
      <c r="C647" s="1" t="s">
        <v>2304</v>
      </c>
      <c r="D647" s="2" t="s">
        <v>2305</v>
      </c>
      <c r="E647" s="1">
        <v>1.0</v>
      </c>
      <c r="I647" s="1">
        <v>0.0</v>
      </c>
      <c r="J647" s="1">
        <v>400.0</v>
      </c>
      <c r="L647" s="1">
        <v>1166061.0</v>
      </c>
      <c r="Q647" s="1" t="s">
        <v>2304</v>
      </c>
      <c r="R647" s="1" t="s">
        <v>97</v>
      </c>
      <c r="S647" s="1">
        <v>0.0</v>
      </c>
      <c r="T647" s="1">
        <v>2.0</v>
      </c>
      <c r="X647" s="1" t="s">
        <v>56</v>
      </c>
    </row>
    <row r="648">
      <c r="A648" s="3" t="str">
        <f>HYPERLINK("https://stackoverflow.com/q/53326262", "53326262")</f>
        <v>53326262</v>
      </c>
      <c r="B648" s="1" t="s">
        <v>93</v>
      </c>
      <c r="C648" s="1" t="s">
        <v>2306</v>
      </c>
      <c r="D648" s="2" t="s">
        <v>2307</v>
      </c>
      <c r="E648" s="1">
        <v>1.0</v>
      </c>
      <c r="I648" s="1">
        <v>0.0</v>
      </c>
      <c r="J648" s="1">
        <v>133.0</v>
      </c>
      <c r="L648" s="1">
        <v>1166061.0</v>
      </c>
      <c r="Q648" s="1" t="s">
        <v>2306</v>
      </c>
      <c r="R648" s="1" t="s">
        <v>97</v>
      </c>
      <c r="S648" s="1">
        <v>0.0</v>
      </c>
      <c r="T648" s="1">
        <v>3.0</v>
      </c>
      <c r="X648" s="1" t="s">
        <v>56</v>
      </c>
    </row>
    <row r="649">
      <c r="A649" s="3" t="str">
        <f>HYPERLINK("https://stackoverflow.com/q/53344801", "53344801")</f>
        <v>53344801</v>
      </c>
      <c r="B649" s="1" t="s">
        <v>93</v>
      </c>
      <c r="C649" s="1" t="s">
        <v>2308</v>
      </c>
      <c r="D649" s="2" t="s">
        <v>2309</v>
      </c>
      <c r="E649" s="1">
        <v>1.0</v>
      </c>
      <c r="I649" s="1">
        <v>0.0</v>
      </c>
      <c r="J649" s="1">
        <v>131.0</v>
      </c>
      <c r="L649" s="1">
        <v>1166061.0</v>
      </c>
      <c r="Q649" s="1" t="s">
        <v>2310</v>
      </c>
      <c r="R649" s="1" t="s">
        <v>97</v>
      </c>
      <c r="S649" s="1">
        <v>1.0</v>
      </c>
      <c r="T649" s="1">
        <v>0.0</v>
      </c>
      <c r="X649" s="1" t="s">
        <v>56</v>
      </c>
    </row>
    <row r="650">
      <c r="A650" s="3" t="str">
        <f>HYPERLINK("https://stackoverflow.com/q/53433521", "53433521")</f>
        <v>53433521</v>
      </c>
      <c r="B650" s="1" t="s">
        <v>93</v>
      </c>
      <c r="C650" s="1" t="s">
        <v>2311</v>
      </c>
      <c r="D650" s="2" t="s">
        <v>2312</v>
      </c>
      <c r="E650" s="1">
        <v>1.0</v>
      </c>
      <c r="I650" s="1">
        <v>0.0</v>
      </c>
      <c r="J650" s="1">
        <v>245.0</v>
      </c>
      <c r="L650" s="1">
        <v>1.0691545E7</v>
      </c>
      <c r="Q650" s="1" t="s">
        <v>2313</v>
      </c>
      <c r="R650" s="1" t="s">
        <v>2314</v>
      </c>
      <c r="S650" s="1">
        <v>1.0</v>
      </c>
      <c r="T650" s="1">
        <v>3.0</v>
      </c>
      <c r="X650" s="1" t="s">
        <v>56</v>
      </c>
    </row>
    <row r="651">
      <c r="A651" s="3" t="str">
        <f>HYPERLINK("https://stackoverflow.com/q/53439446", "53439446")</f>
        <v>53439446</v>
      </c>
      <c r="B651" s="1" t="s">
        <v>93</v>
      </c>
      <c r="C651" s="1" t="s">
        <v>2315</v>
      </c>
      <c r="D651" s="2" t="s">
        <v>2316</v>
      </c>
      <c r="E651" s="1">
        <v>1.0</v>
      </c>
      <c r="F651" s="1">
        <v>5.3574133E7</v>
      </c>
      <c r="I651" s="1">
        <v>1.0</v>
      </c>
      <c r="J651" s="1">
        <v>237.0</v>
      </c>
      <c r="L651" s="1">
        <v>1.0348834E7</v>
      </c>
      <c r="N651" s="1">
        <v>5983596.0</v>
      </c>
      <c r="P651" s="1" t="s">
        <v>2317</v>
      </c>
      <c r="Q651" s="1" t="s">
        <v>2318</v>
      </c>
      <c r="R651" s="1" t="s">
        <v>696</v>
      </c>
      <c r="S651" s="1">
        <v>1.0</v>
      </c>
      <c r="T651" s="1">
        <v>6.0</v>
      </c>
      <c r="X651" s="1" t="s">
        <v>56</v>
      </c>
      <c r="Z651" s="1" t="s">
        <v>2318</v>
      </c>
    </row>
    <row r="652">
      <c r="A652" s="3" t="str">
        <f>HYPERLINK("https://stackoverflow.com/q/53486490", "53486490")</f>
        <v>53486490</v>
      </c>
      <c r="B652" s="1" t="s">
        <v>93</v>
      </c>
      <c r="C652" s="1" t="s">
        <v>2319</v>
      </c>
      <c r="D652" s="2" t="s">
        <v>2320</v>
      </c>
      <c r="E652" s="1">
        <v>1.0</v>
      </c>
      <c r="I652" s="1">
        <v>0.0</v>
      </c>
      <c r="J652" s="1">
        <v>77.0</v>
      </c>
      <c r="L652" s="1">
        <v>1.0707678E7</v>
      </c>
      <c r="Q652" s="1" t="s">
        <v>2321</v>
      </c>
      <c r="R652" s="1" t="s">
        <v>2322</v>
      </c>
      <c r="S652" s="1">
        <v>1.0</v>
      </c>
      <c r="T652" s="1">
        <v>0.0</v>
      </c>
      <c r="X652" s="1" t="s">
        <v>56</v>
      </c>
    </row>
    <row r="653">
      <c r="A653" s="3" t="str">
        <f>HYPERLINK("https://stackoverflow.com/q/53487133", "53487133")</f>
        <v>53487133</v>
      </c>
      <c r="B653" s="1" t="s">
        <v>93</v>
      </c>
      <c r="C653" s="1" t="s">
        <v>2323</v>
      </c>
      <c r="D653" s="2" t="s">
        <v>2324</v>
      </c>
      <c r="E653" s="1">
        <v>1.0</v>
      </c>
      <c r="I653" s="1">
        <v>1.0</v>
      </c>
      <c r="J653" s="1">
        <v>386.0</v>
      </c>
      <c r="L653" s="1">
        <v>1.0707873E7</v>
      </c>
      <c r="N653" s="1">
        <v>3025856.0</v>
      </c>
      <c r="P653" s="1" t="s">
        <v>2325</v>
      </c>
      <c r="Q653" s="1" t="s">
        <v>2325</v>
      </c>
      <c r="R653" s="1" t="s">
        <v>97</v>
      </c>
      <c r="S653" s="1">
        <v>1.0</v>
      </c>
      <c r="T653" s="1">
        <v>2.0</v>
      </c>
      <c r="X653" s="1" t="s">
        <v>56</v>
      </c>
    </row>
    <row r="654">
      <c r="A654" s="3" t="str">
        <f>HYPERLINK("https://stackoverflow.com/q/53499572", "53499572")</f>
        <v>53499572</v>
      </c>
      <c r="B654" s="1" t="s">
        <v>93</v>
      </c>
      <c r="C654" s="1" t="s">
        <v>2326</v>
      </c>
      <c r="D654" s="2" t="s">
        <v>2327</v>
      </c>
      <c r="E654" s="1">
        <v>1.0</v>
      </c>
      <c r="I654" s="1">
        <v>0.0</v>
      </c>
      <c r="J654" s="1">
        <v>24.0</v>
      </c>
      <c r="L654" s="1">
        <v>7773519.0</v>
      </c>
      <c r="Q654" s="1" t="s">
        <v>2326</v>
      </c>
      <c r="R654" s="1" t="s">
        <v>1285</v>
      </c>
      <c r="S654" s="1">
        <v>0.0</v>
      </c>
      <c r="T654" s="1">
        <v>2.0</v>
      </c>
      <c r="X654" s="1" t="s">
        <v>56</v>
      </c>
    </row>
    <row r="655">
      <c r="A655" s="3" t="str">
        <f>HYPERLINK("https://stackoverflow.com/q/53513775", "53513775")</f>
        <v>53513775</v>
      </c>
      <c r="B655" s="1" t="s">
        <v>93</v>
      </c>
      <c r="C655" s="1" t="s">
        <v>2328</v>
      </c>
      <c r="D655" s="2" t="s">
        <v>2329</v>
      </c>
      <c r="E655" s="1">
        <v>1.0</v>
      </c>
      <c r="I655" s="1">
        <v>0.0</v>
      </c>
      <c r="J655" s="1">
        <v>101.0</v>
      </c>
      <c r="L655" s="1">
        <v>7773519.0</v>
      </c>
      <c r="Q655" s="1" t="s">
        <v>2330</v>
      </c>
      <c r="R655" s="1" t="s">
        <v>97</v>
      </c>
      <c r="S655" s="1">
        <v>1.0</v>
      </c>
      <c r="T655" s="1">
        <v>0.0</v>
      </c>
      <c r="X655" s="1" t="s">
        <v>56</v>
      </c>
    </row>
    <row r="656">
      <c r="A656" s="3" t="str">
        <f>HYPERLINK("https://stackoverflow.com/q/53518146", "53518146")</f>
        <v>53518146</v>
      </c>
      <c r="B656" s="1" t="s">
        <v>93</v>
      </c>
      <c r="C656" s="1" t="s">
        <v>2331</v>
      </c>
      <c r="D656" s="2" t="s">
        <v>2332</v>
      </c>
      <c r="E656" s="1">
        <v>1.0</v>
      </c>
      <c r="F656" s="1">
        <v>5.3521446E7</v>
      </c>
      <c r="I656" s="1">
        <v>0.0</v>
      </c>
      <c r="J656" s="1">
        <v>48.0</v>
      </c>
      <c r="L656" s="1">
        <v>1764788.0</v>
      </c>
      <c r="Q656" s="1" t="s">
        <v>2333</v>
      </c>
      <c r="R656" s="1" t="s">
        <v>2334</v>
      </c>
      <c r="S656" s="1">
        <v>1.0</v>
      </c>
      <c r="T656" s="1">
        <v>0.0</v>
      </c>
      <c r="X656" s="1" t="s">
        <v>56</v>
      </c>
      <c r="Z656" s="1" t="s">
        <v>2333</v>
      </c>
    </row>
    <row r="657">
      <c r="A657" s="3" t="str">
        <f>HYPERLINK("https://stackoverflow.com/q/53528663", "53528663")</f>
        <v>53528663</v>
      </c>
      <c r="B657" s="1" t="s">
        <v>93</v>
      </c>
      <c r="C657" s="1" t="s">
        <v>2335</v>
      </c>
      <c r="D657" s="2" t="s">
        <v>2336</v>
      </c>
      <c r="E657" s="1">
        <v>1.0</v>
      </c>
      <c r="I657" s="1">
        <v>2.0</v>
      </c>
      <c r="J657" s="1">
        <v>237.0</v>
      </c>
      <c r="L657" s="1">
        <v>1764788.0</v>
      </c>
      <c r="Q657" s="1" t="s">
        <v>2335</v>
      </c>
      <c r="R657" s="1" t="s">
        <v>2337</v>
      </c>
      <c r="S657" s="1">
        <v>0.0</v>
      </c>
      <c r="T657" s="1">
        <v>5.0</v>
      </c>
      <c r="X657" s="1" t="s">
        <v>56</v>
      </c>
    </row>
    <row r="658">
      <c r="A658" s="3" t="str">
        <f>HYPERLINK("https://stackoverflow.com/q/53534973", "53534973")</f>
        <v>53534973</v>
      </c>
      <c r="B658" s="1" t="s">
        <v>93</v>
      </c>
      <c r="C658" s="1" t="s">
        <v>2338</v>
      </c>
      <c r="D658" s="2" t="s">
        <v>2339</v>
      </c>
      <c r="E658" s="1">
        <v>1.0</v>
      </c>
      <c r="I658" s="1">
        <v>0.0</v>
      </c>
      <c r="J658" s="1">
        <v>80.0</v>
      </c>
      <c r="L658" s="1">
        <v>1.0721394E7</v>
      </c>
      <c r="Q658" s="1" t="s">
        <v>2340</v>
      </c>
      <c r="R658" s="1" t="s">
        <v>97</v>
      </c>
      <c r="S658" s="1">
        <v>1.0</v>
      </c>
      <c r="T658" s="1">
        <v>0.0</v>
      </c>
      <c r="X658" s="1" t="s">
        <v>56</v>
      </c>
    </row>
    <row r="659">
      <c r="A659" s="3" t="str">
        <f>HYPERLINK("https://stackoverflow.com/q/53571219", "53571219")</f>
        <v>53571219</v>
      </c>
      <c r="B659" s="1" t="s">
        <v>93</v>
      </c>
      <c r="C659" s="1" t="s">
        <v>2341</v>
      </c>
      <c r="D659" s="2" t="s">
        <v>2342</v>
      </c>
      <c r="E659" s="1">
        <v>1.0</v>
      </c>
      <c r="I659" s="1">
        <v>0.0</v>
      </c>
      <c r="J659" s="1">
        <v>59.0</v>
      </c>
      <c r="L659" s="1">
        <v>1.0731728E7</v>
      </c>
      <c r="Q659" s="1" t="s">
        <v>2343</v>
      </c>
      <c r="R659" s="1" t="s">
        <v>97</v>
      </c>
      <c r="S659" s="1">
        <v>1.0</v>
      </c>
      <c r="T659" s="1">
        <v>0.0</v>
      </c>
      <c r="X659" s="1" t="s">
        <v>56</v>
      </c>
    </row>
    <row r="660">
      <c r="A660" s="3" t="str">
        <f>HYPERLINK("https://stackoverflow.com/q/53577204", "53577204")</f>
        <v>53577204</v>
      </c>
      <c r="B660" s="1" t="s">
        <v>93</v>
      </c>
      <c r="C660" s="1" t="s">
        <v>2344</v>
      </c>
      <c r="D660" s="2" t="s">
        <v>2345</v>
      </c>
      <c r="E660" s="1">
        <v>1.0</v>
      </c>
      <c r="I660" s="1">
        <v>0.0</v>
      </c>
      <c r="J660" s="1">
        <v>300.0</v>
      </c>
      <c r="L660" s="1">
        <v>1764788.0</v>
      </c>
      <c r="Q660" s="1" t="s">
        <v>2346</v>
      </c>
      <c r="R660" s="1" t="s">
        <v>2347</v>
      </c>
      <c r="S660" s="1">
        <v>1.0</v>
      </c>
      <c r="T660" s="1">
        <v>1.0</v>
      </c>
      <c r="U660" s="1">
        <v>1.0</v>
      </c>
      <c r="X660" s="1" t="s">
        <v>56</v>
      </c>
    </row>
    <row r="661">
      <c r="A661" s="3" t="str">
        <f>HYPERLINK("https://stackoverflow.com/q/53582460", "53582460")</f>
        <v>53582460</v>
      </c>
      <c r="B661" s="1" t="s">
        <v>93</v>
      </c>
      <c r="C661" s="1" t="s">
        <v>2348</v>
      </c>
      <c r="D661" s="2" t="s">
        <v>2349</v>
      </c>
      <c r="E661" s="1">
        <v>1.0</v>
      </c>
      <c r="I661" s="1">
        <v>0.0</v>
      </c>
      <c r="J661" s="1">
        <v>119.0</v>
      </c>
      <c r="L661" s="1">
        <v>896880.0</v>
      </c>
      <c r="Q661" s="1" t="s">
        <v>2348</v>
      </c>
      <c r="R661" s="1" t="s">
        <v>97</v>
      </c>
      <c r="S661" s="1">
        <v>0.0</v>
      </c>
      <c r="T661" s="1">
        <v>2.0</v>
      </c>
      <c r="X661" s="1" t="s">
        <v>56</v>
      </c>
    </row>
    <row r="662">
      <c r="A662" s="3" t="str">
        <f>HYPERLINK("https://stackoverflow.com/q/53618469", "53618469")</f>
        <v>53618469</v>
      </c>
      <c r="B662" s="1" t="s">
        <v>93</v>
      </c>
      <c r="C662" s="1" t="s">
        <v>2350</v>
      </c>
      <c r="D662" s="2" t="s">
        <v>2351</v>
      </c>
      <c r="E662" s="1">
        <v>1.0</v>
      </c>
      <c r="F662" s="1">
        <v>5.3619112E7</v>
      </c>
      <c r="I662" s="1">
        <v>0.0</v>
      </c>
      <c r="J662" s="1">
        <v>83.0</v>
      </c>
      <c r="L662" s="1">
        <v>6408940.0</v>
      </c>
      <c r="Q662" s="1" t="s">
        <v>2352</v>
      </c>
      <c r="R662" s="1" t="s">
        <v>97</v>
      </c>
      <c r="S662" s="1">
        <v>1.0</v>
      </c>
      <c r="T662" s="1">
        <v>0.0</v>
      </c>
      <c r="X662" s="1" t="s">
        <v>56</v>
      </c>
      <c r="Z662" s="1" t="s">
        <v>2352</v>
      </c>
    </row>
    <row r="663">
      <c r="A663" s="3" t="str">
        <f>HYPERLINK("https://stackoverflow.com/q/53662108", "53662108")</f>
        <v>53662108</v>
      </c>
      <c r="B663" s="1" t="s">
        <v>93</v>
      </c>
      <c r="C663" s="1" t="s">
        <v>2353</v>
      </c>
      <c r="D663" s="2" t="s">
        <v>2354</v>
      </c>
      <c r="E663" s="1">
        <v>1.0</v>
      </c>
      <c r="F663" s="1">
        <v>5.3662532E7</v>
      </c>
      <c r="I663" s="1">
        <v>1.0</v>
      </c>
      <c r="J663" s="1">
        <v>66.0</v>
      </c>
      <c r="L663" s="1">
        <v>1.0348834E7</v>
      </c>
      <c r="Q663" s="1" t="s">
        <v>2355</v>
      </c>
      <c r="R663" s="1" t="s">
        <v>696</v>
      </c>
      <c r="S663" s="1">
        <v>1.0</v>
      </c>
      <c r="T663" s="1">
        <v>0.0</v>
      </c>
      <c r="X663" s="1" t="s">
        <v>56</v>
      </c>
      <c r="Z663" s="1" t="s">
        <v>2355</v>
      </c>
    </row>
    <row r="664">
      <c r="A664" s="3" t="str">
        <f>HYPERLINK("https://stackoverflow.com/q/53677413", "53677413")</f>
        <v>53677413</v>
      </c>
      <c r="B664" s="1" t="s">
        <v>93</v>
      </c>
      <c r="C664" s="1" t="s">
        <v>2356</v>
      </c>
      <c r="D664" s="2" t="s">
        <v>2357</v>
      </c>
      <c r="E664" s="1">
        <v>1.0</v>
      </c>
      <c r="I664" s="1">
        <v>0.0</v>
      </c>
      <c r="J664" s="1">
        <v>65.0</v>
      </c>
      <c r="L664" s="1">
        <v>1.0761937E7</v>
      </c>
      <c r="Q664" s="1" t="s">
        <v>2358</v>
      </c>
      <c r="R664" s="1" t="s">
        <v>97</v>
      </c>
      <c r="S664" s="1">
        <v>1.0</v>
      </c>
      <c r="T664" s="1">
        <v>0.0</v>
      </c>
      <c r="X664" s="1" t="s">
        <v>56</v>
      </c>
    </row>
    <row r="665">
      <c r="A665" s="3" t="str">
        <f>HYPERLINK("https://stackoverflow.com/q/53743401", "53743401")</f>
        <v>53743401</v>
      </c>
      <c r="B665" s="1" t="s">
        <v>93</v>
      </c>
      <c r="C665" s="1" t="s">
        <v>2359</v>
      </c>
      <c r="D665" s="2" t="s">
        <v>2360</v>
      </c>
      <c r="E665" s="1">
        <v>1.0</v>
      </c>
      <c r="I665" s="1">
        <v>0.0</v>
      </c>
      <c r="J665" s="1">
        <v>70.0</v>
      </c>
      <c r="L665" s="1">
        <v>7035120.0</v>
      </c>
      <c r="N665" s="1">
        <v>20057.0</v>
      </c>
      <c r="P665" s="1" t="s">
        <v>2361</v>
      </c>
      <c r="Q665" s="1" t="s">
        <v>2361</v>
      </c>
      <c r="R665" s="1" t="s">
        <v>97</v>
      </c>
      <c r="S665" s="1">
        <v>0.0</v>
      </c>
      <c r="T665" s="1">
        <v>3.0</v>
      </c>
      <c r="X665" s="1" t="s">
        <v>56</v>
      </c>
    </row>
    <row r="666">
      <c r="A666" s="3" t="str">
        <f>HYPERLINK("https://stackoverflow.com/q/53748256", "53748256")</f>
        <v>53748256</v>
      </c>
      <c r="B666" s="1" t="s">
        <v>93</v>
      </c>
      <c r="C666" s="1" t="s">
        <v>2362</v>
      </c>
      <c r="D666" s="2" t="s">
        <v>2363</v>
      </c>
      <c r="E666" s="1">
        <v>1.0</v>
      </c>
      <c r="F666" s="1">
        <v>5.3750502E7</v>
      </c>
      <c r="I666" s="1">
        <v>0.0</v>
      </c>
      <c r="J666" s="1">
        <v>143.0</v>
      </c>
      <c r="L666" s="1">
        <v>1166061.0</v>
      </c>
      <c r="Q666" s="1" t="s">
        <v>2364</v>
      </c>
      <c r="R666" s="1" t="s">
        <v>97</v>
      </c>
      <c r="S666" s="1">
        <v>1.0</v>
      </c>
      <c r="T666" s="1">
        <v>0.0</v>
      </c>
      <c r="X666" s="1" t="s">
        <v>56</v>
      </c>
      <c r="Z666" s="1" t="s">
        <v>2364</v>
      </c>
    </row>
    <row r="667">
      <c r="A667" s="3" t="str">
        <f>HYPERLINK("https://stackoverflow.com/q/53755821", "53755821")</f>
        <v>53755821</v>
      </c>
      <c r="B667" s="1" t="s">
        <v>93</v>
      </c>
      <c r="C667" s="1" t="s">
        <v>2365</v>
      </c>
      <c r="D667" s="2" t="s">
        <v>2366</v>
      </c>
      <c r="E667" s="1">
        <v>1.0</v>
      </c>
      <c r="F667" s="1">
        <v>5.3778543E7</v>
      </c>
      <c r="I667" s="1">
        <v>0.0</v>
      </c>
      <c r="J667" s="1">
        <v>448.0</v>
      </c>
      <c r="M667" s="1" t="s">
        <v>2367</v>
      </c>
      <c r="N667" s="1">
        <v>19068.0</v>
      </c>
      <c r="P667" s="1" t="s">
        <v>2368</v>
      </c>
      <c r="Q667" s="1" t="s">
        <v>2368</v>
      </c>
      <c r="R667" s="1" t="s">
        <v>947</v>
      </c>
      <c r="S667" s="1">
        <v>1.0</v>
      </c>
      <c r="T667" s="1">
        <v>2.0</v>
      </c>
      <c r="X667" s="1" t="s">
        <v>56</v>
      </c>
      <c r="Z667" s="1" t="s">
        <v>2369</v>
      </c>
    </row>
    <row r="668">
      <c r="A668" s="3" t="str">
        <f>HYPERLINK("https://stackoverflow.com/q/53808662", "53808662")</f>
        <v>53808662</v>
      </c>
      <c r="B668" s="1" t="s">
        <v>93</v>
      </c>
      <c r="C668" s="1" t="s">
        <v>2370</v>
      </c>
      <c r="D668" s="2" t="s">
        <v>2371</v>
      </c>
      <c r="E668" s="1">
        <v>1.0</v>
      </c>
      <c r="F668" s="1">
        <v>5.3836022E7</v>
      </c>
      <c r="I668" s="1">
        <v>1.0</v>
      </c>
      <c r="J668" s="1">
        <v>93.0</v>
      </c>
      <c r="L668" s="1">
        <v>1.0159321E7</v>
      </c>
      <c r="N668" s="1">
        <v>1.0159321E7</v>
      </c>
      <c r="P668" s="1" t="s">
        <v>2372</v>
      </c>
      <c r="Q668" s="1" t="s">
        <v>2373</v>
      </c>
      <c r="R668" s="1" t="s">
        <v>97</v>
      </c>
      <c r="S668" s="1">
        <v>1.0</v>
      </c>
      <c r="T668" s="1">
        <v>3.0</v>
      </c>
      <c r="X668" s="1" t="s">
        <v>56</v>
      </c>
      <c r="Z668" s="1" t="s">
        <v>2373</v>
      </c>
    </row>
    <row r="669">
      <c r="A669" s="3" t="str">
        <f>HYPERLINK("https://stackoverflow.com/q/53821137", "53821137")</f>
        <v>53821137</v>
      </c>
      <c r="B669" s="1" t="s">
        <v>93</v>
      </c>
      <c r="C669" s="1" t="s">
        <v>2374</v>
      </c>
      <c r="D669" s="2" t="s">
        <v>2375</v>
      </c>
      <c r="E669" s="1">
        <v>1.0</v>
      </c>
      <c r="F669" s="1">
        <v>5.3969139E7</v>
      </c>
      <c r="I669" s="1">
        <v>0.0</v>
      </c>
      <c r="J669" s="1">
        <v>54.0</v>
      </c>
      <c r="L669" s="1">
        <v>7230442.0</v>
      </c>
      <c r="N669" s="1">
        <v>4496023.0</v>
      </c>
      <c r="P669" s="1" t="s">
        <v>2376</v>
      </c>
      <c r="Q669" s="1" t="s">
        <v>2377</v>
      </c>
      <c r="R669" s="1" t="s">
        <v>97</v>
      </c>
      <c r="S669" s="1">
        <v>1.0</v>
      </c>
      <c r="T669" s="1">
        <v>2.0</v>
      </c>
      <c r="X669" s="1" t="s">
        <v>56</v>
      </c>
      <c r="Z669" s="1" t="s">
        <v>2377</v>
      </c>
    </row>
    <row r="670">
      <c r="A670" s="3" t="str">
        <f>HYPERLINK("https://stackoverflow.com/q/53826899", "53826899")</f>
        <v>53826899</v>
      </c>
      <c r="B670" s="1" t="s">
        <v>93</v>
      </c>
      <c r="C670" s="1" t="s">
        <v>2378</v>
      </c>
      <c r="D670" s="2" t="s">
        <v>2379</v>
      </c>
      <c r="E670" s="1">
        <v>1.0</v>
      </c>
      <c r="I670" s="1">
        <v>0.0</v>
      </c>
      <c r="J670" s="1">
        <v>40.0</v>
      </c>
      <c r="L670" s="1">
        <v>1.0140587E7</v>
      </c>
      <c r="Q670" s="1" t="s">
        <v>2380</v>
      </c>
      <c r="R670" s="1" t="s">
        <v>97</v>
      </c>
      <c r="S670" s="1">
        <v>1.0</v>
      </c>
      <c r="T670" s="1">
        <v>0.0</v>
      </c>
      <c r="X670" s="1" t="s">
        <v>56</v>
      </c>
    </row>
    <row r="671">
      <c r="A671" s="3" t="str">
        <f>HYPERLINK("https://stackoverflow.com/q/53843783", "53843783")</f>
        <v>53843783</v>
      </c>
      <c r="B671" s="1" t="s">
        <v>93</v>
      </c>
      <c r="C671" s="1" t="s">
        <v>2381</v>
      </c>
      <c r="D671" s="2" t="s">
        <v>2382</v>
      </c>
      <c r="E671" s="1">
        <v>1.0</v>
      </c>
      <c r="I671" s="1">
        <v>0.0</v>
      </c>
      <c r="J671" s="1">
        <v>70.0</v>
      </c>
      <c r="L671" s="1">
        <v>1.0808817E7</v>
      </c>
      <c r="Q671" s="1" t="s">
        <v>2383</v>
      </c>
      <c r="R671" s="1" t="s">
        <v>97</v>
      </c>
      <c r="S671" s="1">
        <v>1.0</v>
      </c>
      <c r="T671" s="1">
        <v>0.0</v>
      </c>
      <c r="X671" s="1" t="s">
        <v>56</v>
      </c>
    </row>
    <row r="672">
      <c r="A672" s="3" t="str">
        <f>HYPERLINK("https://stackoverflow.com/q/53862192", "53862192")</f>
        <v>53862192</v>
      </c>
      <c r="B672" s="1" t="s">
        <v>93</v>
      </c>
      <c r="C672" s="1" t="s">
        <v>2384</v>
      </c>
      <c r="D672" s="2" t="s">
        <v>2385</v>
      </c>
      <c r="E672" s="1">
        <v>1.0</v>
      </c>
      <c r="F672" s="1">
        <v>5.3862871E7</v>
      </c>
      <c r="I672" s="1">
        <v>0.0</v>
      </c>
      <c r="J672" s="1">
        <v>68.0</v>
      </c>
      <c r="L672" s="1">
        <v>9426876.0</v>
      </c>
      <c r="Q672" s="1" t="s">
        <v>2386</v>
      </c>
      <c r="R672" s="1" t="s">
        <v>685</v>
      </c>
      <c r="S672" s="1">
        <v>1.0</v>
      </c>
      <c r="T672" s="1">
        <v>5.0</v>
      </c>
      <c r="X672" s="1" t="s">
        <v>56</v>
      </c>
      <c r="Z672" s="1" t="s">
        <v>2386</v>
      </c>
    </row>
    <row r="673">
      <c r="A673" s="3" t="str">
        <f>HYPERLINK("https://stackoverflow.com/q/53874059", "53874059")</f>
        <v>53874059</v>
      </c>
      <c r="B673" s="1" t="s">
        <v>93</v>
      </c>
      <c r="C673" s="1" t="s">
        <v>2387</v>
      </c>
      <c r="D673" s="2" t="s">
        <v>2388</v>
      </c>
      <c r="E673" s="1">
        <v>1.0</v>
      </c>
      <c r="F673" s="1">
        <v>5.3874527E7</v>
      </c>
      <c r="I673" s="1">
        <v>0.0</v>
      </c>
      <c r="J673" s="1">
        <v>118.0</v>
      </c>
      <c r="L673" s="1">
        <v>1.0332964E7</v>
      </c>
      <c r="Q673" s="1" t="s">
        <v>2389</v>
      </c>
      <c r="R673" s="1" t="s">
        <v>97</v>
      </c>
      <c r="S673" s="1">
        <v>1.0</v>
      </c>
      <c r="T673" s="1">
        <v>0.0</v>
      </c>
      <c r="X673" s="1" t="s">
        <v>56</v>
      </c>
      <c r="Z673" s="1" t="s">
        <v>2389</v>
      </c>
    </row>
    <row r="674">
      <c r="A674" s="3" t="str">
        <f>HYPERLINK("https://stackoverflow.com/q/53884162", "53884162")</f>
        <v>53884162</v>
      </c>
      <c r="B674" s="1" t="s">
        <v>93</v>
      </c>
      <c r="C674" s="1" t="s">
        <v>2390</v>
      </c>
      <c r="D674" s="2" t="s">
        <v>2391</v>
      </c>
      <c r="E674" s="1">
        <v>1.0</v>
      </c>
      <c r="F674" s="1">
        <v>5.3960087E7</v>
      </c>
      <c r="I674" s="1">
        <v>1.0</v>
      </c>
      <c r="J674" s="1">
        <v>270.0</v>
      </c>
      <c r="L674" s="1">
        <v>1.0762252E7</v>
      </c>
      <c r="Q674" s="1" t="s">
        <v>2392</v>
      </c>
      <c r="R674" s="1" t="s">
        <v>97</v>
      </c>
      <c r="S674" s="1">
        <v>1.0</v>
      </c>
      <c r="T674" s="1">
        <v>0.0</v>
      </c>
      <c r="X674" s="1" t="s">
        <v>56</v>
      </c>
      <c r="Z674" s="1" t="s">
        <v>2392</v>
      </c>
    </row>
    <row r="675">
      <c r="A675" s="3" t="str">
        <f>HYPERLINK("https://stackoverflow.com/q/53891777", "53891777")</f>
        <v>53891777</v>
      </c>
      <c r="B675" s="1" t="s">
        <v>93</v>
      </c>
      <c r="C675" s="1" t="s">
        <v>2393</v>
      </c>
      <c r="D675" s="2" t="s">
        <v>2394</v>
      </c>
      <c r="E675" s="1">
        <v>1.0</v>
      </c>
      <c r="I675" s="1">
        <v>0.0</v>
      </c>
      <c r="J675" s="1">
        <v>63.0</v>
      </c>
      <c r="L675" s="1">
        <v>1.0332964E7</v>
      </c>
      <c r="Q675" s="1" t="s">
        <v>2395</v>
      </c>
      <c r="R675" s="1" t="s">
        <v>97</v>
      </c>
      <c r="S675" s="1">
        <v>1.0</v>
      </c>
      <c r="T675" s="1">
        <v>0.0</v>
      </c>
      <c r="X675" s="1" t="s">
        <v>56</v>
      </c>
    </row>
    <row r="676">
      <c r="A676" s="3" t="str">
        <f>HYPERLINK("https://stackoverflow.com/q/53916396", "53916396")</f>
        <v>53916396</v>
      </c>
      <c r="B676" s="1" t="s">
        <v>93</v>
      </c>
      <c r="C676" s="1" t="s">
        <v>2396</v>
      </c>
      <c r="D676" s="2" t="s">
        <v>2397</v>
      </c>
      <c r="E676" s="1">
        <v>1.0</v>
      </c>
      <c r="F676" s="1">
        <v>5.3916566E7</v>
      </c>
      <c r="I676" s="1">
        <v>0.0</v>
      </c>
      <c r="J676" s="1">
        <v>390.0</v>
      </c>
      <c r="L676" s="1">
        <v>1.0829814E7</v>
      </c>
      <c r="Q676" s="1" t="s">
        <v>2398</v>
      </c>
      <c r="R676" s="1" t="s">
        <v>516</v>
      </c>
      <c r="S676" s="1">
        <v>1.0</v>
      </c>
      <c r="T676" s="1">
        <v>0.0</v>
      </c>
      <c r="X676" s="1" t="s">
        <v>56</v>
      </c>
      <c r="Z676" s="1" t="s">
        <v>2398</v>
      </c>
    </row>
    <row r="677">
      <c r="A677" s="3" t="str">
        <f>HYPERLINK("https://stackoverflow.com/q/53937189", "53937189")</f>
        <v>53937189</v>
      </c>
      <c r="B677" s="1" t="s">
        <v>93</v>
      </c>
      <c r="C677" s="1" t="s">
        <v>2399</v>
      </c>
      <c r="D677" s="2" t="s">
        <v>2400</v>
      </c>
      <c r="E677" s="1">
        <v>1.0</v>
      </c>
      <c r="F677" s="1">
        <v>5.3937292E7</v>
      </c>
      <c r="I677" s="1">
        <v>1.0</v>
      </c>
      <c r="J677" s="1">
        <v>176.0</v>
      </c>
      <c r="L677" s="1">
        <v>1422413.0</v>
      </c>
      <c r="N677" s="1">
        <v>1.0676716E7</v>
      </c>
      <c r="P677" s="1" t="s">
        <v>2401</v>
      </c>
      <c r="Q677" s="1" t="s">
        <v>2401</v>
      </c>
      <c r="R677" s="1" t="s">
        <v>1629</v>
      </c>
      <c r="S677" s="1">
        <v>1.0</v>
      </c>
      <c r="T677" s="1">
        <v>0.0</v>
      </c>
      <c r="U677" s="1">
        <v>1.0</v>
      </c>
      <c r="X677" s="1" t="s">
        <v>56</v>
      </c>
      <c r="Z677" s="1" t="s">
        <v>2402</v>
      </c>
    </row>
    <row r="678">
      <c r="A678" s="3" t="str">
        <f>HYPERLINK("https://stackoverflow.com/q/53942601", "53942601")</f>
        <v>53942601</v>
      </c>
      <c r="B678" s="1" t="s">
        <v>93</v>
      </c>
      <c r="C678" s="1" t="s">
        <v>2403</v>
      </c>
      <c r="D678" s="2" t="s">
        <v>2404</v>
      </c>
      <c r="E678" s="1">
        <v>1.0</v>
      </c>
      <c r="I678" s="1">
        <v>1.0</v>
      </c>
      <c r="J678" s="1">
        <v>147.0</v>
      </c>
      <c r="L678" s="1">
        <v>1.0838314E7</v>
      </c>
      <c r="Q678" s="1" t="s">
        <v>2403</v>
      </c>
      <c r="R678" s="1" t="s">
        <v>97</v>
      </c>
      <c r="S678" s="1">
        <v>0.0</v>
      </c>
      <c r="T678" s="1">
        <v>2.0</v>
      </c>
      <c r="X678" s="1" t="s">
        <v>56</v>
      </c>
    </row>
    <row r="679">
      <c r="A679" s="3" t="str">
        <f>HYPERLINK("https://stackoverflow.com/q/53961151", "53961151")</f>
        <v>53961151</v>
      </c>
      <c r="B679" s="1" t="s">
        <v>93</v>
      </c>
      <c r="C679" s="1" t="s">
        <v>2405</v>
      </c>
      <c r="D679" s="2" t="s">
        <v>2406</v>
      </c>
      <c r="E679" s="1">
        <v>1.0</v>
      </c>
      <c r="I679" s="1">
        <v>0.0</v>
      </c>
      <c r="J679" s="1">
        <v>47.0</v>
      </c>
      <c r="L679" s="1">
        <v>1.0829814E7</v>
      </c>
      <c r="Q679" s="1" t="s">
        <v>2405</v>
      </c>
      <c r="R679" s="1" t="s">
        <v>696</v>
      </c>
      <c r="S679" s="1">
        <v>0.0</v>
      </c>
      <c r="T679" s="1">
        <v>4.0</v>
      </c>
      <c r="X679" s="1" t="s">
        <v>56</v>
      </c>
    </row>
    <row r="680">
      <c r="A680" s="3" t="str">
        <f>HYPERLINK("https://stackoverflow.com/q/53966488", "53966488")</f>
        <v>53966488</v>
      </c>
      <c r="B680" s="1" t="s">
        <v>93</v>
      </c>
      <c r="C680" s="1" t="s">
        <v>2407</v>
      </c>
      <c r="D680" s="2" t="s">
        <v>2408</v>
      </c>
      <c r="E680" s="1">
        <v>1.0</v>
      </c>
      <c r="I680" s="1">
        <v>0.0</v>
      </c>
      <c r="J680" s="1">
        <v>27.0</v>
      </c>
      <c r="L680" s="1">
        <v>1.0194856E7</v>
      </c>
      <c r="Q680" s="1" t="s">
        <v>2407</v>
      </c>
      <c r="R680" s="1" t="s">
        <v>97</v>
      </c>
      <c r="S680" s="1">
        <v>0.0</v>
      </c>
      <c r="T680" s="1">
        <v>2.0</v>
      </c>
      <c r="X680" s="1" t="s">
        <v>56</v>
      </c>
    </row>
    <row r="681">
      <c r="A681" s="3" t="str">
        <f>HYPERLINK("https://stackoverflow.com/q/53990868", "53990868")</f>
        <v>53990868</v>
      </c>
      <c r="B681" s="1" t="s">
        <v>93</v>
      </c>
      <c r="C681" s="1" t="s">
        <v>2409</v>
      </c>
      <c r="D681" s="2" t="s">
        <v>2410</v>
      </c>
      <c r="E681" s="1">
        <v>1.0</v>
      </c>
      <c r="I681" s="1">
        <v>0.0</v>
      </c>
      <c r="J681" s="1">
        <v>53.0</v>
      </c>
      <c r="L681" s="1">
        <v>9109769.0</v>
      </c>
      <c r="N681" s="1">
        <v>2630326.0</v>
      </c>
      <c r="P681" s="1" t="s">
        <v>2411</v>
      </c>
      <c r="Q681" s="1" t="s">
        <v>2411</v>
      </c>
      <c r="R681" s="1" t="s">
        <v>97</v>
      </c>
      <c r="S681" s="1">
        <v>0.0</v>
      </c>
      <c r="T681" s="1">
        <v>2.0</v>
      </c>
      <c r="X681" s="1" t="s">
        <v>56</v>
      </c>
    </row>
    <row r="682">
      <c r="A682" s="3" t="str">
        <f>HYPERLINK("https://stackoverflow.com/q/54005457", "54005457")</f>
        <v>54005457</v>
      </c>
      <c r="B682" s="1" t="s">
        <v>93</v>
      </c>
      <c r="C682" s="1" t="s">
        <v>2412</v>
      </c>
      <c r="D682" s="2" t="s">
        <v>2413</v>
      </c>
      <c r="E682" s="1">
        <v>1.0</v>
      </c>
      <c r="I682" s="1">
        <v>1.0</v>
      </c>
      <c r="J682" s="1">
        <v>76.0</v>
      </c>
      <c r="L682" s="1">
        <v>1.0857467E7</v>
      </c>
      <c r="N682" s="1">
        <v>198836.0</v>
      </c>
      <c r="P682" s="1" t="s">
        <v>2414</v>
      </c>
      <c r="Q682" s="1" t="s">
        <v>2414</v>
      </c>
      <c r="R682" s="1" t="s">
        <v>97</v>
      </c>
      <c r="S682" s="1">
        <v>0.0</v>
      </c>
      <c r="T682" s="1">
        <v>3.0</v>
      </c>
      <c r="X682" s="1" t="s">
        <v>56</v>
      </c>
    </row>
    <row r="683">
      <c r="A683" s="3" t="str">
        <f>HYPERLINK("https://stackoverflow.com/q/54011731", "54011731")</f>
        <v>54011731</v>
      </c>
      <c r="B683" s="1" t="s">
        <v>93</v>
      </c>
      <c r="C683" s="1" t="s">
        <v>2415</v>
      </c>
      <c r="D683" s="2" t="s">
        <v>2416</v>
      </c>
      <c r="E683" s="1">
        <v>1.0</v>
      </c>
      <c r="I683" s="1">
        <v>0.0</v>
      </c>
      <c r="J683" s="1">
        <v>101.0</v>
      </c>
      <c r="L683" s="1">
        <v>5596743.0</v>
      </c>
      <c r="N683" s="1">
        <v>5596743.0</v>
      </c>
      <c r="P683" s="1" t="s">
        <v>2417</v>
      </c>
      <c r="Q683" s="1" t="s">
        <v>2417</v>
      </c>
      <c r="R683" s="1" t="s">
        <v>97</v>
      </c>
      <c r="S683" s="1">
        <v>0.0</v>
      </c>
      <c r="T683" s="1">
        <v>4.0</v>
      </c>
      <c r="X683" s="1" t="s">
        <v>56</v>
      </c>
    </row>
    <row r="684">
      <c r="A684" s="3" t="str">
        <f>HYPERLINK("https://stackoverflow.com/q/54011765", "54011765")</f>
        <v>54011765</v>
      </c>
      <c r="B684" s="1" t="s">
        <v>93</v>
      </c>
      <c r="C684" s="1" t="s">
        <v>2418</v>
      </c>
      <c r="D684" s="2" t="s">
        <v>2419</v>
      </c>
      <c r="E684" s="1">
        <v>1.0</v>
      </c>
      <c r="I684" s="1">
        <v>0.0</v>
      </c>
      <c r="J684" s="1">
        <v>65.0</v>
      </c>
      <c r="L684" s="1">
        <v>1.0829814E7</v>
      </c>
      <c r="N684" s="1">
        <v>1.0829814E7</v>
      </c>
      <c r="P684" s="1" t="s">
        <v>2420</v>
      </c>
      <c r="Q684" s="1" t="s">
        <v>2420</v>
      </c>
      <c r="R684" s="1" t="s">
        <v>97</v>
      </c>
      <c r="S684" s="1">
        <v>0.0</v>
      </c>
      <c r="T684" s="1">
        <v>3.0</v>
      </c>
      <c r="X684" s="1" t="s">
        <v>56</v>
      </c>
    </row>
    <row r="685">
      <c r="A685" s="3" t="str">
        <f>HYPERLINK("https://stackoverflow.com/q/54042741", "54042741")</f>
        <v>54042741</v>
      </c>
      <c r="B685" s="1" t="s">
        <v>93</v>
      </c>
      <c r="C685" s="1" t="s">
        <v>2421</v>
      </c>
      <c r="D685" s="2" t="s">
        <v>2422</v>
      </c>
      <c r="E685" s="1">
        <v>1.0</v>
      </c>
      <c r="F685" s="1">
        <v>5.4042833E7</v>
      </c>
      <c r="I685" s="1">
        <v>0.0</v>
      </c>
      <c r="J685" s="1">
        <v>89.0</v>
      </c>
      <c r="L685" s="1">
        <v>5596743.0</v>
      </c>
      <c r="Q685" s="1" t="s">
        <v>2423</v>
      </c>
      <c r="R685" s="1" t="s">
        <v>97</v>
      </c>
      <c r="S685" s="1">
        <v>1.0</v>
      </c>
      <c r="T685" s="1">
        <v>0.0</v>
      </c>
      <c r="X685" s="1" t="s">
        <v>56</v>
      </c>
      <c r="Z685" s="1" t="s">
        <v>2423</v>
      </c>
    </row>
    <row r="686">
      <c r="A686" s="3" t="str">
        <f>HYPERLINK("https://stackoverflow.com/q/54045187", "54045187")</f>
        <v>54045187</v>
      </c>
      <c r="B686" s="1" t="s">
        <v>93</v>
      </c>
      <c r="C686" s="1" t="s">
        <v>2424</v>
      </c>
      <c r="D686" s="2" t="s">
        <v>2425</v>
      </c>
      <c r="E686" s="1">
        <v>1.0</v>
      </c>
      <c r="I686" s="1">
        <v>0.0</v>
      </c>
      <c r="J686" s="1">
        <v>187.0</v>
      </c>
      <c r="L686" s="1">
        <v>82156.0</v>
      </c>
      <c r="Q686" s="1" t="s">
        <v>2426</v>
      </c>
      <c r="R686" s="1" t="s">
        <v>97</v>
      </c>
      <c r="S686" s="1">
        <v>1.0</v>
      </c>
      <c r="T686" s="1">
        <v>0.0</v>
      </c>
      <c r="X686" s="1" t="s">
        <v>56</v>
      </c>
    </row>
    <row r="687">
      <c r="A687" s="3" t="str">
        <f>HYPERLINK("https://stackoverflow.com/q/54068351", "54068351")</f>
        <v>54068351</v>
      </c>
      <c r="B687" s="1" t="s">
        <v>93</v>
      </c>
      <c r="C687" s="1" t="s">
        <v>2427</v>
      </c>
      <c r="D687" s="2" t="s">
        <v>2428</v>
      </c>
      <c r="E687" s="1">
        <v>1.0</v>
      </c>
      <c r="I687" s="1">
        <v>0.0</v>
      </c>
      <c r="J687" s="1">
        <v>32.0</v>
      </c>
      <c r="L687" s="1">
        <v>9426876.0</v>
      </c>
      <c r="Q687" s="1" t="s">
        <v>2427</v>
      </c>
      <c r="R687" s="1" t="s">
        <v>97</v>
      </c>
      <c r="S687" s="1">
        <v>0.0</v>
      </c>
      <c r="T687" s="1">
        <v>4.0</v>
      </c>
      <c r="X687" s="1" t="s">
        <v>56</v>
      </c>
    </row>
    <row r="688">
      <c r="A688" s="3" t="str">
        <f>HYPERLINK("https://stackoverflow.com/q/54077904", "54077904")</f>
        <v>54077904</v>
      </c>
      <c r="B688" s="1" t="s">
        <v>93</v>
      </c>
      <c r="C688" s="1" t="s">
        <v>2429</v>
      </c>
      <c r="D688" s="2" t="s">
        <v>2430</v>
      </c>
      <c r="E688" s="1">
        <v>1.0</v>
      </c>
      <c r="I688" s="1">
        <v>2.0</v>
      </c>
      <c r="J688" s="1">
        <v>226.0</v>
      </c>
      <c r="L688" s="1">
        <v>9492160.0</v>
      </c>
      <c r="Q688" s="1" t="s">
        <v>2431</v>
      </c>
      <c r="R688" s="1" t="s">
        <v>97</v>
      </c>
      <c r="S688" s="1">
        <v>0.0</v>
      </c>
      <c r="T688" s="1">
        <v>0.0</v>
      </c>
      <c r="X688" s="1" t="s">
        <v>56</v>
      </c>
    </row>
    <row r="689">
      <c r="A689" s="3" t="str">
        <f>HYPERLINK("https://stackoverflow.com/q/54114480", "54114480")</f>
        <v>54114480</v>
      </c>
      <c r="B689" s="1" t="s">
        <v>93</v>
      </c>
      <c r="C689" s="1" t="s">
        <v>2432</v>
      </c>
      <c r="D689" s="2" t="s">
        <v>2433</v>
      </c>
      <c r="E689" s="1">
        <v>1.0</v>
      </c>
      <c r="I689" s="1">
        <v>0.0</v>
      </c>
      <c r="J689" s="1">
        <v>24.0</v>
      </c>
      <c r="L689" s="1">
        <v>1.0829814E7</v>
      </c>
      <c r="Q689" s="1" t="s">
        <v>2432</v>
      </c>
      <c r="R689" s="1" t="s">
        <v>97</v>
      </c>
      <c r="S689" s="1">
        <v>0.0</v>
      </c>
      <c r="T689" s="1">
        <v>3.0</v>
      </c>
      <c r="X689" s="1" t="s">
        <v>56</v>
      </c>
    </row>
    <row r="690">
      <c r="A690" s="3" t="str">
        <f>HYPERLINK("https://stackoverflow.com/q/54118895", "54118895")</f>
        <v>54118895</v>
      </c>
      <c r="B690" s="1" t="s">
        <v>93</v>
      </c>
      <c r="C690" s="1" t="s">
        <v>2434</v>
      </c>
      <c r="D690" s="2" t="s">
        <v>2435</v>
      </c>
      <c r="E690" s="1">
        <v>1.0</v>
      </c>
      <c r="F690" s="1">
        <v>5.411974E7</v>
      </c>
      <c r="I690" s="1">
        <v>0.0</v>
      </c>
      <c r="J690" s="1">
        <v>33.0</v>
      </c>
      <c r="L690" s="1">
        <v>1422413.0</v>
      </c>
      <c r="Q690" s="1" t="s">
        <v>2436</v>
      </c>
      <c r="R690" s="1" t="s">
        <v>516</v>
      </c>
      <c r="S690" s="1">
        <v>1.0</v>
      </c>
      <c r="T690" s="1">
        <v>0.0</v>
      </c>
      <c r="X690" s="1" t="s">
        <v>56</v>
      </c>
      <c r="Z690" s="1" t="s">
        <v>2436</v>
      </c>
    </row>
    <row r="691">
      <c r="A691" s="3" t="str">
        <f>HYPERLINK("https://stackoverflow.com/q/54123965", "54123965")</f>
        <v>54123965</v>
      </c>
      <c r="B691" s="1" t="s">
        <v>93</v>
      </c>
      <c r="C691" s="1" t="s">
        <v>2437</v>
      </c>
      <c r="D691" s="2" t="s">
        <v>2438</v>
      </c>
      <c r="E691" s="1">
        <v>1.0</v>
      </c>
      <c r="F691" s="1">
        <v>5.4138813E7</v>
      </c>
      <c r="I691" s="1">
        <v>1.0</v>
      </c>
      <c r="J691" s="1">
        <v>128.0</v>
      </c>
      <c r="L691" s="1">
        <v>1.0893696E7</v>
      </c>
      <c r="N691" s="1">
        <v>7108653.0</v>
      </c>
      <c r="P691" s="1" t="s">
        <v>2439</v>
      </c>
      <c r="Q691" s="1" t="s">
        <v>2440</v>
      </c>
      <c r="R691" s="1" t="s">
        <v>2441</v>
      </c>
      <c r="S691" s="1">
        <v>1.0</v>
      </c>
      <c r="T691" s="1">
        <v>0.0</v>
      </c>
      <c r="X691" s="1" t="s">
        <v>56</v>
      </c>
      <c r="Z691" s="1" t="s">
        <v>2442</v>
      </c>
    </row>
    <row r="692">
      <c r="A692" s="3" t="str">
        <f>HYPERLINK("https://stackoverflow.com/q/54138914", "54138914")</f>
        <v>54138914</v>
      </c>
      <c r="B692" s="1" t="s">
        <v>93</v>
      </c>
      <c r="C692" s="1" t="s">
        <v>2443</v>
      </c>
      <c r="D692" s="2" t="s">
        <v>2444</v>
      </c>
      <c r="E692" s="1">
        <v>1.0</v>
      </c>
      <c r="F692" s="1">
        <v>5.4148439E7</v>
      </c>
      <c r="I692" s="1">
        <v>0.0</v>
      </c>
      <c r="J692" s="1">
        <v>91.0</v>
      </c>
      <c r="L692" s="1">
        <v>1.0770067E7</v>
      </c>
      <c r="Q692" s="1" t="s">
        <v>2445</v>
      </c>
      <c r="R692" s="1" t="s">
        <v>97</v>
      </c>
      <c r="S692" s="1">
        <v>2.0</v>
      </c>
      <c r="T692" s="1">
        <v>0.0</v>
      </c>
      <c r="X692" s="1" t="s">
        <v>56</v>
      </c>
      <c r="Z692" s="1" t="s">
        <v>2446</v>
      </c>
    </row>
    <row r="693">
      <c r="A693" s="3" t="str">
        <f>HYPERLINK("https://stackoverflow.com/q/54178050", "54178050")</f>
        <v>54178050</v>
      </c>
      <c r="B693" s="1" t="s">
        <v>93</v>
      </c>
      <c r="C693" s="1" t="s">
        <v>2447</v>
      </c>
      <c r="D693" s="2" t="s">
        <v>2448</v>
      </c>
      <c r="E693" s="1">
        <v>1.0</v>
      </c>
      <c r="I693" s="1">
        <v>0.0</v>
      </c>
      <c r="J693" s="1">
        <v>251.0</v>
      </c>
      <c r="L693" s="1">
        <v>9426876.0</v>
      </c>
      <c r="Q693" s="1" t="s">
        <v>2449</v>
      </c>
      <c r="R693" s="1" t="s">
        <v>2450</v>
      </c>
      <c r="S693" s="1">
        <v>1.0</v>
      </c>
      <c r="T693" s="1">
        <v>0.0</v>
      </c>
      <c r="X693" s="1" t="s">
        <v>56</v>
      </c>
    </row>
    <row r="694">
      <c r="A694" s="3" t="str">
        <f>HYPERLINK("https://stackoverflow.com/q/54186801", "54186801")</f>
        <v>54186801</v>
      </c>
      <c r="B694" s="1" t="s">
        <v>93</v>
      </c>
      <c r="C694" s="1" t="s">
        <v>2451</v>
      </c>
      <c r="D694" s="2" t="s">
        <v>2452</v>
      </c>
      <c r="E694" s="1">
        <v>1.0</v>
      </c>
      <c r="I694" s="1">
        <v>0.0</v>
      </c>
      <c r="J694" s="1">
        <v>49.0</v>
      </c>
      <c r="L694" s="1">
        <v>82156.0</v>
      </c>
      <c r="Q694" s="1" t="s">
        <v>2453</v>
      </c>
      <c r="R694" s="1" t="s">
        <v>97</v>
      </c>
      <c r="S694" s="1">
        <v>1.0</v>
      </c>
      <c r="T694" s="1">
        <v>2.0</v>
      </c>
      <c r="X694" s="1" t="s">
        <v>56</v>
      </c>
    </row>
    <row r="695">
      <c r="A695" s="3" t="str">
        <f>HYPERLINK("https://stackoverflow.com/q/54192453", "54192453")</f>
        <v>54192453</v>
      </c>
      <c r="B695" s="1" t="s">
        <v>93</v>
      </c>
      <c r="C695" s="1" t="s">
        <v>2454</v>
      </c>
      <c r="D695" s="2" t="s">
        <v>2455</v>
      </c>
      <c r="E695" s="1">
        <v>1.0</v>
      </c>
      <c r="I695" s="1">
        <v>0.0</v>
      </c>
      <c r="J695" s="1">
        <v>164.0</v>
      </c>
      <c r="L695" s="1">
        <v>9426876.0</v>
      </c>
      <c r="N695" s="1">
        <v>9426876.0</v>
      </c>
      <c r="P695" s="1" t="s">
        <v>2456</v>
      </c>
      <c r="Q695" s="1" t="s">
        <v>2456</v>
      </c>
      <c r="R695" s="1" t="s">
        <v>296</v>
      </c>
      <c r="S695" s="1">
        <v>0.0</v>
      </c>
      <c r="T695" s="1">
        <v>2.0</v>
      </c>
      <c r="X695" s="1" t="s">
        <v>56</v>
      </c>
    </row>
    <row r="696">
      <c r="A696" s="3" t="str">
        <f>HYPERLINK("https://stackoverflow.com/q/54200067", "54200067")</f>
        <v>54200067</v>
      </c>
      <c r="B696" s="1" t="s">
        <v>93</v>
      </c>
      <c r="C696" s="1" t="s">
        <v>2457</v>
      </c>
      <c r="D696" s="2" t="s">
        <v>2458</v>
      </c>
      <c r="E696" s="1">
        <v>1.0</v>
      </c>
      <c r="I696" s="1">
        <v>0.0</v>
      </c>
      <c r="J696" s="1">
        <v>25.0</v>
      </c>
      <c r="L696" s="1">
        <v>8112211.0</v>
      </c>
      <c r="Q696" s="1" t="s">
        <v>2457</v>
      </c>
      <c r="R696" s="1" t="s">
        <v>97</v>
      </c>
      <c r="S696" s="1">
        <v>0.0</v>
      </c>
      <c r="T696" s="1">
        <v>2.0</v>
      </c>
      <c r="X696" s="1" t="s">
        <v>56</v>
      </c>
    </row>
    <row r="697">
      <c r="A697" s="3" t="str">
        <f>HYPERLINK("https://stackoverflow.com/q/54223484", "54223484")</f>
        <v>54223484</v>
      </c>
      <c r="B697" s="1" t="s">
        <v>93</v>
      </c>
      <c r="C697" s="1" t="s">
        <v>2459</v>
      </c>
      <c r="D697" s="2" t="s">
        <v>2460</v>
      </c>
      <c r="E697" s="1">
        <v>1.0</v>
      </c>
      <c r="I697" s="1">
        <v>0.0</v>
      </c>
      <c r="J697" s="1">
        <v>175.0</v>
      </c>
      <c r="L697" s="1">
        <v>1.0653769E7</v>
      </c>
      <c r="Q697" s="1" t="s">
        <v>2461</v>
      </c>
      <c r="R697" s="1" t="s">
        <v>190</v>
      </c>
      <c r="S697" s="1">
        <v>1.0</v>
      </c>
      <c r="T697" s="1">
        <v>2.0</v>
      </c>
      <c r="X697" s="1" t="s">
        <v>56</v>
      </c>
    </row>
    <row r="698">
      <c r="A698" s="3" t="str">
        <f>HYPERLINK("https://stackoverflow.com/q/54235734", "54235734")</f>
        <v>54235734</v>
      </c>
      <c r="B698" s="1" t="s">
        <v>93</v>
      </c>
      <c r="C698" s="1" t="s">
        <v>2462</v>
      </c>
      <c r="D698" s="2" t="s">
        <v>2463</v>
      </c>
      <c r="E698" s="1">
        <v>1.0</v>
      </c>
      <c r="F698" s="1">
        <v>5.4238827E7</v>
      </c>
      <c r="I698" s="1">
        <v>0.0</v>
      </c>
      <c r="J698" s="1">
        <v>48.0</v>
      </c>
      <c r="L698" s="1">
        <v>1.0159321E7</v>
      </c>
      <c r="Q698" s="1" t="s">
        <v>2464</v>
      </c>
      <c r="R698" s="1" t="s">
        <v>97</v>
      </c>
      <c r="S698" s="1">
        <v>1.0</v>
      </c>
      <c r="T698" s="1">
        <v>3.0</v>
      </c>
      <c r="X698" s="1" t="s">
        <v>56</v>
      </c>
      <c r="Z698" s="1" t="s">
        <v>2464</v>
      </c>
    </row>
    <row r="699">
      <c r="A699" s="3" t="str">
        <f>HYPERLINK("https://stackoverflow.com/q/54248770", "54248770")</f>
        <v>54248770</v>
      </c>
      <c r="B699" s="1" t="s">
        <v>93</v>
      </c>
      <c r="C699" s="1" t="s">
        <v>2465</v>
      </c>
      <c r="D699" s="2" t="s">
        <v>2466</v>
      </c>
      <c r="E699" s="1">
        <v>1.0</v>
      </c>
      <c r="I699" s="1">
        <v>0.0</v>
      </c>
      <c r="J699" s="1">
        <v>78.0</v>
      </c>
      <c r="L699" s="1">
        <v>1.0838314E7</v>
      </c>
      <c r="Q699" s="1" t="s">
        <v>2465</v>
      </c>
      <c r="R699" s="1" t="s">
        <v>97</v>
      </c>
      <c r="S699" s="1">
        <v>0.0</v>
      </c>
      <c r="T699" s="1">
        <v>2.0</v>
      </c>
      <c r="X699" s="1" t="s">
        <v>56</v>
      </c>
    </row>
    <row r="700">
      <c r="A700" s="3" t="str">
        <f>HYPERLINK("https://stackoverflow.com/q/54271510", "54271510")</f>
        <v>54271510</v>
      </c>
      <c r="B700" s="1" t="s">
        <v>93</v>
      </c>
      <c r="C700" s="1" t="s">
        <v>2467</v>
      </c>
      <c r="D700" s="2" t="s">
        <v>2468</v>
      </c>
      <c r="E700" s="1">
        <v>1.0</v>
      </c>
      <c r="I700" s="1">
        <v>0.0</v>
      </c>
      <c r="J700" s="1">
        <v>276.0</v>
      </c>
      <c r="L700" s="1">
        <v>1.0869188E7</v>
      </c>
      <c r="Q700" s="1" t="s">
        <v>2469</v>
      </c>
      <c r="R700" s="1" t="s">
        <v>2470</v>
      </c>
      <c r="S700" s="1">
        <v>1.0</v>
      </c>
      <c r="T700" s="1">
        <v>0.0</v>
      </c>
      <c r="U700" s="1">
        <v>1.0</v>
      </c>
      <c r="X700" s="1" t="s">
        <v>56</v>
      </c>
    </row>
    <row r="701">
      <c r="A701" s="3" t="str">
        <f>HYPERLINK("https://stackoverflow.com/q/54285728", "54285728")</f>
        <v>54285728</v>
      </c>
      <c r="B701" s="1" t="s">
        <v>93</v>
      </c>
      <c r="C701" s="1" t="s">
        <v>2471</v>
      </c>
      <c r="D701" s="2" t="s">
        <v>2472</v>
      </c>
      <c r="E701" s="1">
        <v>1.0</v>
      </c>
      <c r="I701" s="1">
        <v>0.0</v>
      </c>
      <c r="J701" s="1">
        <v>40.0</v>
      </c>
      <c r="L701" s="1">
        <v>7773519.0</v>
      </c>
      <c r="Q701" s="1" t="s">
        <v>2473</v>
      </c>
      <c r="R701" s="1" t="s">
        <v>1597</v>
      </c>
      <c r="S701" s="1">
        <v>1.0</v>
      </c>
      <c r="T701" s="1">
        <v>0.0</v>
      </c>
      <c r="X701" s="1" t="s">
        <v>56</v>
      </c>
    </row>
    <row r="702">
      <c r="A702" s="3" t="str">
        <f>HYPERLINK("https://stackoverflow.com/q/54288494", "54288494")</f>
        <v>54288494</v>
      </c>
      <c r="B702" s="1" t="s">
        <v>93</v>
      </c>
      <c r="C702" s="1" t="s">
        <v>2474</v>
      </c>
      <c r="D702" s="2" t="s">
        <v>2475</v>
      </c>
      <c r="E702" s="1">
        <v>1.0</v>
      </c>
      <c r="I702" s="1">
        <v>1.0</v>
      </c>
      <c r="J702" s="1">
        <v>73.0</v>
      </c>
      <c r="L702" s="1">
        <v>6748196.0</v>
      </c>
      <c r="Q702" s="1" t="s">
        <v>2476</v>
      </c>
      <c r="R702" s="1" t="s">
        <v>97</v>
      </c>
      <c r="S702" s="1">
        <v>0.0</v>
      </c>
      <c r="T702" s="1">
        <v>0.0</v>
      </c>
      <c r="U702" s="1">
        <v>1.0</v>
      </c>
      <c r="X702" s="1" t="s">
        <v>56</v>
      </c>
    </row>
    <row r="703">
      <c r="A703" s="3" t="str">
        <f>HYPERLINK("https://stackoverflow.com/q/54291428", "54291428")</f>
        <v>54291428</v>
      </c>
      <c r="B703" s="1" t="s">
        <v>93</v>
      </c>
      <c r="C703" s="1" t="s">
        <v>2477</v>
      </c>
      <c r="D703" s="2" t="s">
        <v>2478</v>
      </c>
      <c r="E703" s="1">
        <v>1.0</v>
      </c>
      <c r="I703" s="1">
        <v>0.0</v>
      </c>
      <c r="J703" s="1">
        <v>189.0</v>
      </c>
      <c r="L703" s="1">
        <v>6152483.0</v>
      </c>
      <c r="Q703" s="1" t="s">
        <v>2479</v>
      </c>
      <c r="R703" s="1" t="s">
        <v>190</v>
      </c>
      <c r="S703" s="1">
        <v>2.0</v>
      </c>
      <c r="T703" s="1">
        <v>0.0</v>
      </c>
      <c r="X703" s="1" t="s">
        <v>56</v>
      </c>
    </row>
    <row r="704">
      <c r="A704" s="3" t="str">
        <f>HYPERLINK("https://stackoverflow.com/q/54316826", "54316826")</f>
        <v>54316826</v>
      </c>
      <c r="B704" s="1" t="s">
        <v>93</v>
      </c>
      <c r="C704" s="1" t="s">
        <v>2480</v>
      </c>
      <c r="D704" s="2" t="s">
        <v>2481</v>
      </c>
      <c r="E704" s="1">
        <v>1.0</v>
      </c>
      <c r="I704" s="1">
        <v>2.0</v>
      </c>
      <c r="J704" s="1">
        <v>207.0</v>
      </c>
      <c r="L704" s="1">
        <v>5596743.0</v>
      </c>
      <c r="N704" s="1">
        <v>555121.0</v>
      </c>
      <c r="P704" s="1" t="s">
        <v>2482</v>
      </c>
      <c r="Q704" s="1" t="s">
        <v>2483</v>
      </c>
      <c r="R704" s="1" t="s">
        <v>97</v>
      </c>
      <c r="S704" s="1">
        <v>1.0</v>
      </c>
      <c r="T704" s="1">
        <v>2.0</v>
      </c>
      <c r="X704" s="1" t="s">
        <v>56</v>
      </c>
    </row>
    <row r="705">
      <c r="A705" s="3" t="str">
        <f>HYPERLINK("https://stackoverflow.com/q/54321038", "54321038")</f>
        <v>54321038</v>
      </c>
      <c r="B705" s="1" t="s">
        <v>93</v>
      </c>
      <c r="C705" s="1" t="s">
        <v>2484</v>
      </c>
      <c r="D705" s="2" t="s">
        <v>2485</v>
      </c>
      <c r="E705" s="1">
        <v>1.0</v>
      </c>
      <c r="I705" s="1">
        <v>0.0</v>
      </c>
      <c r="J705" s="1">
        <v>53.0</v>
      </c>
      <c r="L705" s="1">
        <v>1.0770067E7</v>
      </c>
      <c r="Q705" s="1" t="s">
        <v>2486</v>
      </c>
      <c r="R705" s="1" t="s">
        <v>97</v>
      </c>
      <c r="S705" s="1">
        <v>1.0</v>
      </c>
      <c r="T705" s="1">
        <v>0.0</v>
      </c>
      <c r="X705" s="1" t="s">
        <v>56</v>
      </c>
    </row>
    <row r="706">
      <c r="A706" s="3" t="str">
        <f>HYPERLINK("https://stackoverflow.com/q/54350879", "54350879")</f>
        <v>54350879</v>
      </c>
      <c r="B706" s="1" t="s">
        <v>93</v>
      </c>
      <c r="C706" s="1" t="s">
        <v>2487</v>
      </c>
      <c r="D706" s="2" t="s">
        <v>2488</v>
      </c>
      <c r="E706" s="1">
        <v>1.0</v>
      </c>
      <c r="I706" s="1">
        <v>1.0</v>
      </c>
      <c r="J706" s="1">
        <v>64.0</v>
      </c>
      <c r="L706" s="1">
        <v>7001588.0</v>
      </c>
      <c r="N706" s="1">
        <v>7001588.0</v>
      </c>
      <c r="P706" s="1" t="s">
        <v>2489</v>
      </c>
      <c r="Q706" s="1" t="s">
        <v>2490</v>
      </c>
      <c r="R706" s="1" t="s">
        <v>190</v>
      </c>
      <c r="S706" s="1">
        <v>0.0</v>
      </c>
      <c r="T706" s="1">
        <v>0.0</v>
      </c>
      <c r="X706" s="1" t="s">
        <v>56</v>
      </c>
    </row>
    <row r="707">
      <c r="A707" s="3" t="str">
        <f>HYPERLINK("https://stackoverflow.com/q/54365658", "54365658")</f>
        <v>54365658</v>
      </c>
      <c r="B707" s="1" t="s">
        <v>93</v>
      </c>
      <c r="C707" s="1" t="s">
        <v>2491</v>
      </c>
      <c r="D707" s="2" t="s">
        <v>2492</v>
      </c>
      <c r="E707" s="1">
        <v>1.0</v>
      </c>
      <c r="I707" s="1">
        <v>0.0</v>
      </c>
      <c r="J707" s="1">
        <v>76.0</v>
      </c>
      <c r="L707" s="1">
        <v>1.0956377E7</v>
      </c>
      <c r="Q707" s="1" t="s">
        <v>2493</v>
      </c>
      <c r="R707" s="1" t="s">
        <v>97</v>
      </c>
      <c r="S707" s="1">
        <v>1.0</v>
      </c>
      <c r="T707" s="1">
        <v>0.0</v>
      </c>
      <c r="X707" s="1" t="s">
        <v>56</v>
      </c>
    </row>
    <row r="708">
      <c r="A708" s="3" t="str">
        <f>HYPERLINK("https://stackoverflow.com/q/54373790", "54373790")</f>
        <v>54373790</v>
      </c>
      <c r="B708" s="1" t="s">
        <v>93</v>
      </c>
      <c r="C708" s="1" t="s">
        <v>2494</v>
      </c>
      <c r="D708" s="2" t="s">
        <v>2495</v>
      </c>
      <c r="E708" s="1">
        <v>1.0</v>
      </c>
      <c r="F708" s="1">
        <v>5.4408687E7</v>
      </c>
      <c r="I708" s="1">
        <v>1.0</v>
      </c>
      <c r="J708" s="1">
        <v>113.0</v>
      </c>
      <c r="L708" s="1">
        <v>1422413.0</v>
      </c>
      <c r="Q708" s="1" t="s">
        <v>2496</v>
      </c>
      <c r="R708" s="1" t="s">
        <v>97</v>
      </c>
      <c r="S708" s="1">
        <v>2.0</v>
      </c>
      <c r="T708" s="1">
        <v>0.0</v>
      </c>
      <c r="X708" s="1" t="s">
        <v>56</v>
      </c>
      <c r="Z708" s="1" t="s">
        <v>2496</v>
      </c>
    </row>
    <row r="709">
      <c r="A709" s="3" t="str">
        <f>HYPERLINK("https://stackoverflow.com/q/54392707", "54392707")</f>
        <v>54392707</v>
      </c>
      <c r="B709" s="1" t="s">
        <v>93</v>
      </c>
      <c r="C709" s="1" t="s">
        <v>2497</v>
      </c>
      <c r="D709" s="2" t="s">
        <v>2498</v>
      </c>
      <c r="E709" s="1">
        <v>1.0</v>
      </c>
      <c r="I709" s="1">
        <v>0.0</v>
      </c>
      <c r="J709" s="1">
        <v>56.0</v>
      </c>
      <c r="L709" s="1">
        <v>8112211.0</v>
      </c>
      <c r="Q709" s="1" t="s">
        <v>2497</v>
      </c>
      <c r="R709" s="1" t="s">
        <v>97</v>
      </c>
      <c r="S709" s="1">
        <v>0.0</v>
      </c>
      <c r="T709" s="1">
        <v>3.0</v>
      </c>
      <c r="X709" s="1" t="s">
        <v>56</v>
      </c>
    </row>
    <row r="710">
      <c r="A710" s="3" t="str">
        <f>HYPERLINK("https://stackoverflow.com/q/54396214", "54396214")</f>
        <v>54396214</v>
      </c>
      <c r="B710" s="1" t="s">
        <v>93</v>
      </c>
      <c r="C710" s="1" t="s">
        <v>2499</v>
      </c>
      <c r="D710" s="2" t="s">
        <v>2500</v>
      </c>
      <c r="E710" s="1">
        <v>1.0</v>
      </c>
      <c r="F710" s="1">
        <v>5.4404774E7</v>
      </c>
      <c r="I710" s="1">
        <v>0.0</v>
      </c>
      <c r="J710" s="1">
        <v>494.0</v>
      </c>
      <c r="L710" s="1">
        <v>1.0770067E7</v>
      </c>
      <c r="N710" s="1">
        <v>1.2892553E7</v>
      </c>
      <c r="P710" s="1" t="s">
        <v>2501</v>
      </c>
      <c r="Q710" s="1" t="s">
        <v>2501</v>
      </c>
      <c r="R710" s="1" t="s">
        <v>97</v>
      </c>
      <c r="S710" s="1">
        <v>1.0</v>
      </c>
      <c r="T710" s="1">
        <v>0.0</v>
      </c>
      <c r="X710" s="1" t="s">
        <v>56</v>
      </c>
      <c r="Z710" s="1" t="s">
        <v>2502</v>
      </c>
    </row>
    <row r="711">
      <c r="A711" s="3" t="str">
        <f>HYPERLINK("https://stackoverflow.com/q/54446152", "54446152")</f>
        <v>54446152</v>
      </c>
      <c r="B711" s="1" t="s">
        <v>93</v>
      </c>
      <c r="C711" s="1" t="s">
        <v>2503</v>
      </c>
      <c r="D711" s="2" t="s">
        <v>2504</v>
      </c>
      <c r="E711" s="1">
        <v>1.0</v>
      </c>
      <c r="F711" s="1">
        <v>5.4449052E7</v>
      </c>
      <c r="I711" s="1">
        <v>0.0</v>
      </c>
      <c r="J711" s="1">
        <v>218.0</v>
      </c>
      <c r="L711" s="1">
        <v>1482652.0</v>
      </c>
      <c r="Q711" s="1" t="s">
        <v>2505</v>
      </c>
      <c r="R711" s="1" t="s">
        <v>97</v>
      </c>
      <c r="S711" s="1">
        <v>1.0</v>
      </c>
      <c r="T711" s="1">
        <v>0.0</v>
      </c>
      <c r="X711" s="1" t="s">
        <v>56</v>
      </c>
      <c r="Z711" s="1" t="s">
        <v>2505</v>
      </c>
    </row>
    <row r="712">
      <c r="A712" s="3" t="str">
        <f>HYPERLINK("https://stackoverflow.com/q/54446465", "54446465")</f>
        <v>54446465</v>
      </c>
      <c r="B712" s="1" t="s">
        <v>93</v>
      </c>
      <c r="C712" s="1" t="s">
        <v>2506</v>
      </c>
      <c r="D712" s="2" t="s">
        <v>2507</v>
      </c>
      <c r="E712" s="1">
        <v>1.0</v>
      </c>
      <c r="I712" s="1">
        <v>0.0</v>
      </c>
      <c r="J712" s="1">
        <v>120.0</v>
      </c>
      <c r="L712" s="1">
        <v>5596743.0</v>
      </c>
      <c r="Q712" s="1" t="s">
        <v>2506</v>
      </c>
      <c r="R712" s="1" t="s">
        <v>97</v>
      </c>
      <c r="S712" s="1">
        <v>0.0</v>
      </c>
      <c r="T712" s="1">
        <v>6.0</v>
      </c>
      <c r="X712" s="1" t="s">
        <v>56</v>
      </c>
    </row>
    <row r="713">
      <c r="A713" s="3" t="str">
        <f>HYPERLINK("https://stackoverflow.com/q/54472908", "54472908")</f>
        <v>54472908</v>
      </c>
      <c r="B713" s="1" t="s">
        <v>93</v>
      </c>
      <c r="C713" s="1" t="s">
        <v>2508</v>
      </c>
      <c r="D713" s="2" t="s">
        <v>2509</v>
      </c>
      <c r="E713" s="1">
        <v>1.0</v>
      </c>
      <c r="I713" s="1">
        <v>0.0</v>
      </c>
      <c r="J713" s="1">
        <v>123.0</v>
      </c>
      <c r="L713" s="1">
        <v>1.0838314E7</v>
      </c>
      <c r="Q713" s="1" t="s">
        <v>2510</v>
      </c>
      <c r="R713" s="1" t="s">
        <v>97</v>
      </c>
      <c r="S713" s="1">
        <v>0.0</v>
      </c>
      <c r="T713" s="1">
        <v>5.0</v>
      </c>
      <c r="X713" s="1" t="s">
        <v>56</v>
      </c>
    </row>
    <row r="714">
      <c r="A714" s="3" t="str">
        <f>HYPERLINK("https://stackoverflow.com/q/54473192", "54473192")</f>
        <v>54473192</v>
      </c>
      <c r="B714" s="1" t="s">
        <v>93</v>
      </c>
      <c r="C714" s="1" t="s">
        <v>2511</v>
      </c>
      <c r="D714" s="2" t="s">
        <v>2512</v>
      </c>
      <c r="E714" s="1">
        <v>1.0</v>
      </c>
      <c r="F714" s="1">
        <v>5.4481506E7</v>
      </c>
      <c r="I714" s="1">
        <v>0.0</v>
      </c>
      <c r="J714" s="1">
        <v>111.0</v>
      </c>
      <c r="L714" s="1">
        <v>1.0159321E7</v>
      </c>
      <c r="Q714" s="1" t="s">
        <v>2513</v>
      </c>
      <c r="R714" s="1" t="s">
        <v>97</v>
      </c>
      <c r="S714" s="1">
        <v>1.0</v>
      </c>
      <c r="T714" s="1">
        <v>0.0</v>
      </c>
      <c r="X714" s="1" t="s">
        <v>56</v>
      </c>
      <c r="Z714" s="1" t="s">
        <v>2513</v>
      </c>
    </row>
    <row r="715">
      <c r="A715" s="3" t="str">
        <f>HYPERLINK("https://stackoverflow.com/q/54515593", "54515593")</f>
        <v>54515593</v>
      </c>
      <c r="B715" s="1" t="s">
        <v>93</v>
      </c>
      <c r="C715" s="1" t="s">
        <v>2514</v>
      </c>
      <c r="D715" s="2" t="s">
        <v>2515</v>
      </c>
      <c r="E715" s="1">
        <v>1.0</v>
      </c>
      <c r="F715" s="1">
        <v>5.4521884E7</v>
      </c>
      <c r="I715" s="1">
        <v>0.0</v>
      </c>
      <c r="J715" s="1">
        <v>300.0</v>
      </c>
      <c r="L715" s="1">
        <v>4663651.0</v>
      </c>
      <c r="Q715" s="1" t="s">
        <v>2516</v>
      </c>
      <c r="R715" s="1" t="s">
        <v>97</v>
      </c>
      <c r="S715" s="1">
        <v>1.0</v>
      </c>
      <c r="T715" s="1">
        <v>1.0</v>
      </c>
      <c r="X715" s="1" t="s">
        <v>56</v>
      </c>
      <c r="Z715" s="1" t="s">
        <v>2516</v>
      </c>
    </row>
    <row r="716">
      <c r="A716" s="3" t="str">
        <f>HYPERLINK("https://stackoverflow.com/q/54521407", "54521407")</f>
        <v>54521407</v>
      </c>
      <c r="B716" s="1" t="s">
        <v>93</v>
      </c>
      <c r="C716" s="1" t="s">
        <v>2517</v>
      </c>
      <c r="D716" s="2" t="s">
        <v>2518</v>
      </c>
      <c r="E716" s="1">
        <v>1.0</v>
      </c>
      <c r="F716" s="1">
        <v>5.4531986E7</v>
      </c>
      <c r="I716" s="1">
        <v>0.0</v>
      </c>
      <c r="J716" s="1">
        <v>49.0</v>
      </c>
      <c r="L716" s="1">
        <v>8838679.0</v>
      </c>
      <c r="Q716" s="1" t="s">
        <v>2519</v>
      </c>
      <c r="R716" s="1" t="s">
        <v>1047</v>
      </c>
      <c r="S716" s="1">
        <v>1.0</v>
      </c>
      <c r="T716" s="1">
        <v>1.0</v>
      </c>
      <c r="X716" s="1" t="s">
        <v>56</v>
      </c>
      <c r="Z716" s="1" t="s">
        <v>2519</v>
      </c>
    </row>
    <row r="717">
      <c r="A717" s="3" t="str">
        <f>HYPERLINK("https://stackoverflow.com/q/54526634", "54526634")</f>
        <v>54526634</v>
      </c>
      <c r="B717" s="1" t="s">
        <v>93</v>
      </c>
      <c r="C717" s="1" t="s">
        <v>2520</v>
      </c>
      <c r="D717" s="2" t="s">
        <v>2521</v>
      </c>
      <c r="E717" s="1">
        <v>1.0</v>
      </c>
      <c r="I717" s="1">
        <v>0.0</v>
      </c>
      <c r="J717" s="1">
        <v>218.0</v>
      </c>
      <c r="L717" s="1">
        <v>1.0770067E7</v>
      </c>
      <c r="Q717" s="1" t="s">
        <v>2522</v>
      </c>
      <c r="R717" s="1" t="s">
        <v>97</v>
      </c>
      <c r="S717" s="1">
        <v>1.0</v>
      </c>
      <c r="T717" s="1">
        <v>4.0</v>
      </c>
      <c r="X717" s="1" t="s">
        <v>56</v>
      </c>
    </row>
    <row r="718">
      <c r="A718" s="3" t="str">
        <f>HYPERLINK("https://stackoverflow.com/q/54532079", "54532079")</f>
        <v>54532079</v>
      </c>
      <c r="B718" s="1" t="s">
        <v>93</v>
      </c>
      <c r="C718" s="1" t="s">
        <v>2523</v>
      </c>
      <c r="D718" s="2" t="s">
        <v>2524</v>
      </c>
      <c r="E718" s="1">
        <v>1.0</v>
      </c>
      <c r="I718" s="1">
        <v>0.0</v>
      </c>
      <c r="J718" s="1">
        <v>431.0</v>
      </c>
      <c r="L718" s="1">
        <v>8522168.0</v>
      </c>
      <c r="N718" s="1">
        <v>8522168.0</v>
      </c>
      <c r="P718" s="1" t="s">
        <v>2525</v>
      </c>
      <c r="Q718" s="1" t="s">
        <v>2526</v>
      </c>
      <c r="R718" s="1" t="s">
        <v>97</v>
      </c>
      <c r="S718" s="1">
        <v>1.0</v>
      </c>
      <c r="T718" s="1">
        <v>4.0</v>
      </c>
      <c r="U718" s="1">
        <v>1.0</v>
      </c>
      <c r="X718" s="1" t="s">
        <v>56</v>
      </c>
    </row>
    <row r="719">
      <c r="A719" s="3" t="str">
        <f>HYPERLINK("https://stackoverflow.com/q/54554531", "54554531")</f>
        <v>54554531</v>
      </c>
      <c r="B719" s="1" t="s">
        <v>93</v>
      </c>
      <c r="C719" s="1" t="s">
        <v>2527</v>
      </c>
      <c r="D719" s="2" t="s">
        <v>2528</v>
      </c>
      <c r="E719" s="1">
        <v>1.0</v>
      </c>
      <c r="I719" s="1">
        <v>0.0</v>
      </c>
      <c r="J719" s="1">
        <v>165.0</v>
      </c>
      <c r="L719" s="1">
        <v>491289.0</v>
      </c>
      <c r="Q719" s="1" t="s">
        <v>2529</v>
      </c>
      <c r="R719" s="1" t="s">
        <v>1677</v>
      </c>
      <c r="S719" s="1">
        <v>1.0</v>
      </c>
      <c r="T719" s="1">
        <v>0.0</v>
      </c>
      <c r="X719" s="1" t="s">
        <v>56</v>
      </c>
    </row>
    <row r="720">
      <c r="A720" s="3" t="str">
        <f>HYPERLINK("https://stackoverflow.com/q/54574451", "54574451")</f>
        <v>54574451</v>
      </c>
      <c r="B720" s="1" t="s">
        <v>93</v>
      </c>
      <c r="C720" s="1" t="s">
        <v>2530</v>
      </c>
      <c r="D720" s="2" t="s">
        <v>2531</v>
      </c>
      <c r="E720" s="1">
        <v>1.0</v>
      </c>
      <c r="F720" s="1">
        <v>5.4574739E7</v>
      </c>
      <c r="I720" s="1">
        <v>1.0</v>
      </c>
      <c r="J720" s="1">
        <v>179.0</v>
      </c>
      <c r="M720" s="1" t="s">
        <v>2367</v>
      </c>
      <c r="O720" s="1" t="s">
        <v>2367</v>
      </c>
      <c r="P720" s="1" t="s">
        <v>2532</v>
      </c>
      <c r="Q720" s="1" t="s">
        <v>2532</v>
      </c>
      <c r="R720" s="1" t="s">
        <v>2533</v>
      </c>
      <c r="S720" s="1">
        <v>1.0</v>
      </c>
      <c r="T720" s="1">
        <v>0.0</v>
      </c>
      <c r="X720" s="1" t="s">
        <v>56</v>
      </c>
      <c r="Z720" s="1" t="s">
        <v>2534</v>
      </c>
    </row>
    <row r="721">
      <c r="A721" s="3" t="str">
        <f>HYPERLINK("https://stackoverflow.com/q/54575273", "54575273")</f>
        <v>54575273</v>
      </c>
      <c r="B721" s="1" t="s">
        <v>93</v>
      </c>
      <c r="C721" s="1" t="s">
        <v>2535</v>
      </c>
      <c r="D721" s="2" t="s">
        <v>2536</v>
      </c>
      <c r="E721" s="1">
        <v>1.0</v>
      </c>
      <c r="I721" s="1">
        <v>0.0</v>
      </c>
      <c r="J721" s="1">
        <v>124.0</v>
      </c>
      <c r="L721" s="1">
        <v>1.1028808E7</v>
      </c>
      <c r="Q721" s="1" t="s">
        <v>2537</v>
      </c>
      <c r="R721" s="1" t="s">
        <v>97</v>
      </c>
      <c r="S721" s="1">
        <v>1.0</v>
      </c>
      <c r="T721" s="1">
        <v>0.0</v>
      </c>
      <c r="X721" s="1" t="s">
        <v>56</v>
      </c>
    </row>
    <row r="722">
      <c r="A722" s="3" t="str">
        <f>HYPERLINK("https://stackoverflow.com/q/54622703", "54622703")</f>
        <v>54622703</v>
      </c>
      <c r="B722" s="1" t="s">
        <v>93</v>
      </c>
      <c r="C722" s="1" t="s">
        <v>2538</v>
      </c>
      <c r="D722" s="2" t="s">
        <v>2539</v>
      </c>
      <c r="E722" s="1">
        <v>1.0</v>
      </c>
      <c r="I722" s="1">
        <v>0.0</v>
      </c>
      <c r="J722" s="1">
        <v>28.0</v>
      </c>
      <c r="L722" s="1">
        <v>9966488.0</v>
      </c>
      <c r="Q722" s="1" t="s">
        <v>2538</v>
      </c>
      <c r="R722" s="1" t="s">
        <v>97</v>
      </c>
      <c r="S722" s="1">
        <v>0.0</v>
      </c>
      <c r="T722" s="1">
        <v>2.0</v>
      </c>
      <c r="X722" s="1" t="s">
        <v>56</v>
      </c>
    </row>
    <row r="723">
      <c r="A723" s="3" t="str">
        <f>HYPERLINK("https://stackoverflow.com/q/54734086", "54734086")</f>
        <v>54734086</v>
      </c>
      <c r="B723" s="1" t="s">
        <v>93</v>
      </c>
      <c r="C723" s="1" t="s">
        <v>2540</v>
      </c>
      <c r="D723" s="2" t="s">
        <v>2541</v>
      </c>
      <c r="E723" s="1">
        <v>1.0</v>
      </c>
      <c r="I723" s="1">
        <v>0.0</v>
      </c>
      <c r="J723" s="1">
        <v>87.0</v>
      </c>
      <c r="L723" s="1">
        <v>7323506.0</v>
      </c>
      <c r="N723" s="1">
        <v>7323506.0</v>
      </c>
      <c r="P723" s="1" t="s">
        <v>2542</v>
      </c>
      <c r="Q723" s="1" t="s">
        <v>2542</v>
      </c>
      <c r="R723" s="1" t="s">
        <v>696</v>
      </c>
      <c r="S723" s="1">
        <v>1.0</v>
      </c>
      <c r="T723" s="1">
        <v>0.0</v>
      </c>
      <c r="X723" s="1" t="s">
        <v>56</v>
      </c>
    </row>
    <row r="724">
      <c r="A724" s="3" t="str">
        <f>HYPERLINK("https://stackoverflow.com/q/54747323", "54747323")</f>
        <v>54747323</v>
      </c>
      <c r="B724" s="1" t="s">
        <v>93</v>
      </c>
      <c r="C724" s="1" t="s">
        <v>2543</v>
      </c>
      <c r="D724" s="2" t="s">
        <v>2544</v>
      </c>
      <c r="E724" s="1">
        <v>1.0</v>
      </c>
      <c r="I724" s="1">
        <v>1.0</v>
      </c>
      <c r="J724" s="1">
        <v>223.0</v>
      </c>
      <c r="M724" s="1" t="s">
        <v>2545</v>
      </c>
      <c r="O724" s="1" t="s">
        <v>2545</v>
      </c>
      <c r="P724" s="1" t="s">
        <v>2546</v>
      </c>
      <c r="Q724" s="1" t="s">
        <v>2547</v>
      </c>
      <c r="R724" s="1" t="s">
        <v>2314</v>
      </c>
      <c r="S724" s="1">
        <v>1.0</v>
      </c>
      <c r="T724" s="1">
        <v>3.0</v>
      </c>
      <c r="X724" s="1" t="s">
        <v>56</v>
      </c>
    </row>
    <row r="725">
      <c r="A725" s="3" t="str">
        <f>HYPERLINK("https://stackoverflow.com/q/54754818", "54754818")</f>
        <v>54754818</v>
      </c>
      <c r="B725" s="1" t="s">
        <v>93</v>
      </c>
      <c r="C725" s="1" t="s">
        <v>2548</v>
      </c>
      <c r="D725" s="2" t="s">
        <v>2549</v>
      </c>
      <c r="E725" s="1">
        <v>1.0</v>
      </c>
      <c r="I725" s="1">
        <v>0.0</v>
      </c>
      <c r="J725" s="1">
        <v>268.0</v>
      </c>
      <c r="L725" s="1">
        <v>1422413.0</v>
      </c>
      <c r="Q725" s="1" t="s">
        <v>2548</v>
      </c>
      <c r="R725" s="1" t="s">
        <v>2550</v>
      </c>
      <c r="S725" s="1">
        <v>0.0</v>
      </c>
      <c r="T725" s="1">
        <v>7.0</v>
      </c>
      <c r="X725" s="1" t="s">
        <v>56</v>
      </c>
    </row>
    <row r="726">
      <c r="A726" s="3" t="str">
        <f>HYPERLINK("https://stackoverflow.com/q/54757002", "54757002")</f>
        <v>54757002</v>
      </c>
      <c r="B726" s="1" t="s">
        <v>93</v>
      </c>
      <c r="C726" s="1" t="s">
        <v>2551</v>
      </c>
      <c r="D726" s="2" t="s">
        <v>2552</v>
      </c>
      <c r="E726" s="1">
        <v>1.0</v>
      </c>
      <c r="F726" s="1">
        <v>5.475705E7</v>
      </c>
      <c r="I726" s="1">
        <v>0.0</v>
      </c>
      <c r="J726" s="1">
        <v>41.0</v>
      </c>
      <c r="L726" s="1">
        <v>1764788.0</v>
      </c>
      <c r="Q726" s="1" t="s">
        <v>2553</v>
      </c>
      <c r="R726" s="1" t="s">
        <v>97</v>
      </c>
      <c r="S726" s="1">
        <v>1.0</v>
      </c>
      <c r="T726" s="1">
        <v>0.0</v>
      </c>
      <c r="X726" s="1" t="s">
        <v>56</v>
      </c>
      <c r="Z726" s="1" t="s">
        <v>2553</v>
      </c>
    </row>
    <row r="727">
      <c r="A727" s="3" t="str">
        <f>HYPERLINK("https://stackoverflow.com/q/54773028", "54773028")</f>
        <v>54773028</v>
      </c>
      <c r="B727" s="1" t="s">
        <v>93</v>
      </c>
      <c r="C727" s="1" t="s">
        <v>2554</v>
      </c>
      <c r="D727" s="2" t="s">
        <v>2555</v>
      </c>
      <c r="E727" s="1">
        <v>1.0</v>
      </c>
      <c r="I727" s="1">
        <v>0.0</v>
      </c>
      <c r="J727" s="1">
        <v>30.0</v>
      </c>
      <c r="L727" s="1">
        <v>1764788.0</v>
      </c>
      <c r="Q727" s="1" t="s">
        <v>2556</v>
      </c>
      <c r="R727" s="1" t="s">
        <v>97</v>
      </c>
      <c r="S727" s="1">
        <v>1.0</v>
      </c>
      <c r="T727" s="1">
        <v>0.0</v>
      </c>
      <c r="X727" s="1" t="s">
        <v>56</v>
      </c>
    </row>
    <row r="728">
      <c r="A728" s="3" t="str">
        <f>HYPERLINK("https://stackoverflow.com/q/54790585", "54790585")</f>
        <v>54790585</v>
      </c>
      <c r="B728" s="1" t="s">
        <v>93</v>
      </c>
      <c r="C728" s="1" t="s">
        <v>2557</v>
      </c>
      <c r="D728" s="2" t="s">
        <v>2558</v>
      </c>
      <c r="E728" s="1">
        <v>1.0</v>
      </c>
      <c r="I728" s="1">
        <v>1.0</v>
      </c>
      <c r="J728" s="1">
        <v>69.0</v>
      </c>
      <c r="L728" s="1">
        <v>6152483.0</v>
      </c>
      <c r="Q728" s="1" t="s">
        <v>2559</v>
      </c>
      <c r="R728" s="1" t="s">
        <v>190</v>
      </c>
      <c r="S728" s="1">
        <v>1.0</v>
      </c>
      <c r="T728" s="1">
        <v>0.0</v>
      </c>
      <c r="U728" s="1">
        <v>1.0</v>
      </c>
      <c r="X728" s="1" t="s">
        <v>56</v>
      </c>
    </row>
    <row r="729">
      <c r="A729" s="3" t="str">
        <f>HYPERLINK("https://stackoverflow.com/q/54800171", "54800171")</f>
        <v>54800171</v>
      </c>
      <c r="B729" s="1" t="s">
        <v>93</v>
      </c>
      <c r="C729" s="1" t="s">
        <v>2560</v>
      </c>
      <c r="D729" s="2" t="s">
        <v>2561</v>
      </c>
      <c r="E729" s="1">
        <v>1.0</v>
      </c>
      <c r="F729" s="1">
        <v>5.4803914E7</v>
      </c>
      <c r="I729" s="1">
        <v>1.0</v>
      </c>
      <c r="J729" s="1">
        <v>44.0</v>
      </c>
      <c r="L729" s="1">
        <v>8253068.0</v>
      </c>
      <c r="N729" s="1">
        <v>8253068.0</v>
      </c>
      <c r="P729" s="1" t="s">
        <v>2562</v>
      </c>
      <c r="Q729" s="1" t="s">
        <v>2562</v>
      </c>
      <c r="R729" s="1" t="s">
        <v>97</v>
      </c>
      <c r="S729" s="1">
        <v>1.0</v>
      </c>
      <c r="T729" s="1">
        <v>0.0</v>
      </c>
      <c r="X729" s="1" t="s">
        <v>56</v>
      </c>
      <c r="Z729" s="1" t="s">
        <v>2563</v>
      </c>
    </row>
    <row r="730">
      <c r="A730" s="3" t="str">
        <f>HYPERLINK("https://stackoverflow.com/q/54828156", "54828156")</f>
        <v>54828156</v>
      </c>
      <c r="B730" s="1" t="s">
        <v>93</v>
      </c>
      <c r="C730" s="1" t="s">
        <v>2564</v>
      </c>
      <c r="D730" s="2" t="s">
        <v>2565</v>
      </c>
      <c r="E730" s="1">
        <v>1.0</v>
      </c>
      <c r="I730" s="1">
        <v>0.0</v>
      </c>
      <c r="J730" s="1">
        <v>28.0</v>
      </c>
      <c r="M730" s="1" t="s">
        <v>2545</v>
      </c>
      <c r="Q730" s="1" t="s">
        <v>2564</v>
      </c>
      <c r="R730" s="1" t="s">
        <v>2314</v>
      </c>
      <c r="S730" s="1">
        <v>0.0</v>
      </c>
      <c r="T730" s="1">
        <v>2.0</v>
      </c>
      <c r="X730" s="1" t="s">
        <v>56</v>
      </c>
    </row>
    <row r="731">
      <c r="A731" s="3" t="str">
        <f>HYPERLINK("https://stackoverflow.com/q/54829314", "54829314")</f>
        <v>54829314</v>
      </c>
      <c r="B731" s="1" t="s">
        <v>93</v>
      </c>
      <c r="C731" s="1" t="s">
        <v>2566</v>
      </c>
      <c r="D731" s="2" t="s">
        <v>2567</v>
      </c>
      <c r="E731" s="1">
        <v>1.0</v>
      </c>
      <c r="F731" s="1">
        <v>5.4836356E7</v>
      </c>
      <c r="I731" s="1">
        <v>0.0</v>
      </c>
      <c r="J731" s="1">
        <v>192.0</v>
      </c>
      <c r="L731" s="1">
        <v>1.0118269E7</v>
      </c>
      <c r="Q731" s="1" t="s">
        <v>2568</v>
      </c>
      <c r="R731" s="1" t="s">
        <v>2569</v>
      </c>
      <c r="S731" s="1">
        <v>2.0</v>
      </c>
      <c r="T731" s="1">
        <v>4.0</v>
      </c>
      <c r="X731" s="1" t="s">
        <v>56</v>
      </c>
      <c r="Z731" s="1" t="s">
        <v>2570</v>
      </c>
    </row>
    <row r="732">
      <c r="A732" s="3" t="str">
        <f>HYPERLINK("https://stackoverflow.com/q/54841101", "54841101")</f>
        <v>54841101</v>
      </c>
      <c r="B732" s="1" t="s">
        <v>93</v>
      </c>
      <c r="C732" s="1" t="s">
        <v>2571</v>
      </c>
      <c r="D732" s="2" t="s">
        <v>2572</v>
      </c>
      <c r="E732" s="1">
        <v>1.0</v>
      </c>
      <c r="I732" s="1">
        <v>0.0</v>
      </c>
      <c r="J732" s="1">
        <v>36.0</v>
      </c>
      <c r="L732" s="1">
        <v>8352127.0</v>
      </c>
      <c r="N732" s="1">
        <v>8532855.0</v>
      </c>
      <c r="P732" s="1" t="s">
        <v>2573</v>
      </c>
      <c r="Q732" s="1" t="s">
        <v>2573</v>
      </c>
      <c r="R732" s="1" t="s">
        <v>1689</v>
      </c>
      <c r="S732" s="1">
        <v>1.0</v>
      </c>
      <c r="T732" s="1">
        <v>0.0</v>
      </c>
      <c r="X732" s="1" t="s">
        <v>56</v>
      </c>
    </row>
    <row r="733">
      <c r="A733" s="3" t="str">
        <f>HYPERLINK("https://stackoverflow.com/q/54848296", "54848296")</f>
        <v>54848296</v>
      </c>
      <c r="B733" s="1" t="s">
        <v>93</v>
      </c>
      <c r="C733" s="1" t="s">
        <v>2574</v>
      </c>
      <c r="D733" s="2" t="s">
        <v>2575</v>
      </c>
      <c r="E733" s="1">
        <v>1.0</v>
      </c>
      <c r="I733" s="1">
        <v>0.0</v>
      </c>
      <c r="J733" s="1">
        <v>245.0</v>
      </c>
      <c r="L733" s="1">
        <v>1.1107802E7</v>
      </c>
      <c r="Q733" s="1" t="s">
        <v>2576</v>
      </c>
      <c r="R733" s="1" t="s">
        <v>97</v>
      </c>
      <c r="S733" s="1">
        <v>1.0</v>
      </c>
      <c r="T733" s="1">
        <v>8.0</v>
      </c>
      <c r="X733" s="1" t="s">
        <v>56</v>
      </c>
    </row>
    <row r="734">
      <c r="A734" s="3" t="str">
        <f>HYPERLINK("https://stackoverflow.com/q/54881057", "54881057")</f>
        <v>54881057</v>
      </c>
      <c r="B734" s="1" t="s">
        <v>93</v>
      </c>
      <c r="C734" s="1" t="s">
        <v>2577</v>
      </c>
      <c r="D734" s="2" t="s">
        <v>2578</v>
      </c>
      <c r="E734" s="1">
        <v>1.0</v>
      </c>
      <c r="I734" s="1">
        <v>1.0</v>
      </c>
      <c r="J734" s="1">
        <v>70.0</v>
      </c>
      <c r="L734" s="1">
        <v>1.1118067E7</v>
      </c>
      <c r="N734" s="1">
        <v>1.1118067E7</v>
      </c>
      <c r="P734" s="1" t="s">
        <v>2579</v>
      </c>
      <c r="Q734" s="1" t="s">
        <v>2579</v>
      </c>
      <c r="R734" s="1" t="s">
        <v>2580</v>
      </c>
      <c r="S734" s="1">
        <v>0.0</v>
      </c>
      <c r="T734" s="1">
        <v>2.0</v>
      </c>
      <c r="X734" s="1" t="s">
        <v>56</v>
      </c>
    </row>
    <row r="735">
      <c r="A735" s="3" t="str">
        <f>HYPERLINK("https://stackoverflow.com/q/54900592", "54900592")</f>
        <v>54900592</v>
      </c>
      <c r="B735" s="1" t="s">
        <v>93</v>
      </c>
      <c r="C735" s="1" t="s">
        <v>2581</v>
      </c>
      <c r="D735" s="2" t="s">
        <v>2582</v>
      </c>
      <c r="E735" s="1">
        <v>1.0</v>
      </c>
      <c r="I735" s="1">
        <v>0.0</v>
      </c>
      <c r="J735" s="1">
        <v>47.0</v>
      </c>
      <c r="L735" s="1">
        <v>1.1123678E7</v>
      </c>
      <c r="Q735" s="1" t="s">
        <v>2581</v>
      </c>
      <c r="R735" s="1" t="s">
        <v>97</v>
      </c>
      <c r="S735" s="1">
        <v>0.0</v>
      </c>
      <c r="T735" s="1">
        <v>4.0</v>
      </c>
      <c r="X735" s="1" t="s">
        <v>56</v>
      </c>
    </row>
    <row r="736">
      <c r="A736" s="3" t="str">
        <f>HYPERLINK("https://stackoverflow.com/q/54901001", "54901001")</f>
        <v>54901001</v>
      </c>
      <c r="B736" s="1" t="s">
        <v>93</v>
      </c>
      <c r="C736" s="1" t="s">
        <v>2583</v>
      </c>
      <c r="D736" s="2" t="s">
        <v>2584</v>
      </c>
      <c r="E736" s="1">
        <v>1.0</v>
      </c>
      <c r="I736" s="1">
        <v>0.0</v>
      </c>
      <c r="J736" s="1">
        <v>53.0</v>
      </c>
      <c r="L736" s="1">
        <v>1.1123818E7</v>
      </c>
      <c r="Q736" s="1" t="s">
        <v>2585</v>
      </c>
      <c r="R736" s="1" t="s">
        <v>97</v>
      </c>
      <c r="S736" s="1">
        <v>1.0</v>
      </c>
      <c r="T736" s="1">
        <v>2.0</v>
      </c>
      <c r="X736" s="1" t="s">
        <v>56</v>
      </c>
    </row>
    <row r="737">
      <c r="A737" s="3" t="str">
        <f>HYPERLINK("https://stackoverflow.com/q/54902614", "54902614")</f>
        <v>54902614</v>
      </c>
      <c r="B737" s="1" t="s">
        <v>93</v>
      </c>
      <c r="C737" s="1" t="s">
        <v>2586</v>
      </c>
      <c r="D737" s="2" t="s">
        <v>2587</v>
      </c>
      <c r="E737" s="1">
        <v>1.0</v>
      </c>
      <c r="F737" s="1">
        <v>5.5123123E7</v>
      </c>
      <c r="I737" s="1">
        <v>0.0</v>
      </c>
      <c r="J737" s="1">
        <v>53.0</v>
      </c>
      <c r="L737" s="1">
        <v>267121.0</v>
      </c>
      <c r="Q737" s="1" t="s">
        <v>2588</v>
      </c>
      <c r="R737" s="1" t="s">
        <v>940</v>
      </c>
      <c r="S737" s="1">
        <v>1.0</v>
      </c>
      <c r="T737" s="1">
        <v>7.0</v>
      </c>
      <c r="X737" s="1" t="s">
        <v>56</v>
      </c>
      <c r="Z737" s="1" t="s">
        <v>2588</v>
      </c>
    </row>
    <row r="738">
      <c r="A738" s="3" t="str">
        <f>HYPERLINK("https://stackoverflow.com/q/54910488", "54910488")</f>
        <v>54910488</v>
      </c>
      <c r="B738" s="1" t="s">
        <v>93</v>
      </c>
      <c r="C738" s="1" t="s">
        <v>2589</v>
      </c>
      <c r="D738" s="2" t="s">
        <v>2590</v>
      </c>
      <c r="E738" s="1">
        <v>1.0</v>
      </c>
      <c r="I738" s="1">
        <v>5.0</v>
      </c>
      <c r="J738" s="1">
        <v>146.0</v>
      </c>
      <c r="L738" s="1">
        <v>5983596.0</v>
      </c>
      <c r="N738" s="1">
        <v>472495.0</v>
      </c>
      <c r="P738" s="1" t="s">
        <v>2591</v>
      </c>
      <c r="Q738" s="1" t="s">
        <v>2591</v>
      </c>
      <c r="R738" s="1" t="s">
        <v>2592</v>
      </c>
      <c r="S738" s="1">
        <v>1.0</v>
      </c>
      <c r="T738" s="1">
        <v>3.0</v>
      </c>
      <c r="U738" s="1">
        <v>2.0</v>
      </c>
      <c r="X738" s="1" t="s">
        <v>56</v>
      </c>
    </row>
    <row r="739">
      <c r="A739" s="3" t="str">
        <f>HYPERLINK("https://stackoverflow.com/q/54945975", "54945975")</f>
        <v>54945975</v>
      </c>
      <c r="B739" s="1" t="s">
        <v>93</v>
      </c>
      <c r="C739" s="1" t="s">
        <v>2593</v>
      </c>
      <c r="D739" s="2" t="s">
        <v>2594</v>
      </c>
      <c r="E739" s="1">
        <v>1.0</v>
      </c>
      <c r="I739" s="1">
        <v>0.0</v>
      </c>
      <c r="J739" s="1">
        <v>129.0</v>
      </c>
      <c r="L739" s="1">
        <v>1.1136161E7</v>
      </c>
      <c r="Q739" s="1" t="s">
        <v>2595</v>
      </c>
      <c r="R739" s="1" t="s">
        <v>2596</v>
      </c>
      <c r="S739" s="1">
        <v>1.0</v>
      </c>
      <c r="T739" s="1">
        <v>1.0</v>
      </c>
      <c r="X739" s="1" t="s">
        <v>56</v>
      </c>
    </row>
    <row r="740">
      <c r="A740" s="3" t="str">
        <f>HYPERLINK("https://stackoverflow.com/q/54951696", "54951696")</f>
        <v>54951696</v>
      </c>
      <c r="B740" s="1" t="s">
        <v>93</v>
      </c>
      <c r="C740" s="1" t="s">
        <v>2597</v>
      </c>
      <c r="D740" s="2" t="s">
        <v>2598</v>
      </c>
      <c r="E740" s="1">
        <v>1.0</v>
      </c>
      <c r="F740" s="1">
        <v>5.5025904E7</v>
      </c>
      <c r="I740" s="1">
        <v>1.0</v>
      </c>
      <c r="J740" s="1">
        <v>45.0</v>
      </c>
      <c r="L740" s="1">
        <v>1.0118269E7</v>
      </c>
      <c r="Q740" s="1" t="s">
        <v>2599</v>
      </c>
      <c r="R740" s="1" t="s">
        <v>2600</v>
      </c>
      <c r="S740" s="1">
        <v>1.0</v>
      </c>
      <c r="T740" s="1">
        <v>0.0</v>
      </c>
      <c r="X740" s="1" t="s">
        <v>56</v>
      </c>
      <c r="Z740" s="1" t="s">
        <v>2599</v>
      </c>
    </row>
    <row r="741">
      <c r="A741" s="3" t="str">
        <f>HYPERLINK("https://stackoverflow.com/q/54980076", "54980076")</f>
        <v>54980076</v>
      </c>
      <c r="B741" s="1" t="s">
        <v>93</v>
      </c>
      <c r="C741" s="1" t="s">
        <v>2601</v>
      </c>
      <c r="D741" s="2" t="s">
        <v>2602</v>
      </c>
      <c r="E741" s="1">
        <v>1.0</v>
      </c>
      <c r="I741" s="1">
        <v>0.0</v>
      </c>
      <c r="J741" s="1">
        <v>36.0</v>
      </c>
      <c r="L741" s="1">
        <v>1.114729E7</v>
      </c>
      <c r="N741" s="1">
        <v>881229.0</v>
      </c>
      <c r="P741" s="1" t="s">
        <v>2603</v>
      </c>
      <c r="Q741" s="1" t="s">
        <v>2603</v>
      </c>
      <c r="R741" s="1" t="s">
        <v>1047</v>
      </c>
      <c r="S741" s="1">
        <v>0.0</v>
      </c>
      <c r="T741" s="1">
        <v>4.0</v>
      </c>
      <c r="X741" s="1" t="s">
        <v>56</v>
      </c>
    </row>
    <row r="742">
      <c r="A742" s="3" t="str">
        <f>HYPERLINK("https://stackoverflow.com/q/54987992", "54987992")</f>
        <v>54987992</v>
      </c>
      <c r="B742" s="1" t="s">
        <v>93</v>
      </c>
      <c r="C742" s="1" t="s">
        <v>2604</v>
      </c>
      <c r="D742" s="2" t="s">
        <v>2605</v>
      </c>
      <c r="E742" s="1">
        <v>1.0</v>
      </c>
      <c r="F742" s="1">
        <v>5.4988995E7</v>
      </c>
      <c r="I742" s="1">
        <v>1.0</v>
      </c>
      <c r="J742" s="1">
        <v>232.0</v>
      </c>
      <c r="L742" s="1">
        <v>1.1149458E7</v>
      </c>
      <c r="N742" s="1">
        <v>6584878.0</v>
      </c>
      <c r="P742" s="1" t="s">
        <v>2606</v>
      </c>
      <c r="Q742" s="1" t="s">
        <v>2607</v>
      </c>
      <c r="R742" s="1" t="s">
        <v>2608</v>
      </c>
      <c r="S742" s="1">
        <v>1.0</v>
      </c>
      <c r="T742" s="1">
        <v>0.0</v>
      </c>
      <c r="X742" s="1" t="s">
        <v>56</v>
      </c>
      <c r="Z742" s="1" t="s">
        <v>2607</v>
      </c>
    </row>
    <row r="743">
      <c r="A743" s="3" t="str">
        <f>HYPERLINK("https://stackoverflow.com/q/55005441", "55005441")</f>
        <v>55005441</v>
      </c>
      <c r="B743" s="1" t="s">
        <v>93</v>
      </c>
      <c r="C743" s="1" t="s">
        <v>2609</v>
      </c>
      <c r="D743" s="2" t="s">
        <v>2610</v>
      </c>
      <c r="E743" s="1">
        <v>1.0</v>
      </c>
      <c r="F743" s="1">
        <v>5.501056E7</v>
      </c>
      <c r="I743" s="1">
        <v>0.0</v>
      </c>
      <c r="J743" s="1">
        <v>92.0</v>
      </c>
      <c r="L743" s="1">
        <v>1.1149458E7</v>
      </c>
      <c r="Q743" s="1" t="s">
        <v>2611</v>
      </c>
      <c r="R743" s="1" t="s">
        <v>2612</v>
      </c>
      <c r="S743" s="1">
        <v>1.0</v>
      </c>
      <c r="T743" s="1">
        <v>0.0</v>
      </c>
      <c r="X743" s="1" t="s">
        <v>56</v>
      </c>
      <c r="Z743" s="1" t="s">
        <v>2611</v>
      </c>
    </row>
    <row r="744">
      <c r="A744" s="3" t="str">
        <f>HYPERLINK("https://stackoverflow.com/q/55006077", "55006077")</f>
        <v>55006077</v>
      </c>
      <c r="B744" s="1" t="s">
        <v>93</v>
      </c>
      <c r="C744" s="1" t="s">
        <v>2613</v>
      </c>
      <c r="D744" s="2" t="s">
        <v>2614</v>
      </c>
      <c r="E744" s="1">
        <v>1.0</v>
      </c>
      <c r="I744" s="1">
        <v>0.0</v>
      </c>
      <c r="J744" s="1">
        <v>99.0</v>
      </c>
      <c r="L744" s="1">
        <v>1.0981424E7</v>
      </c>
      <c r="N744" s="1">
        <v>2798897.0</v>
      </c>
      <c r="P744" s="1" t="s">
        <v>2615</v>
      </c>
      <c r="Q744" s="1" t="s">
        <v>2615</v>
      </c>
      <c r="R744" s="1" t="s">
        <v>97</v>
      </c>
      <c r="S744" s="1">
        <v>0.0</v>
      </c>
      <c r="T744" s="1">
        <v>4.0</v>
      </c>
      <c r="X744" s="1" t="s">
        <v>56</v>
      </c>
    </row>
    <row r="745">
      <c r="A745" s="3" t="str">
        <f>HYPERLINK("https://stackoverflow.com/q/55010103", "55010103")</f>
        <v>55010103</v>
      </c>
      <c r="B745" s="1" t="s">
        <v>93</v>
      </c>
      <c r="C745" s="1" t="s">
        <v>2616</v>
      </c>
      <c r="D745" s="2" t="s">
        <v>2617</v>
      </c>
      <c r="E745" s="1">
        <v>1.0</v>
      </c>
      <c r="I745" s="1">
        <v>0.0</v>
      </c>
      <c r="J745" s="1">
        <v>59.0</v>
      </c>
      <c r="L745" s="1">
        <v>7230442.0</v>
      </c>
      <c r="Q745" s="1" t="s">
        <v>2616</v>
      </c>
      <c r="R745" s="1" t="s">
        <v>190</v>
      </c>
      <c r="S745" s="1">
        <v>0.0</v>
      </c>
      <c r="T745" s="1">
        <v>2.0</v>
      </c>
      <c r="X745" s="1" t="s">
        <v>56</v>
      </c>
    </row>
    <row r="746">
      <c r="A746" s="3" t="str">
        <f>HYPERLINK("https://stackoverflow.com/q/55026722", "55026722")</f>
        <v>55026722</v>
      </c>
      <c r="B746" s="1" t="s">
        <v>93</v>
      </c>
      <c r="C746" s="1" t="s">
        <v>2618</v>
      </c>
      <c r="D746" s="2" t="s">
        <v>2619</v>
      </c>
      <c r="E746" s="1">
        <v>1.0</v>
      </c>
      <c r="F746" s="1">
        <v>5.5027749E7</v>
      </c>
      <c r="I746" s="1">
        <v>0.0</v>
      </c>
      <c r="J746" s="1">
        <v>171.0</v>
      </c>
      <c r="L746" s="1">
        <v>1.0118269E7</v>
      </c>
      <c r="N746" s="1">
        <v>1.2892553E7</v>
      </c>
      <c r="P746" s="1" t="s">
        <v>2620</v>
      </c>
      <c r="Q746" s="1" t="s">
        <v>2620</v>
      </c>
      <c r="R746" s="1" t="s">
        <v>2621</v>
      </c>
      <c r="S746" s="1">
        <v>1.0</v>
      </c>
      <c r="T746" s="1">
        <v>3.0</v>
      </c>
      <c r="U746" s="1">
        <v>1.0</v>
      </c>
      <c r="X746" s="1" t="s">
        <v>56</v>
      </c>
      <c r="Z746" s="1" t="s">
        <v>2622</v>
      </c>
    </row>
    <row r="747">
      <c r="A747" s="3" t="str">
        <f>HYPERLINK("https://stackoverflow.com/q/55043215", "55043215")</f>
        <v>55043215</v>
      </c>
      <c r="B747" s="1" t="s">
        <v>93</v>
      </c>
      <c r="C747" s="1" t="s">
        <v>2623</v>
      </c>
      <c r="D747" s="2" t="s">
        <v>2624</v>
      </c>
      <c r="E747" s="1">
        <v>1.0</v>
      </c>
      <c r="F747" s="1">
        <v>5.5045018E7</v>
      </c>
      <c r="I747" s="1">
        <v>1.0</v>
      </c>
      <c r="J747" s="1">
        <v>153.0</v>
      </c>
      <c r="L747" s="1">
        <v>1.0118269E7</v>
      </c>
      <c r="N747" s="1">
        <v>1.0118269E7</v>
      </c>
      <c r="P747" s="1" t="s">
        <v>2625</v>
      </c>
      <c r="Q747" s="1" t="s">
        <v>2626</v>
      </c>
      <c r="R747" s="1" t="s">
        <v>2627</v>
      </c>
      <c r="S747" s="1">
        <v>1.0</v>
      </c>
      <c r="T747" s="1">
        <v>3.0</v>
      </c>
      <c r="X747" s="1" t="s">
        <v>56</v>
      </c>
      <c r="Z747" s="1" t="s">
        <v>2626</v>
      </c>
    </row>
    <row r="748">
      <c r="A748" s="3" t="str">
        <f>HYPERLINK("https://stackoverflow.com/q/55048122", "55048122")</f>
        <v>55048122</v>
      </c>
      <c r="B748" s="1" t="s">
        <v>93</v>
      </c>
      <c r="C748" s="1" t="s">
        <v>2628</v>
      </c>
      <c r="D748" s="2" t="s">
        <v>2629</v>
      </c>
      <c r="E748" s="1">
        <v>1.0</v>
      </c>
      <c r="I748" s="1">
        <v>1.0</v>
      </c>
      <c r="J748" s="1">
        <v>160.0</v>
      </c>
      <c r="L748" s="1">
        <v>1764788.0</v>
      </c>
      <c r="N748" s="1">
        <v>5632629.0</v>
      </c>
      <c r="P748" s="1" t="s">
        <v>2630</v>
      </c>
      <c r="Q748" s="1" t="s">
        <v>2630</v>
      </c>
      <c r="R748" s="1" t="s">
        <v>2631</v>
      </c>
      <c r="S748" s="1">
        <v>0.0</v>
      </c>
      <c r="T748" s="1">
        <v>4.0</v>
      </c>
      <c r="X748" s="1" t="s">
        <v>56</v>
      </c>
    </row>
    <row r="749">
      <c r="A749" s="3" t="str">
        <f>HYPERLINK("https://stackoverflow.com/q/55068186", "55068186")</f>
        <v>55068186</v>
      </c>
      <c r="B749" s="1" t="s">
        <v>93</v>
      </c>
      <c r="C749" s="1" t="s">
        <v>2632</v>
      </c>
      <c r="D749" s="2" t="s">
        <v>2633</v>
      </c>
      <c r="E749" s="1">
        <v>1.0</v>
      </c>
      <c r="I749" s="1">
        <v>1.0</v>
      </c>
      <c r="J749" s="1">
        <v>31.0</v>
      </c>
      <c r="L749" s="1">
        <v>1764788.0</v>
      </c>
      <c r="N749" s="1">
        <v>1033581.0</v>
      </c>
      <c r="P749" s="1" t="s">
        <v>2634</v>
      </c>
      <c r="Q749" s="1" t="s">
        <v>2634</v>
      </c>
      <c r="R749" s="1" t="s">
        <v>97</v>
      </c>
      <c r="S749" s="1">
        <v>1.0</v>
      </c>
      <c r="T749" s="1">
        <v>1.0</v>
      </c>
      <c r="X749" s="1" t="s">
        <v>56</v>
      </c>
    </row>
    <row r="750">
      <c r="A750" s="3" t="str">
        <f>HYPERLINK("https://stackoverflow.com/q/55072078", "55072078")</f>
        <v>55072078</v>
      </c>
      <c r="B750" s="1" t="s">
        <v>93</v>
      </c>
      <c r="C750" s="1" t="s">
        <v>2635</v>
      </c>
      <c r="D750" s="2" t="s">
        <v>2636</v>
      </c>
      <c r="E750" s="1">
        <v>1.0</v>
      </c>
      <c r="I750" s="1">
        <v>2.0</v>
      </c>
      <c r="J750" s="1">
        <v>184.0</v>
      </c>
      <c r="L750" s="1">
        <v>1.1173197E7</v>
      </c>
      <c r="Q750" s="1" t="s">
        <v>2637</v>
      </c>
      <c r="R750" s="1" t="s">
        <v>190</v>
      </c>
      <c r="S750" s="1">
        <v>1.0</v>
      </c>
      <c r="T750" s="1">
        <v>0.0</v>
      </c>
      <c r="U750" s="1">
        <v>1.0</v>
      </c>
      <c r="X750" s="1" t="s">
        <v>56</v>
      </c>
    </row>
    <row r="751">
      <c r="A751" s="3" t="str">
        <f>HYPERLINK("https://stackoverflow.com/q/55075917", "55075917")</f>
        <v>55075917</v>
      </c>
      <c r="B751" s="1" t="s">
        <v>93</v>
      </c>
      <c r="C751" s="1" t="s">
        <v>2638</v>
      </c>
      <c r="D751" s="2" t="s">
        <v>2639</v>
      </c>
      <c r="E751" s="1">
        <v>1.0</v>
      </c>
      <c r="I751" s="1">
        <v>0.0</v>
      </c>
      <c r="J751" s="1">
        <v>21.0</v>
      </c>
      <c r="L751" s="1">
        <v>1.1599371E7</v>
      </c>
      <c r="N751" s="1">
        <v>1600332.0</v>
      </c>
      <c r="P751" s="1" t="s">
        <v>2640</v>
      </c>
      <c r="Q751" s="1" t="s">
        <v>2641</v>
      </c>
      <c r="R751" s="1" t="s">
        <v>97</v>
      </c>
      <c r="S751" s="1">
        <v>2.0</v>
      </c>
      <c r="T751" s="1">
        <v>0.0</v>
      </c>
      <c r="X751" s="1" t="s">
        <v>56</v>
      </c>
    </row>
    <row r="752">
      <c r="A752" s="3" t="str">
        <f>HYPERLINK("https://stackoverflow.com/q/55090674", "55090674")</f>
        <v>55090674</v>
      </c>
      <c r="B752" s="1" t="s">
        <v>93</v>
      </c>
      <c r="C752" s="1" t="s">
        <v>2642</v>
      </c>
      <c r="D752" s="2" t="s">
        <v>2643</v>
      </c>
      <c r="E752" s="1">
        <v>1.0</v>
      </c>
      <c r="I752" s="1">
        <v>1.0</v>
      </c>
      <c r="J752" s="1">
        <v>31.0</v>
      </c>
      <c r="L752" s="1">
        <v>1.1180696E7</v>
      </c>
      <c r="N752" s="1">
        <v>4495081.0</v>
      </c>
      <c r="P752" s="1" t="s">
        <v>2644</v>
      </c>
      <c r="Q752" s="1" t="s">
        <v>2644</v>
      </c>
      <c r="R752" s="1" t="s">
        <v>97</v>
      </c>
      <c r="S752" s="1">
        <v>0.0</v>
      </c>
      <c r="T752" s="1">
        <v>0.0</v>
      </c>
      <c r="U752" s="1">
        <v>1.0</v>
      </c>
      <c r="X752" s="1" t="s">
        <v>56</v>
      </c>
    </row>
    <row r="753">
      <c r="A753" s="3" t="str">
        <f>HYPERLINK("https://stackoverflow.com/q/55104440", "55104440")</f>
        <v>55104440</v>
      </c>
      <c r="B753" s="1" t="s">
        <v>93</v>
      </c>
      <c r="C753" s="1" t="s">
        <v>2645</v>
      </c>
      <c r="D753" s="2" t="s">
        <v>2646</v>
      </c>
      <c r="E753" s="1">
        <v>1.0</v>
      </c>
      <c r="I753" s="1">
        <v>1.0</v>
      </c>
      <c r="J753" s="1">
        <v>77.0</v>
      </c>
      <c r="L753" s="1">
        <v>1.1170358E7</v>
      </c>
      <c r="Q753" s="1" t="s">
        <v>2645</v>
      </c>
      <c r="R753" s="1" t="s">
        <v>696</v>
      </c>
      <c r="S753" s="1">
        <v>0.0</v>
      </c>
      <c r="T753" s="1">
        <v>1.0</v>
      </c>
      <c r="X753" s="1" t="s">
        <v>56</v>
      </c>
    </row>
    <row r="754">
      <c r="A754" s="3" t="str">
        <f>HYPERLINK("https://stackoverflow.com/q/55118699", "55118699")</f>
        <v>55118699</v>
      </c>
      <c r="B754" s="1" t="s">
        <v>93</v>
      </c>
      <c r="C754" s="1" t="s">
        <v>2647</v>
      </c>
      <c r="D754" s="2" t="s">
        <v>2648</v>
      </c>
      <c r="E754" s="1">
        <v>1.0</v>
      </c>
      <c r="F754" s="1">
        <v>5.5122364E7</v>
      </c>
      <c r="I754" s="1">
        <v>2.0</v>
      </c>
      <c r="J754" s="1">
        <v>428.0</v>
      </c>
      <c r="L754" s="1">
        <v>4268173.0</v>
      </c>
      <c r="Q754" s="1" t="s">
        <v>2649</v>
      </c>
      <c r="R754" s="1" t="s">
        <v>2650</v>
      </c>
      <c r="S754" s="1">
        <v>2.0</v>
      </c>
      <c r="T754" s="1">
        <v>0.0</v>
      </c>
      <c r="U754" s="1">
        <v>0.0</v>
      </c>
      <c r="X754" s="1" t="s">
        <v>56</v>
      </c>
      <c r="Z754" s="1" t="s">
        <v>2651</v>
      </c>
    </row>
    <row r="755">
      <c r="A755" s="3" t="str">
        <f>HYPERLINK("https://stackoverflow.com/q/55122901", "55122901")</f>
        <v>55122901</v>
      </c>
      <c r="B755" s="1" t="s">
        <v>93</v>
      </c>
      <c r="C755" s="1" t="s">
        <v>2652</v>
      </c>
      <c r="D755" s="2" t="s">
        <v>2653</v>
      </c>
      <c r="E755" s="1">
        <v>1.0</v>
      </c>
      <c r="F755" s="1">
        <v>5.7105312E7</v>
      </c>
      <c r="I755" s="1">
        <v>1.0</v>
      </c>
      <c r="J755" s="1">
        <v>427.0</v>
      </c>
      <c r="L755" s="1">
        <v>1.1170358E7</v>
      </c>
      <c r="Q755" s="1" t="s">
        <v>2654</v>
      </c>
      <c r="R755" s="1" t="s">
        <v>696</v>
      </c>
      <c r="S755" s="1">
        <v>1.0</v>
      </c>
      <c r="T755" s="1">
        <v>2.0</v>
      </c>
      <c r="X755" s="1" t="s">
        <v>56</v>
      </c>
      <c r="Z755" s="1" t="s">
        <v>2654</v>
      </c>
    </row>
    <row r="756">
      <c r="A756" s="3" t="str">
        <f>HYPERLINK("https://stackoverflow.com/q/55126170", "55126170")</f>
        <v>55126170</v>
      </c>
      <c r="B756" s="1" t="s">
        <v>93</v>
      </c>
      <c r="C756" s="1" t="s">
        <v>2655</v>
      </c>
      <c r="D756" s="2" t="s">
        <v>2656</v>
      </c>
      <c r="E756" s="1">
        <v>1.0</v>
      </c>
      <c r="F756" s="1">
        <v>5.5127147E7</v>
      </c>
      <c r="I756" s="1">
        <v>0.0</v>
      </c>
      <c r="J756" s="1">
        <v>136.0</v>
      </c>
      <c r="L756" s="1">
        <v>1.0866873E7</v>
      </c>
      <c r="N756" s="1">
        <v>8404453.0</v>
      </c>
      <c r="P756" s="1" t="s">
        <v>2657</v>
      </c>
      <c r="Q756" s="1" t="s">
        <v>2658</v>
      </c>
      <c r="R756" s="1" t="s">
        <v>2659</v>
      </c>
      <c r="S756" s="1">
        <v>1.0</v>
      </c>
      <c r="T756" s="1">
        <v>0.0</v>
      </c>
      <c r="X756" s="1" t="s">
        <v>56</v>
      </c>
      <c r="Z756" s="1" t="s">
        <v>2660</v>
      </c>
    </row>
    <row r="757">
      <c r="A757" s="3" t="str">
        <f>HYPERLINK("https://stackoverflow.com/q/55143718", "55143718")</f>
        <v>55143718</v>
      </c>
      <c r="B757" s="1" t="s">
        <v>93</v>
      </c>
      <c r="C757" s="1" t="s">
        <v>2661</v>
      </c>
      <c r="D757" s="2" t="s">
        <v>2662</v>
      </c>
      <c r="E757" s="1">
        <v>1.0</v>
      </c>
      <c r="I757" s="1">
        <v>1.0</v>
      </c>
      <c r="J757" s="1">
        <v>72.0</v>
      </c>
      <c r="L757" s="1">
        <v>9426876.0</v>
      </c>
      <c r="N757" s="1">
        <v>5983596.0</v>
      </c>
      <c r="P757" s="1" t="s">
        <v>2663</v>
      </c>
      <c r="Q757" s="1" t="s">
        <v>2664</v>
      </c>
      <c r="R757" s="1" t="s">
        <v>190</v>
      </c>
      <c r="S757" s="1">
        <v>0.0</v>
      </c>
      <c r="T757" s="1">
        <v>3.0</v>
      </c>
      <c r="X757" s="1" t="s">
        <v>56</v>
      </c>
    </row>
    <row r="758">
      <c r="A758" s="3" t="str">
        <f>HYPERLINK("https://stackoverflow.com/q/55176954", "55176954")</f>
        <v>55176954</v>
      </c>
      <c r="B758" s="1" t="s">
        <v>93</v>
      </c>
      <c r="C758" s="1" t="s">
        <v>2665</v>
      </c>
      <c r="D758" s="2" t="s">
        <v>2666</v>
      </c>
      <c r="E758" s="1">
        <v>1.0</v>
      </c>
      <c r="I758" s="1">
        <v>1.0</v>
      </c>
      <c r="J758" s="1">
        <v>83.0</v>
      </c>
      <c r="L758" s="1">
        <v>1.0118269E7</v>
      </c>
      <c r="Q758" s="1" t="s">
        <v>2667</v>
      </c>
      <c r="R758" s="1" t="s">
        <v>2668</v>
      </c>
      <c r="S758" s="1">
        <v>1.0</v>
      </c>
      <c r="T758" s="1">
        <v>0.0</v>
      </c>
      <c r="X758" s="1" t="s">
        <v>56</v>
      </c>
    </row>
    <row r="759">
      <c r="A759" s="3" t="str">
        <f>HYPERLINK("https://stackoverflow.com/q/55178584", "55178584")</f>
        <v>55178584</v>
      </c>
      <c r="B759" s="1" t="s">
        <v>93</v>
      </c>
      <c r="C759" s="1" t="s">
        <v>2669</v>
      </c>
      <c r="D759" s="2" t="s">
        <v>2670</v>
      </c>
      <c r="E759" s="1">
        <v>1.0</v>
      </c>
      <c r="I759" s="1">
        <v>0.0</v>
      </c>
      <c r="J759" s="1">
        <v>53.0</v>
      </c>
      <c r="L759" s="1">
        <v>1.02386E7</v>
      </c>
      <c r="Q759" s="1" t="s">
        <v>2671</v>
      </c>
      <c r="R759" s="1" t="s">
        <v>549</v>
      </c>
      <c r="S759" s="1">
        <v>1.0</v>
      </c>
      <c r="T759" s="1">
        <v>0.0</v>
      </c>
      <c r="U759" s="1">
        <v>0.0</v>
      </c>
      <c r="X759" s="1" t="s">
        <v>56</v>
      </c>
    </row>
    <row r="760">
      <c r="A760" s="3" t="str">
        <f>HYPERLINK("https://stackoverflow.com/q/55193693", "55193693")</f>
        <v>55193693</v>
      </c>
      <c r="B760" s="1" t="s">
        <v>93</v>
      </c>
      <c r="C760" s="1" t="s">
        <v>2672</v>
      </c>
      <c r="D760" s="2" t="s">
        <v>2673</v>
      </c>
      <c r="E760" s="1">
        <v>1.0</v>
      </c>
      <c r="I760" s="1">
        <v>2.0</v>
      </c>
      <c r="J760" s="1">
        <v>54.0</v>
      </c>
      <c r="L760" s="1">
        <v>8522168.0</v>
      </c>
      <c r="N760" s="1">
        <v>4420967.0</v>
      </c>
      <c r="P760" s="1" t="s">
        <v>2674</v>
      </c>
      <c r="Q760" s="1" t="s">
        <v>2674</v>
      </c>
      <c r="R760" s="1" t="s">
        <v>97</v>
      </c>
      <c r="S760" s="1">
        <v>0.0</v>
      </c>
      <c r="T760" s="1">
        <v>5.0</v>
      </c>
      <c r="X760" s="1" t="s">
        <v>56</v>
      </c>
    </row>
    <row r="761">
      <c r="A761" s="3" t="str">
        <f>HYPERLINK("https://stackoverflow.com/q/55196502", "55196502")</f>
        <v>55196502</v>
      </c>
      <c r="B761" s="1" t="s">
        <v>93</v>
      </c>
      <c r="C761" s="1" t="s">
        <v>2675</v>
      </c>
      <c r="D761" s="2" t="s">
        <v>2676</v>
      </c>
      <c r="E761" s="1">
        <v>1.0</v>
      </c>
      <c r="I761" s="1">
        <v>0.0</v>
      </c>
      <c r="J761" s="1">
        <v>47.0</v>
      </c>
      <c r="L761" s="1">
        <v>6650388.0</v>
      </c>
      <c r="N761" s="1">
        <v>6650388.0</v>
      </c>
      <c r="P761" s="1" t="s">
        <v>2677</v>
      </c>
      <c r="Q761" s="1" t="s">
        <v>2677</v>
      </c>
      <c r="R761" s="1" t="s">
        <v>97</v>
      </c>
      <c r="S761" s="1">
        <v>0.0</v>
      </c>
      <c r="T761" s="1">
        <v>3.0</v>
      </c>
      <c r="X761" s="1" t="s">
        <v>56</v>
      </c>
    </row>
    <row r="762">
      <c r="A762" s="3" t="str">
        <f>HYPERLINK("https://stackoverflow.com/q/55207558", "55207558")</f>
        <v>55207558</v>
      </c>
      <c r="B762" s="1" t="s">
        <v>93</v>
      </c>
      <c r="C762" s="1" t="s">
        <v>2678</v>
      </c>
      <c r="D762" s="2" t="s">
        <v>2679</v>
      </c>
      <c r="E762" s="1">
        <v>1.0</v>
      </c>
      <c r="I762" s="1">
        <v>4.0</v>
      </c>
      <c r="J762" s="1">
        <v>97.0</v>
      </c>
      <c r="L762" s="1">
        <v>1.1216327E7</v>
      </c>
      <c r="N762" s="1">
        <v>4495081.0</v>
      </c>
      <c r="P762" s="1" t="s">
        <v>2680</v>
      </c>
      <c r="Q762" s="1" t="s">
        <v>2681</v>
      </c>
      <c r="R762" s="1" t="s">
        <v>97</v>
      </c>
      <c r="S762" s="1">
        <v>1.0</v>
      </c>
      <c r="T762" s="1">
        <v>0.0</v>
      </c>
      <c r="U762" s="1">
        <v>1.0</v>
      </c>
      <c r="X762" s="1" t="s">
        <v>56</v>
      </c>
    </row>
    <row r="763">
      <c r="A763" s="3" t="str">
        <f>HYPERLINK("https://stackoverflow.com/q/55220499", "55220499")</f>
        <v>55220499</v>
      </c>
      <c r="B763" s="1" t="s">
        <v>93</v>
      </c>
      <c r="C763" s="1" t="s">
        <v>2682</v>
      </c>
      <c r="D763" s="2" t="s">
        <v>2683</v>
      </c>
      <c r="E763" s="1">
        <v>1.0</v>
      </c>
      <c r="I763" s="1">
        <v>1.0</v>
      </c>
      <c r="J763" s="1">
        <v>415.0</v>
      </c>
      <c r="L763" s="1">
        <v>1873623.0</v>
      </c>
      <c r="Q763" s="1" t="s">
        <v>2684</v>
      </c>
      <c r="R763" s="1" t="s">
        <v>2685</v>
      </c>
      <c r="S763" s="1">
        <v>1.0</v>
      </c>
      <c r="T763" s="1">
        <v>2.0</v>
      </c>
      <c r="X763" s="1" t="s">
        <v>56</v>
      </c>
    </row>
    <row r="764">
      <c r="A764" s="3" t="str">
        <f>HYPERLINK("https://stackoverflow.com/q/55220739", "55220739")</f>
        <v>55220739</v>
      </c>
      <c r="B764" s="1" t="s">
        <v>93</v>
      </c>
      <c r="C764" s="1" t="s">
        <v>2686</v>
      </c>
      <c r="D764" s="2" t="s">
        <v>2687</v>
      </c>
      <c r="E764" s="1">
        <v>1.0</v>
      </c>
      <c r="I764" s="1">
        <v>1.0</v>
      </c>
      <c r="J764" s="1">
        <v>56.0</v>
      </c>
      <c r="L764" s="1">
        <v>1.0866873E7</v>
      </c>
      <c r="N764" s="1">
        <v>1.0866873E7</v>
      </c>
      <c r="P764" s="1" t="s">
        <v>2688</v>
      </c>
      <c r="Q764" s="1" t="s">
        <v>2689</v>
      </c>
      <c r="R764" s="1" t="s">
        <v>2690</v>
      </c>
      <c r="S764" s="1">
        <v>2.0</v>
      </c>
      <c r="T764" s="1">
        <v>3.0</v>
      </c>
      <c r="X764" s="1" t="s">
        <v>56</v>
      </c>
    </row>
    <row r="765">
      <c r="A765" s="3" t="str">
        <f>HYPERLINK("https://stackoverflow.com/q/55224716", "55224716")</f>
        <v>55224716</v>
      </c>
      <c r="B765" s="1" t="s">
        <v>93</v>
      </c>
      <c r="C765" s="1" t="s">
        <v>2691</v>
      </c>
      <c r="D765" s="2" t="s">
        <v>2692</v>
      </c>
      <c r="E765" s="1">
        <v>1.0</v>
      </c>
      <c r="F765" s="1">
        <v>5.5296363E7</v>
      </c>
      <c r="I765" s="1">
        <v>1.0</v>
      </c>
      <c r="J765" s="1">
        <v>119.0</v>
      </c>
      <c r="L765" s="1">
        <v>1.1118714E7</v>
      </c>
      <c r="N765" s="1">
        <v>1.0388629E7</v>
      </c>
      <c r="P765" s="1" t="s">
        <v>2693</v>
      </c>
      <c r="Q765" s="1" t="s">
        <v>2694</v>
      </c>
      <c r="R765" s="1" t="s">
        <v>97</v>
      </c>
      <c r="S765" s="1">
        <v>1.0</v>
      </c>
      <c r="T765" s="1">
        <v>6.0</v>
      </c>
      <c r="X765" s="1" t="s">
        <v>56</v>
      </c>
      <c r="Z765" s="1" t="s">
        <v>2694</v>
      </c>
    </row>
    <row r="766">
      <c r="A766" s="3" t="str">
        <f>HYPERLINK("https://stackoverflow.com/q/55238384", "55238384")</f>
        <v>55238384</v>
      </c>
      <c r="B766" s="1" t="s">
        <v>93</v>
      </c>
      <c r="C766" s="1" t="s">
        <v>2695</v>
      </c>
      <c r="D766" s="2" t="s">
        <v>2696</v>
      </c>
      <c r="E766" s="1">
        <v>1.0</v>
      </c>
      <c r="F766" s="1">
        <v>5.5253238E7</v>
      </c>
      <c r="I766" s="1">
        <v>1.0</v>
      </c>
      <c r="J766" s="1">
        <v>109.0</v>
      </c>
      <c r="L766" s="1">
        <v>5700159.0</v>
      </c>
      <c r="Q766" s="1" t="s">
        <v>2697</v>
      </c>
      <c r="R766" s="1" t="s">
        <v>2698</v>
      </c>
      <c r="S766" s="1">
        <v>1.0</v>
      </c>
      <c r="T766" s="1">
        <v>1.0</v>
      </c>
      <c r="X766" s="1" t="s">
        <v>56</v>
      </c>
      <c r="Z766" s="1" t="s">
        <v>2697</v>
      </c>
    </row>
    <row r="767">
      <c r="A767" s="3" t="str">
        <f>HYPERLINK("https://stackoverflow.com/q/55240089", "55240089")</f>
        <v>55240089</v>
      </c>
      <c r="B767" s="1" t="s">
        <v>93</v>
      </c>
      <c r="C767" s="1" t="s">
        <v>2699</v>
      </c>
      <c r="D767" s="2" t="s">
        <v>2700</v>
      </c>
      <c r="E767" s="1">
        <v>1.0</v>
      </c>
      <c r="I767" s="1">
        <v>0.0</v>
      </c>
      <c r="J767" s="1">
        <v>67.0</v>
      </c>
      <c r="L767" s="1">
        <v>8838679.0</v>
      </c>
      <c r="Q767" s="1" t="s">
        <v>2701</v>
      </c>
      <c r="R767" s="1" t="s">
        <v>97</v>
      </c>
      <c r="S767" s="1">
        <v>1.0</v>
      </c>
      <c r="T767" s="1">
        <v>0.0</v>
      </c>
      <c r="U767" s="1">
        <v>1.0</v>
      </c>
      <c r="X767" s="1" t="s">
        <v>56</v>
      </c>
    </row>
    <row r="768">
      <c r="A768" s="3" t="str">
        <f>HYPERLINK("https://stackoverflow.com/q/55283256", "55283256")</f>
        <v>55283256</v>
      </c>
      <c r="B768" s="1" t="s">
        <v>93</v>
      </c>
      <c r="C768" s="1" t="s">
        <v>2702</v>
      </c>
      <c r="D768" s="2" t="s">
        <v>2703</v>
      </c>
      <c r="E768" s="1">
        <v>1.0</v>
      </c>
      <c r="I768" s="1">
        <v>5.0</v>
      </c>
      <c r="J768" s="1">
        <v>619.0</v>
      </c>
      <c r="L768" s="1">
        <v>8450899.0</v>
      </c>
      <c r="N768" s="1">
        <v>8450899.0</v>
      </c>
      <c r="P768" s="1" t="s">
        <v>2704</v>
      </c>
      <c r="Q768" s="1" t="s">
        <v>2705</v>
      </c>
      <c r="R768" s="1" t="s">
        <v>190</v>
      </c>
      <c r="S768" s="1">
        <v>1.0</v>
      </c>
      <c r="T768" s="1">
        <v>9.0</v>
      </c>
      <c r="U768" s="1">
        <v>2.0</v>
      </c>
      <c r="X768" s="1" t="s">
        <v>56</v>
      </c>
    </row>
    <row r="769">
      <c r="A769" s="3" t="str">
        <f>HYPERLINK("https://stackoverflow.com/q/55283966", "55283966")</f>
        <v>55283966</v>
      </c>
      <c r="B769" s="1" t="s">
        <v>93</v>
      </c>
      <c r="C769" s="1" t="s">
        <v>2706</v>
      </c>
      <c r="D769" s="2" t="s">
        <v>2707</v>
      </c>
      <c r="E769" s="1">
        <v>1.0</v>
      </c>
      <c r="I769" s="1">
        <v>0.0</v>
      </c>
      <c r="J769" s="1">
        <v>122.0</v>
      </c>
      <c r="L769" s="1">
        <v>1.0981424E7</v>
      </c>
      <c r="N769" s="1">
        <v>5983596.0</v>
      </c>
      <c r="P769" s="1" t="s">
        <v>2708</v>
      </c>
      <c r="Q769" s="1" t="s">
        <v>2709</v>
      </c>
      <c r="R769" s="1" t="s">
        <v>97</v>
      </c>
      <c r="S769" s="1">
        <v>1.0</v>
      </c>
      <c r="T769" s="1">
        <v>0.0</v>
      </c>
      <c r="X769" s="1" t="s">
        <v>56</v>
      </c>
    </row>
    <row r="770">
      <c r="A770" s="3" t="str">
        <f>HYPERLINK("https://stackoverflow.com/q/55286040", "55286040")</f>
        <v>55286040</v>
      </c>
      <c r="B770" s="1" t="s">
        <v>93</v>
      </c>
      <c r="C770" s="1" t="s">
        <v>2710</v>
      </c>
      <c r="D770" s="2" t="s">
        <v>2711</v>
      </c>
      <c r="E770" s="1">
        <v>1.0</v>
      </c>
      <c r="F770" s="1">
        <v>5.5286633E7</v>
      </c>
      <c r="I770" s="1">
        <v>1.0</v>
      </c>
      <c r="J770" s="1">
        <v>118.0</v>
      </c>
      <c r="L770" s="1">
        <v>9209510.0</v>
      </c>
      <c r="Q770" s="1" t="s">
        <v>2712</v>
      </c>
      <c r="R770" s="1" t="s">
        <v>2713</v>
      </c>
      <c r="S770" s="1">
        <v>2.0</v>
      </c>
      <c r="T770" s="1">
        <v>2.0</v>
      </c>
      <c r="X770" s="1" t="s">
        <v>56</v>
      </c>
      <c r="Z770" s="1" t="s">
        <v>2714</v>
      </c>
    </row>
    <row r="771">
      <c r="A771" s="3" t="str">
        <f>HYPERLINK("https://stackoverflow.com/q/55297256", "55297256")</f>
        <v>55297256</v>
      </c>
      <c r="B771" s="1" t="s">
        <v>93</v>
      </c>
      <c r="C771" s="1" t="s">
        <v>2715</v>
      </c>
      <c r="D771" s="2" t="s">
        <v>2716</v>
      </c>
      <c r="E771" s="1">
        <v>1.0</v>
      </c>
      <c r="F771" s="1">
        <v>5.5298084E7</v>
      </c>
      <c r="I771" s="1">
        <v>1.0</v>
      </c>
      <c r="J771" s="1">
        <v>120.0</v>
      </c>
      <c r="L771" s="1">
        <v>1.1123678E7</v>
      </c>
      <c r="N771" s="1">
        <v>5983596.0</v>
      </c>
      <c r="P771" s="1" t="s">
        <v>2717</v>
      </c>
      <c r="Q771" s="1" t="s">
        <v>2717</v>
      </c>
      <c r="R771" s="1" t="s">
        <v>97</v>
      </c>
      <c r="S771" s="1">
        <v>1.0</v>
      </c>
      <c r="T771" s="1">
        <v>0.0</v>
      </c>
      <c r="X771" s="1" t="s">
        <v>56</v>
      </c>
      <c r="Z771" s="1" t="s">
        <v>2718</v>
      </c>
    </row>
    <row r="772">
      <c r="A772" s="3" t="str">
        <f>HYPERLINK("https://stackoverflow.com/q/55299725", "55299725")</f>
        <v>55299725</v>
      </c>
      <c r="B772" s="1" t="s">
        <v>93</v>
      </c>
      <c r="C772" s="1" t="s">
        <v>2719</v>
      </c>
      <c r="D772" s="2" t="s">
        <v>2720</v>
      </c>
      <c r="E772" s="1">
        <v>1.0</v>
      </c>
      <c r="F772" s="1">
        <v>5.5405003E7</v>
      </c>
      <c r="I772" s="1">
        <v>0.0</v>
      </c>
      <c r="J772" s="1">
        <v>528.0</v>
      </c>
      <c r="L772" s="1">
        <v>1.0866873E7</v>
      </c>
      <c r="Q772" s="1" t="s">
        <v>2721</v>
      </c>
      <c r="R772" s="1" t="s">
        <v>2722</v>
      </c>
      <c r="S772" s="1">
        <v>1.0</v>
      </c>
      <c r="T772" s="1">
        <v>9.0</v>
      </c>
      <c r="U772" s="1">
        <v>1.0</v>
      </c>
      <c r="X772" s="1" t="s">
        <v>56</v>
      </c>
      <c r="Z772" s="1" t="s">
        <v>2721</v>
      </c>
    </row>
    <row r="773">
      <c r="A773" s="3" t="str">
        <f>HYPERLINK("https://stackoverflow.com/q/55300016", "55300016")</f>
        <v>55300016</v>
      </c>
      <c r="B773" s="1" t="s">
        <v>93</v>
      </c>
      <c r="C773" s="1" t="s">
        <v>2723</v>
      </c>
      <c r="D773" s="2" t="s">
        <v>2724</v>
      </c>
      <c r="E773" s="1">
        <v>1.0</v>
      </c>
      <c r="I773" s="1">
        <v>0.0</v>
      </c>
      <c r="J773" s="1">
        <v>33.0</v>
      </c>
      <c r="L773" s="1">
        <v>5853331.0</v>
      </c>
      <c r="Q773" s="1" t="s">
        <v>2725</v>
      </c>
      <c r="R773" s="1" t="s">
        <v>2726</v>
      </c>
      <c r="S773" s="1">
        <v>1.0</v>
      </c>
      <c r="T773" s="1">
        <v>1.0</v>
      </c>
      <c r="X773" s="1" t="s">
        <v>56</v>
      </c>
    </row>
    <row r="774">
      <c r="A774" s="3" t="str">
        <f>HYPERLINK("https://stackoverflow.com/q/55304547", "55304547")</f>
        <v>55304547</v>
      </c>
      <c r="B774" s="1" t="s">
        <v>93</v>
      </c>
      <c r="C774" s="1" t="s">
        <v>2727</v>
      </c>
      <c r="D774" s="2" t="s">
        <v>2728</v>
      </c>
      <c r="E774" s="1">
        <v>1.0</v>
      </c>
      <c r="F774" s="1">
        <v>5.5304589E7</v>
      </c>
      <c r="I774" s="1">
        <v>2.0</v>
      </c>
      <c r="J774" s="1">
        <v>268.0</v>
      </c>
      <c r="L774" s="1">
        <v>5286445.0</v>
      </c>
      <c r="Q774" s="1" t="s">
        <v>2729</v>
      </c>
      <c r="R774" s="1" t="s">
        <v>2730</v>
      </c>
      <c r="S774" s="1">
        <v>1.0</v>
      </c>
      <c r="T774" s="1">
        <v>1.0</v>
      </c>
      <c r="U774" s="1">
        <v>2.0</v>
      </c>
      <c r="X774" s="1" t="s">
        <v>56</v>
      </c>
      <c r="Z774" s="1" t="s">
        <v>2729</v>
      </c>
    </row>
    <row r="775">
      <c r="A775" s="3" t="str">
        <f>HYPERLINK("https://stackoverflow.com/q/55308559", "55308559")</f>
        <v>55308559</v>
      </c>
      <c r="B775" s="1" t="s">
        <v>93</v>
      </c>
      <c r="C775" s="1" t="s">
        <v>2731</v>
      </c>
      <c r="D775" s="2" t="s">
        <v>2732</v>
      </c>
      <c r="E775" s="1">
        <v>1.0</v>
      </c>
      <c r="I775" s="1">
        <v>1.0</v>
      </c>
      <c r="J775" s="1">
        <v>46.0</v>
      </c>
      <c r="L775" s="1">
        <v>1.0981424E7</v>
      </c>
      <c r="N775" s="1">
        <v>5983596.0</v>
      </c>
      <c r="P775" s="1" t="s">
        <v>2733</v>
      </c>
      <c r="Q775" s="1" t="s">
        <v>2733</v>
      </c>
      <c r="R775" s="1" t="s">
        <v>97</v>
      </c>
      <c r="S775" s="1">
        <v>0.0</v>
      </c>
      <c r="T775" s="1">
        <v>1.0</v>
      </c>
      <c r="X775" s="1" t="s">
        <v>56</v>
      </c>
    </row>
    <row r="776">
      <c r="A776" s="3" t="str">
        <f>HYPERLINK("https://stackoverflow.com/q/55393388", "55393388")</f>
        <v>55393388</v>
      </c>
      <c r="B776" s="1" t="s">
        <v>93</v>
      </c>
      <c r="C776" s="1" t="s">
        <v>2734</v>
      </c>
      <c r="D776" s="2" t="s">
        <v>2735</v>
      </c>
      <c r="E776" s="1">
        <v>1.0</v>
      </c>
      <c r="I776" s="1">
        <v>1.0</v>
      </c>
      <c r="J776" s="1">
        <v>25.0</v>
      </c>
      <c r="L776" s="1">
        <v>8253068.0</v>
      </c>
      <c r="Q776" s="1" t="s">
        <v>2734</v>
      </c>
      <c r="R776" s="1" t="s">
        <v>97</v>
      </c>
      <c r="S776" s="1">
        <v>0.0</v>
      </c>
      <c r="T776" s="1">
        <v>4.0</v>
      </c>
      <c r="U776" s="1">
        <v>1.0</v>
      </c>
      <c r="V776" s="1" t="s">
        <v>2736</v>
      </c>
      <c r="X776" s="1" t="s">
        <v>56</v>
      </c>
    </row>
    <row r="777">
      <c r="A777" s="3" t="str">
        <f>HYPERLINK("https://stackoverflow.com/q/55405120", "55405120")</f>
        <v>55405120</v>
      </c>
      <c r="B777" s="1" t="s">
        <v>93</v>
      </c>
      <c r="C777" s="1" t="s">
        <v>2737</v>
      </c>
      <c r="D777" s="2" t="s">
        <v>2738</v>
      </c>
      <c r="E777" s="1">
        <v>1.0</v>
      </c>
      <c r="I777" s="1">
        <v>1.0</v>
      </c>
      <c r="J777" s="1">
        <v>90.0</v>
      </c>
      <c r="L777" s="1">
        <v>1.12283E7</v>
      </c>
      <c r="N777" s="1">
        <v>1.12283E7</v>
      </c>
      <c r="P777" s="1" t="s">
        <v>2739</v>
      </c>
      <c r="Q777" s="1" t="s">
        <v>2740</v>
      </c>
      <c r="R777" s="1" t="s">
        <v>2741</v>
      </c>
      <c r="S777" s="1">
        <v>1.0</v>
      </c>
      <c r="T777" s="1">
        <v>2.0</v>
      </c>
      <c r="X777" s="1" t="s">
        <v>56</v>
      </c>
    </row>
    <row r="778">
      <c r="A778" s="3" t="str">
        <f>HYPERLINK("https://stackoverflow.com/q/55419294", "55419294")</f>
        <v>55419294</v>
      </c>
      <c r="B778" s="1" t="s">
        <v>93</v>
      </c>
      <c r="C778" s="1" t="s">
        <v>2742</v>
      </c>
      <c r="D778" s="2" t="s">
        <v>2743</v>
      </c>
      <c r="E778" s="1">
        <v>1.0</v>
      </c>
      <c r="F778" s="1">
        <v>5.5419751E7</v>
      </c>
      <c r="I778" s="1">
        <v>2.0</v>
      </c>
      <c r="J778" s="1">
        <v>163.0</v>
      </c>
      <c r="L778" s="1">
        <v>1.119886E7</v>
      </c>
      <c r="N778" s="1">
        <v>1.119886E7</v>
      </c>
      <c r="P778" s="1" t="s">
        <v>2744</v>
      </c>
      <c r="Q778" s="1" t="s">
        <v>2745</v>
      </c>
      <c r="R778" s="1" t="s">
        <v>130</v>
      </c>
      <c r="S778" s="1">
        <v>1.0</v>
      </c>
      <c r="T778" s="1">
        <v>1.0</v>
      </c>
      <c r="U778" s="1">
        <v>1.0</v>
      </c>
      <c r="X778" s="1" t="s">
        <v>56</v>
      </c>
      <c r="Z778" s="1" t="s">
        <v>2745</v>
      </c>
    </row>
    <row r="779">
      <c r="A779" s="3" t="str">
        <f>HYPERLINK("https://stackoverflow.com/q/55426906", "55426906")</f>
        <v>55426906</v>
      </c>
      <c r="B779" s="1" t="s">
        <v>93</v>
      </c>
      <c r="C779" s="1" t="s">
        <v>2746</v>
      </c>
      <c r="D779" s="2" t="s">
        <v>2747</v>
      </c>
      <c r="E779" s="1">
        <v>1.0</v>
      </c>
      <c r="I779" s="1">
        <v>0.0</v>
      </c>
      <c r="J779" s="1">
        <v>62.0</v>
      </c>
      <c r="L779" s="1">
        <v>1.1279889E7</v>
      </c>
      <c r="N779" s="1">
        <v>5983596.0</v>
      </c>
      <c r="P779" s="1" t="s">
        <v>2748</v>
      </c>
      <c r="Q779" s="1" t="s">
        <v>2749</v>
      </c>
      <c r="R779" s="1" t="s">
        <v>97</v>
      </c>
      <c r="S779" s="1">
        <v>2.0</v>
      </c>
      <c r="T779" s="1">
        <v>0.0</v>
      </c>
      <c r="X779" s="1" t="s">
        <v>56</v>
      </c>
    </row>
    <row r="780">
      <c r="A780" s="3" t="str">
        <f>HYPERLINK("https://stackoverflow.com/q/55450821", "55450821")</f>
        <v>55450821</v>
      </c>
      <c r="B780" s="1" t="s">
        <v>93</v>
      </c>
      <c r="C780" s="1" t="s">
        <v>2750</v>
      </c>
      <c r="D780" s="2" t="s">
        <v>2751</v>
      </c>
      <c r="E780" s="1">
        <v>1.0</v>
      </c>
      <c r="F780" s="1">
        <v>5.5452609E7</v>
      </c>
      <c r="I780" s="1">
        <v>0.0</v>
      </c>
      <c r="J780" s="1">
        <v>119.0</v>
      </c>
      <c r="L780" s="1">
        <v>1.1170358E7</v>
      </c>
      <c r="N780" s="1">
        <v>1.1427375E7</v>
      </c>
      <c r="P780" s="1" t="s">
        <v>2752</v>
      </c>
      <c r="Q780" s="1" t="s">
        <v>2752</v>
      </c>
      <c r="R780" s="1" t="s">
        <v>2753</v>
      </c>
      <c r="S780" s="1">
        <v>2.0</v>
      </c>
      <c r="T780" s="1">
        <v>1.0</v>
      </c>
      <c r="X780" s="1" t="s">
        <v>56</v>
      </c>
      <c r="Z780" s="1" t="s">
        <v>2754</v>
      </c>
    </row>
    <row r="781">
      <c r="A781" s="3" t="str">
        <f>HYPERLINK("https://stackoverflow.com/q/55471918", "55471918")</f>
        <v>55471918</v>
      </c>
      <c r="B781" s="1" t="s">
        <v>93</v>
      </c>
      <c r="C781" s="1" t="s">
        <v>2755</v>
      </c>
      <c r="D781" s="2" t="s">
        <v>2756</v>
      </c>
      <c r="E781" s="1">
        <v>1.0</v>
      </c>
      <c r="I781" s="1">
        <v>0.0</v>
      </c>
      <c r="J781" s="1">
        <v>66.0</v>
      </c>
      <c r="L781" s="1">
        <v>1.1118067E7</v>
      </c>
      <c r="N781" s="1">
        <v>1.1118067E7</v>
      </c>
      <c r="P781" s="1" t="s">
        <v>2757</v>
      </c>
      <c r="Q781" s="1" t="s">
        <v>2758</v>
      </c>
      <c r="R781" s="1" t="s">
        <v>696</v>
      </c>
      <c r="S781" s="1">
        <v>1.0</v>
      </c>
      <c r="T781" s="1">
        <v>2.0</v>
      </c>
      <c r="U781" s="1">
        <v>1.0</v>
      </c>
      <c r="X781" s="1" t="s">
        <v>56</v>
      </c>
    </row>
    <row r="782">
      <c r="A782" s="3" t="str">
        <f>HYPERLINK("https://stackoverflow.com/q/55476156", "55476156")</f>
        <v>55476156</v>
      </c>
      <c r="B782" s="1" t="s">
        <v>93</v>
      </c>
      <c r="C782" s="1" t="s">
        <v>2759</v>
      </c>
      <c r="D782" s="2" t="s">
        <v>2760</v>
      </c>
      <c r="E782" s="1">
        <v>1.0</v>
      </c>
      <c r="I782" s="1">
        <v>1.0</v>
      </c>
      <c r="J782" s="1">
        <v>169.0</v>
      </c>
      <c r="L782" s="1">
        <v>1.1197483E7</v>
      </c>
      <c r="N782" s="1">
        <v>1.1197483E7</v>
      </c>
      <c r="P782" s="1" t="s">
        <v>2761</v>
      </c>
      <c r="Q782" s="1" t="s">
        <v>2761</v>
      </c>
      <c r="R782" s="1" t="s">
        <v>190</v>
      </c>
      <c r="S782" s="1">
        <v>0.0</v>
      </c>
      <c r="T782" s="1">
        <v>6.0</v>
      </c>
      <c r="U782" s="1">
        <v>1.0</v>
      </c>
      <c r="X782" s="1" t="s">
        <v>56</v>
      </c>
    </row>
    <row r="783">
      <c r="A783" s="3" t="str">
        <f>HYPERLINK("https://stackoverflow.com/q/55488988", "55488988")</f>
        <v>55488988</v>
      </c>
      <c r="B783" s="1" t="s">
        <v>93</v>
      </c>
      <c r="C783" s="1" t="s">
        <v>2762</v>
      </c>
      <c r="D783" s="2" t="s">
        <v>2763</v>
      </c>
      <c r="E783" s="1">
        <v>1.0</v>
      </c>
      <c r="F783" s="1">
        <v>5.5744467E7</v>
      </c>
      <c r="I783" s="1">
        <v>1.0</v>
      </c>
      <c r="J783" s="1">
        <v>80.0</v>
      </c>
      <c r="L783" s="1">
        <v>9890655.0</v>
      </c>
      <c r="N783" s="1">
        <v>9890655.0</v>
      </c>
      <c r="P783" s="1" t="s">
        <v>2764</v>
      </c>
      <c r="Q783" s="1" t="s">
        <v>2765</v>
      </c>
      <c r="R783" s="1" t="s">
        <v>97</v>
      </c>
      <c r="S783" s="1">
        <v>1.0</v>
      </c>
      <c r="T783" s="1">
        <v>3.0</v>
      </c>
      <c r="X783" s="1" t="s">
        <v>56</v>
      </c>
      <c r="Z783" s="1" t="s">
        <v>2765</v>
      </c>
    </row>
    <row r="784">
      <c r="A784" s="3" t="str">
        <f>HYPERLINK("https://stackoverflow.com/q/55489868", "55489868")</f>
        <v>55489868</v>
      </c>
      <c r="B784" s="1" t="s">
        <v>93</v>
      </c>
      <c r="C784" s="1" t="s">
        <v>2766</v>
      </c>
      <c r="D784" s="2" t="s">
        <v>2767</v>
      </c>
      <c r="E784" s="1">
        <v>1.0</v>
      </c>
      <c r="F784" s="1">
        <v>5.549791E7</v>
      </c>
      <c r="I784" s="1">
        <v>0.0</v>
      </c>
      <c r="J784" s="1">
        <v>100.0</v>
      </c>
      <c r="L784" s="1">
        <v>8843650.0</v>
      </c>
      <c r="Q784" s="1" t="s">
        <v>2768</v>
      </c>
      <c r="R784" s="1" t="s">
        <v>97</v>
      </c>
      <c r="S784" s="1">
        <v>1.0</v>
      </c>
      <c r="T784" s="1">
        <v>3.0</v>
      </c>
      <c r="U784" s="1">
        <v>1.0</v>
      </c>
      <c r="X784" s="1" t="s">
        <v>56</v>
      </c>
      <c r="Z784" s="1" t="s">
        <v>2768</v>
      </c>
    </row>
    <row r="785">
      <c r="A785" s="3" t="str">
        <f>HYPERLINK("https://stackoverflow.com/q/55505857", "55505857")</f>
        <v>55505857</v>
      </c>
      <c r="B785" s="1" t="s">
        <v>93</v>
      </c>
      <c r="C785" s="1" t="s">
        <v>2769</v>
      </c>
      <c r="D785" s="2" t="s">
        <v>2770</v>
      </c>
      <c r="E785" s="1">
        <v>1.0</v>
      </c>
      <c r="I785" s="1">
        <v>0.0</v>
      </c>
      <c r="J785" s="1">
        <v>214.0</v>
      </c>
      <c r="L785" s="1">
        <v>1.1302602E7</v>
      </c>
      <c r="N785" s="1">
        <v>1.1302602E7</v>
      </c>
      <c r="P785" s="1" t="s">
        <v>2771</v>
      </c>
      <c r="Q785" s="1" t="s">
        <v>2772</v>
      </c>
      <c r="R785" s="1" t="s">
        <v>1285</v>
      </c>
      <c r="S785" s="1">
        <v>2.0</v>
      </c>
      <c r="T785" s="1">
        <v>0.0</v>
      </c>
      <c r="U785" s="1">
        <v>1.0</v>
      </c>
      <c r="X785" s="1" t="s">
        <v>56</v>
      </c>
    </row>
    <row r="786">
      <c r="A786" s="3" t="str">
        <f>HYPERLINK("https://stackoverflow.com/q/55549922", "55549922")</f>
        <v>55549922</v>
      </c>
      <c r="B786" s="1" t="s">
        <v>93</v>
      </c>
      <c r="C786" s="1" t="s">
        <v>2773</v>
      </c>
      <c r="D786" s="2" t="s">
        <v>2774</v>
      </c>
      <c r="E786" s="1">
        <v>1.0</v>
      </c>
      <c r="I786" s="1">
        <v>2.0</v>
      </c>
      <c r="J786" s="1">
        <v>43.0</v>
      </c>
      <c r="L786" s="1">
        <v>1.0448839E7</v>
      </c>
      <c r="Q786" s="1" t="s">
        <v>2773</v>
      </c>
      <c r="R786" s="1" t="s">
        <v>97</v>
      </c>
      <c r="S786" s="1">
        <v>0.0</v>
      </c>
      <c r="T786" s="1">
        <v>1.0</v>
      </c>
      <c r="X786" s="1" t="s">
        <v>56</v>
      </c>
    </row>
    <row r="787">
      <c r="A787" s="3" t="str">
        <f>HYPERLINK("https://stackoverflow.com/q/55571946", "55571946")</f>
        <v>55571946</v>
      </c>
      <c r="B787" s="1" t="s">
        <v>93</v>
      </c>
      <c r="C787" s="1" t="s">
        <v>2775</v>
      </c>
      <c r="D787" s="2" t="s">
        <v>2776</v>
      </c>
      <c r="E787" s="1">
        <v>1.0</v>
      </c>
      <c r="I787" s="1">
        <v>1.0</v>
      </c>
      <c r="J787" s="1">
        <v>48.0</v>
      </c>
      <c r="L787" s="1">
        <v>1.0613662E7</v>
      </c>
      <c r="Q787" s="1" t="s">
        <v>2777</v>
      </c>
      <c r="R787" s="1" t="s">
        <v>97</v>
      </c>
      <c r="S787" s="1">
        <v>1.0</v>
      </c>
      <c r="T787" s="1">
        <v>4.0</v>
      </c>
      <c r="X787" s="1" t="s">
        <v>56</v>
      </c>
    </row>
    <row r="788">
      <c r="A788" s="3" t="str">
        <f>HYPERLINK("https://stackoverflow.com/q/55596420", "55596420")</f>
        <v>55596420</v>
      </c>
      <c r="B788" s="1" t="s">
        <v>93</v>
      </c>
      <c r="C788" s="1" t="s">
        <v>2778</v>
      </c>
      <c r="D788" s="2" t="s">
        <v>2779</v>
      </c>
      <c r="E788" s="1">
        <v>1.0</v>
      </c>
      <c r="I788" s="1">
        <v>0.0</v>
      </c>
      <c r="J788" s="1">
        <v>43.0</v>
      </c>
      <c r="L788" s="1">
        <v>1.0613662E7</v>
      </c>
      <c r="Q788" s="1" t="s">
        <v>2780</v>
      </c>
      <c r="R788" s="1" t="s">
        <v>97</v>
      </c>
      <c r="S788" s="1">
        <v>1.0</v>
      </c>
      <c r="T788" s="1">
        <v>0.0</v>
      </c>
      <c r="X788" s="1" t="s">
        <v>56</v>
      </c>
    </row>
    <row r="789">
      <c r="A789" s="3" t="str">
        <f>HYPERLINK("https://stackoverflow.com/q/55614003", "55614003")</f>
        <v>55614003</v>
      </c>
      <c r="B789" s="1" t="s">
        <v>93</v>
      </c>
      <c r="C789" s="1" t="s">
        <v>2781</v>
      </c>
      <c r="D789" s="2" t="s">
        <v>2782</v>
      </c>
      <c r="E789" s="1">
        <v>1.0</v>
      </c>
      <c r="I789" s="1">
        <v>0.0</v>
      </c>
      <c r="J789" s="1">
        <v>28.0</v>
      </c>
      <c r="L789" s="1">
        <v>1.1170358E7</v>
      </c>
      <c r="Q789" s="1" t="s">
        <v>2781</v>
      </c>
      <c r="R789" s="1" t="s">
        <v>97</v>
      </c>
      <c r="S789" s="1">
        <v>0.0</v>
      </c>
      <c r="T789" s="1">
        <v>2.0</v>
      </c>
      <c r="X789" s="1" t="s">
        <v>56</v>
      </c>
    </row>
    <row r="790">
      <c r="A790" s="3" t="str">
        <f>HYPERLINK("https://stackoverflow.com/q/55614851", "55614851")</f>
        <v>55614851</v>
      </c>
      <c r="B790" s="1" t="s">
        <v>93</v>
      </c>
      <c r="C790" s="1" t="s">
        <v>2783</v>
      </c>
      <c r="D790" s="2" t="s">
        <v>2784</v>
      </c>
      <c r="E790" s="1">
        <v>1.0</v>
      </c>
      <c r="F790" s="1">
        <v>5.5615778E7</v>
      </c>
      <c r="I790" s="1">
        <v>0.0</v>
      </c>
      <c r="J790" s="1">
        <v>92.0</v>
      </c>
      <c r="L790" s="1">
        <v>3562487.0</v>
      </c>
      <c r="N790" s="1">
        <v>1.2892553E7</v>
      </c>
      <c r="P790" s="1" t="s">
        <v>2785</v>
      </c>
      <c r="Q790" s="1" t="s">
        <v>2785</v>
      </c>
      <c r="R790" s="1" t="s">
        <v>97</v>
      </c>
      <c r="S790" s="1">
        <v>1.0</v>
      </c>
      <c r="T790" s="1">
        <v>0.0</v>
      </c>
      <c r="U790" s="1">
        <v>1.0</v>
      </c>
      <c r="X790" s="1" t="s">
        <v>56</v>
      </c>
      <c r="Z790" s="1" t="s">
        <v>2786</v>
      </c>
    </row>
    <row r="791">
      <c r="A791" s="3" t="str">
        <f>HYPERLINK("https://stackoverflow.com/q/55619739", "55619739")</f>
        <v>55619739</v>
      </c>
      <c r="B791" s="1" t="s">
        <v>93</v>
      </c>
      <c r="C791" s="1" t="s">
        <v>2787</v>
      </c>
      <c r="D791" s="2" t="s">
        <v>2788</v>
      </c>
      <c r="E791" s="1">
        <v>1.0</v>
      </c>
      <c r="I791" s="1">
        <v>0.0</v>
      </c>
      <c r="J791" s="1">
        <v>55.0</v>
      </c>
      <c r="L791" s="1">
        <v>9795561.0</v>
      </c>
      <c r="N791" s="1">
        <v>1031958.0</v>
      </c>
      <c r="P791" s="1" t="s">
        <v>2789</v>
      </c>
      <c r="Q791" s="1" t="s">
        <v>2789</v>
      </c>
      <c r="R791" s="1" t="s">
        <v>97</v>
      </c>
      <c r="S791" s="1">
        <v>0.0</v>
      </c>
      <c r="T791" s="1">
        <v>3.0</v>
      </c>
      <c r="U791" s="1">
        <v>1.0</v>
      </c>
      <c r="X791" s="1" t="s">
        <v>56</v>
      </c>
    </row>
    <row r="792">
      <c r="A792" s="3" t="str">
        <f>HYPERLINK("https://stackoverflow.com/q/55645981", "55645981")</f>
        <v>55645981</v>
      </c>
      <c r="B792" s="1" t="s">
        <v>93</v>
      </c>
      <c r="C792" s="1" t="s">
        <v>2790</v>
      </c>
      <c r="D792" s="2" t="s">
        <v>2791</v>
      </c>
      <c r="E792" s="1">
        <v>1.0</v>
      </c>
      <c r="F792" s="1">
        <v>5.5650805E7</v>
      </c>
      <c r="I792" s="1">
        <v>0.0</v>
      </c>
      <c r="J792" s="1">
        <v>50.0</v>
      </c>
      <c r="L792" s="1">
        <v>1.1197483E7</v>
      </c>
      <c r="N792" s="1">
        <v>1.1197483E7</v>
      </c>
      <c r="P792" s="1" t="s">
        <v>2792</v>
      </c>
      <c r="Q792" s="1" t="s">
        <v>2793</v>
      </c>
      <c r="R792" s="1" t="s">
        <v>97</v>
      </c>
      <c r="S792" s="1">
        <v>1.0</v>
      </c>
      <c r="T792" s="1">
        <v>0.0</v>
      </c>
      <c r="U792" s="1">
        <v>1.0</v>
      </c>
      <c r="X792" s="1" t="s">
        <v>56</v>
      </c>
      <c r="Z792" s="1" t="s">
        <v>2794</v>
      </c>
    </row>
    <row r="793">
      <c r="A793" s="3" t="str">
        <f>HYPERLINK("https://stackoverflow.com/q/55695608", "55695608")</f>
        <v>55695608</v>
      </c>
      <c r="B793" s="1" t="s">
        <v>93</v>
      </c>
      <c r="C793" s="1" t="s">
        <v>2795</v>
      </c>
      <c r="D793" s="2" t="s">
        <v>2796</v>
      </c>
      <c r="E793" s="1">
        <v>1.0</v>
      </c>
      <c r="I793" s="1">
        <v>0.0</v>
      </c>
      <c r="J793" s="1">
        <v>87.0</v>
      </c>
      <c r="L793" s="1">
        <v>1422413.0</v>
      </c>
      <c r="N793" s="1">
        <v>1422413.0</v>
      </c>
      <c r="P793" s="1" t="s">
        <v>2797</v>
      </c>
      <c r="Q793" s="1" t="s">
        <v>2797</v>
      </c>
      <c r="R793" s="1" t="s">
        <v>549</v>
      </c>
      <c r="S793" s="1">
        <v>1.0</v>
      </c>
      <c r="T793" s="1">
        <v>4.0</v>
      </c>
      <c r="X793" s="1" t="s">
        <v>56</v>
      </c>
    </row>
    <row r="794">
      <c r="A794" s="3" t="str">
        <f>HYPERLINK("https://stackoverflow.com/q/55718762", "55718762")</f>
        <v>55718762</v>
      </c>
      <c r="B794" s="1" t="s">
        <v>93</v>
      </c>
      <c r="C794" s="1" t="s">
        <v>2798</v>
      </c>
      <c r="D794" s="2" t="s">
        <v>2799</v>
      </c>
      <c r="E794" s="1">
        <v>1.0</v>
      </c>
      <c r="I794" s="1">
        <v>1.0</v>
      </c>
      <c r="J794" s="1">
        <v>49.0</v>
      </c>
      <c r="L794" s="1">
        <v>1.1279889E7</v>
      </c>
      <c r="N794" s="1">
        <v>1.1279889E7</v>
      </c>
      <c r="P794" s="1" t="s">
        <v>2800</v>
      </c>
      <c r="Q794" s="1" t="s">
        <v>2800</v>
      </c>
      <c r="R794" s="1" t="s">
        <v>97</v>
      </c>
      <c r="S794" s="1">
        <v>0.0</v>
      </c>
      <c r="T794" s="1">
        <v>5.0</v>
      </c>
      <c r="X794" s="1" t="s">
        <v>56</v>
      </c>
    </row>
    <row r="795">
      <c r="A795" s="3" t="str">
        <f>HYPERLINK("https://stackoverflow.com/q/55721339", "55721339")</f>
        <v>55721339</v>
      </c>
      <c r="B795" s="1" t="s">
        <v>93</v>
      </c>
      <c r="C795" s="1" t="s">
        <v>2801</v>
      </c>
      <c r="D795" s="2" t="s">
        <v>2802</v>
      </c>
      <c r="E795" s="1">
        <v>1.0</v>
      </c>
      <c r="F795" s="1">
        <v>5.5730941E7</v>
      </c>
      <c r="I795" s="1">
        <v>0.0</v>
      </c>
      <c r="J795" s="1">
        <v>101.0</v>
      </c>
      <c r="L795" s="1">
        <v>1.1170116E7</v>
      </c>
      <c r="N795" s="1">
        <v>8404453.0</v>
      </c>
      <c r="P795" s="1" t="s">
        <v>2803</v>
      </c>
      <c r="Q795" s="1" t="s">
        <v>2804</v>
      </c>
      <c r="R795" s="1" t="s">
        <v>2805</v>
      </c>
      <c r="S795" s="1">
        <v>1.0</v>
      </c>
      <c r="T795" s="1">
        <v>0.0</v>
      </c>
      <c r="X795" s="1" t="s">
        <v>56</v>
      </c>
      <c r="Z795" s="1" t="s">
        <v>2804</v>
      </c>
    </row>
    <row r="796">
      <c r="A796" s="3" t="str">
        <f>HYPERLINK("https://stackoverflow.com/q/55726162", "55726162")</f>
        <v>55726162</v>
      </c>
      <c r="B796" s="1" t="s">
        <v>93</v>
      </c>
      <c r="C796" s="1" t="s">
        <v>2806</v>
      </c>
      <c r="D796" s="2" t="s">
        <v>2807</v>
      </c>
      <c r="E796" s="1">
        <v>1.0</v>
      </c>
      <c r="I796" s="1">
        <v>0.0</v>
      </c>
      <c r="J796" s="1">
        <v>61.0</v>
      </c>
      <c r="L796" s="1">
        <v>896880.0</v>
      </c>
      <c r="Q796" s="1" t="s">
        <v>2808</v>
      </c>
      <c r="R796" s="1" t="s">
        <v>97</v>
      </c>
      <c r="S796" s="1">
        <v>1.0</v>
      </c>
      <c r="T796" s="1">
        <v>0.0</v>
      </c>
      <c r="X796" s="1" t="s">
        <v>56</v>
      </c>
    </row>
    <row r="797">
      <c r="A797" s="3" t="str">
        <f>HYPERLINK("https://stackoverflow.com/q/55726281", "55726281")</f>
        <v>55726281</v>
      </c>
      <c r="B797" s="1" t="s">
        <v>93</v>
      </c>
      <c r="C797" s="1" t="s">
        <v>2809</v>
      </c>
      <c r="D797" s="2" t="s">
        <v>2810</v>
      </c>
      <c r="E797" s="1">
        <v>1.0</v>
      </c>
      <c r="I797" s="1">
        <v>0.0</v>
      </c>
      <c r="J797" s="1">
        <v>209.0</v>
      </c>
      <c r="L797" s="1">
        <v>1.1170358E7</v>
      </c>
      <c r="Q797" s="1" t="s">
        <v>2811</v>
      </c>
      <c r="R797" s="1" t="s">
        <v>1410</v>
      </c>
      <c r="S797" s="1">
        <v>1.0</v>
      </c>
      <c r="T797" s="1">
        <v>3.0</v>
      </c>
      <c r="X797" s="1" t="s">
        <v>56</v>
      </c>
    </row>
    <row r="798">
      <c r="A798" s="3" t="str">
        <f>HYPERLINK("https://stackoverflow.com/q/55740306", "55740306")</f>
        <v>55740306</v>
      </c>
      <c r="B798" s="1" t="s">
        <v>93</v>
      </c>
      <c r="C798" s="1" t="s">
        <v>2812</v>
      </c>
      <c r="D798" s="2" t="s">
        <v>2813</v>
      </c>
      <c r="E798" s="1">
        <v>1.0</v>
      </c>
      <c r="I798" s="1">
        <v>0.0</v>
      </c>
      <c r="J798" s="1">
        <v>129.0</v>
      </c>
      <c r="L798" s="1">
        <v>7773519.0</v>
      </c>
      <c r="Q798" s="1" t="s">
        <v>2812</v>
      </c>
      <c r="R798" s="1" t="s">
        <v>97</v>
      </c>
      <c r="S798" s="1">
        <v>0.0</v>
      </c>
      <c r="T798" s="1">
        <v>2.0</v>
      </c>
      <c r="U798" s="1">
        <v>1.0</v>
      </c>
      <c r="X798" s="1" t="s">
        <v>56</v>
      </c>
    </row>
    <row r="799">
      <c r="A799" s="3" t="str">
        <f>HYPERLINK("https://stackoverflow.com/q/55748694", "55748694")</f>
        <v>55748694</v>
      </c>
      <c r="B799" s="1" t="s">
        <v>93</v>
      </c>
      <c r="C799" s="1" t="s">
        <v>2814</v>
      </c>
      <c r="D799" s="2" t="s">
        <v>2815</v>
      </c>
      <c r="E799" s="1">
        <v>1.0</v>
      </c>
      <c r="I799" s="1">
        <v>0.0</v>
      </c>
      <c r="J799" s="1">
        <v>88.0</v>
      </c>
      <c r="L799" s="1">
        <v>1.1379627E7</v>
      </c>
      <c r="N799" s="1">
        <v>9414803.0</v>
      </c>
      <c r="P799" s="1" t="s">
        <v>2816</v>
      </c>
      <c r="Q799" s="1" t="s">
        <v>2816</v>
      </c>
      <c r="R799" s="1" t="s">
        <v>97</v>
      </c>
      <c r="S799" s="1">
        <v>0.0</v>
      </c>
      <c r="T799" s="1">
        <v>4.0</v>
      </c>
      <c r="U799" s="1">
        <v>2.0</v>
      </c>
      <c r="X799" s="1" t="s">
        <v>56</v>
      </c>
    </row>
    <row r="800">
      <c r="A800" s="3" t="str">
        <f>HYPERLINK("https://stackoverflow.com/q/55764425", "55764425")</f>
        <v>55764425</v>
      </c>
      <c r="B800" s="1" t="s">
        <v>93</v>
      </c>
      <c r="C800" s="1" t="s">
        <v>2817</v>
      </c>
      <c r="D800" s="2" t="s">
        <v>2818</v>
      </c>
      <c r="E800" s="1">
        <v>1.0</v>
      </c>
      <c r="I800" s="1">
        <v>0.0</v>
      </c>
      <c r="J800" s="1">
        <v>54.0</v>
      </c>
      <c r="L800" s="1">
        <v>8853484.0</v>
      </c>
      <c r="Q800" s="1" t="s">
        <v>2819</v>
      </c>
      <c r="R800" s="1" t="s">
        <v>97</v>
      </c>
      <c r="S800" s="1">
        <v>1.0</v>
      </c>
      <c r="T800" s="1">
        <v>0.0</v>
      </c>
      <c r="X800" s="1" t="s">
        <v>56</v>
      </c>
    </row>
    <row r="801">
      <c r="A801" s="3" t="str">
        <f>HYPERLINK("https://stackoverflow.com/q/55778580", "55778580")</f>
        <v>55778580</v>
      </c>
      <c r="B801" s="1" t="s">
        <v>93</v>
      </c>
      <c r="C801" s="1" t="s">
        <v>2820</v>
      </c>
      <c r="D801" s="2" t="s">
        <v>2821</v>
      </c>
      <c r="E801" s="1">
        <v>1.0</v>
      </c>
      <c r="I801" s="1">
        <v>1.0</v>
      </c>
      <c r="J801" s="1">
        <v>71.0</v>
      </c>
      <c r="L801" s="1">
        <v>1.1389391E7</v>
      </c>
      <c r="N801" s="1">
        <v>6553328.0</v>
      </c>
      <c r="P801" s="1" t="s">
        <v>2822</v>
      </c>
      <c r="Q801" s="1" t="s">
        <v>2823</v>
      </c>
      <c r="R801" s="1" t="s">
        <v>97</v>
      </c>
      <c r="S801" s="1">
        <v>1.0</v>
      </c>
      <c r="T801" s="1">
        <v>0.0</v>
      </c>
      <c r="U801" s="1">
        <v>1.0</v>
      </c>
      <c r="X801" s="1" t="s">
        <v>56</v>
      </c>
    </row>
    <row r="802">
      <c r="A802" s="3" t="str">
        <f>HYPERLINK("https://stackoverflow.com/q/55781743", "55781743")</f>
        <v>55781743</v>
      </c>
      <c r="B802" s="1" t="s">
        <v>93</v>
      </c>
      <c r="C802" s="1" t="s">
        <v>2824</v>
      </c>
      <c r="D802" s="2" t="s">
        <v>2825</v>
      </c>
      <c r="E802" s="1">
        <v>1.0</v>
      </c>
      <c r="I802" s="1">
        <v>0.0</v>
      </c>
      <c r="J802" s="1">
        <v>212.0</v>
      </c>
      <c r="L802" s="1">
        <v>1.1279889E7</v>
      </c>
      <c r="Q802" s="1" t="s">
        <v>2826</v>
      </c>
      <c r="R802" s="1" t="s">
        <v>97</v>
      </c>
      <c r="S802" s="1">
        <v>1.0</v>
      </c>
      <c r="T802" s="1">
        <v>1.0</v>
      </c>
      <c r="X802" s="1" t="s">
        <v>56</v>
      </c>
    </row>
    <row r="803">
      <c r="A803" s="3" t="str">
        <f>HYPERLINK("https://stackoverflow.com/q/55796166", "55796166")</f>
        <v>55796166</v>
      </c>
      <c r="B803" s="1" t="s">
        <v>93</v>
      </c>
      <c r="C803" s="1" t="s">
        <v>2827</v>
      </c>
      <c r="D803" s="2" t="s">
        <v>2828</v>
      </c>
      <c r="E803" s="1">
        <v>1.0</v>
      </c>
      <c r="I803" s="1">
        <v>0.0</v>
      </c>
      <c r="J803" s="1">
        <v>220.0</v>
      </c>
      <c r="L803" s="1">
        <v>555121.0</v>
      </c>
      <c r="Q803" s="1" t="s">
        <v>2827</v>
      </c>
      <c r="R803" s="1" t="s">
        <v>2829</v>
      </c>
      <c r="S803" s="1">
        <v>0.0</v>
      </c>
      <c r="T803" s="1">
        <v>7.0</v>
      </c>
      <c r="X803" s="1" t="s">
        <v>56</v>
      </c>
    </row>
    <row r="804">
      <c r="A804" s="3" t="str">
        <f>HYPERLINK("https://stackoverflow.com/q/55803032", "55803032")</f>
        <v>55803032</v>
      </c>
      <c r="B804" s="1" t="s">
        <v>93</v>
      </c>
      <c r="C804" s="1" t="s">
        <v>2830</v>
      </c>
      <c r="D804" s="2" t="s">
        <v>2831</v>
      </c>
      <c r="E804" s="1">
        <v>1.0</v>
      </c>
      <c r="F804" s="1">
        <v>5.5808422E7</v>
      </c>
      <c r="I804" s="1">
        <v>4.0</v>
      </c>
      <c r="J804" s="1">
        <v>164.0</v>
      </c>
      <c r="L804" s="1">
        <v>1.0403102E7</v>
      </c>
      <c r="Q804" s="1" t="s">
        <v>2832</v>
      </c>
      <c r="R804" s="1" t="s">
        <v>97</v>
      </c>
      <c r="S804" s="1">
        <v>4.0</v>
      </c>
      <c r="T804" s="1">
        <v>2.0</v>
      </c>
      <c r="X804" s="1" t="s">
        <v>56</v>
      </c>
      <c r="Z804" s="1" t="s">
        <v>2833</v>
      </c>
    </row>
    <row r="805">
      <c r="A805" s="3" t="str">
        <f>HYPERLINK("https://stackoverflow.com/q/55805996", "55805996")</f>
        <v>55805996</v>
      </c>
      <c r="B805" s="1" t="s">
        <v>93</v>
      </c>
      <c r="C805" s="1" t="s">
        <v>2834</v>
      </c>
      <c r="D805" s="2" t="s">
        <v>2835</v>
      </c>
      <c r="E805" s="1">
        <v>1.0</v>
      </c>
      <c r="I805" s="1">
        <v>3.0</v>
      </c>
      <c r="J805" s="1">
        <v>2801.0</v>
      </c>
      <c r="L805" s="1">
        <v>1.1398175E7</v>
      </c>
      <c r="Q805" s="1" t="s">
        <v>2836</v>
      </c>
      <c r="R805" s="1" t="s">
        <v>2837</v>
      </c>
      <c r="S805" s="1">
        <v>1.0</v>
      </c>
      <c r="T805" s="1">
        <v>4.0</v>
      </c>
      <c r="X805" s="1" t="s">
        <v>56</v>
      </c>
    </row>
    <row r="806">
      <c r="A806" s="3" t="str">
        <f>HYPERLINK("https://stackoverflow.com/q/55847405", "55847405")</f>
        <v>55847405</v>
      </c>
      <c r="B806" s="1" t="s">
        <v>93</v>
      </c>
      <c r="C806" s="1" t="s">
        <v>2838</v>
      </c>
      <c r="D806" s="2" t="s">
        <v>2839</v>
      </c>
      <c r="E806" s="1">
        <v>1.0</v>
      </c>
      <c r="I806" s="1">
        <v>1.0</v>
      </c>
      <c r="J806" s="1">
        <v>151.0</v>
      </c>
      <c r="L806" s="1">
        <v>9890655.0</v>
      </c>
      <c r="Q806" s="1" t="s">
        <v>2840</v>
      </c>
      <c r="R806" s="1" t="s">
        <v>97</v>
      </c>
      <c r="S806" s="1">
        <v>1.0</v>
      </c>
      <c r="T806" s="1">
        <v>2.0</v>
      </c>
      <c r="X806" s="1" t="s">
        <v>56</v>
      </c>
    </row>
    <row r="807">
      <c r="A807" s="3" t="str">
        <f>HYPERLINK("https://stackoverflow.com/q/55853297", "55853297")</f>
        <v>55853297</v>
      </c>
      <c r="B807" s="1" t="s">
        <v>93</v>
      </c>
      <c r="C807" s="1" t="s">
        <v>2841</v>
      </c>
      <c r="D807" s="2" t="s">
        <v>2842</v>
      </c>
      <c r="E807" s="1">
        <v>1.0</v>
      </c>
      <c r="I807" s="1">
        <v>2.0</v>
      </c>
      <c r="J807" s="1">
        <v>193.0</v>
      </c>
      <c r="L807" s="1">
        <v>8853484.0</v>
      </c>
      <c r="Q807" s="1" t="s">
        <v>2843</v>
      </c>
      <c r="R807" s="1" t="s">
        <v>97</v>
      </c>
      <c r="S807" s="1">
        <v>1.0</v>
      </c>
      <c r="T807" s="1">
        <v>5.0</v>
      </c>
      <c r="U807" s="1">
        <v>2.0</v>
      </c>
      <c r="X807" s="1" t="s">
        <v>56</v>
      </c>
    </row>
    <row r="808">
      <c r="A808" s="3" t="str">
        <f>HYPERLINK("https://stackoverflow.com/q/55866962", "55866962")</f>
        <v>55866962</v>
      </c>
      <c r="B808" s="1" t="s">
        <v>93</v>
      </c>
      <c r="C808" s="1" t="s">
        <v>2844</v>
      </c>
      <c r="D808" s="2" t="s">
        <v>2845</v>
      </c>
      <c r="E808" s="1">
        <v>1.0</v>
      </c>
      <c r="I808" s="1">
        <v>1.0</v>
      </c>
      <c r="J808" s="1">
        <v>36.0</v>
      </c>
      <c r="L808" s="1">
        <v>5848382.0</v>
      </c>
      <c r="Q808" s="1" t="s">
        <v>2844</v>
      </c>
      <c r="R808" s="1" t="s">
        <v>1689</v>
      </c>
      <c r="S808" s="1">
        <v>0.0</v>
      </c>
      <c r="T808" s="1">
        <v>1.0</v>
      </c>
      <c r="U808" s="1">
        <v>1.0</v>
      </c>
      <c r="X808" s="1" t="s">
        <v>56</v>
      </c>
    </row>
    <row r="809">
      <c r="A809" s="3" t="str">
        <f>HYPERLINK("https://stackoverflow.com/q/55881794", "55881794")</f>
        <v>55881794</v>
      </c>
      <c r="B809" s="1" t="s">
        <v>93</v>
      </c>
      <c r="C809" s="1" t="s">
        <v>2846</v>
      </c>
      <c r="D809" s="2" t="s">
        <v>2847</v>
      </c>
      <c r="E809" s="1">
        <v>1.0</v>
      </c>
      <c r="I809" s="1">
        <v>1.0</v>
      </c>
      <c r="J809" s="1">
        <v>100.0</v>
      </c>
      <c r="L809" s="1">
        <v>1.1279889E7</v>
      </c>
      <c r="N809" s="1">
        <v>555121.0</v>
      </c>
      <c r="P809" s="1" t="s">
        <v>2848</v>
      </c>
      <c r="Q809" s="1" t="s">
        <v>2849</v>
      </c>
      <c r="R809" s="1" t="s">
        <v>97</v>
      </c>
      <c r="S809" s="1">
        <v>1.0</v>
      </c>
      <c r="T809" s="1">
        <v>7.0</v>
      </c>
      <c r="X809" s="1" t="s">
        <v>56</v>
      </c>
    </row>
    <row r="810">
      <c r="A810" s="3" t="str">
        <f>HYPERLINK("https://stackoverflow.com/q/55945647", "55945647")</f>
        <v>55945647</v>
      </c>
      <c r="B810" s="1" t="s">
        <v>93</v>
      </c>
      <c r="C810" s="1" t="s">
        <v>2850</v>
      </c>
      <c r="D810" s="2" t="s">
        <v>2851</v>
      </c>
      <c r="E810" s="1">
        <v>1.0</v>
      </c>
      <c r="I810" s="1">
        <v>0.0</v>
      </c>
      <c r="J810" s="1">
        <v>87.0</v>
      </c>
      <c r="L810" s="1">
        <v>1.1439849E7</v>
      </c>
      <c r="N810" s="1">
        <v>1.1439849E7</v>
      </c>
      <c r="P810" s="1" t="s">
        <v>2852</v>
      </c>
      <c r="Q810" s="1" t="s">
        <v>2853</v>
      </c>
      <c r="R810" s="1" t="s">
        <v>97</v>
      </c>
      <c r="S810" s="1">
        <v>1.0</v>
      </c>
      <c r="T810" s="1">
        <v>1.0</v>
      </c>
      <c r="X810" s="1" t="s">
        <v>56</v>
      </c>
    </row>
    <row r="811">
      <c r="A811" s="3" t="str">
        <f>HYPERLINK("https://stackoverflow.com/q/55958319", "55958319")</f>
        <v>55958319</v>
      </c>
      <c r="B811" s="1" t="s">
        <v>93</v>
      </c>
      <c r="C811" s="1" t="s">
        <v>2854</v>
      </c>
      <c r="D811" s="2" t="s">
        <v>2855</v>
      </c>
      <c r="E811" s="1">
        <v>1.0</v>
      </c>
      <c r="I811" s="1">
        <v>0.0</v>
      </c>
      <c r="J811" s="1">
        <v>62.0</v>
      </c>
      <c r="L811" s="1">
        <v>1.0771727E7</v>
      </c>
      <c r="Q811" s="1" t="s">
        <v>2856</v>
      </c>
      <c r="R811" s="1" t="s">
        <v>190</v>
      </c>
      <c r="S811" s="1">
        <v>1.0</v>
      </c>
      <c r="T811" s="1">
        <v>2.0</v>
      </c>
      <c r="X811" s="1" t="s">
        <v>56</v>
      </c>
    </row>
    <row r="812">
      <c r="A812" s="3" t="str">
        <f>HYPERLINK("https://stackoverflow.com/q/55971394", "55971394")</f>
        <v>55971394</v>
      </c>
      <c r="B812" s="1" t="s">
        <v>93</v>
      </c>
      <c r="C812" s="1" t="s">
        <v>2857</v>
      </c>
      <c r="D812" s="2" t="s">
        <v>2858</v>
      </c>
      <c r="E812" s="1">
        <v>1.0</v>
      </c>
      <c r="I812" s="1">
        <v>3.0</v>
      </c>
      <c r="J812" s="1">
        <v>145.0</v>
      </c>
      <c r="L812" s="1">
        <v>1.1437364E7</v>
      </c>
      <c r="N812" s="1">
        <v>1.1437364E7</v>
      </c>
      <c r="P812" s="1" t="s">
        <v>2859</v>
      </c>
      <c r="Q812" s="1" t="s">
        <v>2860</v>
      </c>
      <c r="R812" s="1" t="s">
        <v>696</v>
      </c>
      <c r="S812" s="1">
        <v>1.0</v>
      </c>
      <c r="T812" s="1">
        <v>4.0</v>
      </c>
      <c r="X812" s="1" t="s">
        <v>56</v>
      </c>
    </row>
    <row r="813">
      <c r="A813" s="3" t="str">
        <f>HYPERLINK("https://stackoverflow.com/q/55999786", "55999786")</f>
        <v>55999786</v>
      </c>
      <c r="B813" s="1" t="s">
        <v>93</v>
      </c>
      <c r="C813" s="1" t="s">
        <v>2861</v>
      </c>
      <c r="D813" s="2" t="s">
        <v>2862</v>
      </c>
      <c r="E813" s="1">
        <v>1.0</v>
      </c>
      <c r="I813" s="1">
        <v>0.0</v>
      </c>
      <c r="J813" s="1">
        <v>155.0</v>
      </c>
      <c r="L813" s="1">
        <v>1.1457896E7</v>
      </c>
      <c r="N813" s="1">
        <v>1.1457896E7</v>
      </c>
      <c r="P813" s="1" t="s">
        <v>2863</v>
      </c>
      <c r="Q813" s="1" t="s">
        <v>2864</v>
      </c>
      <c r="R813" s="1" t="s">
        <v>97</v>
      </c>
      <c r="S813" s="1">
        <v>2.0</v>
      </c>
      <c r="T813" s="1">
        <v>0.0</v>
      </c>
      <c r="X813" s="1" t="s">
        <v>56</v>
      </c>
    </row>
    <row r="814">
      <c r="A814" s="3" t="str">
        <f>HYPERLINK("https://stackoverflow.com/q/56013510", "56013510")</f>
        <v>56013510</v>
      </c>
      <c r="B814" s="1" t="s">
        <v>93</v>
      </c>
      <c r="C814" s="1" t="s">
        <v>2865</v>
      </c>
      <c r="D814" s="2" t="s">
        <v>2866</v>
      </c>
      <c r="E814" s="1">
        <v>1.0</v>
      </c>
      <c r="I814" s="1">
        <v>0.0</v>
      </c>
      <c r="J814" s="1">
        <v>113.0</v>
      </c>
      <c r="L814" s="1">
        <v>4304592.0</v>
      </c>
      <c r="Q814" s="1" t="s">
        <v>2867</v>
      </c>
      <c r="R814" s="1" t="s">
        <v>2868</v>
      </c>
      <c r="S814" s="1">
        <v>3.0</v>
      </c>
      <c r="T814" s="1">
        <v>0.0</v>
      </c>
      <c r="X814" s="1" t="s">
        <v>56</v>
      </c>
    </row>
    <row r="815">
      <c r="A815" s="3" t="str">
        <f>HYPERLINK("https://stackoverflow.com/q/56024780", "56024780")</f>
        <v>56024780</v>
      </c>
      <c r="B815" s="1" t="s">
        <v>93</v>
      </c>
      <c r="C815" s="1" t="s">
        <v>2869</v>
      </c>
      <c r="D815" s="2" t="s">
        <v>2870</v>
      </c>
      <c r="E815" s="1">
        <v>1.0</v>
      </c>
      <c r="I815" s="1">
        <v>0.0</v>
      </c>
      <c r="J815" s="1">
        <v>86.0</v>
      </c>
      <c r="L815" s="1">
        <v>6896144.0</v>
      </c>
      <c r="Q815" s="1" t="s">
        <v>2869</v>
      </c>
      <c r="R815" s="1" t="s">
        <v>97</v>
      </c>
      <c r="S815" s="1">
        <v>0.0</v>
      </c>
      <c r="T815" s="1">
        <v>2.0</v>
      </c>
      <c r="X815" s="1" t="s">
        <v>56</v>
      </c>
    </row>
    <row r="816">
      <c r="A816" s="3" t="str">
        <f>HYPERLINK("https://stackoverflow.com/q/56033799", "56033799")</f>
        <v>56033799</v>
      </c>
      <c r="B816" s="1" t="s">
        <v>93</v>
      </c>
      <c r="C816" s="1" t="s">
        <v>2871</v>
      </c>
      <c r="D816" s="2" t="s">
        <v>2872</v>
      </c>
      <c r="E816" s="1">
        <v>1.0</v>
      </c>
      <c r="F816" s="1">
        <v>5.6042311E7</v>
      </c>
      <c r="I816" s="1">
        <v>0.0</v>
      </c>
      <c r="J816" s="1">
        <v>38.0</v>
      </c>
      <c r="L816" s="1">
        <v>1.1468017E7</v>
      </c>
      <c r="Q816" s="1" t="s">
        <v>2873</v>
      </c>
      <c r="R816" s="1" t="s">
        <v>97</v>
      </c>
      <c r="S816" s="1">
        <v>1.0</v>
      </c>
      <c r="T816" s="1">
        <v>1.0</v>
      </c>
      <c r="X816" s="1" t="s">
        <v>56</v>
      </c>
      <c r="Z816" s="1" t="s">
        <v>2873</v>
      </c>
    </row>
    <row r="817">
      <c r="A817" s="3" t="str">
        <f>HYPERLINK("https://stackoverflow.com/q/56065738", "56065738")</f>
        <v>56065738</v>
      </c>
      <c r="B817" s="1" t="s">
        <v>93</v>
      </c>
      <c r="C817" s="1" t="s">
        <v>2874</v>
      </c>
      <c r="D817" s="2" t="s">
        <v>2875</v>
      </c>
      <c r="E817" s="1">
        <v>1.0</v>
      </c>
      <c r="F817" s="1">
        <v>5.6067462E7</v>
      </c>
      <c r="I817" s="1">
        <v>3.0</v>
      </c>
      <c r="J817" s="1">
        <v>67.0</v>
      </c>
      <c r="L817" s="1">
        <v>9492160.0</v>
      </c>
      <c r="N817" s="1">
        <v>5983596.0</v>
      </c>
      <c r="P817" s="1" t="s">
        <v>2876</v>
      </c>
      <c r="Q817" s="1" t="s">
        <v>2877</v>
      </c>
      <c r="R817" s="1" t="s">
        <v>190</v>
      </c>
      <c r="S817" s="1">
        <v>2.0</v>
      </c>
      <c r="T817" s="1">
        <v>4.0</v>
      </c>
      <c r="X817" s="1" t="s">
        <v>56</v>
      </c>
      <c r="Z817" s="1" t="s">
        <v>2878</v>
      </c>
    </row>
    <row r="818">
      <c r="A818" s="3" t="str">
        <f>HYPERLINK("https://stackoverflow.com/q/56069823", "56069823")</f>
        <v>56069823</v>
      </c>
      <c r="B818" s="1" t="s">
        <v>93</v>
      </c>
      <c r="C818" s="1" t="s">
        <v>2879</v>
      </c>
      <c r="D818" s="2" t="s">
        <v>2880</v>
      </c>
      <c r="E818" s="1">
        <v>1.0</v>
      </c>
      <c r="I818" s="1">
        <v>0.0</v>
      </c>
      <c r="J818" s="1">
        <v>44.0</v>
      </c>
      <c r="L818" s="1">
        <v>5848382.0</v>
      </c>
      <c r="Q818" s="1" t="s">
        <v>2881</v>
      </c>
      <c r="R818" s="1" t="s">
        <v>97</v>
      </c>
      <c r="S818" s="1">
        <v>1.0</v>
      </c>
      <c r="T818" s="1">
        <v>0.0</v>
      </c>
      <c r="X818" s="1" t="s">
        <v>56</v>
      </c>
    </row>
    <row r="819">
      <c r="A819" s="3" t="str">
        <f>HYPERLINK("https://stackoverflow.com/q/56072556", "56072556")</f>
        <v>56072556</v>
      </c>
      <c r="B819" s="1" t="s">
        <v>93</v>
      </c>
      <c r="C819" s="1" t="s">
        <v>2882</v>
      </c>
      <c r="D819" s="2" t="s">
        <v>2883</v>
      </c>
      <c r="E819" s="1">
        <v>1.0</v>
      </c>
      <c r="F819" s="1">
        <v>5.6073204E7</v>
      </c>
      <c r="I819" s="1">
        <v>1.0</v>
      </c>
      <c r="J819" s="1">
        <v>241.0</v>
      </c>
      <c r="L819" s="1">
        <v>555121.0</v>
      </c>
      <c r="Q819" s="1" t="s">
        <v>2884</v>
      </c>
      <c r="R819" s="1" t="s">
        <v>97</v>
      </c>
      <c r="S819" s="1">
        <v>2.0</v>
      </c>
      <c r="T819" s="1">
        <v>0.0</v>
      </c>
      <c r="X819" s="1" t="s">
        <v>56</v>
      </c>
      <c r="Z819" s="1" t="s">
        <v>2885</v>
      </c>
    </row>
    <row r="820">
      <c r="A820" s="3" t="str">
        <f>HYPERLINK("https://stackoverflow.com/q/56119353", "56119353")</f>
        <v>56119353</v>
      </c>
      <c r="B820" s="1" t="s">
        <v>93</v>
      </c>
      <c r="C820" s="1" t="s">
        <v>2886</v>
      </c>
      <c r="D820" s="2" t="s">
        <v>2887</v>
      </c>
      <c r="E820" s="1">
        <v>1.0</v>
      </c>
      <c r="I820" s="1">
        <v>0.0</v>
      </c>
      <c r="J820" s="1">
        <v>35.0</v>
      </c>
      <c r="L820" s="1">
        <v>6874064.0</v>
      </c>
      <c r="N820" s="1">
        <v>1.2892553E7</v>
      </c>
      <c r="P820" s="1" t="s">
        <v>2888</v>
      </c>
      <c r="Q820" s="1" t="s">
        <v>2888</v>
      </c>
      <c r="R820" s="1" t="s">
        <v>97</v>
      </c>
      <c r="S820" s="1">
        <v>1.0</v>
      </c>
      <c r="T820" s="1">
        <v>1.0</v>
      </c>
      <c r="X820" s="1" t="s">
        <v>56</v>
      </c>
    </row>
    <row r="821">
      <c r="A821" s="3" t="str">
        <f>HYPERLINK("https://stackoverflow.com/q/56128042", "56128042")</f>
        <v>56128042</v>
      </c>
      <c r="B821" s="1" t="s">
        <v>93</v>
      </c>
      <c r="C821" s="1" t="s">
        <v>2889</v>
      </c>
      <c r="D821" s="2" t="s">
        <v>2890</v>
      </c>
      <c r="E821" s="1">
        <v>1.0</v>
      </c>
      <c r="I821" s="1">
        <v>0.0</v>
      </c>
      <c r="J821" s="1">
        <v>67.0</v>
      </c>
      <c r="L821" s="1">
        <v>4598991.0</v>
      </c>
      <c r="N821" s="1">
        <v>4598991.0</v>
      </c>
      <c r="P821" s="1" t="s">
        <v>2891</v>
      </c>
      <c r="Q821" s="1" t="s">
        <v>2892</v>
      </c>
      <c r="R821" s="1" t="s">
        <v>516</v>
      </c>
      <c r="S821" s="1">
        <v>1.0</v>
      </c>
      <c r="T821" s="1">
        <v>0.0</v>
      </c>
      <c r="X821" s="1" t="s">
        <v>56</v>
      </c>
    </row>
    <row r="822">
      <c r="A822" s="3" t="str">
        <f>HYPERLINK("https://stackoverflow.com/q/56134883", "56134883")</f>
        <v>56134883</v>
      </c>
      <c r="B822" s="1" t="s">
        <v>93</v>
      </c>
      <c r="C822" s="1" t="s">
        <v>2893</v>
      </c>
      <c r="D822" s="2" t="s">
        <v>2894</v>
      </c>
      <c r="E822" s="1">
        <v>1.0</v>
      </c>
      <c r="I822" s="1">
        <v>0.0</v>
      </c>
      <c r="J822" s="1">
        <v>85.0</v>
      </c>
      <c r="L822" s="1">
        <v>3562487.0</v>
      </c>
      <c r="Q822" s="1" t="s">
        <v>2895</v>
      </c>
      <c r="R822" s="1" t="s">
        <v>97</v>
      </c>
      <c r="S822" s="1">
        <v>1.0</v>
      </c>
      <c r="T822" s="1">
        <v>2.0</v>
      </c>
      <c r="X822" s="1" t="s">
        <v>56</v>
      </c>
    </row>
    <row r="823">
      <c r="A823" s="3" t="str">
        <f>HYPERLINK("https://stackoverflow.com/q/56139909", "56139909")</f>
        <v>56139909</v>
      </c>
      <c r="B823" s="1" t="s">
        <v>93</v>
      </c>
      <c r="C823" s="1" t="s">
        <v>2896</v>
      </c>
      <c r="D823" s="2" t="s">
        <v>2897</v>
      </c>
      <c r="E823" s="1">
        <v>1.0</v>
      </c>
      <c r="I823" s="1">
        <v>0.0</v>
      </c>
      <c r="J823" s="1">
        <v>61.0</v>
      </c>
      <c r="L823" s="1">
        <v>1.1279889E7</v>
      </c>
      <c r="N823" s="1">
        <v>1.1279889E7</v>
      </c>
      <c r="P823" s="1" t="s">
        <v>2898</v>
      </c>
      <c r="Q823" s="1" t="s">
        <v>2899</v>
      </c>
      <c r="R823" s="1" t="s">
        <v>97</v>
      </c>
      <c r="S823" s="1">
        <v>1.0</v>
      </c>
      <c r="T823" s="1">
        <v>0.0</v>
      </c>
      <c r="X823" s="1" t="s">
        <v>56</v>
      </c>
    </row>
    <row r="824">
      <c r="A824" s="3" t="str">
        <f>HYPERLINK("https://stackoverflow.com/q/56148445", "56148445")</f>
        <v>56148445</v>
      </c>
      <c r="B824" s="1" t="s">
        <v>93</v>
      </c>
      <c r="C824" s="1" t="s">
        <v>2900</v>
      </c>
      <c r="D824" s="2" t="s">
        <v>2901</v>
      </c>
      <c r="E824" s="1">
        <v>1.0</v>
      </c>
      <c r="F824" s="1">
        <v>5.6151415E7</v>
      </c>
      <c r="I824" s="1">
        <v>0.0</v>
      </c>
      <c r="J824" s="1">
        <v>168.0</v>
      </c>
      <c r="L824" s="1">
        <v>1.1197483E7</v>
      </c>
      <c r="Q824" s="1" t="s">
        <v>2902</v>
      </c>
      <c r="R824" s="1" t="s">
        <v>97</v>
      </c>
      <c r="S824" s="1">
        <v>2.0</v>
      </c>
      <c r="T824" s="1">
        <v>0.0</v>
      </c>
      <c r="X824" s="1" t="s">
        <v>56</v>
      </c>
      <c r="Z824" s="1" t="s">
        <v>2903</v>
      </c>
    </row>
    <row r="825">
      <c r="A825" s="3" t="str">
        <f>HYPERLINK("https://stackoverflow.com/q/56159484", "56159484")</f>
        <v>56159484</v>
      </c>
      <c r="B825" s="1" t="s">
        <v>93</v>
      </c>
      <c r="C825" s="1" t="s">
        <v>2904</v>
      </c>
      <c r="D825" s="2" t="s">
        <v>2905</v>
      </c>
      <c r="E825" s="1">
        <v>1.0</v>
      </c>
      <c r="I825" s="1">
        <v>0.0</v>
      </c>
      <c r="J825" s="1">
        <v>92.0</v>
      </c>
      <c r="L825" s="1">
        <v>1.1279889E7</v>
      </c>
      <c r="N825" s="1">
        <v>1.1279889E7</v>
      </c>
      <c r="P825" s="1" t="s">
        <v>2906</v>
      </c>
      <c r="Q825" s="1" t="s">
        <v>2907</v>
      </c>
      <c r="R825" s="1" t="s">
        <v>97</v>
      </c>
      <c r="S825" s="1">
        <v>1.0</v>
      </c>
      <c r="T825" s="1">
        <v>1.0</v>
      </c>
      <c r="X825" s="1" t="s">
        <v>56</v>
      </c>
    </row>
    <row r="826">
      <c r="A826" s="3" t="str">
        <f>HYPERLINK("https://stackoverflow.com/q/56177386", "56177386")</f>
        <v>56177386</v>
      </c>
      <c r="B826" s="1" t="s">
        <v>93</v>
      </c>
      <c r="C826" s="1" t="s">
        <v>2908</v>
      </c>
      <c r="D826" s="2" t="s">
        <v>2909</v>
      </c>
      <c r="E826" s="1">
        <v>1.0</v>
      </c>
      <c r="I826" s="1">
        <v>1.0</v>
      </c>
      <c r="J826" s="1">
        <v>65.0</v>
      </c>
      <c r="L826" s="1">
        <v>7498443.0</v>
      </c>
      <c r="N826" s="1">
        <v>7498443.0</v>
      </c>
      <c r="P826" s="1" t="s">
        <v>2910</v>
      </c>
      <c r="Q826" s="1" t="s">
        <v>2911</v>
      </c>
      <c r="R826" s="1" t="s">
        <v>2912</v>
      </c>
      <c r="S826" s="1">
        <v>0.0</v>
      </c>
      <c r="T826" s="1">
        <v>3.0</v>
      </c>
      <c r="X826" s="1" t="s">
        <v>56</v>
      </c>
    </row>
    <row r="827">
      <c r="A827" s="3" t="str">
        <f>HYPERLINK("https://stackoverflow.com/q/56183981", "56183981")</f>
        <v>56183981</v>
      </c>
      <c r="B827" s="1" t="s">
        <v>93</v>
      </c>
      <c r="C827" s="1" t="s">
        <v>2913</v>
      </c>
      <c r="D827" s="2" t="s">
        <v>2914</v>
      </c>
      <c r="E827" s="1">
        <v>1.0</v>
      </c>
      <c r="F827" s="1">
        <v>5.6185506E7</v>
      </c>
      <c r="I827" s="1">
        <v>1.0</v>
      </c>
      <c r="J827" s="1">
        <v>1661.0</v>
      </c>
      <c r="L827" s="1">
        <v>1.0522476E7</v>
      </c>
      <c r="N827" s="1">
        <v>7106850.0</v>
      </c>
      <c r="P827" s="1" t="s">
        <v>2915</v>
      </c>
      <c r="Q827" s="1" t="s">
        <v>2916</v>
      </c>
      <c r="R827" s="1" t="s">
        <v>97</v>
      </c>
      <c r="S827" s="1">
        <v>1.0</v>
      </c>
      <c r="T827" s="1">
        <v>0.0</v>
      </c>
      <c r="X827" s="1" t="s">
        <v>56</v>
      </c>
      <c r="Z827" s="1" t="s">
        <v>2917</v>
      </c>
    </row>
    <row r="828">
      <c r="A828" s="3" t="str">
        <f>HYPERLINK("https://stackoverflow.com/q/56205989", "56205989")</f>
        <v>56205989</v>
      </c>
      <c r="B828" s="1" t="s">
        <v>93</v>
      </c>
      <c r="C828" s="1" t="s">
        <v>2918</v>
      </c>
      <c r="D828" s="2" t="s">
        <v>2919</v>
      </c>
      <c r="E828" s="1">
        <v>1.0</v>
      </c>
      <c r="I828" s="1">
        <v>0.0</v>
      </c>
      <c r="J828" s="1">
        <v>48.0</v>
      </c>
      <c r="L828" s="1">
        <v>7473396.0</v>
      </c>
      <c r="N828" s="1">
        <v>1.1175375E7</v>
      </c>
      <c r="P828" s="1" t="s">
        <v>2920</v>
      </c>
      <c r="Q828" s="1" t="s">
        <v>2921</v>
      </c>
      <c r="R828" s="1" t="s">
        <v>97</v>
      </c>
      <c r="S828" s="1">
        <v>1.0</v>
      </c>
      <c r="T828" s="1">
        <v>0.0</v>
      </c>
      <c r="X828" s="1" t="s">
        <v>56</v>
      </c>
    </row>
    <row r="829">
      <c r="A829" s="3" t="str">
        <f>HYPERLINK("https://stackoverflow.com/q/56227348", "56227348")</f>
        <v>56227348</v>
      </c>
      <c r="B829" s="1" t="s">
        <v>93</v>
      </c>
      <c r="C829" s="1" t="s">
        <v>2922</v>
      </c>
      <c r="D829" s="2" t="s">
        <v>2923</v>
      </c>
      <c r="E829" s="1">
        <v>1.0</v>
      </c>
      <c r="F829" s="1">
        <v>5.6367323E7</v>
      </c>
      <c r="I829" s="1">
        <v>0.0</v>
      </c>
      <c r="J829" s="1">
        <v>99.0</v>
      </c>
      <c r="L829" s="1">
        <v>2639791.0</v>
      </c>
      <c r="N829" s="1">
        <v>1.1551468E7</v>
      </c>
      <c r="P829" s="1" t="s">
        <v>2924</v>
      </c>
      <c r="Q829" s="1" t="s">
        <v>2924</v>
      </c>
      <c r="R829" s="1" t="s">
        <v>190</v>
      </c>
      <c r="S829" s="1">
        <v>1.0</v>
      </c>
      <c r="T829" s="1">
        <v>3.0</v>
      </c>
      <c r="X829" s="1" t="s">
        <v>56</v>
      </c>
      <c r="Z829" s="1" t="s">
        <v>2925</v>
      </c>
    </row>
    <row r="830">
      <c r="A830" s="3" t="str">
        <f>HYPERLINK("https://stackoverflow.com/q/56227556", "56227556")</f>
        <v>56227556</v>
      </c>
      <c r="B830" s="1" t="s">
        <v>93</v>
      </c>
      <c r="C830" s="1" t="s">
        <v>2926</v>
      </c>
      <c r="D830" s="2" t="s">
        <v>2927</v>
      </c>
      <c r="E830" s="1">
        <v>1.0</v>
      </c>
      <c r="I830" s="1">
        <v>2.0</v>
      </c>
      <c r="J830" s="1">
        <v>67.0</v>
      </c>
      <c r="L830" s="1">
        <v>1.1530126E7</v>
      </c>
      <c r="N830" s="1">
        <v>8404453.0</v>
      </c>
      <c r="P830" s="1" t="s">
        <v>2928</v>
      </c>
      <c r="Q830" s="1" t="s">
        <v>2928</v>
      </c>
      <c r="R830" s="1" t="s">
        <v>190</v>
      </c>
      <c r="S830" s="1">
        <v>0.0</v>
      </c>
      <c r="T830" s="1">
        <v>3.0</v>
      </c>
      <c r="U830" s="1">
        <v>1.0</v>
      </c>
      <c r="X830" s="1" t="s">
        <v>56</v>
      </c>
    </row>
    <row r="831">
      <c r="A831" s="3" t="str">
        <f>HYPERLINK("https://stackoverflow.com/q/56257533", "56257533")</f>
        <v>56257533</v>
      </c>
      <c r="B831" s="1" t="s">
        <v>93</v>
      </c>
      <c r="C831" s="1" t="s">
        <v>2929</v>
      </c>
      <c r="D831" s="2" t="s">
        <v>2930</v>
      </c>
      <c r="E831" s="1">
        <v>1.0</v>
      </c>
      <c r="F831" s="1">
        <v>5.625896E7</v>
      </c>
      <c r="I831" s="1">
        <v>0.0</v>
      </c>
      <c r="J831" s="1">
        <v>36.0</v>
      </c>
      <c r="L831" s="1">
        <v>1.1197483E7</v>
      </c>
      <c r="Q831" s="1" t="s">
        <v>2931</v>
      </c>
      <c r="R831" s="1" t="s">
        <v>97</v>
      </c>
      <c r="S831" s="1">
        <v>1.0</v>
      </c>
      <c r="T831" s="1">
        <v>0.0</v>
      </c>
      <c r="X831" s="1" t="s">
        <v>56</v>
      </c>
      <c r="Z831" s="1" t="s">
        <v>2931</v>
      </c>
    </row>
    <row r="832">
      <c r="A832" s="3" t="str">
        <f>HYPERLINK("https://stackoverflow.com/q/56264549", "56264549")</f>
        <v>56264549</v>
      </c>
      <c r="B832" s="1" t="s">
        <v>93</v>
      </c>
      <c r="C832" s="1" t="s">
        <v>2932</v>
      </c>
      <c r="D832" s="2" t="s">
        <v>2933</v>
      </c>
      <c r="E832" s="1">
        <v>1.0</v>
      </c>
      <c r="I832" s="1">
        <v>0.0</v>
      </c>
      <c r="J832" s="1">
        <v>148.0</v>
      </c>
      <c r="L832" s="1">
        <v>2639791.0</v>
      </c>
      <c r="Q832" s="1" t="s">
        <v>2934</v>
      </c>
      <c r="R832" s="1" t="s">
        <v>190</v>
      </c>
      <c r="S832" s="1">
        <v>1.0</v>
      </c>
      <c r="T832" s="1">
        <v>1.0</v>
      </c>
      <c r="X832" s="1" t="s">
        <v>56</v>
      </c>
    </row>
    <row r="833">
      <c r="A833" s="3" t="str">
        <f>HYPERLINK("https://stackoverflow.com/q/56271708", "56271708")</f>
        <v>56271708</v>
      </c>
      <c r="B833" s="1" t="s">
        <v>93</v>
      </c>
      <c r="C833" s="1" t="s">
        <v>2935</v>
      </c>
      <c r="D833" s="2" t="s">
        <v>2936</v>
      </c>
      <c r="E833" s="1">
        <v>1.0</v>
      </c>
      <c r="F833" s="1">
        <v>5.6276513E7</v>
      </c>
      <c r="I833" s="1">
        <v>0.0</v>
      </c>
      <c r="J833" s="1">
        <v>87.0</v>
      </c>
      <c r="L833" s="1">
        <v>1.1197483E7</v>
      </c>
      <c r="N833" s="1">
        <v>5983596.0</v>
      </c>
      <c r="P833" s="1" t="s">
        <v>2937</v>
      </c>
      <c r="Q833" s="1" t="s">
        <v>2938</v>
      </c>
      <c r="R833" s="1" t="s">
        <v>97</v>
      </c>
      <c r="S833" s="1">
        <v>2.0</v>
      </c>
      <c r="T833" s="1">
        <v>0.0</v>
      </c>
      <c r="X833" s="1" t="s">
        <v>56</v>
      </c>
      <c r="Z833" s="1" t="s">
        <v>2938</v>
      </c>
    </row>
    <row r="834">
      <c r="A834" s="3" t="str">
        <f>HYPERLINK("https://stackoverflow.com/q/56280365", "56280365")</f>
        <v>56280365</v>
      </c>
      <c r="B834" s="1" t="s">
        <v>93</v>
      </c>
      <c r="C834" s="1" t="s">
        <v>2939</v>
      </c>
      <c r="D834" s="2" t="s">
        <v>2940</v>
      </c>
      <c r="E834" s="1">
        <v>1.0</v>
      </c>
      <c r="F834" s="1">
        <v>5.6281732E7</v>
      </c>
      <c r="I834" s="1">
        <v>0.0</v>
      </c>
      <c r="J834" s="1">
        <v>54.0</v>
      </c>
      <c r="L834" s="1">
        <v>9492160.0</v>
      </c>
      <c r="Q834" s="1" t="s">
        <v>2941</v>
      </c>
      <c r="R834" s="1" t="s">
        <v>97</v>
      </c>
      <c r="S834" s="1">
        <v>1.0</v>
      </c>
      <c r="T834" s="1">
        <v>1.0</v>
      </c>
      <c r="X834" s="1" t="s">
        <v>56</v>
      </c>
      <c r="Z834" s="1" t="s">
        <v>2941</v>
      </c>
    </row>
    <row r="835">
      <c r="A835" s="3" t="str">
        <f>HYPERLINK("https://stackoverflow.com/q/56284148", "56284148")</f>
        <v>56284148</v>
      </c>
      <c r="B835" s="1" t="s">
        <v>93</v>
      </c>
      <c r="C835" s="1" t="s">
        <v>2942</v>
      </c>
      <c r="D835" s="2" t="s">
        <v>2943</v>
      </c>
      <c r="E835" s="1">
        <v>1.0</v>
      </c>
      <c r="I835" s="1">
        <v>1.0</v>
      </c>
      <c r="J835" s="1">
        <v>60.0</v>
      </c>
      <c r="L835" s="1">
        <v>1.1547465E7</v>
      </c>
      <c r="N835" s="1">
        <v>7641078.0</v>
      </c>
      <c r="P835" s="1" t="s">
        <v>2944</v>
      </c>
      <c r="Q835" s="1" t="s">
        <v>2944</v>
      </c>
      <c r="R835" s="1" t="s">
        <v>97</v>
      </c>
      <c r="S835" s="1">
        <v>0.0</v>
      </c>
      <c r="T835" s="1">
        <v>0.0</v>
      </c>
      <c r="X835" s="1" t="s">
        <v>56</v>
      </c>
    </row>
    <row r="836">
      <c r="A836" s="3" t="str">
        <f>HYPERLINK("https://stackoverflow.com/q/56298441", "56298441")</f>
        <v>56298441</v>
      </c>
      <c r="B836" s="1" t="s">
        <v>93</v>
      </c>
      <c r="C836" s="1" t="s">
        <v>2945</v>
      </c>
      <c r="D836" s="2" t="s">
        <v>2946</v>
      </c>
      <c r="E836" s="1">
        <v>1.0</v>
      </c>
      <c r="I836" s="1">
        <v>0.0</v>
      </c>
      <c r="J836" s="1">
        <v>43.0</v>
      </c>
      <c r="L836" s="1">
        <v>1.1551938E7</v>
      </c>
      <c r="N836" s="1">
        <v>1.1551938E7</v>
      </c>
      <c r="P836" s="1" t="s">
        <v>2947</v>
      </c>
      <c r="Q836" s="1" t="s">
        <v>2947</v>
      </c>
      <c r="R836" s="1" t="s">
        <v>97</v>
      </c>
      <c r="S836" s="1">
        <v>0.0</v>
      </c>
      <c r="T836" s="1">
        <v>4.0</v>
      </c>
      <c r="X836" s="1" t="s">
        <v>56</v>
      </c>
    </row>
    <row r="837">
      <c r="A837" s="3" t="str">
        <f>HYPERLINK("https://stackoverflow.com/q/56298980", "56298980")</f>
        <v>56298980</v>
      </c>
      <c r="B837" s="1" t="s">
        <v>93</v>
      </c>
      <c r="C837" s="1" t="s">
        <v>2948</v>
      </c>
      <c r="D837" s="2" t="s">
        <v>2949</v>
      </c>
      <c r="E837" s="1">
        <v>1.0</v>
      </c>
      <c r="I837" s="1">
        <v>0.0</v>
      </c>
      <c r="J837" s="1">
        <v>37.0</v>
      </c>
      <c r="L837" s="1">
        <v>82156.0</v>
      </c>
      <c r="Q837" s="1" t="s">
        <v>2950</v>
      </c>
      <c r="R837" s="1" t="s">
        <v>190</v>
      </c>
      <c r="S837" s="1">
        <v>1.0</v>
      </c>
      <c r="T837" s="1">
        <v>0.0</v>
      </c>
      <c r="X837" s="1" t="s">
        <v>56</v>
      </c>
    </row>
    <row r="838">
      <c r="A838" s="3" t="str">
        <f>HYPERLINK("https://stackoverflow.com/q/56300912", "56300912")</f>
        <v>56300912</v>
      </c>
      <c r="B838" s="1" t="s">
        <v>93</v>
      </c>
      <c r="C838" s="1" t="s">
        <v>2951</v>
      </c>
      <c r="D838" s="2" t="s">
        <v>2952</v>
      </c>
      <c r="E838" s="1">
        <v>1.0</v>
      </c>
      <c r="I838" s="1">
        <v>0.0</v>
      </c>
      <c r="J838" s="1">
        <v>166.0</v>
      </c>
      <c r="L838" s="1">
        <v>199431.0</v>
      </c>
      <c r="Q838" s="1" t="s">
        <v>2953</v>
      </c>
      <c r="R838" s="1" t="s">
        <v>97</v>
      </c>
      <c r="S838" s="1">
        <v>1.0</v>
      </c>
      <c r="T838" s="1">
        <v>0.0</v>
      </c>
      <c r="U838" s="1">
        <v>1.0</v>
      </c>
      <c r="X838" s="1" t="s">
        <v>56</v>
      </c>
    </row>
    <row r="839">
      <c r="A839" s="3" t="str">
        <f>HYPERLINK("https://stackoverflow.com/q/56321389", "56321389")</f>
        <v>56321389</v>
      </c>
      <c r="B839" s="1" t="s">
        <v>93</v>
      </c>
      <c r="C839" s="1" t="s">
        <v>2954</v>
      </c>
      <c r="D839" s="2" t="s">
        <v>2955</v>
      </c>
      <c r="E839" s="1">
        <v>1.0</v>
      </c>
      <c r="I839" s="1">
        <v>1.0</v>
      </c>
      <c r="J839" s="1">
        <v>292.0</v>
      </c>
      <c r="L839" s="1">
        <v>1.1197483E7</v>
      </c>
      <c r="N839" s="1">
        <v>1.1197483E7</v>
      </c>
      <c r="P839" s="1" t="s">
        <v>2956</v>
      </c>
      <c r="Q839" s="1" t="s">
        <v>2957</v>
      </c>
      <c r="R839" s="1" t="s">
        <v>696</v>
      </c>
      <c r="S839" s="1">
        <v>1.0</v>
      </c>
      <c r="T839" s="1">
        <v>0.0</v>
      </c>
      <c r="X839" s="1" t="s">
        <v>56</v>
      </c>
    </row>
    <row r="840">
      <c r="A840" s="3" t="str">
        <f>HYPERLINK("https://stackoverflow.com/q/56363028", "56363028")</f>
        <v>56363028</v>
      </c>
      <c r="B840" s="1" t="s">
        <v>93</v>
      </c>
      <c r="C840" s="1" t="s">
        <v>2958</v>
      </c>
      <c r="D840" s="2" t="s">
        <v>2959</v>
      </c>
      <c r="E840" s="1">
        <v>1.0</v>
      </c>
      <c r="I840" s="1">
        <v>0.0</v>
      </c>
      <c r="J840" s="1">
        <v>52.0</v>
      </c>
      <c r="L840" s="1">
        <v>199431.0</v>
      </c>
      <c r="Q840" s="1" t="s">
        <v>2960</v>
      </c>
      <c r="R840" s="1" t="s">
        <v>97</v>
      </c>
      <c r="S840" s="1">
        <v>2.0</v>
      </c>
      <c r="T840" s="1">
        <v>0.0</v>
      </c>
      <c r="X840" s="1" t="s">
        <v>56</v>
      </c>
    </row>
    <row r="841">
      <c r="A841" s="3" t="str">
        <f>HYPERLINK("https://stackoverflow.com/q/56363143", "56363143")</f>
        <v>56363143</v>
      </c>
      <c r="B841" s="1" t="s">
        <v>93</v>
      </c>
      <c r="C841" s="1" t="s">
        <v>2961</v>
      </c>
      <c r="D841" s="2" t="s">
        <v>2962</v>
      </c>
      <c r="E841" s="1">
        <v>1.0</v>
      </c>
      <c r="I841" s="1">
        <v>2.0</v>
      </c>
      <c r="J841" s="1">
        <v>46.0</v>
      </c>
      <c r="L841" s="1">
        <v>199431.0</v>
      </c>
      <c r="Q841" s="1" t="s">
        <v>2963</v>
      </c>
      <c r="R841" s="1" t="s">
        <v>97</v>
      </c>
      <c r="S841" s="1">
        <v>2.0</v>
      </c>
      <c r="T841" s="1">
        <v>1.0</v>
      </c>
      <c r="X841" s="1" t="s">
        <v>56</v>
      </c>
    </row>
    <row r="842">
      <c r="A842" s="3" t="str">
        <f>HYPERLINK("https://stackoverflow.com/q/56367478", "56367478")</f>
        <v>56367478</v>
      </c>
      <c r="B842" s="1" t="s">
        <v>93</v>
      </c>
      <c r="C842" s="1" t="s">
        <v>2964</v>
      </c>
      <c r="D842" s="2" t="s">
        <v>2965</v>
      </c>
      <c r="E842" s="1">
        <v>1.0</v>
      </c>
      <c r="I842" s="1">
        <v>1.0</v>
      </c>
      <c r="J842" s="1">
        <v>30.0</v>
      </c>
      <c r="L842" s="1">
        <v>9492160.0</v>
      </c>
      <c r="Q842" s="1" t="s">
        <v>2964</v>
      </c>
      <c r="R842" s="1" t="s">
        <v>97</v>
      </c>
      <c r="S842" s="1">
        <v>0.0</v>
      </c>
      <c r="T842" s="1">
        <v>0.0</v>
      </c>
      <c r="X842" s="1" t="s">
        <v>56</v>
      </c>
    </row>
    <row r="843">
      <c r="A843" s="3" t="str">
        <f>HYPERLINK("https://stackoverflow.com/q/56382577", "56382577")</f>
        <v>56382577</v>
      </c>
      <c r="B843" s="1" t="s">
        <v>93</v>
      </c>
      <c r="C843" s="1" t="s">
        <v>2966</v>
      </c>
      <c r="D843" s="2" t="s">
        <v>2967</v>
      </c>
      <c r="E843" s="1">
        <v>1.0</v>
      </c>
      <c r="I843" s="1">
        <v>0.0</v>
      </c>
      <c r="J843" s="1">
        <v>32.0</v>
      </c>
      <c r="L843" s="1">
        <v>3562487.0</v>
      </c>
      <c r="N843" s="1">
        <v>3562487.0</v>
      </c>
      <c r="P843" s="1" t="s">
        <v>2968</v>
      </c>
      <c r="Q843" s="1" t="s">
        <v>2968</v>
      </c>
      <c r="R843" s="1" t="s">
        <v>97</v>
      </c>
      <c r="S843" s="1">
        <v>0.0</v>
      </c>
      <c r="T843" s="1">
        <v>6.0</v>
      </c>
      <c r="U843" s="1">
        <v>1.0</v>
      </c>
      <c r="X843" s="1" t="s">
        <v>56</v>
      </c>
    </row>
    <row r="844">
      <c r="A844" s="3" t="str">
        <f>HYPERLINK("https://stackoverflow.com/q/56389333", "56389333")</f>
        <v>56389333</v>
      </c>
      <c r="B844" s="1" t="s">
        <v>93</v>
      </c>
      <c r="C844" s="1" t="s">
        <v>2969</v>
      </c>
      <c r="D844" s="2" t="s">
        <v>2970</v>
      </c>
      <c r="E844" s="1">
        <v>1.0</v>
      </c>
      <c r="F844" s="1">
        <v>5.6389541E7</v>
      </c>
      <c r="I844" s="1">
        <v>0.0</v>
      </c>
      <c r="J844" s="1">
        <v>169.0</v>
      </c>
      <c r="L844" s="1">
        <v>3396062.0</v>
      </c>
      <c r="Q844" s="1" t="s">
        <v>2971</v>
      </c>
      <c r="R844" s="1" t="s">
        <v>97</v>
      </c>
      <c r="S844" s="1">
        <v>1.0</v>
      </c>
      <c r="T844" s="1">
        <v>0.0</v>
      </c>
      <c r="X844" s="1" t="s">
        <v>56</v>
      </c>
      <c r="Z844" s="1" t="s">
        <v>2971</v>
      </c>
    </row>
    <row r="845">
      <c r="A845" s="3" t="str">
        <f>HYPERLINK("https://stackoverflow.com/q/56403311", "56403311")</f>
        <v>56403311</v>
      </c>
      <c r="B845" s="1" t="s">
        <v>93</v>
      </c>
      <c r="C845" s="1" t="s">
        <v>2972</v>
      </c>
      <c r="D845" s="2" t="s">
        <v>2973</v>
      </c>
      <c r="E845" s="1">
        <v>1.0</v>
      </c>
      <c r="I845" s="1">
        <v>0.0</v>
      </c>
      <c r="J845" s="1">
        <v>47.0</v>
      </c>
      <c r="L845" s="1">
        <v>1.1279889E7</v>
      </c>
      <c r="Q845" s="1" t="s">
        <v>2972</v>
      </c>
      <c r="R845" s="1" t="s">
        <v>97</v>
      </c>
      <c r="S845" s="1">
        <v>0.0</v>
      </c>
      <c r="T845" s="1">
        <v>1.0</v>
      </c>
      <c r="X845" s="1" t="s">
        <v>56</v>
      </c>
    </row>
    <row r="846">
      <c r="A846" s="3" t="str">
        <f>HYPERLINK("https://stackoverflow.com/q/56446803", "56446803")</f>
        <v>56446803</v>
      </c>
      <c r="B846" s="1" t="s">
        <v>93</v>
      </c>
      <c r="C846" s="1" t="s">
        <v>2974</v>
      </c>
      <c r="D846" s="2" t="s">
        <v>2975</v>
      </c>
      <c r="E846" s="1">
        <v>1.0</v>
      </c>
      <c r="I846" s="1">
        <v>0.0</v>
      </c>
      <c r="J846" s="1">
        <v>20.0</v>
      </c>
      <c r="L846" s="1">
        <v>9890655.0</v>
      </c>
      <c r="Q846" s="1" t="s">
        <v>2974</v>
      </c>
      <c r="R846" s="1" t="s">
        <v>97</v>
      </c>
      <c r="S846" s="1">
        <v>0.0</v>
      </c>
      <c r="T846" s="1">
        <v>1.0</v>
      </c>
      <c r="X846" s="1" t="s">
        <v>56</v>
      </c>
    </row>
    <row r="847">
      <c r="A847" s="3" t="str">
        <f>HYPERLINK("https://stackoverflow.com/q/56457283", "56457283")</f>
        <v>56457283</v>
      </c>
      <c r="B847" s="1" t="s">
        <v>93</v>
      </c>
      <c r="C847" s="1" t="s">
        <v>2976</v>
      </c>
      <c r="D847" s="2" t="s">
        <v>2977</v>
      </c>
      <c r="E847" s="1">
        <v>1.0</v>
      </c>
      <c r="I847" s="1">
        <v>0.0</v>
      </c>
      <c r="J847" s="1">
        <v>126.0</v>
      </c>
      <c r="L847" s="1">
        <v>9564867.0</v>
      </c>
      <c r="Q847" s="1" t="s">
        <v>2976</v>
      </c>
      <c r="R847" s="1" t="s">
        <v>97</v>
      </c>
      <c r="S847" s="1">
        <v>0.0</v>
      </c>
      <c r="T847" s="1">
        <v>0.0</v>
      </c>
      <c r="X847" s="1" t="s">
        <v>56</v>
      </c>
    </row>
    <row r="848">
      <c r="A848" s="3" t="str">
        <f>HYPERLINK("https://stackoverflow.com/q/56467589", "56467589")</f>
        <v>56467589</v>
      </c>
      <c r="B848" s="1" t="s">
        <v>93</v>
      </c>
      <c r="C848" s="1" t="s">
        <v>2978</v>
      </c>
      <c r="D848" s="2" t="s">
        <v>2979</v>
      </c>
      <c r="E848" s="1">
        <v>1.0</v>
      </c>
      <c r="F848" s="1">
        <v>5.7259488E7</v>
      </c>
      <c r="I848" s="1">
        <v>0.0</v>
      </c>
      <c r="J848" s="1">
        <v>293.0</v>
      </c>
      <c r="L848" s="1">
        <v>1216458.0</v>
      </c>
      <c r="N848" s="1">
        <v>1216458.0</v>
      </c>
      <c r="P848" s="1" t="s">
        <v>2980</v>
      </c>
      <c r="Q848" s="1" t="s">
        <v>2981</v>
      </c>
      <c r="R848" s="1" t="s">
        <v>2982</v>
      </c>
      <c r="S848" s="1">
        <v>1.0</v>
      </c>
      <c r="T848" s="1">
        <v>5.0</v>
      </c>
      <c r="X848" s="1" t="s">
        <v>56</v>
      </c>
      <c r="Z848" s="1" t="s">
        <v>2981</v>
      </c>
    </row>
    <row r="849">
      <c r="A849" s="3" t="str">
        <f>HYPERLINK("https://stackoverflow.com/q/56508970", "56508970")</f>
        <v>56508970</v>
      </c>
      <c r="B849" s="1" t="s">
        <v>93</v>
      </c>
      <c r="C849" s="1" t="s">
        <v>2983</v>
      </c>
      <c r="D849" s="2" t="s">
        <v>2984</v>
      </c>
      <c r="E849" s="1">
        <v>1.0</v>
      </c>
      <c r="F849" s="1">
        <v>5.7012936E7</v>
      </c>
      <c r="I849" s="1">
        <v>1.0</v>
      </c>
      <c r="J849" s="1">
        <v>107.0</v>
      </c>
      <c r="L849" s="1">
        <v>1.1619126E7</v>
      </c>
      <c r="Q849" s="1" t="s">
        <v>2985</v>
      </c>
      <c r="R849" s="1" t="s">
        <v>97</v>
      </c>
      <c r="S849" s="1">
        <v>1.0</v>
      </c>
      <c r="T849" s="1">
        <v>10.0</v>
      </c>
      <c r="X849" s="1" t="s">
        <v>56</v>
      </c>
      <c r="Z849" s="1" t="s">
        <v>2985</v>
      </c>
    </row>
    <row r="850">
      <c r="A850" s="3" t="str">
        <f>HYPERLINK("https://stackoverflow.com/q/56535605", "56535605")</f>
        <v>56535605</v>
      </c>
      <c r="B850" s="1" t="s">
        <v>93</v>
      </c>
      <c r="C850" s="1" t="s">
        <v>2986</v>
      </c>
      <c r="D850" s="2" t="s">
        <v>2987</v>
      </c>
      <c r="E850" s="1">
        <v>1.0</v>
      </c>
      <c r="I850" s="1">
        <v>0.0</v>
      </c>
      <c r="J850" s="1">
        <v>76.0</v>
      </c>
      <c r="L850" s="1">
        <v>1.1279889E7</v>
      </c>
      <c r="N850" s="1">
        <v>1.1279889E7</v>
      </c>
      <c r="P850" s="1" t="s">
        <v>2988</v>
      </c>
      <c r="Q850" s="1" t="s">
        <v>2989</v>
      </c>
      <c r="R850" s="1" t="s">
        <v>97</v>
      </c>
      <c r="S850" s="1">
        <v>1.0</v>
      </c>
      <c r="T850" s="1">
        <v>9.0</v>
      </c>
      <c r="X850" s="1" t="s">
        <v>56</v>
      </c>
    </row>
    <row r="851">
      <c r="A851" s="3" t="str">
        <f>HYPERLINK("https://stackoverflow.com/q/56538252", "56538252")</f>
        <v>56538252</v>
      </c>
      <c r="B851" s="1" t="s">
        <v>93</v>
      </c>
      <c r="C851" s="1" t="s">
        <v>2990</v>
      </c>
      <c r="D851" s="2" t="s">
        <v>2991</v>
      </c>
      <c r="E851" s="1">
        <v>1.0</v>
      </c>
      <c r="I851" s="1">
        <v>0.0</v>
      </c>
      <c r="J851" s="1">
        <v>21.0</v>
      </c>
      <c r="L851" s="1">
        <v>1.0043042E7</v>
      </c>
      <c r="N851" s="1">
        <v>1.1427375E7</v>
      </c>
      <c r="P851" s="1" t="s">
        <v>2992</v>
      </c>
      <c r="Q851" s="1" t="s">
        <v>2992</v>
      </c>
      <c r="R851" s="1" t="s">
        <v>190</v>
      </c>
      <c r="S851" s="1">
        <v>0.0</v>
      </c>
      <c r="T851" s="1">
        <v>0.0</v>
      </c>
      <c r="X851" s="1" t="s">
        <v>56</v>
      </c>
    </row>
    <row r="852">
      <c r="A852" s="3" t="str">
        <f>HYPERLINK("https://stackoverflow.com/q/56564738", "56564738")</f>
        <v>56564738</v>
      </c>
      <c r="B852" s="1" t="s">
        <v>93</v>
      </c>
      <c r="C852" s="1" t="s">
        <v>2993</v>
      </c>
      <c r="D852" s="2" t="s">
        <v>2994</v>
      </c>
      <c r="E852" s="1">
        <v>1.0</v>
      </c>
      <c r="F852" s="1">
        <v>5.6670785E7</v>
      </c>
      <c r="I852" s="1">
        <v>0.0</v>
      </c>
      <c r="J852" s="1">
        <v>61.0</v>
      </c>
      <c r="L852" s="1">
        <v>1.1118714E7</v>
      </c>
      <c r="N852" s="1">
        <v>8404453.0</v>
      </c>
      <c r="P852" s="1" t="s">
        <v>2995</v>
      </c>
      <c r="Q852" s="1" t="s">
        <v>2996</v>
      </c>
      <c r="R852" s="1" t="s">
        <v>2997</v>
      </c>
      <c r="S852" s="1">
        <v>1.0</v>
      </c>
      <c r="T852" s="1">
        <v>6.0</v>
      </c>
      <c r="X852" s="1" t="s">
        <v>56</v>
      </c>
      <c r="Z852" s="1" t="s">
        <v>2996</v>
      </c>
    </row>
    <row r="853">
      <c r="A853" s="3" t="str">
        <f>HYPERLINK("https://stackoverflow.com/q/56577667", "56577667")</f>
        <v>56577667</v>
      </c>
      <c r="B853" s="1" t="s">
        <v>93</v>
      </c>
      <c r="C853" s="1" t="s">
        <v>2998</v>
      </c>
      <c r="D853" s="2" t="s">
        <v>2999</v>
      </c>
      <c r="E853" s="1">
        <v>1.0</v>
      </c>
      <c r="F853" s="1">
        <v>5.6582225E7</v>
      </c>
      <c r="I853" s="1">
        <v>0.0</v>
      </c>
      <c r="J853" s="1">
        <v>60.0</v>
      </c>
      <c r="L853" s="1">
        <v>1.1625554E7</v>
      </c>
      <c r="Q853" s="1" t="s">
        <v>3000</v>
      </c>
      <c r="R853" s="1" t="s">
        <v>1629</v>
      </c>
      <c r="S853" s="1">
        <v>2.0</v>
      </c>
      <c r="T853" s="1">
        <v>0.0</v>
      </c>
      <c r="X853" s="1" t="s">
        <v>56</v>
      </c>
      <c r="Z853" s="1" t="s">
        <v>3000</v>
      </c>
    </row>
    <row r="854">
      <c r="A854" s="3" t="str">
        <f>HYPERLINK("https://stackoverflow.com/q/56595252", "56595252")</f>
        <v>56595252</v>
      </c>
      <c r="B854" s="1" t="s">
        <v>93</v>
      </c>
      <c r="C854" s="1" t="s">
        <v>3001</v>
      </c>
      <c r="D854" s="2" t="s">
        <v>3002</v>
      </c>
      <c r="E854" s="1">
        <v>1.0</v>
      </c>
      <c r="I854" s="1">
        <v>0.0</v>
      </c>
      <c r="J854" s="1">
        <v>34.0</v>
      </c>
      <c r="L854" s="1">
        <v>3478934.0</v>
      </c>
      <c r="Q854" s="1" t="s">
        <v>3001</v>
      </c>
      <c r="R854" s="1" t="s">
        <v>97</v>
      </c>
      <c r="S854" s="1">
        <v>0.0</v>
      </c>
      <c r="T854" s="1">
        <v>0.0</v>
      </c>
      <c r="X854" s="1" t="s">
        <v>56</v>
      </c>
    </row>
    <row r="855">
      <c r="A855" s="3" t="str">
        <f>HYPERLINK("https://stackoverflow.com/q/56600624", "56600624")</f>
        <v>56600624</v>
      </c>
      <c r="B855" s="1" t="s">
        <v>93</v>
      </c>
      <c r="C855" s="1" t="s">
        <v>3003</v>
      </c>
      <c r="D855" s="2" t="s">
        <v>3004</v>
      </c>
      <c r="E855" s="1">
        <v>1.0</v>
      </c>
      <c r="I855" s="1">
        <v>0.0</v>
      </c>
      <c r="J855" s="1">
        <v>27.0</v>
      </c>
      <c r="L855" s="1">
        <v>1.1648621E7</v>
      </c>
      <c r="Q855" s="1" t="s">
        <v>3003</v>
      </c>
      <c r="R855" s="1" t="s">
        <v>97</v>
      </c>
      <c r="S855" s="1">
        <v>0.0</v>
      </c>
      <c r="T855" s="1">
        <v>1.0</v>
      </c>
      <c r="X855" s="1" t="s">
        <v>56</v>
      </c>
    </row>
    <row r="856">
      <c r="A856" s="3" t="str">
        <f>HYPERLINK("https://stackoverflow.com/q/56603377", "56603377")</f>
        <v>56603377</v>
      </c>
      <c r="B856" s="1" t="s">
        <v>93</v>
      </c>
      <c r="C856" s="1" t="s">
        <v>3005</v>
      </c>
      <c r="D856" s="2" t="s">
        <v>3006</v>
      </c>
      <c r="E856" s="1">
        <v>1.0</v>
      </c>
      <c r="I856" s="1">
        <v>1.0</v>
      </c>
      <c r="J856" s="1">
        <v>68.0</v>
      </c>
      <c r="L856" s="1">
        <v>9492160.0</v>
      </c>
      <c r="N856" s="1">
        <v>9492160.0</v>
      </c>
      <c r="P856" s="1" t="s">
        <v>3007</v>
      </c>
      <c r="Q856" s="1" t="s">
        <v>3007</v>
      </c>
      <c r="R856" s="1" t="s">
        <v>190</v>
      </c>
      <c r="S856" s="1">
        <v>0.0</v>
      </c>
      <c r="T856" s="1">
        <v>3.0</v>
      </c>
      <c r="X856" s="1" t="s">
        <v>56</v>
      </c>
    </row>
    <row r="857">
      <c r="A857" s="3" t="str">
        <f>HYPERLINK("https://stackoverflow.com/q/56603585", "56603585")</f>
        <v>56603585</v>
      </c>
      <c r="B857" s="1" t="s">
        <v>93</v>
      </c>
      <c r="C857" s="1" t="s">
        <v>3008</v>
      </c>
      <c r="D857" s="2" t="s">
        <v>3009</v>
      </c>
      <c r="E857" s="1">
        <v>1.0</v>
      </c>
      <c r="F857" s="1">
        <v>5.6610834E7</v>
      </c>
      <c r="I857" s="1">
        <v>0.0</v>
      </c>
      <c r="J857" s="1">
        <v>93.0</v>
      </c>
      <c r="L857" s="1">
        <v>5297307.0</v>
      </c>
      <c r="Q857" s="1" t="s">
        <v>3010</v>
      </c>
      <c r="R857" s="1" t="s">
        <v>97</v>
      </c>
      <c r="S857" s="1">
        <v>1.0</v>
      </c>
      <c r="T857" s="1">
        <v>0.0</v>
      </c>
      <c r="X857" s="1" t="s">
        <v>56</v>
      </c>
      <c r="Z857" s="1" t="s">
        <v>3010</v>
      </c>
    </row>
    <row r="858">
      <c r="A858" s="3" t="str">
        <f>HYPERLINK("https://stackoverflow.com/q/56615245", "56615245")</f>
        <v>56615245</v>
      </c>
      <c r="B858" s="1" t="s">
        <v>93</v>
      </c>
      <c r="C858" s="1" t="s">
        <v>3011</v>
      </c>
      <c r="D858" s="2" t="s">
        <v>3012</v>
      </c>
      <c r="E858" s="1">
        <v>1.0</v>
      </c>
      <c r="F858" s="1">
        <v>5.6633525E7</v>
      </c>
      <c r="I858" s="1">
        <v>1.0</v>
      </c>
      <c r="J858" s="1">
        <v>150.0</v>
      </c>
      <c r="L858" s="1">
        <v>1.1625554E7</v>
      </c>
      <c r="N858" s="1">
        <v>1.1625554E7</v>
      </c>
      <c r="P858" s="1" t="s">
        <v>3013</v>
      </c>
      <c r="Q858" s="1" t="s">
        <v>3013</v>
      </c>
      <c r="R858" s="1" t="s">
        <v>97</v>
      </c>
      <c r="S858" s="1">
        <v>2.0</v>
      </c>
      <c r="T858" s="1">
        <v>2.0</v>
      </c>
      <c r="X858" s="1" t="s">
        <v>56</v>
      </c>
      <c r="Z858" s="1" t="s">
        <v>3014</v>
      </c>
    </row>
    <row r="859">
      <c r="A859" s="3" t="str">
        <f>HYPERLINK("https://stackoverflow.com/q/56637616", "56637616")</f>
        <v>56637616</v>
      </c>
      <c r="B859" s="1" t="s">
        <v>93</v>
      </c>
      <c r="C859" s="1" t="s">
        <v>3015</v>
      </c>
      <c r="D859" s="2" t="s">
        <v>3016</v>
      </c>
      <c r="E859" s="1">
        <v>1.0</v>
      </c>
      <c r="I859" s="1">
        <v>0.0</v>
      </c>
      <c r="J859" s="1">
        <v>24.0</v>
      </c>
      <c r="L859" s="1">
        <v>5297307.0</v>
      </c>
      <c r="Q859" s="1" t="s">
        <v>3015</v>
      </c>
      <c r="R859" s="1" t="s">
        <v>97</v>
      </c>
      <c r="S859" s="1">
        <v>0.0</v>
      </c>
      <c r="T859" s="1">
        <v>2.0</v>
      </c>
      <c r="X859" s="1" t="s">
        <v>56</v>
      </c>
    </row>
    <row r="860">
      <c r="A860" s="3" t="str">
        <f>HYPERLINK("https://stackoverflow.com/q/56646153", "56646153")</f>
        <v>56646153</v>
      </c>
      <c r="B860" s="1" t="s">
        <v>93</v>
      </c>
      <c r="C860" s="1" t="s">
        <v>3017</v>
      </c>
      <c r="D860" s="2" t="s">
        <v>3018</v>
      </c>
      <c r="E860" s="1">
        <v>1.0</v>
      </c>
      <c r="I860" s="1">
        <v>1.0</v>
      </c>
      <c r="J860" s="1">
        <v>83.0</v>
      </c>
      <c r="L860" s="1">
        <v>1.166355E7</v>
      </c>
      <c r="N860" s="1">
        <v>7215091.0</v>
      </c>
      <c r="P860" s="1" t="s">
        <v>3019</v>
      </c>
      <c r="Q860" s="1" t="s">
        <v>3020</v>
      </c>
      <c r="R860" s="1" t="s">
        <v>516</v>
      </c>
      <c r="S860" s="1">
        <v>2.0</v>
      </c>
      <c r="T860" s="1">
        <v>4.0</v>
      </c>
      <c r="X860" s="1" t="s">
        <v>56</v>
      </c>
    </row>
    <row r="861">
      <c r="A861" s="3" t="str">
        <f>HYPERLINK("https://stackoverflow.com/q/56649946", "56649946")</f>
        <v>56649946</v>
      </c>
      <c r="B861" s="1" t="s">
        <v>93</v>
      </c>
      <c r="C861" s="1" t="s">
        <v>3021</v>
      </c>
      <c r="D861" s="2" t="s">
        <v>3022</v>
      </c>
      <c r="E861" s="1">
        <v>1.0</v>
      </c>
      <c r="I861" s="1">
        <v>0.0</v>
      </c>
      <c r="J861" s="1">
        <v>45.0</v>
      </c>
      <c r="L861" s="1">
        <v>5983596.0</v>
      </c>
      <c r="N861" s="1">
        <v>5983596.0</v>
      </c>
      <c r="P861" s="1" t="s">
        <v>3023</v>
      </c>
      <c r="Q861" s="1" t="s">
        <v>3023</v>
      </c>
      <c r="R861" s="1" t="s">
        <v>97</v>
      </c>
      <c r="S861" s="1">
        <v>0.0</v>
      </c>
      <c r="T861" s="1">
        <v>8.0</v>
      </c>
      <c r="X861" s="1" t="s">
        <v>56</v>
      </c>
    </row>
    <row r="862">
      <c r="A862" s="3" t="str">
        <f>HYPERLINK("https://stackoverflow.com/q/56650002", "56650002")</f>
        <v>56650002</v>
      </c>
      <c r="B862" s="1" t="s">
        <v>93</v>
      </c>
      <c r="C862" s="1" t="s">
        <v>3024</v>
      </c>
      <c r="D862" s="2" t="s">
        <v>3025</v>
      </c>
      <c r="E862" s="1">
        <v>1.0</v>
      </c>
      <c r="I862" s="1">
        <v>0.0</v>
      </c>
      <c r="J862" s="1">
        <v>23.0</v>
      </c>
      <c r="L862" s="1">
        <v>1.166355E7</v>
      </c>
      <c r="N862" s="1">
        <v>1595451.0</v>
      </c>
      <c r="P862" s="1" t="s">
        <v>3026</v>
      </c>
      <c r="Q862" s="1" t="s">
        <v>3026</v>
      </c>
      <c r="R862" s="1" t="s">
        <v>3027</v>
      </c>
      <c r="S862" s="1">
        <v>0.0</v>
      </c>
      <c r="T862" s="1">
        <v>3.0</v>
      </c>
      <c r="X862" s="1" t="s">
        <v>56</v>
      </c>
    </row>
    <row r="863">
      <c r="A863" s="3" t="str">
        <f>HYPERLINK("https://stackoverflow.com/q/56674480", "56674480")</f>
        <v>56674480</v>
      </c>
      <c r="B863" s="1" t="s">
        <v>93</v>
      </c>
      <c r="C863" s="1" t="s">
        <v>3028</v>
      </c>
      <c r="D863" s="2" t="s">
        <v>3029</v>
      </c>
      <c r="E863" s="1">
        <v>1.0</v>
      </c>
      <c r="I863" s="1">
        <v>0.0</v>
      </c>
      <c r="J863" s="1">
        <v>27.0</v>
      </c>
      <c r="L863" s="1">
        <v>3629397.0</v>
      </c>
      <c r="N863" s="1">
        <v>3629397.0</v>
      </c>
      <c r="P863" s="1" t="s">
        <v>3030</v>
      </c>
      <c r="Q863" s="1" t="s">
        <v>3030</v>
      </c>
      <c r="R863" s="1" t="s">
        <v>1689</v>
      </c>
      <c r="S863" s="1">
        <v>0.0</v>
      </c>
      <c r="T863" s="1">
        <v>0.0</v>
      </c>
      <c r="X863" s="1" t="s">
        <v>56</v>
      </c>
    </row>
    <row r="864">
      <c r="A864" s="3" t="str">
        <f>HYPERLINK("https://stackoverflow.com/q/56742705", "56742705")</f>
        <v>56742705</v>
      </c>
      <c r="B864" s="1" t="s">
        <v>93</v>
      </c>
      <c r="C864" s="1" t="s">
        <v>3031</v>
      </c>
      <c r="D864" s="2" t="s">
        <v>3032</v>
      </c>
      <c r="E864" s="1">
        <v>1.0</v>
      </c>
      <c r="F864" s="1">
        <v>5.676426E7</v>
      </c>
      <c r="I864" s="1">
        <v>1.0</v>
      </c>
      <c r="J864" s="1">
        <v>150.0</v>
      </c>
      <c r="L864" s="1">
        <v>9012025.0</v>
      </c>
      <c r="Q864" s="1" t="s">
        <v>3033</v>
      </c>
      <c r="R864" s="1" t="s">
        <v>3034</v>
      </c>
      <c r="S864" s="1">
        <v>1.0</v>
      </c>
      <c r="T864" s="1">
        <v>1.0</v>
      </c>
      <c r="X864" s="1" t="s">
        <v>56</v>
      </c>
      <c r="Z864" s="1" t="s">
        <v>3035</v>
      </c>
    </row>
    <row r="865">
      <c r="A865" s="3" t="str">
        <f>HYPERLINK("https://stackoverflow.com/q/56777119", "56777119")</f>
        <v>56777119</v>
      </c>
      <c r="B865" s="1" t="s">
        <v>93</v>
      </c>
      <c r="C865" s="1" t="s">
        <v>3036</v>
      </c>
      <c r="D865" s="2" t="s">
        <v>3037</v>
      </c>
      <c r="E865" s="1">
        <v>1.0</v>
      </c>
      <c r="F865" s="1">
        <v>5.6777417E7</v>
      </c>
      <c r="I865" s="1">
        <v>0.0</v>
      </c>
      <c r="J865" s="1">
        <v>25.0</v>
      </c>
      <c r="L865" s="1">
        <v>5297307.0</v>
      </c>
      <c r="Q865" s="1" t="s">
        <v>3038</v>
      </c>
      <c r="R865" s="1" t="s">
        <v>3039</v>
      </c>
      <c r="S865" s="1">
        <v>1.0</v>
      </c>
      <c r="T865" s="1">
        <v>3.0</v>
      </c>
      <c r="X865" s="1" t="s">
        <v>56</v>
      </c>
      <c r="Z865" s="1" t="s">
        <v>3038</v>
      </c>
    </row>
    <row r="866">
      <c r="A866" s="3" t="str">
        <f>HYPERLINK("https://stackoverflow.com/q/56781139", "56781139")</f>
        <v>56781139</v>
      </c>
      <c r="B866" s="1" t="s">
        <v>93</v>
      </c>
      <c r="C866" s="1" t="s">
        <v>3040</v>
      </c>
      <c r="D866" s="2" t="s">
        <v>3041</v>
      </c>
      <c r="E866" s="1">
        <v>1.0</v>
      </c>
      <c r="F866" s="1">
        <v>5.6781415E7</v>
      </c>
      <c r="I866" s="1">
        <v>0.0</v>
      </c>
      <c r="J866" s="1">
        <v>107.0</v>
      </c>
      <c r="L866" s="1">
        <v>5297307.0</v>
      </c>
      <c r="Q866" s="1" t="s">
        <v>3042</v>
      </c>
      <c r="R866" s="1" t="s">
        <v>97</v>
      </c>
      <c r="S866" s="1">
        <v>3.0</v>
      </c>
      <c r="T866" s="1">
        <v>1.0</v>
      </c>
      <c r="U866" s="1">
        <v>1.0</v>
      </c>
      <c r="X866" s="1" t="s">
        <v>56</v>
      </c>
      <c r="Z866" s="1" t="s">
        <v>3043</v>
      </c>
    </row>
    <row r="867">
      <c r="A867" s="3" t="str">
        <f>HYPERLINK("https://stackoverflow.com/q/56854441", "56854441")</f>
        <v>56854441</v>
      </c>
      <c r="B867" s="1" t="s">
        <v>93</v>
      </c>
      <c r="C867" s="1" t="s">
        <v>3044</v>
      </c>
      <c r="D867" s="2" t="s">
        <v>3045</v>
      </c>
      <c r="E867" s="1">
        <v>1.0</v>
      </c>
      <c r="I867" s="1">
        <v>0.0</v>
      </c>
      <c r="J867" s="1">
        <v>36.0</v>
      </c>
      <c r="L867" s="1">
        <v>1.1727033E7</v>
      </c>
      <c r="N867" s="1">
        <v>1.1727033E7</v>
      </c>
      <c r="P867" s="1" t="s">
        <v>3046</v>
      </c>
      <c r="Q867" s="1" t="s">
        <v>3046</v>
      </c>
      <c r="R867" s="1" t="s">
        <v>97</v>
      </c>
      <c r="S867" s="1">
        <v>0.0</v>
      </c>
      <c r="T867" s="1">
        <v>0.0</v>
      </c>
      <c r="X867" s="1" t="s">
        <v>56</v>
      </c>
    </row>
    <row r="868">
      <c r="A868" s="3" t="str">
        <f>HYPERLINK("https://stackoverflow.com/q/56859374", "56859374")</f>
        <v>56859374</v>
      </c>
      <c r="B868" s="1" t="s">
        <v>93</v>
      </c>
      <c r="C868" s="1" t="s">
        <v>3047</v>
      </c>
      <c r="D868" s="2" t="s">
        <v>3048</v>
      </c>
      <c r="E868" s="1">
        <v>1.0</v>
      </c>
      <c r="I868" s="1">
        <v>2.0</v>
      </c>
      <c r="J868" s="1">
        <v>84.0</v>
      </c>
      <c r="L868" s="1">
        <v>1.1718462E7</v>
      </c>
      <c r="N868" s="1">
        <v>1167956.0</v>
      </c>
      <c r="P868" s="1" t="s">
        <v>3049</v>
      </c>
      <c r="Q868" s="1" t="s">
        <v>3049</v>
      </c>
      <c r="R868" s="1" t="s">
        <v>3050</v>
      </c>
      <c r="S868" s="1">
        <v>0.0</v>
      </c>
      <c r="T868" s="1">
        <v>2.0</v>
      </c>
      <c r="U868" s="1">
        <v>1.0</v>
      </c>
      <c r="X868" s="1" t="s">
        <v>56</v>
      </c>
    </row>
    <row r="869">
      <c r="A869" s="3" t="str">
        <f>HYPERLINK("https://stackoverflow.com/q/56860758", "56860758")</f>
        <v>56860758</v>
      </c>
      <c r="B869" s="1" t="s">
        <v>93</v>
      </c>
      <c r="C869" s="1" t="s">
        <v>3051</v>
      </c>
      <c r="D869" s="2" t="s">
        <v>3052</v>
      </c>
      <c r="E869" s="1">
        <v>1.0</v>
      </c>
      <c r="I869" s="1">
        <v>0.0</v>
      </c>
      <c r="J869" s="1">
        <v>53.0</v>
      </c>
      <c r="L869" s="1">
        <v>5297307.0</v>
      </c>
      <c r="Q869" s="1" t="s">
        <v>3053</v>
      </c>
      <c r="R869" s="1" t="s">
        <v>97</v>
      </c>
      <c r="S869" s="1">
        <v>1.0</v>
      </c>
      <c r="T869" s="1">
        <v>1.0</v>
      </c>
      <c r="X869" s="1" t="s">
        <v>56</v>
      </c>
    </row>
    <row r="870">
      <c r="A870" s="3" t="str">
        <f>HYPERLINK("https://stackoverflow.com/q/56861761", "56861761")</f>
        <v>56861761</v>
      </c>
      <c r="B870" s="1" t="s">
        <v>93</v>
      </c>
      <c r="C870" s="1" t="s">
        <v>3054</v>
      </c>
      <c r="D870" s="2" t="s">
        <v>3055</v>
      </c>
      <c r="E870" s="1">
        <v>1.0</v>
      </c>
      <c r="I870" s="1">
        <v>0.0</v>
      </c>
      <c r="J870" s="1">
        <v>33.0</v>
      </c>
      <c r="L870" s="1">
        <v>1.0553698E7</v>
      </c>
      <c r="Q870" s="1" t="s">
        <v>3056</v>
      </c>
      <c r="R870" s="1" t="s">
        <v>696</v>
      </c>
      <c r="S870" s="1">
        <v>1.0</v>
      </c>
      <c r="T870" s="1">
        <v>0.0</v>
      </c>
      <c r="X870" s="1" t="s">
        <v>56</v>
      </c>
    </row>
    <row r="871">
      <c r="A871" s="3" t="str">
        <f>HYPERLINK("https://stackoverflow.com/q/56891544", "56891544")</f>
        <v>56891544</v>
      </c>
      <c r="B871" s="1" t="s">
        <v>93</v>
      </c>
      <c r="C871" s="1" t="s">
        <v>3057</v>
      </c>
      <c r="D871" s="2" t="s">
        <v>3058</v>
      </c>
      <c r="E871" s="1">
        <v>1.0</v>
      </c>
      <c r="F871" s="1">
        <v>5.6906239E7</v>
      </c>
      <c r="I871" s="1">
        <v>0.0</v>
      </c>
      <c r="J871" s="1">
        <v>59.0</v>
      </c>
      <c r="L871" s="1">
        <v>5223159.0</v>
      </c>
      <c r="Q871" s="1" t="s">
        <v>3059</v>
      </c>
      <c r="R871" s="1" t="s">
        <v>3060</v>
      </c>
      <c r="S871" s="1">
        <v>1.0</v>
      </c>
      <c r="T871" s="1">
        <v>2.0</v>
      </c>
      <c r="X871" s="1" t="s">
        <v>56</v>
      </c>
      <c r="Z871" s="1" t="s">
        <v>3059</v>
      </c>
    </row>
    <row r="872">
      <c r="A872" s="3" t="str">
        <f>HYPERLINK("https://stackoverflow.com/q/56897283", "56897283")</f>
        <v>56897283</v>
      </c>
      <c r="B872" s="1" t="s">
        <v>93</v>
      </c>
      <c r="C872" s="1" t="s">
        <v>3061</v>
      </c>
      <c r="D872" s="2" t="s">
        <v>3062</v>
      </c>
      <c r="E872" s="1">
        <v>1.0</v>
      </c>
      <c r="I872" s="1">
        <v>0.0</v>
      </c>
      <c r="J872" s="1">
        <v>60.0</v>
      </c>
      <c r="L872" s="1">
        <v>1.1742391E7</v>
      </c>
      <c r="N872" s="1">
        <v>6053198.0</v>
      </c>
      <c r="P872" s="1" t="s">
        <v>3063</v>
      </c>
      <c r="Q872" s="1" t="s">
        <v>3064</v>
      </c>
      <c r="R872" s="1" t="s">
        <v>97</v>
      </c>
      <c r="S872" s="1">
        <v>1.0</v>
      </c>
      <c r="T872" s="1">
        <v>1.0</v>
      </c>
      <c r="X872" s="1" t="s">
        <v>56</v>
      </c>
    </row>
    <row r="873">
      <c r="A873" s="3" t="str">
        <f>HYPERLINK("https://stackoverflow.com/q/56943460", "56943460")</f>
        <v>56943460</v>
      </c>
      <c r="B873" s="1" t="s">
        <v>93</v>
      </c>
      <c r="C873" s="1" t="s">
        <v>3065</v>
      </c>
      <c r="D873" s="2" t="s">
        <v>3066</v>
      </c>
      <c r="E873" s="1">
        <v>1.0</v>
      </c>
      <c r="I873" s="1">
        <v>0.0</v>
      </c>
      <c r="J873" s="1">
        <v>43.0</v>
      </c>
      <c r="L873" s="1">
        <v>1.1750756E7</v>
      </c>
      <c r="N873" s="1">
        <v>1.1750756E7</v>
      </c>
      <c r="P873" s="1" t="s">
        <v>3067</v>
      </c>
      <c r="Q873" s="1" t="s">
        <v>3067</v>
      </c>
      <c r="R873" s="1" t="s">
        <v>97</v>
      </c>
      <c r="S873" s="1">
        <v>0.0</v>
      </c>
      <c r="T873" s="1">
        <v>3.0</v>
      </c>
      <c r="X873" s="1" t="s">
        <v>56</v>
      </c>
    </row>
    <row r="874">
      <c r="A874" s="3" t="str">
        <f>HYPERLINK("https://stackoverflow.com/q/56953869", "56953869")</f>
        <v>56953869</v>
      </c>
      <c r="B874" s="1" t="s">
        <v>93</v>
      </c>
      <c r="C874" s="1" t="s">
        <v>3068</v>
      </c>
      <c r="D874" s="2" t="s">
        <v>3069</v>
      </c>
      <c r="E874" s="1">
        <v>1.0</v>
      </c>
      <c r="F874" s="1">
        <v>5.697198E7</v>
      </c>
      <c r="I874" s="1">
        <v>0.0</v>
      </c>
      <c r="J874" s="1">
        <v>82.0</v>
      </c>
      <c r="L874" s="1">
        <v>1.1170116E7</v>
      </c>
      <c r="N874" s="1">
        <v>1.2892553E7</v>
      </c>
      <c r="P874" s="1" t="s">
        <v>3070</v>
      </c>
      <c r="Q874" s="1" t="s">
        <v>3070</v>
      </c>
      <c r="R874" s="1" t="s">
        <v>97</v>
      </c>
      <c r="S874" s="1">
        <v>1.0</v>
      </c>
      <c r="T874" s="1">
        <v>2.0</v>
      </c>
      <c r="X874" s="1" t="s">
        <v>56</v>
      </c>
      <c r="Z874" s="1" t="s">
        <v>3071</v>
      </c>
    </row>
    <row r="875">
      <c r="A875" s="3" t="str">
        <f>HYPERLINK("https://stackoverflow.com/q/56958117", "56958117")</f>
        <v>56958117</v>
      </c>
      <c r="B875" s="1" t="s">
        <v>93</v>
      </c>
      <c r="C875" s="1" t="s">
        <v>3072</v>
      </c>
      <c r="D875" s="2" t="s">
        <v>3073</v>
      </c>
      <c r="E875" s="1">
        <v>1.0</v>
      </c>
      <c r="I875" s="1">
        <v>0.0</v>
      </c>
      <c r="J875" s="1">
        <v>27.0</v>
      </c>
      <c r="L875" s="1">
        <v>1819160.0</v>
      </c>
      <c r="Q875" s="1" t="s">
        <v>3072</v>
      </c>
      <c r="R875" s="1" t="s">
        <v>97</v>
      </c>
      <c r="S875" s="1">
        <v>0.0</v>
      </c>
      <c r="T875" s="1">
        <v>2.0</v>
      </c>
      <c r="X875" s="1" t="s">
        <v>56</v>
      </c>
    </row>
    <row r="876">
      <c r="A876" s="3" t="str">
        <f>HYPERLINK("https://stackoverflow.com/q/56958594", "56958594")</f>
        <v>56958594</v>
      </c>
      <c r="B876" s="1" t="s">
        <v>93</v>
      </c>
      <c r="C876" s="1" t="s">
        <v>3074</v>
      </c>
      <c r="D876" s="2" t="s">
        <v>3075</v>
      </c>
      <c r="E876" s="1">
        <v>1.0</v>
      </c>
      <c r="I876" s="1">
        <v>0.0</v>
      </c>
      <c r="J876" s="1">
        <v>81.0</v>
      </c>
      <c r="L876" s="1">
        <v>5297307.0</v>
      </c>
      <c r="N876" s="1">
        <v>8404453.0</v>
      </c>
      <c r="P876" s="1" t="s">
        <v>3076</v>
      </c>
      <c r="Q876" s="1" t="s">
        <v>3076</v>
      </c>
      <c r="R876" s="1" t="s">
        <v>190</v>
      </c>
      <c r="S876" s="1">
        <v>0.0</v>
      </c>
      <c r="T876" s="1">
        <v>5.0</v>
      </c>
      <c r="U876" s="1">
        <v>1.0</v>
      </c>
      <c r="X876" s="1" t="s">
        <v>56</v>
      </c>
    </row>
    <row r="877">
      <c r="A877" s="3" t="str">
        <f>HYPERLINK("https://stackoverflow.com/q/56961193", "56961193")</f>
        <v>56961193</v>
      </c>
      <c r="B877" s="1" t="s">
        <v>93</v>
      </c>
      <c r="C877" s="1" t="s">
        <v>3077</v>
      </c>
      <c r="D877" s="2" t="s">
        <v>3078</v>
      </c>
      <c r="E877" s="1">
        <v>1.0</v>
      </c>
      <c r="F877" s="1">
        <v>5.6969236E7</v>
      </c>
      <c r="I877" s="1">
        <v>0.0</v>
      </c>
      <c r="J877" s="1">
        <v>278.0</v>
      </c>
      <c r="L877" s="1">
        <v>1422413.0</v>
      </c>
      <c r="Q877" s="1" t="s">
        <v>3079</v>
      </c>
      <c r="R877" s="1" t="s">
        <v>3080</v>
      </c>
      <c r="S877" s="1">
        <v>1.0</v>
      </c>
      <c r="T877" s="1">
        <v>0.0</v>
      </c>
      <c r="X877" s="1" t="s">
        <v>56</v>
      </c>
      <c r="Z877" s="1" t="s">
        <v>3079</v>
      </c>
    </row>
    <row r="878">
      <c r="A878" s="3" t="str">
        <f>HYPERLINK("https://stackoverflow.com/q/56991934", "56991934")</f>
        <v>56991934</v>
      </c>
      <c r="B878" s="1" t="s">
        <v>93</v>
      </c>
      <c r="C878" s="1" t="s">
        <v>3081</v>
      </c>
      <c r="D878" s="2" t="s">
        <v>3082</v>
      </c>
      <c r="E878" s="1">
        <v>1.0</v>
      </c>
      <c r="I878" s="1">
        <v>0.0</v>
      </c>
      <c r="J878" s="1">
        <v>27.0</v>
      </c>
      <c r="L878" s="1">
        <v>1.1770778E7</v>
      </c>
      <c r="N878" s="1">
        <v>3710195.0</v>
      </c>
      <c r="P878" s="1" t="s">
        <v>3083</v>
      </c>
      <c r="Q878" s="1" t="s">
        <v>3083</v>
      </c>
      <c r="R878" s="1" t="s">
        <v>97</v>
      </c>
      <c r="S878" s="1">
        <v>0.0</v>
      </c>
      <c r="T878" s="1">
        <v>1.0</v>
      </c>
      <c r="X878" s="1" t="s">
        <v>56</v>
      </c>
    </row>
    <row r="879">
      <c r="A879" s="3" t="str">
        <f>HYPERLINK("https://stackoverflow.com/q/56993150", "56993150")</f>
        <v>56993150</v>
      </c>
      <c r="B879" s="1" t="s">
        <v>93</v>
      </c>
      <c r="C879" s="1" t="s">
        <v>3084</v>
      </c>
      <c r="D879" s="2" t="s">
        <v>3085</v>
      </c>
      <c r="E879" s="1">
        <v>1.0</v>
      </c>
      <c r="I879" s="1">
        <v>0.0</v>
      </c>
      <c r="J879" s="1">
        <v>70.0</v>
      </c>
      <c r="L879" s="1">
        <v>5297307.0</v>
      </c>
      <c r="N879" s="1">
        <v>5297307.0</v>
      </c>
      <c r="P879" s="1" t="s">
        <v>3086</v>
      </c>
      <c r="Q879" s="1" t="s">
        <v>3086</v>
      </c>
      <c r="R879" s="1" t="s">
        <v>97</v>
      </c>
      <c r="S879" s="1">
        <v>0.0</v>
      </c>
      <c r="T879" s="1">
        <v>9.0</v>
      </c>
      <c r="X879" s="1" t="s">
        <v>56</v>
      </c>
    </row>
    <row r="880">
      <c r="A880" s="3" t="str">
        <f>HYPERLINK("https://stackoverflow.com/q/57012762", "57012762")</f>
        <v>57012762</v>
      </c>
      <c r="B880" s="1" t="s">
        <v>93</v>
      </c>
      <c r="C880" s="1" t="s">
        <v>3087</v>
      </c>
      <c r="D880" s="2" t="s">
        <v>3088</v>
      </c>
      <c r="E880" s="1">
        <v>1.0</v>
      </c>
      <c r="I880" s="1">
        <v>0.0</v>
      </c>
      <c r="J880" s="1">
        <v>47.0</v>
      </c>
      <c r="L880" s="1">
        <v>1.1777296E7</v>
      </c>
      <c r="N880" s="1">
        <v>1.1777296E7</v>
      </c>
      <c r="P880" s="1" t="s">
        <v>3089</v>
      </c>
      <c r="Q880" s="1" t="s">
        <v>3090</v>
      </c>
      <c r="R880" s="1" t="s">
        <v>97</v>
      </c>
      <c r="S880" s="1">
        <v>2.0</v>
      </c>
      <c r="T880" s="1">
        <v>0.0</v>
      </c>
      <c r="X880" s="1" t="s">
        <v>56</v>
      </c>
    </row>
    <row r="881">
      <c r="A881" s="3" t="str">
        <f>HYPERLINK("https://stackoverflow.com/q/57043373", "57043373")</f>
        <v>57043373</v>
      </c>
      <c r="B881" s="1" t="s">
        <v>93</v>
      </c>
      <c r="C881" s="1" t="s">
        <v>3091</v>
      </c>
      <c r="D881" s="2" t="s">
        <v>3092</v>
      </c>
      <c r="E881" s="1">
        <v>1.0</v>
      </c>
      <c r="F881" s="1">
        <v>5.7061974E7</v>
      </c>
      <c r="I881" s="1">
        <v>1.0</v>
      </c>
      <c r="J881" s="1">
        <v>43.0</v>
      </c>
      <c r="L881" s="1">
        <v>5297307.0</v>
      </c>
      <c r="N881" s="1">
        <v>5297307.0</v>
      </c>
      <c r="P881" s="1" t="s">
        <v>3093</v>
      </c>
      <c r="Q881" s="1" t="s">
        <v>3094</v>
      </c>
      <c r="R881" s="1" t="s">
        <v>97</v>
      </c>
      <c r="S881" s="1">
        <v>1.0</v>
      </c>
      <c r="T881" s="1">
        <v>0.0</v>
      </c>
      <c r="X881" s="1" t="s">
        <v>56</v>
      </c>
      <c r="Z881" s="1" t="s">
        <v>3094</v>
      </c>
    </row>
    <row r="882">
      <c r="A882" s="3" t="str">
        <f>HYPERLINK("https://stackoverflow.com/q/57046996", "57046996")</f>
        <v>57046996</v>
      </c>
      <c r="B882" s="1" t="s">
        <v>93</v>
      </c>
      <c r="C882" s="1" t="s">
        <v>3095</v>
      </c>
      <c r="D882" s="2" t="s">
        <v>3096</v>
      </c>
      <c r="E882" s="1">
        <v>1.0</v>
      </c>
      <c r="F882" s="1">
        <v>5.7275486E7</v>
      </c>
      <c r="I882" s="1">
        <v>0.0</v>
      </c>
      <c r="J882" s="1">
        <v>122.0</v>
      </c>
      <c r="L882" s="1">
        <v>1422413.0</v>
      </c>
      <c r="N882" s="1">
        <v>1422413.0</v>
      </c>
      <c r="P882" s="1" t="s">
        <v>3097</v>
      </c>
      <c r="Q882" s="1" t="s">
        <v>3098</v>
      </c>
      <c r="R882" s="1" t="s">
        <v>3099</v>
      </c>
      <c r="S882" s="1">
        <v>2.0</v>
      </c>
      <c r="T882" s="1">
        <v>9.0</v>
      </c>
      <c r="X882" s="1" t="s">
        <v>56</v>
      </c>
      <c r="Z882" s="1" t="s">
        <v>3098</v>
      </c>
    </row>
    <row r="883">
      <c r="A883" s="3" t="str">
        <f>HYPERLINK("https://stackoverflow.com/q/57061468", "57061468")</f>
        <v>57061468</v>
      </c>
      <c r="B883" s="1" t="s">
        <v>93</v>
      </c>
      <c r="C883" s="1" t="s">
        <v>3100</v>
      </c>
      <c r="D883" s="2" t="s">
        <v>3101</v>
      </c>
      <c r="E883" s="1">
        <v>1.0</v>
      </c>
      <c r="I883" s="1">
        <v>0.0</v>
      </c>
      <c r="J883" s="1">
        <v>126.0</v>
      </c>
      <c r="L883" s="1">
        <v>1.1770778E7</v>
      </c>
      <c r="N883" s="1">
        <v>1.1770778E7</v>
      </c>
      <c r="P883" s="1" t="s">
        <v>3102</v>
      </c>
      <c r="Q883" s="1" t="s">
        <v>3103</v>
      </c>
      <c r="R883" s="1" t="s">
        <v>97</v>
      </c>
      <c r="S883" s="1">
        <v>1.0</v>
      </c>
      <c r="T883" s="1">
        <v>12.0</v>
      </c>
      <c r="X883" s="1" t="s">
        <v>56</v>
      </c>
    </row>
    <row r="884">
      <c r="A884" s="3" t="str">
        <f>HYPERLINK("https://stackoverflow.com/q/57062051", "57062051")</f>
        <v>57062051</v>
      </c>
      <c r="B884" s="1" t="s">
        <v>93</v>
      </c>
      <c r="C884" s="1" t="s">
        <v>3104</v>
      </c>
      <c r="D884" s="2" t="s">
        <v>3105</v>
      </c>
      <c r="E884" s="1">
        <v>1.0</v>
      </c>
      <c r="I884" s="1">
        <v>1.0</v>
      </c>
      <c r="J884" s="1">
        <v>84.0</v>
      </c>
      <c r="L884" s="1">
        <v>1.12283E7</v>
      </c>
      <c r="N884" s="1">
        <v>1.12283E7</v>
      </c>
      <c r="P884" s="1" t="s">
        <v>3106</v>
      </c>
      <c r="Q884" s="1" t="s">
        <v>3107</v>
      </c>
      <c r="R884" s="1" t="s">
        <v>3108</v>
      </c>
      <c r="S884" s="1">
        <v>1.0</v>
      </c>
      <c r="T884" s="1">
        <v>14.0</v>
      </c>
      <c r="X884" s="1" t="s">
        <v>56</v>
      </c>
    </row>
    <row r="885">
      <c r="A885" s="3" t="str">
        <f>HYPERLINK("https://stackoverflow.com/q/57085012", "57085012")</f>
        <v>57085012</v>
      </c>
      <c r="B885" s="1" t="s">
        <v>93</v>
      </c>
      <c r="C885" s="1" t="s">
        <v>3109</v>
      </c>
      <c r="D885" s="2" t="s">
        <v>3110</v>
      </c>
      <c r="E885" s="1">
        <v>1.0</v>
      </c>
      <c r="I885" s="1">
        <v>0.0</v>
      </c>
      <c r="J885" s="1">
        <v>75.0</v>
      </c>
      <c r="L885" s="1">
        <v>5297307.0</v>
      </c>
      <c r="Q885" s="1" t="s">
        <v>3111</v>
      </c>
      <c r="R885" s="1" t="s">
        <v>97</v>
      </c>
      <c r="S885" s="1">
        <v>1.0</v>
      </c>
      <c r="T885" s="1">
        <v>2.0</v>
      </c>
      <c r="X885" s="1" t="s">
        <v>56</v>
      </c>
    </row>
    <row r="886">
      <c r="A886" s="3" t="str">
        <f>HYPERLINK("https://stackoverflow.com/q/57089313", "57089313")</f>
        <v>57089313</v>
      </c>
      <c r="B886" s="1" t="s">
        <v>93</v>
      </c>
      <c r="C886" s="1" t="s">
        <v>3112</v>
      </c>
      <c r="D886" s="2" t="s">
        <v>3113</v>
      </c>
      <c r="E886" s="1">
        <v>1.0</v>
      </c>
      <c r="F886" s="1">
        <v>5.7095767E7</v>
      </c>
      <c r="I886" s="1">
        <v>0.0</v>
      </c>
      <c r="J886" s="1">
        <v>85.0</v>
      </c>
      <c r="L886" s="1">
        <v>1.1170116E7</v>
      </c>
      <c r="N886" s="1">
        <v>1.1170116E7</v>
      </c>
      <c r="P886" s="1" t="s">
        <v>3114</v>
      </c>
      <c r="Q886" s="1" t="s">
        <v>3114</v>
      </c>
      <c r="R886" s="1" t="s">
        <v>97</v>
      </c>
      <c r="S886" s="1">
        <v>1.0</v>
      </c>
      <c r="T886" s="1">
        <v>0.0</v>
      </c>
      <c r="X886" s="1" t="s">
        <v>56</v>
      </c>
      <c r="Z886" s="1" t="s">
        <v>3115</v>
      </c>
    </row>
    <row r="887">
      <c r="A887" s="3" t="str">
        <f>HYPERLINK("https://stackoverflow.com/q/57097533", "57097533")</f>
        <v>57097533</v>
      </c>
      <c r="B887" s="1" t="s">
        <v>93</v>
      </c>
      <c r="C887" s="1" t="s">
        <v>3116</v>
      </c>
      <c r="D887" s="2" t="s">
        <v>3117</v>
      </c>
      <c r="E887" s="1">
        <v>1.0</v>
      </c>
      <c r="I887" s="1">
        <v>0.0</v>
      </c>
      <c r="J887" s="1">
        <v>35.0</v>
      </c>
      <c r="L887" s="1">
        <v>1.1770778E7</v>
      </c>
      <c r="N887" s="1">
        <v>1.1770778E7</v>
      </c>
      <c r="P887" s="1" t="s">
        <v>3118</v>
      </c>
      <c r="Q887" s="1" t="s">
        <v>3119</v>
      </c>
      <c r="R887" s="1" t="s">
        <v>97</v>
      </c>
      <c r="S887" s="1">
        <v>1.0</v>
      </c>
      <c r="T887" s="1">
        <v>4.0</v>
      </c>
      <c r="X887" s="1" t="s">
        <v>56</v>
      </c>
    </row>
    <row r="888">
      <c r="A888" s="3" t="str">
        <f>HYPERLINK("https://stackoverflow.com/q/57098814", "57098814")</f>
        <v>57098814</v>
      </c>
      <c r="B888" s="1" t="s">
        <v>93</v>
      </c>
      <c r="C888" s="1" t="s">
        <v>3120</v>
      </c>
      <c r="D888" s="2" t="s">
        <v>3121</v>
      </c>
      <c r="E888" s="1">
        <v>1.0</v>
      </c>
      <c r="I888" s="1">
        <v>0.0</v>
      </c>
      <c r="J888" s="1">
        <v>86.0</v>
      </c>
      <c r="L888" s="1">
        <v>1.1594487E7</v>
      </c>
      <c r="N888" s="1">
        <v>-1.0</v>
      </c>
      <c r="P888" s="1" t="s">
        <v>3122</v>
      </c>
      <c r="Q888" s="1" t="s">
        <v>3122</v>
      </c>
      <c r="R888" s="1" t="s">
        <v>3123</v>
      </c>
      <c r="S888" s="1">
        <v>0.0</v>
      </c>
      <c r="T888" s="1">
        <v>1.0</v>
      </c>
      <c r="X888" s="1" t="s">
        <v>56</v>
      </c>
    </row>
    <row r="889">
      <c r="A889" s="3" t="str">
        <f>HYPERLINK("https://stackoverflow.com/q/57124843", "57124843")</f>
        <v>57124843</v>
      </c>
      <c r="B889" s="1" t="s">
        <v>93</v>
      </c>
      <c r="C889" s="1" t="s">
        <v>3124</v>
      </c>
      <c r="D889" s="2" t="s">
        <v>3125</v>
      </c>
      <c r="E889" s="1">
        <v>1.0</v>
      </c>
      <c r="I889" s="1">
        <v>0.0</v>
      </c>
      <c r="J889" s="1">
        <v>28.0</v>
      </c>
      <c r="L889" s="1">
        <v>1.1625554E7</v>
      </c>
      <c r="N889" s="1">
        <v>1.1625554E7</v>
      </c>
      <c r="P889" s="1" t="s">
        <v>3126</v>
      </c>
      <c r="Q889" s="1" t="s">
        <v>3126</v>
      </c>
      <c r="R889" s="1" t="s">
        <v>2152</v>
      </c>
      <c r="S889" s="1">
        <v>0.0</v>
      </c>
      <c r="T889" s="1">
        <v>0.0</v>
      </c>
      <c r="X889" s="1" t="s">
        <v>56</v>
      </c>
    </row>
    <row r="890">
      <c r="A890" s="3" t="str">
        <f>HYPERLINK("https://stackoverflow.com/q/57127349", "57127349")</f>
        <v>57127349</v>
      </c>
      <c r="B890" s="1" t="s">
        <v>93</v>
      </c>
      <c r="C890" s="1" t="s">
        <v>3127</v>
      </c>
      <c r="D890" s="2" t="s">
        <v>3128</v>
      </c>
      <c r="E890" s="1">
        <v>1.0</v>
      </c>
      <c r="F890" s="1">
        <v>5.7138268E7</v>
      </c>
      <c r="I890" s="1">
        <v>1.0</v>
      </c>
      <c r="J890" s="1">
        <v>140.0</v>
      </c>
      <c r="L890" s="1">
        <v>9012025.0</v>
      </c>
      <c r="N890" s="1">
        <v>9012025.0</v>
      </c>
      <c r="P890" s="1" t="s">
        <v>3129</v>
      </c>
      <c r="Q890" s="1" t="s">
        <v>3130</v>
      </c>
      <c r="R890" s="1" t="s">
        <v>97</v>
      </c>
      <c r="S890" s="1">
        <v>1.0</v>
      </c>
      <c r="T890" s="1">
        <v>2.0</v>
      </c>
      <c r="X890" s="1" t="s">
        <v>56</v>
      </c>
      <c r="Z890" s="1" t="s">
        <v>3130</v>
      </c>
    </row>
    <row r="891">
      <c r="A891" s="3" t="str">
        <f>HYPERLINK("https://stackoverflow.com/q/57131917", "57131917")</f>
        <v>57131917</v>
      </c>
      <c r="B891" s="1" t="s">
        <v>93</v>
      </c>
      <c r="C891" s="1" t="s">
        <v>3131</v>
      </c>
      <c r="D891" s="2" t="s">
        <v>3132</v>
      </c>
      <c r="E891" s="1">
        <v>1.0</v>
      </c>
      <c r="F891" s="1">
        <v>5.7171135E7</v>
      </c>
      <c r="I891" s="1">
        <v>0.0</v>
      </c>
      <c r="J891" s="1">
        <v>118.0</v>
      </c>
      <c r="L891" s="1">
        <v>1.1814506E7</v>
      </c>
      <c r="N891" s="1">
        <v>6782707.0</v>
      </c>
      <c r="P891" s="1" t="s">
        <v>3133</v>
      </c>
      <c r="Q891" s="1" t="s">
        <v>3133</v>
      </c>
      <c r="R891" s="1" t="s">
        <v>3134</v>
      </c>
      <c r="S891" s="1">
        <v>1.0</v>
      </c>
      <c r="T891" s="1">
        <v>3.0</v>
      </c>
      <c r="X891" s="1" t="s">
        <v>56</v>
      </c>
      <c r="Z891" s="1" t="s">
        <v>3135</v>
      </c>
    </row>
    <row r="892">
      <c r="A892" s="3" t="str">
        <f>HYPERLINK("https://stackoverflow.com/q/57133610", "57133610")</f>
        <v>57133610</v>
      </c>
      <c r="B892" s="1" t="s">
        <v>93</v>
      </c>
      <c r="C892" s="1" t="s">
        <v>3136</v>
      </c>
      <c r="D892" s="2" t="s">
        <v>3137</v>
      </c>
      <c r="E892" s="1">
        <v>1.0</v>
      </c>
      <c r="F892" s="1">
        <v>5.7134214E7</v>
      </c>
      <c r="I892" s="1">
        <v>0.0</v>
      </c>
      <c r="J892" s="1">
        <v>32.0</v>
      </c>
      <c r="L892" s="1">
        <v>1.1804689E7</v>
      </c>
      <c r="Q892" s="1" t="s">
        <v>3138</v>
      </c>
      <c r="R892" s="1" t="s">
        <v>3139</v>
      </c>
      <c r="S892" s="1">
        <v>1.0</v>
      </c>
      <c r="T892" s="1">
        <v>2.0</v>
      </c>
      <c r="X892" s="1" t="s">
        <v>56</v>
      </c>
      <c r="Z892" s="1" t="s">
        <v>3138</v>
      </c>
    </row>
    <row r="893">
      <c r="A893" s="3" t="str">
        <f>HYPERLINK("https://stackoverflow.com/q/57163127", "57163127")</f>
        <v>57163127</v>
      </c>
      <c r="B893" s="1" t="s">
        <v>93</v>
      </c>
      <c r="C893" s="1" t="s">
        <v>3140</v>
      </c>
      <c r="D893" s="2" t="s">
        <v>3141</v>
      </c>
      <c r="E893" s="1">
        <v>1.0</v>
      </c>
      <c r="I893" s="1">
        <v>0.0</v>
      </c>
      <c r="J893" s="1">
        <v>252.0</v>
      </c>
      <c r="L893" s="1">
        <v>4663651.0</v>
      </c>
      <c r="N893" s="1">
        <v>4663651.0</v>
      </c>
      <c r="P893" s="1" t="s">
        <v>3142</v>
      </c>
      <c r="Q893" s="1" t="s">
        <v>3143</v>
      </c>
      <c r="R893" s="1" t="s">
        <v>190</v>
      </c>
      <c r="S893" s="1">
        <v>1.0</v>
      </c>
      <c r="T893" s="1">
        <v>6.0</v>
      </c>
      <c r="X893" s="1" t="s">
        <v>56</v>
      </c>
    </row>
    <row r="894">
      <c r="A894" s="3" t="str">
        <f>HYPERLINK("https://stackoverflow.com/q/57169785", "57169785")</f>
        <v>57169785</v>
      </c>
      <c r="B894" s="1" t="s">
        <v>93</v>
      </c>
      <c r="C894" s="1" t="s">
        <v>3144</v>
      </c>
      <c r="D894" s="2" t="s">
        <v>3145</v>
      </c>
      <c r="E894" s="1">
        <v>1.0</v>
      </c>
      <c r="I894" s="1">
        <v>0.0</v>
      </c>
      <c r="J894" s="1">
        <v>13.0</v>
      </c>
      <c r="L894" s="1">
        <v>1.1770778E7</v>
      </c>
      <c r="Q894" s="1" t="s">
        <v>3146</v>
      </c>
      <c r="R894" s="1" t="s">
        <v>97</v>
      </c>
      <c r="S894" s="1">
        <v>1.0</v>
      </c>
      <c r="T894" s="1">
        <v>0.0</v>
      </c>
      <c r="X894" s="1" t="s">
        <v>56</v>
      </c>
    </row>
    <row r="895">
      <c r="A895" s="3" t="str">
        <f>HYPERLINK("https://stackoverflow.com/q/57170075", "57170075")</f>
        <v>57170075</v>
      </c>
      <c r="B895" s="1" t="s">
        <v>93</v>
      </c>
      <c r="C895" s="1" t="s">
        <v>3147</v>
      </c>
      <c r="D895" s="2" t="s">
        <v>3148</v>
      </c>
      <c r="E895" s="1">
        <v>1.0</v>
      </c>
      <c r="I895" s="1">
        <v>2.0</v>
      </c>
      <c r="J895" s="1">
        <v>123.0</v>
      </c>
      <c r="L895" s="1">
        <v>1.1686137E7</v>
      </c>
      <c r="N895" s="1">
        <v>1.1686137E7</v>
      </c>
      <c r="P895" s="1" t="s">
        <v>3149</v>
      </c>
      <c r="Q895" s="1" t="s">
        <v>3149</v>
      </c>
      <c r="R895" s="1" t="s">
        <v>3150</v>
      </c>
      <c r="S895" s="1">
        <v>0.0</v>
      </c>
      <c r="T895" s="1">
        <v>1.0</v>
      </c>
      <c r="U895" s="1">
        <v>1.0</v>
      </c>
      <c r="X895" s="1" t="s">
        <v>56</v>
      </c>
    </row>
    <row r="896">
      <c r="A896" s="3" t="str">
        <f>HYPERLINK("https://stackoverflow.com/q/57171261", "57171261")</f>
        <v>57171261</v>
      </c>
      <c r="B896" s="1" t="s">
        <v>93</v>
      </c>
      <c r="C896" s="1" t="s">
        <v>3151</v>
      </c>
      <c r="D896" s="2" t="s">
        <v>3152</v>
      </c>
      <c r="E896" s="1">
        <v>1.0</v>
      </c>
      <c r="I896" s="1">
        <v>0.0</v>
      </c>
      <c r="J896" s="1">
        <v>63.0</v>
      </c>
      <c r="L896" s="1">
        <v>1.1826672E7</v>
      </c>
      <c r="N896" s="1">
        <v>1.1597494E7</v>
      </c>
      <c r="P896" s="1" t="s">
        <v>3153</v>
      </c>
      <c r="Q896" s="1" t="s">
        <v>3153</v>
      </c>
      <c r="R896" s="1" t="s">
        <v>696</v>
      </c>
      <c r="S896" s="1">
        <v>0.0</v>
      </c>
      <c r="T896" s="1">
        <v>8.0</v>
      </c>
      <c r="X896" s="1" t="s">
        <v>56</v>
      </c>
    </row>
    <row r="897">
      <c r="A897" s="3" t="str">
        <f>HYPERLINK("https://stackoverflow.com/q/57172082", "57172082")</f>
        <v>57172082</v>
      </c>
      <c r="B897" s="1" t="s">
        <v>93</v>
      </c>
      <c r="C897" s="1" t="s">
        <v>3154</v>
      </c>
      <c r="D897" s="2" t="s">
        <v>3155</v>
      </c>
      <c r="E897" s="1">
        <v>1.0</v>
      </c>
      <c r="I897" s="1">
        <v>0.0</v>
      </c>
      <c r="J897" s="1">
        <v>22.0</v>
      </c>
      <c r="L897" s="1">
        <v>2077101.0</v>
      </c>
      <c r="Q897" s="1" t="s">
        <v>3154</v>
      </c>
      <c r="R897" s="1" t="s">
        <v>97</v>
      </c>
      <c r="S897" s="1">
        <v>0.0</v>
      </c>
      <c r="T897" s="1">
        <v>3.0</v>
      </c>
      <c r="X897" s="1" t="s">
        <v>56</v>
      </c>
    </row>
    <row r="898">
      <c r="A898" s="3" t="str">
        <f>HYPERLINK("https://stackoverflow.com/q/57172673", "57172673")</f>
        <v>57172673</v>
      </c>
      <c r="B898" s="1" t="s">
        <v>93</v>
      </c>
      <c r="C898" s="1" t="s">
        <v>3156</v>
      </c>
      <c r="D898" s="2" t="s">
        <v>3157</v>
      </c>
      <c r="E898" s="1">
        <v>1.0</v>
      </c>
      <c r="F898" s="1">
        <v>5.7176411E7</v>
      </c>
      <c r="I898" s="1">
        <v>0.0</v>
      </c>
      <c r="J898" s="1">
        <v>57.0</v>
      </c>
      <c r="L898" s="1">
        <v>1.1428259E7</v>
      </c>
      <c r="Q898" s="1" t="s">
        <v>3158</v>
      </c>
      <c r="R898" s="1" t="s">
        <v>190</v>
      </c>
      <c r="S898" s="1">
        <v>1.0</v>
      </c>
      <c r="T898" s="1">
        <v>3.0</v>
      </c>
      <c r="X898" s="1" t="s">
        <v>56</v>
      </c>
      <c r="Z898" s="1" t="s">
        <v>3158</v>
      </c>
    </row>
    <row r="899">
      <c r="A899" s="3" t="str">
        <f>HYPERLINK("https://stackoverflow.com/q/57191507", "57191507")</f>
        <v>57191507</v>
      </c>
      <c r="B899" s="1" t="s">
        <v>93</v>
      </c>
      <c r="C899" s="1" t="s">
        <v>3159</v>
      </c>
      <c r="D899" s="2" t="s">
        <v>3160</v>
      </c>
      <c r="E899" s="1">
        <v>1.0</v>
      </c>
      <c r="I899" s="1">
        <v>0.0</v>
      </c>
      <c r="J899" s="1">
        <v>24.0</v>
      </c>
      <c r="L899" s="1">
        <v>5297307.0</v>
      </c>
      <c r="N899" s="1">
        <v>5297307.0</v>
      </c>
      <c r="P899" s="1" t="s">
        <v>3161</v>
      </c>
      <c r="Q899" s="1" t="s">
        <v>3161</v>
      </c>
      <c r="R899" s="1" t="s">
        <v>97</v>
      </c>
      <c r="S899" s="1">
        <v>0.0</v>
      </c>
      <c r="T899" s="1">
        <v>0.0</v>
      </c>
      <c r="X899" s="1" t="s">
        <v>56</v>
      </c>
    </row>
    <row r="900">
      <c r="A900" s="3" t="str">
        <f>HYPERLINK("https://stackoverflow.com/q/57193780", "57193780")</f>
        <v>57193780</v>
      </c>
      <c r="B900" s="1" t="s">
        <v>93</v>
      </c>
      <c r="C900" s="1" t="s">
        <v>3162</v>
      </c>
      <c r="D900" s="2" t="s">
        <v>3163</v>
      </c>
      <c r="E900" s="1">
        <v>1.0</v>
      </c>
      <c r="I900" s="1">
        <v>0.0</v>
      </c>
      <c r="J900" s="1">
        <v>25.0</v>
      </c>
      <c r="L900" s="1">
        <v>1.1833707E7</v>
      </c>
      <c r="Q900" s="1" t="s">
        <v>3162</v>
      </c>
      <c r="R900" s="1" t="s">
        <v>97</v>
      </c>
      <c r="S900" s="1">
        <v>0.0</v>
      </c>
      <c r="T900" s="1">
        <v>0.0</v>
      </c>
      <c r="X900" s="1" t="s">
        <v>56</v>
      </c>
    </row>
    <row r="901">
      <c r="A901" s="3" t="str">
        <f>HYPERLINK("https://stackoverflow.com/q/57205632", "57205632")</f>
        <v>57205632</v>
      </c>
      <c r="B901" s="1" t="s">
        <v>93</v>
      </c>
      <c r="C901" s="1" t="s">
        <v>3164</v>
      </c>
      <c r="D901" s="2" t="s">
        <v>3165</v>
      </c>
      <c r="E901" s="1">
        <v>1.0</v>
      </c>
      <c r="I901" s="1">
        <v>0.0</v>
      </c>
      <c r="J901" s="1">
        <v>32.0</v>
      </c>
      <c r="L901" s="1">
        <v>5297307.0</v>
      </c>
      <c r="Q901" s="1" t="s">
        <v>3166</v>
      </c>
      <c r="R901" s="1" t="s">
        <v>97</v>
      </c>
      <c r="S901" s="1">
        <v>1.0</v>
      </c>
      <c r="T901" s="1">
        <v>0.0</v>
      </c>
      <c r="X901" s="1" t="s">
        <v>56</v>
      </c>
    </row>
    <row r="902">
      <c r="A902" s="3" t="str">
        <f>HYPERLINK("https://stackoverflow.com/q/57207120", "57207120")</f>
        <v>57207120</v>
      </c>
      <c r="B902" s="1" t="s">
        <v>93</v>
      </c>
      <c r="C902" s="1" t="s">
        <v>3167</v>
      </c>
      <c r="D902" s="2" t="s">
        <v>3168</v>
      </c>
      <c r="E902" s="1">
        <v>1.0</v>
      </c>
      <c r="I902" s="1">
        <v>1.0</v>
      </c>
      <c r="J902" s="1">
        <v>67.0</v>
      </c>
      <c r="L902" s="1">
        <v>1.1837629E7</v>
      </c>
      <c r="Q902" s="1" t="s">
        <v>3169</v>
      </c>
      <c r="R902" s="1" t="s">
        <v>947</v>
      </c>
      <c r="S902" s="1">
        <v>1.0</v>
      </c>
      <c r="T902" s="1">
        <v>2.0</v>
      </c>
      <c r="X902" s="1" t="s">
        <v>56</v>
      </c>
    </row>
    <row r="903">
      <c r="A903" s="3" t="str">
        <f>HYPERLINK("https://stackoverflow.com/q/57212629", "57212629")</f>
        <v>57212629</v>
      </c>
      <c r="B903" s="1" t="s">
        <v>93</v>
      </c>
      <c r="C903" s="1" t="s">
        <v>3170</v>
      </c>
      <c r="D903" s="2" t="s">
        <v>3171</v>
      </c>
      <c r="E903" s="1">
        <v>1.0</v>
      </c>
      <c r="I903" s="1">
        <v>1.0</v>
      </c>
      <c r="J903" s="1">
        <v>41.0</v>
      </c>
      <c r="L903" s="1">
        <v>6747046.0</v>
      </c>
      <c r="Q903" s="1" t="s">
        <v>3172</v>
      </c>
      <c r="R903" s="1" t="s">
        <v>97</v>
      </c>
      <c r="S903" s="1">
        <v>1.0</v>
      </c>
      <c r="T903" s="1">
        <v>4.0</v>
      </c>
      <c r="X903" s="1" t="s">
        <v>56</v>
      </c>
    </row>
    <row r="904">
      <c r="A904" s="3" t="str">
        <f>HYPERLINK("https://stackoverflow.com/q/57225559", "57225559")</f>
        <v>57225559</v>
      </c>
      <c r="B904" s="1" t="s">
        <v>93</v>
      </c>
      <c r="C904" s="1" t="s">
        <v>3173</v>
      </c>
      <c r="D904" s="2" t="s">
        <v>3174</v>
      </c>
      <c r="E904" s="1">
        <v>1.0</v>
      </c>
      <c r="F904" s="1">
        <v>5.7261268E7</v>
      </c>
      <c r="I904" s="1">
        <v>0.0</v>
      </c>
      <c r="J904" s="1">
        <v>32.0</v>
      </c>
      <c r="L904" s="1">
        <v>5297307.0</v>
      </c>
      <c r="Q904" s="1" t="s">
        <v>3175</v>
      </c>
      <c r="R904" s="1" t="s">
        <v>97</v>
      </c>
      <c r="S904" s="1">
        <v>1.0</v>
      </c>
      <c r="T904" s="1">
        <v>0.0</v>
      </c>
      <c r="X904" s="1" t="s">
        <v>56</v>
      </c>
      <c r="Z904" s="1" t="s">
        <v>3175</v>
      </c>
    </row>
    <row r="905">
      <c r="A905" s="3" t="str">
        <f>HYPERLINK("https://stackoverflow.com/q/57228609", "57228609")</f>
        <v>57228609</v>
      </c>
      <c r="B905" s="1" t="s">
        <v>93</v>
      </c>
      <c r="C905" s="1" t="s">
        <v>3176</v>
      </c>
      <c r="D905" s="2" t="s">
        <v>3177</v>
      </c>
      <c r="E905" s="1">
        <v>1.0</v>
      </c>
      <c r="I905" s="1">
        <v>0.0</v>
      </c>
      <c r="J905" s="1">
        <v>19.0</v>
      </c>
      <c r="L905" s="1">
        <v>1.1826672E7</v>
      </c>
      <c r="Q905" s="1" t="s">
        <v>3176</v>
      </c>
      <c r="R905" s="1" t="s">
        <v>696</v>
      </c>
      <c r="S905" s="1">
        <v>0.0</v>
      </c>
      <c r="T905" s="1">
        <v>0.0</v>
      </c>
      <c r="X905" s="1" t="s">
        <v>56</v>
      </c>
    </row>
    <row r="906">
      <c r="A906" s="3" t="str">
        <f>HYPERLINK("https://stackoverflow.com/q/57233121", "57233121")</f>
        <v>57233121</v>
      </c>
      <c r="B906" s="1" t="s">
        <v>93</v>
      </c>
      <c r="C906" s="1" t="s">
        <v>3178</v>
      </c>
      <c r="D906" s="2" t="s">
        <v>3179</v>
      </c>
      <c r="E906" s="1">
        <v>1.0</v>
      </c>
      <c r="I906" s="1">
        <v>0.0</v>
      </c>
      <c r="J906" s="1">
        <v>108.0</v>
      </c>
      <c r="L906" s="1">
        <v>1.1826672E7</v>
      </c>
      <c r="Q906" s="1" t="s">
        <v>3180</v>
      </c>
      <c r="R906" s="1" t="s">
        <v>97</v>
      </c>
      <c r="S906" s="1">
        <v>1.0</v>
      </c>
      <c r="T906" s="1">
        <v>1.0</v>
      </c>
      <c r="X906" s="1" t="s">
        <v>56</v>
      </c>
    </row>
    <row r="907">
      <c r="A907" s="3" t="str">
        <f>HYPERLINK("https://stackoverflow.com/q/57250350", "57250350")</f>
        <v>57250350</v>
      </c>
      <c r="B907" s="1" t="s">
        <v>93</v>
      </c>
      <c r="C907" s="1" t="s">
        <v>3181</v>
      </c>
      <c r="D907" s="2" t="s">
        <v>3182</v>
      </c>
      <c r="E907" s="1">
        <v>1.0</v>
      </c>
      <c r="I907" s="1">
        <v>0.0</v>
      </c>
      <c r="J907" s="1">
        <v>18.0</v>
      </c>
      <c r="L907" s="1">
        <v>1.1851022E7</v>
      </c>
      <c r="N907" s="1">
        <v>8921064.0</v>
      </c>
      <c r="P907" s="1" t="s">
        <v>3183</v>
      </c>
      <c r="Q907" s="1" t="s">
        <v>3183</v>
      </c>
      <c r="R907" s="1" t="s">
        <v>97</v>
      </c>
      <c r="S907" s="1">
        <v>0.0</v>
      </c>
      <c r="T907" s="1">
        <v>1.0</v>
      </c>
      <c r="X907" s="1" t="s">
        <v>56</v>
      </c>
    </row>
    <row r="908">
      <c r="A908" s="3" t="str">
        <f>HYPERLINK("https://stackoverflow.com/q/57256084", "57256084")</f>
        <v>57256084</v>
      </c>
      <c r="B908" s="1" t="s">
        <v>93</v>
      </c>
      <c r="C908" s="1" t="s">
        <v>3184</v>
      </c>
      <c r="D908" s="2" t="s">
        <v>3185</v>
      </c>
      <c r="E908" s="1">
        <v>1.0</v>
      </c>
      <c r="I908" s="1">
        <v>0.0</v>
      </c>
      <c r="J908" s="1">
        <v>35.0</v>
      </c>
      <c r="L908" s="1">
        <v>1.1774159E7</v>
      </c>
      <c r="Q908" s="1" t="s">
        <v>3186</v>
      </c>
      <c r="R908" s="1" t="s">
        <v>3187</v>
      </c>
      <c r="S908" s="1">
        <v>1.0</v>
      </c>
      <c r="T908" s="1">
        <v>1.0</v>
      </c>
      <c r="X908" s="1" t="s">
        <v>56</v>
      </c>
    </row>
    <row r="909">
      <c r="A909" s="3" t="str">
        <f>HYPERLINK("https://stackoverflow.com/q/57261342", "57261342")</f>
        <v>57261342</v>
      </c>
      <c r="B909" s="1" t="s">
        <v>93</v>
      </c>
      <c r="C909" s="1" t="s">
        <v>3188</v>
      </c>
      <c r="D909" s="2" t="s">
        <v>3189</v>
      </c>
      <c r="E909" s="1">
        <v>1.0</v>
      </c>
      <c r="F909" s="1">
        <v>5.7298895E7</v>
      </c>
      <c r="I909" s="1">
        <v>1.0</v>
      </c>
      <c r="J909" s="1">
        <v>3809.0</v>
      </c>
      <c r="L909" s="1">
        <v>1.1594487E7</v>
      </c>
      <c r="Q909" s="1" t="s">
        <v>3190</v>
      </c>
      <c r="R909" s="1" t="s">
        <v>3191</v>
      </c>
      <c r="S909" s="1">
        <v>1.0</v>
      </c>
      <c r="T909" s="1">
        <v>2.0</v>
      </c>
      <c r="X909" s="1" t="s">
        <v>56</v>
      </c>
      <c r="Z909" s="1" t="s">
        <v>3190</v>
      </c>
    </row>
    <row r="910">
      <c r="A910" s="3" t="str">
        <f>HYPERLINK("https://stackoverflow.com/q/57262448", "57262448")</f>
        <v>57262448</v>
      </c>
      <c r="B910" s="1" t="s">
        <v>93</v>
      </c>
      <c r="C910" s="1" t="s">
        <v>3192</v>
      </c>
      <c r="D910" s="2" t="s">
        <v>3193</v>
      </c>
      <c r="E910" s="1">
        <v>1.0</v>
      </c>
      <c r="I910" s="1">
        <v>0.0</v>
      </c>
      <c r="J910" s="1">
        <v>26.0</v>
      </c>
      <c r="L910" s="1">
        <v>5297307.0</v>
      </c>
      <c r="Q910" s="1" t="s">
        <v>3192</v>
      </c>
      <c r="R910" s="1" t="s">
        <v>97</v>
      </c>
      <c r="S910" s="1">
        <v>0.0</v>
      </c>
      <c r="T910" s="1">
        <v>2.0</v>
      </c>
      <c r="X910" s="1" t="s">
        <v>56</v>
      </c>
    </row>
    <row r="911">
      <c r="A911" s="3" t="str">
        <f>HYPERLINK("https://stackoverflow.com/q/57264711", "57264711")</f>
        <v>57264711</v>
      </c>
      <c r="B911" s="1" t="s">
        <v>93</v>
      </c>
      <c r="C911" s="1" t="s">
        <v>3194</v>
      </c>
      <c r="D911" s="2" t="s">
        <v>3195</v>
      </c>
      <c r="E911" s="1">
        <v>1.0</v>
      </c>
      <c r="I911" s="1">
        <v>0.0</v>
      </c>
      <c r="J911" s="1">
        <v>36.0</v>
      </c>
      <c r="L911" s="1">
        <v>6747046.0</v>
      </c>
      <c r="Q911" s="1" t="s">
        <v>3196</v>
      </c>
      <c r="R911" s="1" t="s">
        <v>97</v>
      </c>
      <c r="S911" s="1">
        <v>1.0</v>
      </c>
      <c r="T911" s="1">
        <v>0.0</v>
      </c>
      <c r="X911" s="1" t="s">
        <v>56</v>
      </c>
    </row>
    <row r="912">
      <c r="A912" s="3" t="str">
        <f>HYPERLINK("https://stackoverflow.com/q/57271657", "57271657")</f>
        <v>57271657</v>
      </c>
      <c r="B912" s="1" t="s">
        <v>93</v>
      </c>
      <c r="C912" s="1" t="s">
        <v>3197</v>
      </c>
      <c r="D912" s="2" t="s">
        <v>3198</v>
      </c>
      <c r="E912" s="1">
        <v>1.0</v>
      </c>
      <c r="I912" s="1">
        <v>2.0</v>
      </c>
      <c r="J912" s="1">
        <v>120.0</v>
      </c>
      <c r="L912" s="1">
        <v>5998879.0</v>
      </c>
      <c r="Q912" s="1" t="s">
        <v>3197</v>
      </c>
      <c r="R912" s="1" t="s">
        <v>190</v>
      </c>
      <c r="S912" s="1">
        <v>0.0</v>
      </c>
      <c r="T912" s="1">
        <v>3.0</v>
      </c>
      <c r="X912" s="1" t="s">
        <v>56</v>
      </c>
    </row>
    <row r="913">
      <c r="A913" s="3" t="str">
        <f>HYPERLINK("https://stackoverflow.com/q/57289721", "57289721")</f>
        <v>57289721</v>
      </c>
      <c r="B913" s="1" t="s">
        <v>93</v>
      </c>
      <c r="C913" s="1" t="s">
        <v>3199</v>
      </c>
      <c r="D913" s="2" t="s">
        <v>3200</v>
      </c>
      <c r="E913" s="1">
        <v>1.0</v>
      </c>
      <c r="F913" s="1">
        <v>5.7289827E7</v>
      </c>
      <c r="I913" s="1">
        <v>1.0</v>
      </c>
      <c r="J913" s="1">
        <v>133.0</v>
      </c>
      <c r="L913" s="1">
        <v>1.1625554E7</v>
      </c>
      <c r="Q913" s="1" t="s">
        <v>3201</v>
      </c>
      <c r="R913" s="1" t="s">
        <v>516</v>
      </c>
      <c r="S913" s="1">
        <v>1.0</v>
      </c>
      <c r="T913" s="1">
        <v>0.0</v>
      </c>
      <c r="X913" s="1" t="s">
        <v>56</v>
      </c>
      <c r="Z913" s="1" t="s">
        <v>3201</v>
      </c>
    </row>
    <row r="914">
      <c r="A914" s="3" t="str">
        <f>HYPERLINK("https://stackoverflow.com/q/57293755", "57293755")</f>
        <v>57293755</v>
      </c>
      <c r="B914" s="1" t="s">
        <v>93</v>
      </c>
      <c r="C914" s="1" t="s">
        <v>3202</v>
      </c>
      <c r="D914" s="2" t="s">
        <v>3203</v>
      </c>
      <c r="E914" s="1">
        <v>1.0</v>
      </c>
      <c r="I914" s="1">
        <v>1.0</v>
      </c>
      <c r="J914" s="1">
        <v>122.0</v>
      </c>
      <c r="L914" s="1">
        <v>1.1770778E7</v>
      </c>
      <c r="Q914" s="1" t="s">
        <v>3204</v>
      </c>
      <c r="R914" s="1" t="s">
        <v>97</v>
      </c>
      <c r="S914" s="1">
        <v>1.0</v>
      </c>
      <c r="T914" s="1">
        <v>2.0</v>
      </c>
      <c r="X914" s="1" t="s">
        <v>56</v>
      </c>
    </row>
    <row r="915">
      <c r="A915" s="3" t="str">
        <f>HYPERLINK("https://stackoverflow.com/q/57310081", "57310081")</f>
        <v>57310081</v>
      </c>
      <c r="B915" s="1" t="s">
        <v>93</v>
      </c>
      <c r="C915" s="1" t="s">
        <v>3205</v>
      </c>
      <c r="D915" s="2" t="s">
        <v>3206</v>
      </c>
      <c r="E915" s="1">
        <v>1.0</v>
      </c>
      <c r="I915" s="1">
        <v>0.0</v>
      </c>
      <c r="J915" s="1">
        <v>129.0</v>
      </c>
      <c r="L915" s="1">
        <v>1.1197483E7</v>
      </c>
      <c r="N915" s="1">
        <v>1.1197483E7</v>
      </c>
      <c r="P915" s="1" t="s">
        <v>3207</v>
      </c>
      <c r="Q915" s="1" t="s">
        <v>3207</v>
      </c>
      <c r="R915" s="1" t="s">
        <v>3208</v>
      </c>
      <c r="S915" s="1">
        <v>2.0</v>
      </c>
      <c r="T915" s="1">
        <v>0.0</v>
      </c>
      <c r="X915" s="1" t="s">
        <v>56</v>
      </c>
    </row>
    <row r="916">
      <c r="A916" s="3" t="str">
        <f>HYPERLINK("https://stackoverflow.com/q/57312847", "57312847")</f>
        <v>57312847</v>
      </c>
      <c r="B916" s="1" t="s">
        <v>93</v>
      </c>
      <c r="C916" s="1" t="s">
        <v>3209</v>
      </c>
      <c r="D916" s="2" t="s">
        <v>3210</v>
      </c>
      <c r="E916" s="1">
        <v>1.0</v>
      </c>
      <c r="I916" s="1">
        <v>1.0</v>
      </c>
      <c r="J916" s="1">
        <v>27.0</v>
      </c>
      <c r="L916" s="1">
        <v>1.1870187E7</v>
      </c>
      <c r="Q916" s="1" t="s">
        <v>3209</v>
      </c>
      <c r="R916" s="1" t="s">
        <v>97</v>
      </c>
      <c r="S916" s="1">
        <v>0.0</v>
      </c>
      <c r="T916" s="1">
        <v>0.0</v>
      </c>
      <c r="X916" s="1" t="s">
        <v>56</v>
      </c>
    </row>
    <row r="917">
      <c r="A917" s="3" t="str">
        <f>HYPERLINK("https://stackoverflow.com/q/57315003", "57315003")</f>
        <v>57315003</v>
      </c>
      <c r="B917" s="1" t="s">
        <v>93</v>
      </c>
      <c r="C917" s="1" t="s">
        <v>3211</v>
      </c>
      <c r="D917" s="2" t="s">
        <v>3212</v>
      </c>
      <c r="E917" s="1">
        <v>1.0</v>
      </c>
      <c r="I917" s="1">
        <v>0.0</v>
      </c>
      <c r="J917" s="1">
        <v>49.0</v>
      </c>
      <c r="L917" s="1">
        <v>1.12283E7</v>
      </c>
      <c r="N917" s="1">
        <v>1.12283E7</v>
      </c>
      <c r="P917" s="1" t="s">
        <v>3213</v>
      </c>
      <c r="Q917" s="1" t="s">
        <v>3213</v>
      </c>
      <c r="R917" s="1" t="s">
        <v>3214</v>
      </c>
      <c r="S917" s="1">
        <v>0.0</v>
      </c>
      <c r="T917" s="1">
        <v>1.0</v>
      </c>
      <c r="X917" s="1" t="s">
        <v>56</v>
      </c>
    </row>
    <row r="918">
      <c r="A918" s="3" t="str">
        <f>HYPERLINK("https://stackoverflow.com/q/57316318", "57316318")</f>
        <v>57316318</v>
      </c>
      <c r="B918" s="1" t="s">
        <v>93</v>
      </c>
      <c r="C918" s="1" t="s">
        <v>3215</v>
      </c>
      <c r="D918" s="2" t="s">
        <v>3216</v>
      </c>
      <c r="E918" s="1">
        <v>1.0</v>
      </c>
      <c r="F918" s="1">
        <v>5.7317793E7</v>
      </c>
      <c r="I918" s="1">
        <v>1.0</v>
      </c>
      <c r="J918" s="1">
        <v>37.0</v>
      </c>
      <c r="L918" s="1">
        <v>1.187113E7</v>
      </c>
      <c r="Q918" s="1" t="s">
        <v>3217</v>
      </c>
      <c r="R918" s="1" t="s">
        <v>97</v>
      </c>
      <c r="S918" s="1">
        <v>1.0</v>
      </c>
      <c r="T918" s="1">
        <v>0.0</v>
      </c>
      <c r="X918" s="1" t="s">
        <v>56</v>
      </c>
      <c r="Z918" s="1" t="s">
        <v>3217</v>
      </c>
    </row>
    <row r="919">
      <c r="A919" s="3" t="str">
        <f>HYPERLINK("https://stackoverflow.com/q/57325266", "57325266")</f>
        <v>57325266</v>
      </c>
      <c r="B919" s="1" t="s">
        <v>93</v>
      </c>
      <c r="C919" s="1" t="s">
        <v>3218</v>
      </c>
      <c r="D919" s="2" t="s">
        <v>3219</v>
      </c>
      <c r="E919" s="1">
        <v>1.0</v>
      </c>
      <c r="F919" s="1">
        <v>5.7328346E7</v>
      </c>
      <c r="I919" s="1">
        <v>1.0</v>
      </c>
      <c r="J919" s="1">
        <v>86.0</v>
      </c>
      <c r="L919" s="1">
        <v>1.1625554E7</v>
      </c>
      <c r="Q919" s="1" t="s">
        <v>3220</v>
      </c>
      <c r="R919" s="1" t="s">
        <v>97</v>
      </c>
      <c r="S919" s="1">
        <v>1.0</v>
      </c>
      <c r="T919" s="1">
        <v>0.0</v>
      </c>
      <c r="X919" s="1" t="s">
        <v>56</v>
      </c>
      <c r="Z919" s="1" t="s">
        <v>3220</v>
      </c>
    </row>
    <row r="920">
      <c r="A920" s="3" t="str">
        <f>HYPERLINK("https://stackoverflow.com/q/57355228", "57355228")</f>
        <v>57355228</v>
      </c>
      <c r="B920" s="1" t="s">
        <v>93</v>
      </c>
      <c r="C920" s="1" t="s">
        <v>3221</v>
      </c>
      <c r="D920" s="2" t="s">
        <v>3222</v>
      </c>
      <c r="E920" s="1">
        <v>1.0</v>
      </c>
      <c r="I920" s="1">
        <v>0.0</v>
      </c>
      <c r="J920" s="1">
        <v>51.0</v>
      </c>
      <c r="L920" s="1">
        <v>6747046.0</v>
      </c>
      <c r="Q920" s="1" t="s">
        <v>3223</v>
      </c>
      <c r="R920" s="1" t="s">
        <v>97</v>
      </c>
      <c r="S920" s="1">
        <v>2.0</v>
      </c>
      <c r="T920" s="1">
        <v>1.0</v>
      </c>
      <c r="X920" s="1" t="s">
        <v>56</v>
      </c>
    </row>
    <row r="921">
      <c r="A921" s="3" t="str">
        <f>HYPERLINK("https://stackoverflow.com/q/57359844", "57359844")</f>
        <v>57359844</v>
      </c>
      <c r="B921" s="1" t="s">
        <v>93</v>
      </c>
      <c r="C921" s="1" t="s">
        <v>3224</v>
      </c>
      <c r="D921" s="2" t="s">
        <v>3225</v>
      </c>
      <c r="E921" s="1">
        <v>1.0</v>
      </c>
      <c r="F921" s="1">
        <v>5.7360208E7</v>
      </c>
      <c r="I921" s="1">
        <v>0.0</v>
      </c>
      <c r="J921" s="1">
        <v>76.0</v>
      </c>
      <c r="L921" s="1">
        <v>1.1884663E7</v>
      </c>
      <c r="N921" s="1">
        <v>1.1884663E7</v>
      </c>
      <c r="P921" s="1" t="s">
        <v>3226</v>
      </c>
      <c r="Q921" s="1" t="s">
        <v>3226</v>
      </c>
      <c r="R921" s="1" t="s">
        <v>3227</v>
      </c>
      <c r="S921" s="1">
        <v>1.0</v>
      </c>
      <c r="T921" s="1">
        <v>0.0</v>
      </c>
      <c r="X921" s="1" t="s">
        <v>56</v>
      </c>
      <c r="Z921" s="1" t="s">
        <v>3228</v>
      </c>
    </row>
    <row r="922">
      <c r="A922" s="3" t="str">
        <f>HYPERLINK("https://stackoverflow.com/q/57363284", "57363284")</f>
        <v>57363284</v>
      </c>
      <c r="B922" s="1" t="s">
        <v>93</v>
      </c>
      <c r="C922" s="1" t="s">
        <v>3229</v>
      </c>
      <c r="D922" s="2" t="s">
        <v>3230</v>
      </c>
      <c r="E922" s="1">
        <v>1.0</v>
      </c>
      <c r="I922" s="1">
        <v>0.0</v>
      </c>
      <c r="J922" s="1">
        <v>38.0</v>
      </c>
      <c r="L922" s="1">
        <v>5297307.0</v>
      </c>
      <c r="Q922" s="1" t="s">
        <v>3231</v>
      </c>
      <c r="R922" s="1" t="s">
        <v>97</v>
      </c>
      <c r="S922" s="1">
        <v>1.0</v>
      </c>
      <c r="T922" s="1">
        <v>5.0</v>
      </c>
      <c r="X922" s="1" t="s">
        <v>56</v>
      </c>
    </row>
    <row r="923">
      <c r="A923" s="3" t="str">
        <f>HYPERLINK("https://stackoverflow.com/q/57366982", "57366982")</f>
        <v>57366982</v>
      </c>
      <c r="B923" s="1" t="s">
        <v>93</v>
      </c>
      <c r="C923" s="1" t="s">
        <v>3232</v>
      </c>
      <c r="D923" s="2" t="s">
        <v>3233</v>
      </c>
      <c r="E923" s="1">
        <v>1.0</v>
      </c>
      <c r="F923" s="1">
        <v>5.7368305E7</v>
      </c>
      <c r="I923" s="1">
        <v>1.0</v>
      </c>
      <c r="J923" s="1">
        <v>66.0</v>
      </c>
      <c r="L923" s="1">
        <v>1.1886675E7</v>
      </c>
      <c r="N923" s="1">
        <v>1.1886675E7</v>
      </c>
      <c r="P923" s="1" t="s">
        <v>3234</v>
      </c>
      <c r="Q923" s="1" t="s">
        <v>3234</v>
      </c>
      <c r="R923" s="1" t="s">
        <v>97</v>
      </c>
      <c r="S923" s="1">
        <v>1.0</v>
      </c>
      <c r="T923" s="1">
        <v>5.0</v>
      </c>
      <c r="X923" s="1" t="s">
        <v>56</v>
      </c>
      <c r="Z923" s="1" t="s">
        <v>3235</v>
      </c>
    </row>
    <row r="924">
      <c r="A924" s="3" t="str">
        <f>HYPERLINK("https://stackoverflow.com/q/57382016", "57382016")</f>
        <v>57382016</v>
      </c>
      <c r="B924" s="1" t="s">
        <v>93</v>
      </c>
      <c r="C924" s="1" t="s">
        <v>3236</v>
      </c>
      <c r="D924" s="2" t="s">
        <v>3237</v>
      </c>
      <c r="E924" s="1">
        <v>1.0</v>
      </c>
      <c r="I924" s="1">
        <v>0.0</v>
      </c>
      <c r="J924" s="1">
        <v>31.0</v>
      </c>
      <c r="L924" s="1">
        <v>1.0553698E7</v>
      </c>
      <c r="N924" s="1">
        <v>1.0553698E7</v>
      </c>
      <c r="P924" s="1" t="s">
        <v>3238</v>
      </c>
      <c r="Q924" s="1" t="s">
        <v>3238</v>
      </c>
      <c r="R924" s="1" t="s">
        <v>3239</v>
      </c>
      <c r="S924" s="1">
        <v>0.0</v>
      </c>
      <c r="T924" s="1">
        <v>12.0</v>
      </c>
      <c r="X924" s="1" t="s">
        <v>56</v>
      </c>
    </row>
    <row r="925">
      <c r="A925" s="3" t="str">
        <f>HYPERLINK("https://stackoverflow.com/q/57398849", "57398849")</f>
        <v>57398849</v>
      </c>
      <c r="B925" s="1" t="s">
        <v>93</v>
      </c>
      <c r="C925" s="1" t="s">
        <v>3240</v>
      </c>
      <c r="D925" s="2" t="s">
        <v>3241</v>
      </c>
      <c r="E925" s="1">
        <v>1.0</v>
      </c>
      <c r="I925" s="1">
        <v>0.0</v>
      </c>
      <c r="J925" s="1">
        <v>61.0</v>
      </c>
      <c r="L925" s="1">
        <v>1.0553698E7</v>
      </c>
      <c r="N925" s="1">
        <v>1.0553698E7</v>
      </c>
      <c r="P925" s="1" t="s">
        <v>3242</v>
      </c>
      <c r="Q925" s="1" t="s">
        <v>3242</v>
      </c>
      <c r="R925" s="1" t="s">
        <v>3243</v>
      </c>
      <c r="S925" s="1">
        <v>0.0</v>
      </c>
      <c r="T925" s="1">
        <v>4.0</v>
      </c>
      <c r="X925" s="1" t="s">
        <v>56</v>
      </c>
    </row>
    <row r="926">
      <c r="A926" s="3" t="str">
        <f>HYPERLINK("https://stackoverflow.com/q/57404280", "57404280")</f>
        <v>57404280</v>
      </c>
      <c r="B926" s="1" t="s">
        <v>93</v>
      </c>
      <c r="C926" s="1" t="s">
        <v>3244</v>
      </c>
      <c r="D926" s="2" t="s">
        <v>3245</v>
      </c>
      <c r="E926" s="1">
        <v>1.0</v>
      </c>
      <c r="I926" s="1">
        <v>1.0</v>
      </c>
      <c r="J926" s="1">
        <v>77.0</v>
      </c>
      <c r="L926" s="1">
        <v>1.1893732E7</v>
      </c>
      <c r="N926" s="1">
        <v>1.1893732E7</v>
      </c>
      <c r="P926" s="1" t="s">
        <v>3246</v>
      </c>
      <c r="Q926" s="1" t="s">
        <v>3247</v>
      </c>
      <c r="R926" s="1" t="s">
        <v>190</v>
      </c>
      <c r="S926" s="1">
        <v>1.0</v>
      </c>
      <c r="T926" s="1">
        <v>0.0</v>
      </c>
      <c r="U926" s="1">
        <v>1.0</v>
      </c>
      <c r="X926" s="1" t="s">
        <v>56</v>
      </c>
    </row>
    <row r="927">
      <c r="A927" s="3" t="str">
        <f>HYPERLINK("https://stackoverflow.com/q/57416596", "57416596")</f>
        <v>57416596</v>
      </c>
      <c r="B927" s="1" t="s">
        <v>93</v>
      </c>
      <c r="C927" s="1" t="s">
        <v>3248</v>
      </c>
      <c r="D927" s="2" t="s">
        <v>3249</v>
      </c>
      <c r="E927" s="1">
        <v>1.0</v>
      </c>
      <c r="I927" s="1">
        <v>1.0</v>
      </c>
      <c r="J927" s="1">
        <v>72.0</v>
      </c>
      <c r="L927" s="1">
        <v>896880.0</v>
      </c>
      <c r="N927" s="1">
        <v>896880.0</v>
      </c>
      <c r="P927" s="1" t="s">
        <v>3250</v>
      </c>
      <c r="Q927" s="1" t="s">
        <v>3250</v>
      </c>
      <c r="R927" s="1" t="s">
        <v>97</v>
      </c>
      <c r="S927" s="1">
        <v>1.0</v>
      </c>
      <c r="T927" s="1">
        <v>0.0</v>
      </c>
      <c r="U927" s="1">
        <v>0.0</v>
      </c>
      <c r="X927" s="1" t="s">
        <v>56</v>
      </c>
    </row>
    <row r="928">
      <c r="A928" s="3" t="str">
        <f>HYPERLINK("https://stackoverflow.com/q/57417867", "57417867")</f>
        <v>57417867</v>
      </c>
      <c r="B928" s="1" t="s">
        <v>93</v>
      </c>
      <c r="C928" s="1" t="s">
        <v>3251</v>
      </c>
      <c r="D928" s="2" t="s">
        <v>3252</v>
      </c>
      <c r="E928" s="1">
        <v>1.0</v>
      </c>
      <c r="F928" s="1">
        <v>5.7417916E7</v>
      </c>
      <c r="I928" s="1">
        <v>0.0</v>
      </c>
      <c r="J928" s="1">
        <v>25.0</v>
      </c>
      <c r="L928" s="1">
        <v>1.1886675E7</v>
      </c>
      <c r="Q928" s="1" t="s">
        <v>3253</v>
      </c>
      <c r="R928" s="1" t="s">
        <v>97</v>
      </c>
      <c r="S928" s="1">
        <v>1.0</v>
      </c>
      <c r="T928" s="1">
        <v>0.0</v>
      </c>
      <c r="X928" s="1" t="s">
        <v>56</v>
      </c>
      <c r="Z928" s="1" t="s">
        <v>3253</v>
      </c>
    </row>
    <row r="929">
      <c r="A929" s="3" t="str">
        <f>HYPERLINK("https://stackoverflow.com/q/57419147", "57419147")</f>
        <v>57419147</v>
      </c>
      <c r="B929" s="1" t="s">
        <v>93</v>
      </c>
      <c r="C929" s="1" t="s">
        <v>3254</v>
      </c>
      <c r="D929" s="2" t="s">
        <v>3255</v>
      </c>
      <c r="E929" s="1">
        <v>1.0</v>
      </c>
      <c r="I929" s="1">
        <v>0.0</v>
      </c>
      <c r="J929" s="1">
        <v>47.0</v>
      </c>
      <c r="L929" s="1">
        <v>1.1886675E7</v>
      </c>
      <c r="Q929" s="1" t="s">
        <v>3254</v>
      </c>
      <c r="R929" s="1" t="s">
        <v>97</v>
      </c>
      <c r="S929" s="1">
        <v>0.0</v>
      </c>
      <c r="T929" s="1">
        <v>0.0</v>
      </c>
      <c r="X929" s="1" t="s">
        <v>56</v>
      </c>
    </row>
    <row r="930">
      <c r="A930" s="3" t="str">
        <f>HYPERLINK("https://stackoverflow.com/q/57420814", "57420814")</f>
        <v>57420814</v>
      </c>
      <c r="B930" s="1" t="s">
        <v>93</v>
      </c>
      <c r="C930" s="1" t="s">
        <v>3256</v>
      </c>
      <c r="D930" s="2" t="s">
        <v>3257</v>
      </c>
      <c r="E930" s="1">
        <v>1.0</v>
      </c>
      <c r="I930" s="1">
        <v>0.0</v>
      </c>
      <c r="J930" s="1">
        <v>17.0</v>
      </c>
      <c r="L930" s="1">
        <v>5297307.0</v>
      </c>
      <c r="Q930" s="1" t="s">
        <v>3256</v>
      </c>
      <c r="R930" s="1" t="s">
        <v>97</v>
      </c>
      <c r="S930" s="1">
        <v>0.0</v>
      </c>
      <c r="T930" s="1">
        <v>5.0</v>
      </c>
      <c r="X930" s="1" t="s">
        <v>56</v>
      </c>
    </row>
    <row r="931">
      <c r="A931" s="3" t="str">
        <f>HYPERLINK("https://stackoverflow.com/q/57422643", "57422643")</f>
        <v>57422643</v>
      </c>
      <c r="B931" s="1" t="s">
        <v>93</v>
      </c>
      <c r="C931" s="1" t="s">
        <v>3258</v>
      </c>
      <c r="D931" s="2" t="s">
        <v>3259</v>
      </c>
      <c r="E931" s="1">
        <v>1.0</v>
      </c>
      <c r="I931" s="1">
        <v>0.0</v>
      </c>
      <c r="J931" s="1">
        <v>46.0</v>
      </c>
      <c r="L931" s="1">
        <v>1.0041042E7</v>
      </c>
      <c r="Q931" s="1" t="s">
        <v>3258</v>
      </c>
      <c r="R931" s="1" t="s">
        <v>97</v>
      </c>
      <c r="S931" s="1">
        <v>0.0</v>
      </c>
      <c r="T931" s="1">
        <v>0.0</v>
      </c>
      <c r="X931" s="1" t="s">
        <v>56</v>
      </c>
    </row>
    <row r="932">
      <c r="A932" s="3" t="str">
        <f>HYPERLINK("https://stackoverflow.com/q/57425460", "57425460")</f>
        <v>57425460</v>
      </c>
      <c r="B932" s="1" t="s">
        <v>93</v>
      </c>
      <c r="C932" s="1" t="s">
        <v>3260</v>
      </c>
      <c r="D932" s="2" t="s">
        <v>3261</v>
      </c>
      <c r="E932" s="1">
        <v>1.0</v>
      </c>
      <c r="F932" s="1">
        <v>5.7478912E7</v>
      </c>
      <c r="I932" s="1">
        <v>0.0</v>
      </c>
      <c r="J932" s="1">
        <v>87.0</v>
      </c>
      <c r="L932" s="1">
        <v>1.1851022E7</v>
      </c>
      <c r="N932" s="1">
        <v>1.2892553E7</v>
      </c>
      <c r="P932" s="1" t="s">
        <v>3262</v>
      </c>
      <c r="Q932" s="1" t="s">
        <v>3262</v>
      </c>
      <c r="R932" s="1" t="s">
        <v>97</v>
      </c>
      <c r="S932" s="1">
        <v>1.0</v>
      </c>
      <c r="T932" s="1">
        <v>4.0</v>
      </c>
      <c r="X932" s="1" t="s">
        <v>56</v>
      </c>
      <c r="Z932" s="1" t="s">
        <v>3263</v>
      </c>
    </row>
    <row r="933">
      <c r="A933" s="3" t="str">
        <f>HYPERLINK("https://stackoverflow.com/q/57430121", "57430121")</f>
        <v>57430121</v>
      </c>
      <c r="B933" s="1" t="s">
        <v>93</v>
      </c>
      <c r="C933" s="1" t="s">
        <v>3264</v>
      </c>
      <c r="D933" s="2" t="s">
        <v>3265</v>
      </c>
      <c r="E933" s="1">
        <v>1.0</v>
      </c>
      <c r="I933" s="1">
        <v>0.0</v>
      </c>
      <c r="J933" s="1">
        <v>67.0</v>
      </c>
      <c r="L933" s="1">
        <v>2561849.0</v>
      </c>
      <c r="Q933" s="1" t="s">
        <v>3266</v>
      </c>
      <c r="R933" s="1" t="s">
        <v>502</v>
      </c>
      <c r="S933" s="1">
        <v>1.0</v>
      </c>
      <c r="T933" s="1">
        <v>2.0</v>
      </c>
      <c r="X933" s="1" t="s">
        <v>56</v>
      </c>
    </row>
    <row r="934">
      <c r="A934" s="3" t="str">
        <f>HYPERLINK("https://stackoverflow.com/q/57436043", "57436043")</f>
        <v>57436043</v>
      </c>
      <c r="B934" s="1" t="s">
        <v>93</v>
      </c>
      <c r="C934" s="1" t="s">
        <v>3267</v>
      </c>
      <c r="D934" s="2" t="s">
        <v>3268</v>
      </c>
      <c r="E934" s="1">
        <v>1.0</v>
      </c>
      <c r="F934" s="1">
        <v>5.7465625E7</v>
      </c>
      <c r="I934" s="1">
        <v>0.0</v>
      </c>
      <c r="J934" s="1">
        <v>51.0</v>
      </c>
      <c r="L934" s="1">
        <v>1.1886675E7</v>
      </c>
      <c r="Q934" s="1" t="s">
        <v>3269</v>
      </c>
      <c r="R934" s="1" t="s">
        <v>97</v>
      </c>
      <c r="S934" s="1">
        <v>1.0</v>
      </c>
      <c r="T934" s="1">
        <v>0.0</v>
      </c>
      <c r="X934" s="1" t="s">
        <v>56</v>
      </c>
      <c r="Z934" s="1" t="s">
        <v>3270</v>
      </c>
    </row>
    <row r="935">
      <c r="A935" s="3" t="str">
        <f>HYPERLINK("https://stackoverflow.com/q/57461595", "57461595")</f>
        <v>57461595</v>
      </c>
      <c r="B935" s="1" t="s">
        <v>93</v>
      </c>
      <c r="C935" s="1" t="s">
        <v>3271</v>
      </c>
      <c r="D935" s="2" t="s">
        <v>3272</v>
      </c>
      <c r="E935" s="1">
        <v>1.0</v>
      </c>
      <c r="I935" s="1">
        <v>0.0</v>
      </c>
      <c r="J935" s="1">
        <v>73.0</v>
      </c>
      <c r="L935" s="1">
        <v>1.191772E7</v>
      </c>
      <c r="Q935" s="1" t="s">
        <v>3273</v>
      </c>
      <c r="R935" s="1" t="s">
        <v>97</v>
      </c>
      <c r="S935" s="1">
        <v>1.0</v>
      </c>
      <c r="T935" s="1">
        <v>1.0</v>
      </c>
      <c r="X935" s="1" t="s">
        <v>56</v>
      </c>
    </row>
    <row r="936">
      <c r="A936" s="3" t="str">
        <f>HYPERLINK("https://stackoverflow.com/q/57477390", "57477390")</f>
        <v>57477390</v>
      </c>
      <c r="B936" s="1" t="s">
        <v>93</v>
      </c>
      <c r="C936" s="1" t="s">
        <v>3274</v>
      </c>
      <c r="D936" s="2" t="s">
        <v>3275</v>
      </c>
      <c r="E936" s="1">
        <v>1.0</v>
      </c>
      <c r="I936" s="1">
        <v>0.0</v>
      </c>
      <c r="J936" s="1">
        <v>96.0</v>
      </c>
      <c r="L936" s="1">
        <v>8253068.0</v>
      </c>
      <c r="N936" s="1">
        <v>8253068.0</v>
      </c>
      <c r="P936" s="1" t="s">
        <v>3276</v>
      </c>
      <c r="Q936" s="1" t="s">
        <v>3276</v>
      </c>
      <c r="R936" s="1" t="s">
        <v>97</v>
      </c>
      <c r="S936" s="1">
        <v>0.0</v>
      </c>
      <c r="T936" s="1">
        <v>5.0</v>
      </c>
      <c r="X936" s="1" t="s">
        <v>56</v>
      </c>
    </row>
    <row r="937">
      <c r="A937" s="3" t="str">
        <f>HYPERLINK("https://stackoverflow.com/q/57482737", "57482737")</f>
        <v>57482737</v>
      </c>
      <c r="B937" s="1" t="s">
        <v>93</v>
      </c>
      <c r="C937" s="1" t="s">
        <v>3277</v>
      </c>
      <c r="D937" s="2" t="s">
        <v>3278</v>
      </c>
      <c r="E937" s="1">
        <v>1.0</v>
      </c>
      <c r="I937" s="1">
        <v>2.0</v>
      </c>
      <c r="J937" s="1">
        <v>59.0</v>
      </c>
      <c r="L937" s="1">
        <v>1.1770778E7</v>
      </c>
      <c r="Q937" s="1" t="s">
        <v>3277</v>
      </c>
      <c r="R937" s="1" t="s">
        <v>97</v>
      </c>
      <c r="S937" s="1">
        <v>0.0</v>
      </c>
      <c r="T937" s="1">
        <v>2.0</v>
      </c>
      <c r="U937" s="1">
        <v>1.0</v>
      </c>
      <c r="X937" s="1" t="s">
        <v>56</v>
      </c>
    </row>
    <row r="938">
      <c r="A938" s="3" t="str">
        <f>HYPERLINK("https://stackoverflow.com/q/57483160", "57483160")</f>
        <v>57483160</v>
      </c>
      <c r="B938" s="1" t="s">
        <v>93</v>
      </c>
      <c r="C938" s="1" t="s">
        <v>3279</v>
      </c>
      <c r="D938" s="2" t="s">
        <v>3280</v>
      </c>
      <c r="E938" s="1">
        <v>1.0</v>
      </c>
      <c r="F938" s="1">
        <v>5.7486416E7</v>
      </c>
      <c r="I938" s="1">
        <v>0.0</v>
      </c>
      <c r="J938" s="1">
        <v>93.0</v>
      </c>
      <c r="L938" s="1">
        <v>1.1197483E7</v>
      </c>
      <c r="Q938" s="1" t="s">
        <v>3281</v>
      </c>
      <c r="R938" s="1" t="s">
        <v>97</v>
      </c>
      <c r="S938" s="1">
        <v>2.0</v>
      </c>
      <c r="T938" s="1">
        <v>1.0</v>
      </c>
      <c r="X938" s="1" t="s">
        <v>56</v>
      </c>
      <c r="Z938" s="1" t="s">
        <v>3281</v>
      </c>
    </row>
    <row r="939">
      <c r="A939" s="3" t="str">
        <f>HYPERLINK("https://stackoverflow.com/q/57494649", "57494649")</f>
        <v>57494649</v>
      </c>
      <c r="B939" s="1" t="s">
        <v>93</v>
      </c>
      <c r="C939" s="1" t="s">
        <v>3282</v>
      </c>
      <c r="D939" s="2" t="s">
        <v>3283</v>
      </c>
      <c r="E939" s="1">
        <v>1.0</v>
      </c>
      <c r="F939" s="1">
        <v>5.7497989E7</v>
      </c>
      <c r="I939" s="1">
        <v>0.0</v>
      </c>
      <c r="J939" s="1">
        <v>252.0</v>
      </c>
      <c r="L939" s="1">
        <v>1359863.0</v>
      </c>
      <c r="N939" s="1">
        <v>1359863.0</v>
      </c>
      <c r="P939" s="1" t="s">
        <v>3284</v>
      </c>
      <c r="Q939" s="1" t="s">
        <v>3285</v>
      </c>
      <c r="R939" s="1" t="s">
        <v>3286</v>
      </c>
      <c r="S939" s="1">
        <v>1.0</v>
      </c>
      <c r="T939" s="1">
        <v>0.0</v>
      </c>
      <c r="X939" s="1" t="s">
        <v>56</v>
      </c>
      <c r="Z939" s="1" t="s">
        <v>3285</v>
      </c>
    </row>
    <row r="940">
      <c r="A940" s="3" t="str">
        <f>HYPERLINK("https://stackoverflow.com/q/57496839", "57496839")</f>
        <v>57496839</v>
      </c>
      <c r="B940" s="1" t="s">
        <v>93</v>
      </c>
      <c r="C940" s="1" t="s">
        <v>3287</v>
      </c>
      <c r="D940" s="2" t="s">
        <v>3288</v>
      </c>
      <c r="E940" s="1">
        <v>1.0</v>
      </c>
      <c r="I940" s="1">
        <v>0.0</v>
      </c>
      <c r="J940" s="1">
        <v>51.0</v>
      </c>
      <c r="L940" s="1">
        <v>6476624.0</v>
      </c>
      <c r="Q940" s="1" t="s">
        <v>3289</v>
      </c>
      <c r="R940" s="1" t="s">
        <v>97</v>
      </c>
      <c r="S940" s="1">
        <v>0.0</v>
      </c>
      <c r="T940" s="1">
        <v>2.0</v>
      </c>
      <c r="X940" s="1" t="s">
        <v>56</v>
      </c>
    </row>
    <row r="941">
      <c r="A941" s="3" t="str">
        <f>HYPERLINK("https://stackoverflow.com/q/57502125", "57502125")</f>
        <v>57502125</v>
      </c>
      <c r="B941" s="1" t="s">
        <v>93</v>
      </c>
      <c r="C941" s="1" t="s">
        <v>3290</v>
      </c>
      <c r="D941" s="2" t="s">
        <v>3291</v>
      </c>
      <c r="E941" s="1">
        <v>1.0</v>
      </c>
      <c r="I941" s="1">
        <v>0.0</v>
      </c>
      <c r="J941" s="1">
        <v>24.0</v>
      </c>
      <c r="L941" s="1">
        <v>6476624.0</v>
      </c>
      <c r="Q941" s="1" t="s">
        <v>3290</v>
      </c>
      <c r="R941" s="1" t="s">
        <v>97</v>
      </c>
      <c r="S941" s="1">
        <v>0.0</v>
      </c>
      <c r="T941" s="1">
        <v>0.0</v>
      </c>
      <c r="X941" s="1" t="s">
        <v>56</v>
      </c>
    </row>
    <row r="942">
      <c r="A942" s="3" t="str">
        <f>HYPERLINK("https://stackoverflow.com/q/57564400", "57564400")</f>
        <v>57564400</v>
      </c>
      <c r="B942" s="1" t="s">
        <v>93</v>
      </c>
      <c r="C942" s="1" t="s">
        <v>3292</v>
      </c>
      <c r="D942" s="2" t="s">
        <v>3293</v>
      </c>
      <c r="E942" s="1">
        <v>1.0</v>
      </c>
      <c r="F942" s="1">
        <v>5.7996038E7</v>
      </c>
      <c r="I942" s="1">
        <v>0.0</v>
      </c>
      <c r="J942" s="1">
        <v>97.0</v>
      </c>
      <c r="L942" s="1">
        <v>1216458.0</v>
      </c>
      <c r="N942" s="1">
        <v>1216458.0</v>
      </c>
      <c r="P942" s="1" t="s">
        <v>3294</v>
      </c>
      <c r="Q942" s="1" t="s">
        <v>3295</v>
      </c>
      <c r="R942" s="1" t="s">
        <v>97</v>
      </c>
      <c r="S942" s="1">
        <v>1.0</v>
      </c>
      <c r="T942" s="1">
        <v>9.0</v>
      </c>
      <c r="X942" s="1" t="s">
        <v>56</v>
      </c>
      <c r="Z942" s="1" t="s">
        <v>3295</v>
      </c>
    </row>
    <row r="943">
      <c r="A943" s="3" t="str">
        <f>HYPERLINK("https://stackoverflow.com/q/57579133", "57579133")</f>
        <v>57579133</v>
      </c>
      <c r="B943" s="1" t="s">
        <v>93</v>
      </c>
      <c r="C943" s="1" t="s">
        <v>3296</v>
      </c>
      <c r="D943" s="2" t="s">
        <v>3297</v>
      </c>
      <c r="E943" s="1">
        <v>1.0</v>
      </c>
      <c r="F943" s="1">
        <v>5.7579492E7</v>
      </c>
      <c r="I943" s="1">
        <v>0.0</v>
      </c>
      <c r="J943" s="1">
        <v>48.0</v>
      </c>
      <c r="L943" s="1">
        <v>1.1886675E7</v>
      </c>
      <c r="N943" s="1">
        <v>1.1886675E7</v>
      </c>
      <c r="P943" s="1" t="s">
        <v>3298</v>
      </c>
      <c r="Q943" s="1" t="s">
        <v>3299</v>
      </c>
      <c r="R943" s="1" t="s">
        <v>97</v>
      </c>
      <c r="S943" s="1">
        <v>1.0</v>
      </c>
      <c r="T943" s="1">
        <v>0.0</v>
      </c>
      <c r="X943" s="1" t="s">
        <v>56</v>
      </c>
      <c r="Z943" s="1" t="s">
        <v>3299</v>
      </c>
    </row>
    <row r="944">
      <c r="A944" s="3" t="str">
        <f>HYPERLINK("https://stackoverflow.com/q/57584402", "57584402")</f>
        <v>57584402</v>
      </c>
      <c r="B944" s="1" t="s">
        <v>93</v>
      </c>
      <c r="C944" s="1" t="s">
        <v>3300</v>
      </c>
      <c r="D944" s="2" t="s">
        <v>3301</v>
      </c>
      <c r="E944" s="1">
        <v>1.0</v>
      </c>
      <c r="I944" s="1">
        <v>0.0</v>
      </c>
      <c r="J944" s="1">
        <v>57.0</v>
      </c>
      <c r="L944" s="1">
        <v>7419022.0</v>
      </c>
      <c r="Q944" s="1" t="s">
        <v>3302</v>
      </c>
      <c r="R944" s="1" t="s">
        <v>190</v>
      </c>
      <c r="S944" s="1">
        <v>1.0</v>
      </c>
      <c r="T944" s="1">
        <v>0.0</v>
      </c>
      <c r="X944" s="1" t="s">
        <v>56</v>
      </c>
    </row>
    <row r="945">
      <c r="A945" s="3" t="str">
        <f>HYPERLINK("https://stackoverflow.com/q/57602539", "57602539")</f>
        <v>57602539</v>
      </c>
      <c r="B945" s="1" t="s">
        <v>93</v>
      </c>
      <c r="C945" s="1" t="s">
        <v>3303</v>
      </c>
      <c r="D945" s="2" t="s">
        <v>3304</v>
      </c>
      <c r="E945" s="1">
        <v>1.0</v>
      </c>
      <c r="I945" s="1">
        <v>0.0</v>
      </c>
      <c r="J945" s="1">
        <v>38.0</v>
      </c>
      <c r="L945" s="1">
        <v>8522168.0</v>
      </c>
      <c r="N945" s="1">
        <v>8522168.0</v>
      </c>
      <c r="P945" s="1" t="s">
        <v>3305</v>
      </c>
      <c r="Q945" s="1" t="s">
        <v>3305</v>
      </c>
      <c r="R945" s="1" t="s">
        <v>696</v>
      </c>
      <c r="S945" s="1">
        <v>0.0</v>
      </c>
      <c r="T945" s="1">
        <v>0.0</v>
      </c>
      <c r="X945" s="1" t="s">
        <v>56</v>
      </c>
    </row>
    <row r="946">
      <c r="A946" s="3" t="str">
        <f>HYPERLINK("https://stackoverflow.com/q/57609094", "57609094")</f>
        <v>57609094</v>
      </c>
      <c r="B946" s="1" t="s">
        <v>93</v>
      </c>
      <c r="C946" s="1" t="s">
        <v>3306</v>
      </c>
      <c r="D946" s="2" t="s">
        <v>3307</v>
      </c>
      <c r="E946" s="1">
        <v>1.0</v>
      </c>
      <c r="I946" s="1">
        <v>1.0</v>
      </c>
      <c r="J946" s="1">
        <v>103.0</v>
      </c>
      <c r="L946" s="1">
        <v>1.1625554E7</v>
      </c>
      <c r="N946" s="1">
        <v>1.1625554E7</v>
      </c>
      <c r="P946" s="1" t="s">
        <v>3308</v>
      </c>
      <c r="Q946" s="1" t="s">
        <v>3309</v>
      </c>
      <c r="R946" s="1" t="s">
        <v>3310</v>
      </c>
      <c r="S946" s="1">
        <v>1.0</v>
      </c>
      <c r="T946" s="1">
        <v>0.0</v>
      </c>
      <c r="X946" s="1" t="s">
        <v>56</v>
      </c>
    </row>
    <row r="947">
      <c r="A947" s="3" t="str">
        <f>HYPERLINK("https://stackoverflow.com/q/57613671", "57613671")</f>
        <v>57613671</v>
      </c>
      <c r="B947" s="1" t="s">
        <v>93</v>
      </c>
      <c r="C947" s="1" t="s">
        <v>3311</v>
      </c>
      <c r="D947" s="2" t="s">
        <v>3312</v>
      </c>
      <c r="E947" s="1">
        <v>1.0</v>
      </c>
      <c r="I947" s="1">
        <v>0.0</v>
      </c>
      <c r="J947" s="1">
        <v>53.0</v>
      </c>
      <c r="L947" s="1">
        <v>570464.0</v>
      </c>
      <c r="N947" s="1">
        <v>570464.0</v>
      </c>
      <c r="P947" s="1" t="s">
        <v>3313</v>
      </c>
      <c r="Q947" s="1" t="s">
        <v>3313</v>
      </c>
      <c r="R947" s="1" t="s">
        <v>130</v>
      </c>
      <c r="S947" s="1">
        <v>0.0</v>
      </c>
      <c r="T947" s="1">
        <v>2.0</v>
      </c>
      <c r="X947" s="1" t="s">
        <v>56</v>
      </c>
    </row>
    <row r="948">
      <c r="A948" s="3" t="str">
        <f>HYPERLINK("https://stackoverflow.com/q/57617520", "57617520")</f>
        <v>57617520</v>
      </c>
      <c r="B948" s="1" t="s">
        <v>93</v>
      </c>
      <c r="C948" s="1" t="s">
        <v>3314</v>
      </c>
      <c r="D948" s="2" t="s">
        <v>3315</v>
      </c>
      <c r="E948" s="1">
        <v>1.0</v>
      </c>
      <c r="I948" s="1">
        <v>0.0</v>
      </c>
      <c r="J948" s="1">
        <v>17.0</v>
      </c>
      <c r="L948" s="1">
        <v>1.0740198E7</v>
      </c>
      <c r="Q948" s="1" t="s">
        <v>3314</v>
      </c>
      <c r="R948" s="1" t="s">
        <v>97</v>
      </c>
      <c r="S948" s="1">
        <v>0.0</v>
      </c>
      <c r="T948" s="1">
        <v>3.0</v>
      </c>
      <c r="X948" s="1" t="s">
        <v>56</v>
      </c>
    </row>
    <row r="949">
      <c r="A949" s="3" t="str">
        <f>HYPERLINK("https://stackoverflow.com/q/57624459", "57624459")</f>
        <v>57624459</v>
      </c>
      <c r="B949" s="1" t="s">
        <v>93</v>
      </c>
      <c r="C949" s="1" t="s">
        <v>3316</v>
      </c>
      <c r="D949" s="2" t="s">
        <v>3317</v>
      </c>
      <c r="E949" s="1">
        <v>1.0</v>
      </c>
      <c r="I949" s="1">
        <v>0.0</v>
      </c>
      <c r="J949" s="1">
        <v>57.0</v>
      </c>
      <c r="L949" s="1">
        <v>6747046.0</v>
      </c>
      <c r="N949" s="1">
        <v>1.2892553E7</v>
      </c>
      <c r="P949" s="1" t="s">
        <v>3318</v>
      </c>
      <c r="Q949" s="1" t="s">
        <v>3318</v>
      </c>
      <c r="R949" s="1" t="s">
        <v>97</v>
      </c>
      <c r="S949" s="1">
        <v>0.0</v>
      </c>
      <c r="T949" s="1">
        <v>1.0</v>
      </c>
      <c r="X949" s="1" t="s">
        <v>56</v>
      </c>
    </row>
    <row r="950">
      <c r="A950" s="3" t="str">
        <f>HYPERLINK("https://stackoverflow.com/q/57677076", "57677076")</f>
        <v>57677076</v>
      </c>
      <c r="B950" s="1" t="s">
        <v>93</v>
      </c>
      <c r="C950" s="1" t="s">
        <v>3319</v>
      </c>
      <c r="D950" s="2" t="s">
        <v>3320</v>
      </c>
      <c r="E950" s="1">
        <v>1.0</v>
      </c>
      <c r="F950" s="1">
        <v>5.7693875E7</v>
      </c>
      <c r="I950" s="1">
        <v>1.0</v>
      </c>
      <c r="J950" s="1">
        <v>82.0</v>
      </c>
      <c r="L950" s="1">
        <v>1.1884663E7</v>
      </c>
      <c r="Q950" s="1" t="s">
        <v>3321</v>
      </c>
      <c r="R950" s="1" t="s">
        <v>3322</v>
      </c>
      <c r="S950" s="1">
        <v>1.0</v>
      </c>
      <c r="T950" s="1">
        <v>4.0</v>
      </c>
      <c r="U950" s="1">
        <v>1.0</v>
      </c>
      <c r="X950" s="1" t="s">
        <v>56</v>
      </c>
      <c r="Z950" s="1" t="s">
        <v>3323</v>
      </c>
    </row>
    <row r="951">
      <c r="A951" s="3" t="str">
        <f>HYPERLINK("https://stackoverflow.com/q/57710817", "57710817")</f>
        <v>57710817</v>
      </c>
      <c r="B951" s="1" t="s">
        <v>93</v>
      </c>
      <c r="C951" s="1" t="s">
        <v>3324</v>
      </c>
      <c r="D951" s="2" t="s">
        <v>3325</v>
      </c>
      <c r="E951" s="1">
        <v>1.0</v>
      </c>
      <c r="I951" s="1">
        <v>0.0</v>
      </c>
      <c r="J951" s="1">
        <v>100.0</v>
      </c>
      <c r="L951" s="1">
        <v>1.1385338E7</v>
      </c>
      <c r="N951" s="1">
        <v>13302.0</v>
      </c>
      <c r="P951" s="1" t="s">
        <v>3326</v>
      </c>
      <c r="Q951" s="1" t="s">
        <v>3326</v>
      </c>
      <c r="R951" s="1" t="s">
        <v>516</v>
      </c>
      <c r="S951" s="1">
        <v>2.0</v>
      </c>
      <c r="T951" s="1">
        <v>2.0</v>
      </c>
      <c r="X951" s="1" t="s">
        <v>56</v>
      </c>
    </row>
    <row r="952">
      <c r="A952" s="3" t="str">
        <f>HYPERLINK("https://stackoverflow.com/q/57714229", "57714229")</f>
        <v>57714229</v>
      </c>
      <c r="B952" s="1" t="s">
        <v>93</v>
      </c>
      <c r="C952" s="1" t="s">
        <v>3327</v>
      </c>
      <c r="D952" s="2" t="s">
        <v>3328</v>
      </c>
      <c r="E952" s="1">
        <v>1.0</v>
      </c>
      <c r="F952" s="1">
        <v>5.7714559E7</v>
      </c>
      <c r="I952" s="1">
        <v>0.0</v>
      </c>
      <c r="J952" s="1">
        <v>53.0</v>
      </c>
      <c r="L952" s="1">
        <v>5297307.0</v>
      </c>
      <c r="Q952" s="1" t="s">
        <v>3329</v>
      </c>
      <c r="R952" s="1" t="s">
        <v>97</v>
      </c>
      <c r="S952" s="1">
        <v>1.0</v>
      </c>
      <c r="T952" s="1">
        <v>0.0</v>
      </c>
      <c r="X952" s="1" t="s">
        <v>56</v>
      </c>
      <c r="Z952" s="1" t="s">
        <v>3329</v>
      </c>
    </row>
    <row r="953">
      <c r="A953" s="3" t="str">
        <f>HYPERLINK("https://stackoverflow.com/q/57754071", "57754071")</f>
        <v>57754071</v>
      </c>
      <c r="B953" s="1" t="s">
        <v>93</v>
      </c>
      <c r="C953" s="1" t="s">
        <v>3330</v>
      </c>
      <c r="D953" s="2" t="s">
        <v>3331</v>
      </c>
      <c r="E953" s="1">
        <v>1.0</v>
      </c>
      <c r="F953" s="1">
        <v>5.7773076E7</v>
      </c>
      <c r="I953" s="1">
        <v>0.0</v>
      </c>
      <c r="J953" s="1">
        <v>58.0</v>
      </c>
      <c r="L953" s="1">
        <v>1.1851022E7</v>
      </c>
      <c r="Q953" s="1" t="s">
        <v>3332</v>
      </c>
      <c r="R953" s="1" t="s">
        <v>97</v>
      </c>
      <c r="S953" s="1">
        <v>1.0</v>
      </c>
      <c r="T953" s="1">
        <v>4.0</v>
      </c>
      <c r="X953" s="1" t="s">
        <v>56</v>
      </c>
      <c r="Z953" s="1" t="s">
        <v>3332</v>
      </c>
    </row>
    <row r="954">
      <c r="A954" s="3" t="str">
        <f>HYPERLINK("https://stackoverflow.com/q/57795979", "57795979")</f>
        <v>57795979</v>
      </c>
      <c r="B954" s="1" t="s">
        <v>93</v>
      </c>
      <c r="C954" s="1" t="s">
        <v>3333</v>
      </c>
      <c r="D954" s="2" t="s">
        <v>3334</v>
      </c>
      <c r="E954" s="1">
        <v>1.0</v>
      </c>
      <c r="I954" s="1">
        <v>0.0</v>
      </c>
      <c r="J954" s="1">
        <v>19.0</v>
      </c>
      <c r="L954" s="1">
        <v>2364045.0</v>
      </c>
      <c r="Q954" s="1" t="s">
        <v>3333</v>
      </c>
      <c r="R954" s="1" t="s">
        <v>97</v>
      </c>
      <c r="S954" s="1">
        <v>0.0</v>
      </c>
      <c r="T954" s="1">
        <v>3.0</v>
      </c>
      <c r="X954" s="1" t="s">
        <v>56</v>
      </c>
    </row>
    <row r="955">
      <c r="A955" s="3" t="str">
        <f>HYPERLINK("https://stackoverflow.com/q/57802832", "57802832")</f>
        <v>57802832</v>
      </c>
      <c r="B955" s="1" t="s">
        <v>93</v>
      </c>
      <c r="C955" s="1" t="s">
        <v>3335</v>
      </c>
      <c r="D955" s="2" t="s">
        <v>3336</v>
      </c>
      <c r="E955" s="1">
        <v>1.0</v>
      </c>
      <c r="I955" s="1">
        <v>1.0</v>
      </c>
      <c r="J955" s="1">
        <v>1321.0</v>
      </c>
      <c r="L955" s="1">
        <v>1.1851022E7</v>
      </c>
      <c r="N955" s="1">
        <v>1.1851022E7</v>
      </c>
      <c r="P955" s="1" t="s">
        <v>3337</v>
      </c>
      <c r="Q955" s="1" t="s">
        <v>3337</v>
      </c>
      <c r="R955" s="1" t="s">
        <v>3338</v>
      </c>
      <c r="S955" s="1">
        <v>0.0</v>
      </c>
      <c r="T955" s="1">
        <v>4.0</v>
      </c>
      <c r="X955" s="1" t="s">
        <v>56</v>
      </c>
    </row>
    <row r="956">
      <c r="A956" s="3" t="str">
        <f>HYPERLINK("https://stackoverflow.com/q/57810467", "57810467")</f>
        <v>57810467</v>
      </c>
      <c r="B956" s="1" t="s">
        <v>93</v>
      </c>
      <c r="C956" s="1" t="s">
        <v>3339</v>
      </c>
      <c r="D956" s="2" t="s">
        <v>3340</v>
      </c>
      <c r="E956" s="1">
        <v>1.0</v>
      </c>
      <c r="F956" s="1">
        <v>5.8632893E7</v>
      </c>
      <c r="I956" s="1">
        <v>1.0</v>
      </c>
      <c r="J956" s="1">
        <v>34.0</v>
      </c>
      <c r="L956" s="1">
        <v>1.1770778E7</v>
      </c>
      <c r="Q956" s="1" t="s">
        <v>3341</v>
      </c>
      <c r="R956" s="1" t="s">
        <v>97</v>
      </c>
      <c r="S956" s="1">
        <v>1.0</v>
      </c>
      <c r="T956" s="1">
        <v>1.0</v>
      </c>
      <c r="U956" s="1">
        <v>1.0</v>
      </c>
      <c r="X956" s="1" t="s">
        <v>56</v>
      </c>
      <c r="Z956" s="1" t="s">
        <v>3341</v>
      </c>
    </row>
    <row r="957">
      <c r="A957" s="3" t="str">
        <f>HYPERLINK("https://stackoverflow.com/q/57810829", "57810829")</f>
        <v>57810829</v>
      </c>
      <c r="B957" s="1" t="s">
        <v>93</v>
      </c>
      <c r="C957" s="1" t="s">
        <v>3342</v>
      </c>
      <c r="D957" s="2" t="s">
        <v>3343</v>
      </c>
      <c r="E957" s="1">
        <v>1.0</v>
      </c>
      <c r="I957" s="1">
        <v>0.0</v>
      </c>
      <c r="J957" s="1">
        <v>37.0</v>
      </c>
      <c r="L957" s="1">
        <v>2364045.0</v>
      </c>
      <c r="Q957" s="1" t="s">
        <v>3342</v>
      </c>
      <c r="R957" s="1" t="s">
        <v>97</v>
      </c>
      <c r="S957" s="1">
        <v>0.0</v>
      </c>
      <c r="T957" s="1">
        <v>6.0</v>
      </c>
      <c r="X957" s="1" t="s">
        <v>56</v>
      </c>
    </row>
    <row r="958">
      <c r="A958" s="3" t="str">
        <f>HYPERLINK("https://stackoverflow.com/q/57820524", "57820524")</f>
        <v>57820524</v>
      </c>
      <c r="B958" s="1" t="s">
        <v>93</v>
      </c>
      <c r="C958" s="1" t="s">
        <v>3344</v>
      </c>
      <c r="D958" s="2" t="s">
        <v>3345</v>
      </c>
      <c r="E958" s="1">
        <v>1.0</v>
      </c>
      <c r="I958" s="1">
        <v>0.0</v>
      </c>
      <c r="J958" s="1">
        <v>69.0</v>
      </c>
      <c r="L958" s="1">
        <v>1.2029984E7</v>
      </c>
      <c r="N958" s="1">
        <v>1.2029984E7</v>
      </c>
      <c r="P958" s="1" t="s">
        <v>3346</v>
      </c>
      <c r="Q958" s="1" t="s">
        <v>3346</v>
      </c>
      <c r="R958" s="1" t="s">
        <v>1517</v>
      </c>
      <c r="S958" s="1">
        <v>0.0</v>
      </c>
      <c r="T958" s="1">
        <v>0.0</v>
      </c>
      <c r="X958" s="1" t="s">
        <v>56</v>
      </c>
    </row>
    <row r="959">
      <c r="A959" s="3" t="str">
        <f>HYPERLINK("https://stackoverflow.com/q/57825080", "57825080")</f>
        <v>57825080</v>
      </c>
      <c r="B959" s="1" t="s">
        <v>93</v>
      </c>
      <c r="C959" s="1" t="s">
        <v>3347</v>
      </c>
      <c r="D959" s="2" t="s">
        <v>3348</v>
      </c>
      <c r="E959" s="1">
        <v>1.0</v>
      </c>
      <c r="I959" s="1">
        <v>0.0</v>
      </c>
      <c r="J959" s="1">
        <v>23.0</v>
      </c>
      <c r="L959" s="1">
        <v>5297307.0</v>
      </c>
      <c r="Q959" s="1" t="s">
        <v>3349</v>
      </c>
      <c r="R959" s="1" t="s">
        <v>97</v>
      </c>
      <c r="S959" s="1">
        <v>1.0</v>
      </c>
      <c r="T959" s="1">
        <v>0.0</v>
      </c>
      <c r="X959" s="1" t="s">
        <v>56</v>
      </c>
    </row>
    <row r="960">
      <c r="A960" s="3" t="str">
        <f>HYPERLINK("https://stackoverflow.com/q/57827537", "57827537")</f>
        <v>57827537</v>
      </c>
      <c r="B960" s="1" t="s">
        <v>93</v>
      </c>
      <c r="C960" s="1" t="s">
        <v>3350</v>
      </c>
      <c r="D960" s="2" t="s">
        <v>3351</v>
      </c>
      <c r="E960" s="1">
        <v>1.0</v>
      </c>
      <c r="F960" s="1">
        <v>5.782825E7</v>
      </c>
      <c r="I960" s="1">
        <v>0.0</v>
      </c>
      <c r="J960" s="1">
        <v>38.0</v>
      </c>
      <c r="L960" s="1">
        <v>1.1884663E7</v>
      </c>
      <c r="Q960" s="1" t="s">
        <v>3352</v>
      </c>
      <c r="R960" s="1" t="s">
        <v>3353</v>
      </c>
      <c r="S960" s="1">
        <v>1.0</v>
      </c>
      <c r="T960" s="1">
        <v>3.0</v>
      </c>
      <c r="X960" s="1" t="s">
        <v>56</v>
      </c>
      <c r="Z960" s="1" t="s">
        <v>3352</v>
      </c>
    </row>
    <row r="961">
      <c r="A961" s="3" t="str">
        <f>HYPERLINK("https://stackoverflow.com/q/57832672", "57832672")</f>
        <v>57832672</v>
      </c>
      <c r="B961" s="1" t="s">
        <v>93</v>
      </c>
      <c r="C961" s="1" t="s">
        <v>3354</v>
      </c>
      <c r="D961" s="2" t="s">
        <v>3355</v>
      </c>
      <c r="E961" s="1">
        <v>1.0</v>
      </c>
      <c r="I961" s="1">
        <v>1.0</v>
      </c>
      <c r="J961" s="1">
        <v>20.0</v>
      </c>
      <c r="L961" s="1">
        <v>1.1379627E7</v>
      </c>
      <c r="Q961" s="1" t="s">
        <v>3354</v>
      </c>
      <c r="R961" s="1" t="s">
        <v>97</v>
      </c>
      <c r="S961" s="1">
        <v>0.0</v>
      </c>
      <c r="T961" s="1">
        <v>1.0</v>
      </c>
      <c r="X961" s="1" t="s">
        <v>56</v>
      </c>
    </row>
    <row r="962">
      <c r="A962" s="3" t="str">
        <f>HYPERLINK("https://stackoverflow.com/q/57833839", "57833839")</f>
        <v>57833839</v>
      </c>
      <c r="B962" s="1" t="s">
        <v>93</v>
      </c>
      <c r="C962" s="1" t="s">
        <v>3356</v>
      </c>
      <c r="D962" s="2" t="s">
        <v>3357</v>
      </c>
      <c r="E962" s="1">
        <v>1.0</v>
      </c>
      <c r="F962" s="1">
        <v>5.7833939E7</v>
      </c>
      <c r="I962" s="1">
        <v>0.0</v>
      </c>
      <c r="J962" s="1">
        <v>27.0</v>
      </c>
      <c r="L962" s="1">
        <v>1.1884663E7</v>
      </c>
      <c r="Q962" s="1" t="s">
        <v>3358</v>
      </c>
      <c r="R962" s="1" t="s">
        <v>3359</v>
      </c>
      <c r="S962" s="1">
        <v>1.0</v>
      </c>
      <c r="T962" s="1">
        <v>2.0</v>
      </c>
      <c r="X962" s="1" t="s">
        <v>56</v>
      </c>
      <c r="Z962" s="1" t="s">
        <v>3360</v>
      </c>
    </row>
    <row r="963">
      <c r="A963" s="3" t="str">
        <f>HYPERLINK("https://stackoverflow.com/q/57859250", "57859250")</f>
        <v>57859250</v>
      </c>
      <c r="B963" s="1" t="s">
        <v>93</v>
      </c>
      <c r="C963" s="1" t="s">
        <v>3361</v>
      </c>
      <c r="D963" s="2" t="s">
        <v>3362</v>
      </c>
      <c r="E963" s="1">
        <v>1.0</v>
      </c>
      <c r="I963" s="1">
        <v>1.0</v>
      </c>
      <c r="J963" s="1">
        <v>58.0</v>
      </c>
      <c r="L963" s="1">
        <v>1.1884663E7</v>
      </c>
      <c r="N963" s="1">
        <v>1.1884663E7</v>
      </c>
      <c r="P963" s="1" t="s">
        <v>3363</v>
      </c>
      <c r="Q963" s="1" t="s">
        <v>3364</v>
      </c>
      <c r="R963" s="1" t="s">
        <v>3365</v>
      </c>
      <c r="S963" s="1">
        <v>1.0</v>
      </c>
      <c r="T963" s="1">
        <v>3.0</v>
      </c>
      <c r="X963" s="1" t="s">
        <v>56</v>
      </c>
    </row>
    <row r="964">
      <c r="A964" s="3" t="str">
        <f>HYPERLINK("https://stackoverflow.com/q/57861623", "57861623")</f>
        <v>57861623</v>
      </c>
      <c r="B964" s="1" t="s">
        <v>93</v>
      </c>
      <c r="C964" s="1" t="s">
        <v>3366</v>
      </c>
      <c r="D964" s="2" t="s">
        <v>3367</v>
      </c>
      <c r="E964" s="1">
        <v>1.0</v>
      </c>
      <c r="I964" s="1">
        <v>0.0</v>
      </c>
      <c r="J964" s="1">
        <v>33.0</v>
      </c>
      <c r="L964" s="1">
        <v>2364045.0</v>
      </c>
      <c r="Q964" s="1" t="s">
        <v>3366</v>
      </c>
      <c r="R964" s="1" t="s">
        <v>97</v>
      </c>
      <c r="S964" s="1">
        <v>0.0</v>
      </c>
      <c r="T964" s="1">
        <v>1.0</v>
      </c>
      <c r="X964" s="1" t="s">
        <v>56</v>
      </c>
    </row>
    <row r="965">
      <c r="A965" s="3" t="str">
        <f>HYPERLINK("https://stackoverflow.com/q/57867919", "57867919")</f>
        <v>57867919</v>
      </c>
      <c r="B965" s="1" t="s">
        <v>93</v>
      </c>
      <c r="C965" s="1" t="s">
        <v>3368</v>
      </c>
      <c r="D965" s="2" t="s">
        <v>3369</v>
      </c>
      <c r="E965" s="1">
        <v>1.0</v>
      </c>
      <c r="I965" s="1">
        <v>0.0</v>
      </c>
      <c r="J965" s="1">
        <v>37.0</v>
      </c>
      <c r="L965" s="1">
        <v>9204008.0</v>
      </c>
      <c r="Q965" s="1" t="s">
        <v>3368</v>
      </c>
      <c r="R965" s="1" t="s">
        <v>97</v>
      </c>
      <c r="S965" s="1">
        <v>0.0</v>
      </c>
      <c r="T965" s="1">
        <v>14.0</v>
      </c>
      <c r="X965" s="1" t="s">
        <v>56</v>
      </c>
    </row>
    <row r="966">
      <c r="A966" s="3" t="str">
        <f>HYPERLINK("https://stackoverflow.com/q/57885314", "57885314")</f>
        <v>57885314</v>
      </c>
      <c r="B966" s="1" t="s">
        <v>93</v>
      </c>
      <c r="C966" s="1" t="s">
        <v>3370</v>
      </c>
      <c r="D966" s="2" t="s">
        <v>3371</v>
      </c>
      <c r="E966" s="1">
        <v>1.0</v>
      </c>
      <c r="I966" s="1">
        <v>0.0</v>
      </c>
      <c r="J966" s="1">
        <v>55.0</v>
      </c>
      <c r="L966" s="1">
        <v>6747046.0</v>
      </c>
      <c r="Q966" s="1" t="s">
        <v>3372</v>
      </c>
      <c r="R966" s="1" t="s">
        <v>97</v>
      </c>
      <c r="S966" s="1">
        <v>0.0</v>
      </c>
      <c r="T966" s="1">
        <v>9.0</v>
      </c>
      <c r="X966" s="1" t="s">
        <v>56</v>
      </c>
    </row>
    <row r="967">
      <c r="A967" s="3" t="str">
        <f>HYPERLINK("https://stackoverflow.com/q/57885877", "57885877")</f>
        <v>57885877</v>
      </c>
      <c r="B967" s="1" t="s">
        <v>93</v>
      </c>
      <c r="C967" s="1" t="s">
        <v>3373</v>
      </c>
      <c r="D967" s="2" t="s">
        <v>3374</v>
      </c>
      <c r="E967" s="1">
        <v>1.0</v>
      </c>
      <c r="I967" s="1">
        <v>0.0</v>
      </c>
      <c r="J967" s="1">
        <v>41.0</v>
      </c>
      <c r="L967" s="1">
        <v>1.2052071E7</v>
      </c>
      <c r="N967" s="1">
        <v>1.2052071E7</v>
      </c>
      <c r="P967" s="1" t="s">
        <v>3375</v>
      </c>
      <c r="Q967" s="1" t="s">
        <v>3375</v>
      </c>
      <c r="R967" s="1" t="s">
        <v>97</v>
      </c>
      <c r="S967" s="1">
        <v>0.0</v>
      </c>
      <c r="T967" s="1">
        <v>1.0</v>
      </c>
      <c r="X967" s="1" t="s">
        <v>56</v>
      </c>
    </row>
    <row r="968">
      <c r="A968" s="3" t="str">
        <f>HYPERLINK("https://stackoverflow.com/q/57892931", "57892931")</f>
        <v>57892931</v>
      </c>
      <c r="B968" s="1" t="s">
        <v>93</v>
      </c>
      <c r="C968" s="1" t="s">
        <v>3376</v>
      </c>
      <c r="D968" s="2" t="s">
        <v>3377</v>
      </c>
      <c r="E968" s="1">
        <v>1.0</v>
      </c>
      <c r="F968" s="1">
        <v>5.7892997E7</v>
      </c>
      <c r="I968" s="1">
        <v>0.0</v>
      </c>
      <c r="J968" s="1">
        <v>26.0</v>
      </c>
      <c r="L968" s="1">
        <v>5297307.0</v>
      </c>
      <c r="Q968" s="1" t="s">
        <v>3378</v>
      </c>
      <c r="R968" s="1" t="s">
        <v>97</v>
      </c>
      <c r="S968" s="1">
        <v>1.0</v>
      </c>
      <c r="T968" s="1">
        <v>0.0</v>
      </c>
      <c r="X968" s="1" t="s">
        <v>56</v>
      </c>
      <c r="Z968" s="1" t="s">
        <v>3378</v>
      </c>
    </row>
    <row r="969">
      <c r="A969" s="3" t="str">
        <f>HYPERLINK("https://stackoverflow.com/q/57895348", "57895348")</f>
        <v>57895348</v>
      </c>
      <c r="B969" s="1" t="s">
        <v>93</v>
      </c>
      <c r="C969" s="1" t="s">
        <v>3379</v>
      </c>
      <c r="D969" s="2" t="s">
        <v>3380</v>
      </c>
      <c r="E969" s="1">
        <v>1.0</v>
      </c>
      <c r="F969" s="1">
        <v>5.7895392E7</v>
      </c>
      <c r="I969" s="1">
        <v>0.0</v>
      </c>
      <c r="J969" s="1">
        <v>32.0</v>
      </c>
      <c r="L969" s="1">
        <v>4907384.0</v>
      </c>
      <c r="Q969" s="1" t="s">
        <v>3381</v>
      </c>
      <c r="R969" s="1" t="s">
        <v>97</v>
      </c>
      <c r="S969" s="1">
        <v>1.0</v>
      </c>
      <c r="T969" s="1">
        <v>0.0</v>
      </c>
      <c r="X969" s="1" t="s">
        <v>56</v>
      </c>
      <c r="Z969" s="1" t="s">
        <v>3382</v>
      </c>
    </row>
    <row r="970">
      <c r="A970" s="3" t="str">
        <f>HYPERLINK("https://stackoverflow.com/q/57897359", "57897359")</f>
        <v>57897359</v>
      </c>
      <c r="B970" s="1" t="s">
        <v>93</v>
      </c>
      <c r="C970" s="1" t="s">
        <v>3383</v>
      </c>
      <c r="D970" s="2" t="s">
        <v>3384</v>
      </c>
      <c r="E970" s="1">
        <v>1.0</v>
      </c>
      <c r="I970" s="1">
        <v>0.0</v>
      </c>
      <c r="J970" s="1">
        <v>38.0</v>
      </c>
      <c r="L970" s="1">
        <v>2364045.0</v>
      </c>
      <c r="Q970" s="1" t="s">
        <v>3383</v>
      </c>
      <c r="R970" s="1" t="s">
        <v>97</v>
      </c>
      <c r="S970" s="1">
        <v>0.0</v>
      </c>
      <c r="T970" s="1">
        <v>6.0</v>
      </c>
      <c r="X970" s="1" t="s">
        <v>56</v>
      </c>
    </row>
    <row r="971">
      <c r="A971" s="3" t="str">
        <f>HYPERLINK("https://stackoverflow.com/q/57928329", "57928329")</f>
        <v>57928329</v>
      </c>
      <c r="B971" s="1" t="s">
        <v>93</v>
      </c>
      <c r="C971" s="1" t="s">
        <v>3385</v>
      </c>
      <c r="D971" s="2" t="s">
        <v>3386</v>
      </c>
      <c r="E971" s="1">
        <v>1.0</v>
      </c>
      <c r="F971" s="1">
        <v>5.7928507E7</v>
      </c>
      <c r="I971" s="1">
        <v>0.0</v>
      </c>
      <c r="J971" s="1">
        <v>24.0</v>
      </c>
      <c r="L971" s="1">
        <v>4907384.0</v>
      </c>
      <c r="Q971" s="1" t="s">
        <v>3387</v>
      </c>
      <c r="R971" s="1" t="s">
        <v>97</v>
      </c>
      <c r="S971" s="1">
        <v>1.0</v>
      </c>
      <c r="T971" s="1">
        <v>0.0</v>
      </c>
      <c r="U971" s="1">
        <v>1.0</v>
      </c>
      <c r="X971" s="1" t="s">
        <v>56</v>
      </c>
      <c r="Z971" s="1" t="s">
        <v>3388</v>
      </c>
    </row>
    <row r="972">
      <c r="A972" s="3" t="str">
        <f>HYPERLINK("https://stackoverflow.com/q/57941287", "57941287")</f>
        <v>57941287</v>
      </c>
      <c r="B972" s="1" t="s">
        <v>93</v>
      </c>
      <c r="C972" s="1" t="s">
        <v>3389</v>
      </c>
      <c r="D972" s="2" t="s">
        <v>3390</v>
      </c>
      <c r="E972" s="1">
        <v>1.0</v>
      </c>
      <c r="F972" s="1">
        <v>5.7942793E7</v>
      </c>
      <c r="I972" s="1">
        <v>0.0</v>
      </c>
      <c r="J972" s="1">
        <v>47.0</v>
      </c>
      <c r="L972" s="1">
        <v>4907384.0</v>
      </c>
      <c r="Q972" s="1" t="s">
        <v>3391</v>
      </c>
      <c r="R972" s="1" t="s">
        <v>97</v>
      </c>
      <c r="S972" s="1">
        <v>1.0</v>
      </c>
      <c r="T972" s="1">
        <v>0.0</v>
      </c>
      <c r="X972" s="1" t="s">
        <v>56</v>
      </c>
      <c r="Z972" s="1" t="s">
        <v>3391</v>
      </c>
    </row>
    <row r="973">
      <c r="A973" s="3" t="str">
        <f>HYPERLINK("https://stackoverflow.com/q/57944759", "57944759")</f>
        <v>57944759</v>
      </c>
      <c r="B973" s="1" t="s">
        <v>93</v>
      </c>
      <c r="C973" s="1" t="s">
        <v>3392</v>
      </c>
      <c r="D973" s="2" t="s">
        <v>3393</v>
      </c>
      <c r="E973" s="1">
        <v>1.0</v>
      </c>
      <c r="I973" s="1">
        <v>0.0</v>
      </c>
      <c r="J973" s="1">
        <v>41.0</v>
      </c>
      <c r="L973" s="1">
        <v>1.1816398E7</v>
      </c>
      <c r="Q973" s="1" t="s">
        <v>3394</v>
      </c>
      <c r="R973" s="1" t="s">
        <v>3359</v>
      </c>
      <c r="S973" s="1">
        <v>1.0</v>
      </c>
      <c r="T973" s="1">
        <v>0.0</v>
      </c>
      <c r="U973" s="1">
        <v>1.0</v>
      </c>
      <c r="X973" s="1" t="s">
        <v>56</v>
      </c>
    </row>
    <row r="974">
      <c r="A974" s="3" t="str">
        <f>HYPERLINK("https://stackoverflow.com/q/57958985", "57958985")</f>
        <v>57958985</v>
      </c>
      <c r="B974" s="1" t="s">
        <v>93</v>
      </c>
      <c r="C974" s="1" t="s">
        <v>3395</v>
      </c>
      <c r="D974" s="2" t="s">
        <v>3396</v>
      </c>
      <c r="E974" s="1">
        <v>1.0</v>
      </c>
      <c r="I974" s="1">
        <v>0.0</v>
      </c>
      <c r="J974" s="1">
        <v>35.0</v>
      </c>
      <c r="L974" s="1">
        <v>9204008.0</v>
      </c>
      <c r="Q974" s="1" t="s">
        <v>3395</v>
      </c>
      <c r="R974" s="1" t="s">
        <v>97</v>
      </c>
      <c r="S974" s="1">
        <v>0.0</v>
      </c>
      <c r="T974" s="1">
        <v>10.0</v>
      </c>
      <c r="X974" s="1" t="s">
        <v>56</v>
      </c>
    </row>
    <row r="975">
      <c r="A975" s="3" t="str">
        <f>HYPERLINK("https://stackoverflow.com/q/57996119", "57996119")</f>
        <v>57996119</v>
      </c>
      <c r="B975" s="1" t="s">
        <v>93</v>
      </c>
      <c r="C975" s="1" t="s">
        <v>3397</v>
      </c>
      <c r="D975" s="2" t="s">
        <v>3398</v>
      </c>
      <c r="E975" s="1">
        <v>1.0</v>
      </c>
      <c r="F975" s="1">
        <v>5.8000645E7</v>
      </c>
      <c r="I975" s="1">
        <v>1.0</v>
      </c>
      <c r="J975" s="1">
        <v>59.0</v>
      </c>
      <c r="L975" s="1">
        <v>1216458.0</v>
      </c>
      <c r="Q975" s="1" t="s">
        <v>3399</v>
      </c>
      <c r="R975" s="1" t="s">
        <v>190</v>
      </c>
      <c r="S975" s="1">
        <v>1.0</v>
      </c>
      <c r="T975" s="1">
        <v>5.0</v>
      </c>
      <c r="X975" s="1" t="s">
        <v>56</v>
      </c>
      <c r="Z975" s="1" t="s">
        <v>3399</v>
      </c>
    </row>
    <row r="976">
      <c r="A976" s="3" t="str">
        <f>HYPERLINK("https://stackoverflow.com/q/57996398", "57996398")</f>
        <v>57996398</v>
      </c>
      <c r="B976" s="1" t="s">
        <v>93</v>
      </c>
      <c r="C976" s="1" t="s">
        <v>3400</v>
      </c>
      <c r="D976" s="2" t="s">
        <v>3401</v>
      </c>
      <c r="E976" s="1">
        <v>1.0</v>
      </c>
      <c r="I976" s="1">
        <v>0.0</v>
      </c>
      <c r="J976" s="1">
        <v>29.0</v>
      </c>
      <c r="L976" s="1">
        <v>4907384.0</v>
      </c>
      <c r="Q976" s="1" t="s">
        <v>3400</v>
      </c>
      <c r="R976" s="1" t="s">
        <v>97</v>
      </c>
      <c r="S976" s="1">
        <v>0.0</v>
      </c>
      <c r="T976" s="1">
        <v>3.0</v>
      </c>
      <c r="X976" s="1" t="s">
        <v>56</v>
      </c>
    </row>
    <row r="977">
      <c r="A977" s="3" t="str">
        <f>HYPERLINK("https://stackoverflow.com/q/58004108", "58004108")</f>
        <v>58004108</v>
      </c>
      <c r="B977" s="1" t="s">
        <v>93</v>
      </c>
      <c r="C977" s="1" t="s">
        <v>3402</v>
      </c>
      <c r="D977" s="2" t="s">
        <v>3403</v>
      </c>
      <c r="E977" s="1">
        <v>1.0</v>
      </c>
      <c r="I977" s="1">
        <v>0.0</v>
      </c>
      <c r="J977" s="1">
        <v>46.0</v>
      </c>
      <c r="L977" s="1">
        <v>1.0182717E7</v>
      </c>
      <c r="N977" s="1">
        <v>1.0182717E7</v>
      </c>
      <c r="P977" s="1" t="s">
        <v>3404</v>
      </c>
      <c r="Q977" s="1" t="s">
        <v>3404</v>
      </c>
      <c r="R977" s="1" t="s">
        <v>97</v>
      </c>
      <c r="S977" s="1">
        <v>1.0</v>
      </c>
      <c r="T977" s="1">
        <v>0.0</v>
      </c>
      <c r="X977" s="1" t="s">
        <v>56</v>
      </c>
    </row>
    <row r="978">
      <c r="A978" s="3" t="str">
        <f>HYPERLINK("https://stackoverflow.com/q/58025822", "58025822")</f>
        <v>58025822</v>
      </c>
      <c r="B978" s="1" t="s">
        <v>93</v>
      </c>
      <c r="C978" s="1" t="s">
        <v>3405</v>
      </c>
      <c r="D978" s="2" t="s">
        <v>3406</v>
      </c>
      <c r="E978" s="1">
        <v>1.0</v>
      </c>
      <c r="F978" s="1">
        <v>5.8029072E7</v>
      </c>
      <c r="I978" s="1">
        <v>0.0</v>
      </c>
      <c r="J978" s="1">
        <v>48.0</v>
      </c>
      <c r="L978" s="1">
        <v>9204008.0</v>
      </c>
      <c r="Q978" s="1" t="s">
        <v>3407</v>
      </c>
      <c r="R978" s="1" t="s">
        <v>97</v>
      </c>
      <c r="S978" s="1">
        <v>1.0</v>
      </c>
      <c r="T978" s="1">
        <v>0.0</v>
      </c>
      <c r="X978" s="1" t="s">
        <v>56</v>
      </c>
      <c r="Z978" s="1" t="s">
        <v>3407</v>
      </c>
    </row>
    <row r="979">
      <c r="A979" s="3" t="str">
        <f>HYPERLINK("https://stackoverflow.com/q/58031932", "58031932")</f>
        <v>58031932</v>
      </c>
      <c r="B979" s="1" t="s">
        <v>93</v>
      </c>
      <c r="C979" s="1" t="s">
        <v>3408</v>
      </c>
      <c r="D979" s="2" t="s">
        <v>3409</v>
      </c>
      <c r="E979" s="1">
        <v>1.0</v>
      </c>
      <c r="I979" s="1">
        <v>1.0</v>
      </c>
      <c r="J979" s="1">
        <v>38.0</v>
      </c>
      <c r="L979" s="1">
        <v>1.1770778E7</v>
      </c>
      <c r="Q979" s="1" t="s">
        <v>3408</v>
      </c>
      <c r="R979" s="1" t="s">
        <v>97</v>
      </c>
      <c r="S979" s="1">
        <v>0.0</v>
      </c>
      <c r="T979" s="1">
        <v>10.0</v>
      </c>
      <c r="X979" s="1" t="s">
        <v>56</v>
      </c>
    </row>
    <row r="980">
      <c r="A980" s="3" t="str">
        <f>HYPERLINK("https://stackoverflow.com/q/58039038", "58039038")</f>
        <v>58039038</v>
      </c>
      <c r="B980" s="1" t="s">
        <v>93</v>
      </c>
      <c r="C980" s="1" t="s">
        <v>3410</v>
      </c>
      <c r="D980" s="2" t="s">
        <v>3411</v>
      </c>
      <c r="E980" s="1">
        <v>1.0</v>
      </c>
      <c r="F980" s="1">
        <v>5.8066774E7</v>
      </c>
      <c r="I980" s="1">
        <v>4.0</v>
      </c>
      <c r="J980" s="1">
        <v>246.0</v>
      </c>
      <c r="L980" s="1">
        <v>9617712.0</v>
      </c>
      <c r="N980" s="1">
        <v>9617712.0</v>
      </c>
      <c r="P980" s="1" t="s">
        <v>3412</v>
      </c>
      <c r="Q980" s="1" t="s">
        <v>3413</v>
      </c>
      <c r="R980" s="1" t="s">
        <v>3414</v>
      </c>
      <c r="S980" s="1">
        <v>1.0</v>
      </c>
      <c r="T980" s="1">
        <v>5.0</v>
      </c>
      <c r="U980" s="1">
        <v>2.0</v>
      </c>
      <c r="X980" s="1" t="s">
        <v>56</v>
      </c>
      <c r="Z980" s="1" t="s">
        <v>3415</v>
      </c>
    </row>
    <row r="981">
      <c r="A981" s="3" t="str">
        <f>HYPERLINK("https://stackoverflow.com/q/58054024", "58054024")</f>
        <v>58054024</v>
      </c>
      <c r="B981" s="1" t="s">
        <v>93</v>
      </c>
      <c r="C981" s="1" t="s">
        <v>3416</v>
      </c>
      <c r="D981" s="2" t="s">
        <v>3417</v>
      </c>
      <c r="E981" s="1">
        <v>1.0</v>
      </c>
      <c r="F981" s="1">
        <v>5.80541E7</v>
      </c>
      <c r="I981" s="1">
        <v>0.0</v>
      </c>
      <c r="J981" s="1">
        <v>64.0</v>
      </c>
      <c r="L981" s="1">
        <v>5954452.0</v>
      </c>
      <c r="N981" s="1">
        <v>5983596.0</v>
      </c>
      <c r="P981" s="1" t="s">
        <v>3418</v>
      </c>
      <c r="Q981" s="1" t="s">
        <v>3418</v>
      </c>
      <c r="R981" s="1" t="s">
        <v>696</v>
      </c>
      <c r="S981" s="1">
        <v>1.0</v>
      </c>
      <c r="T981" s="1">
        <v>0.0</v>
      </c>
      <c r="X981" s="1" t="s">
        <v>56</v>
      </c>
      <c r="Z981" s="1" t="s">
        <v>3419</v>
      </c>
    </row>
    <row r="982">
      <c r="A982" s="3" t="str">
        <f>HYPERLINK("https://stackoverflow.com/q/58101720", "58101720")</f>
        <v>58101720</v>
      </c>
      <c r="B982" s="1" t="s">
        <v>93</v>
      </c>
      <c r="C982" s="1" t="s">
        <v>3420</v>
      </c>
      <c r="D982" s="2" t="s">
        <v>3421</v>
      </c>
      <c r="E982" s="1">
        <v>1.0</v>
      </c>
      <c r="F982" s="1">
        <v>5.8101926E7</v>
      </c>
      <c r="I982" s="1">
        <v>0.0</v>
      </c>
      <c r="J982" s="1">
        <v>132.0</v>
      </c>
      <c r="L982" s="1">
        <v>5655471.0</v>
      </c>
      <c r="Q982" s="1" t="s">
        <v>3422</v>
      </c>
      <c r="R982" s="1" t="s">
        <v>696</v>
      </c>
      <c r="S982" s="1">
        <v>2.0</v>
      </c>
      <c r="T982" s="1">
        <v>2.0</v>
      </c>
      <c r="X982" s="1" t="s">
        <v>56</v>
      </c>
      <c r="Z982" s="1" t="s">
        <v>3422</v>
      </c>
    </row>
    <row r="983">
      <c r="A983" s="3" t="str">
        <f>HYPERLINK("https://stackoverflow.com/q/58102357", "58102357")</f>
        <v>58102357</v>
      </c>
      <c r="B983" s="1" t="s">
        <v>93</v>
      </c>
      <c r="C983" s="1" t="s">
        <v>3423</v>
      </c>
      <c r="D983" s="2" t="s">
        <v>3424</v>
      </c>
      <c r="E983" s="1">
        <v>1.0</v>
      </c>
      <c r="I983" s="1">
        <v>1.0</v>
      </c>
      <c r="J983" s="1">
        <v>61.0</v>
      </c>
      <c r="L983" s="1">
        <v>6500312.0</v>
      </c>
      <c r="N983" s="1">
        <v>5632629.0</v>
      </c>
      <c r="P983" s="1" t="s">
        <v>3425</v>
      </c>
      <c r="Q983" s="1" t="s">
        <v>3425</v>
      </c>
      <c r="R983" s="1" t="s">
        <v>1852</v>
      </c>
      <c r="S983" s="1">
        <v>0.0</v>
      </c>
      <c r="T983" s="1">
        <v>2.0</v>
      </c>
      <c r="X983" s="1" t="s">
        <v>56</v>
      </c>
    </row>
    <row r="984">
      <c r="A984" s="3" t="str">
        <f>HYPERLINK("https://stackoverflow.com/q/58109112", "58109112")</f>
        <v>58109112</v>
      </c>
      <c r="B984" s="1" t="s">
        <v>93</v>
      </c>
      <c r="C984" s="1" t="s">
        <v>3426</v>
      </c>
      <c r="D984" s="2" t="s">
        <v>3427</v>
      </c>
      <c r="E984" s="1">
        <v>1.0</v>
      </c>
      <c r="I984" s="1">
        <v>0.0</v>
      </c>
      <c r="J984" s="1">
        <v>29.0</v>
      </c>
      <c r="L984" s="1">
        <v>1.1538125E7</v>
      </c>
      <c r="N984" s="1">
        <v>3420252.0</v>
      </c>
      <c r="P984" s="1" t="s">
        <v>3428</v>
      </c>
      <c r="Q984" s="1" t="s">
        <v>3428</v>
      </c>
      <c r="R984" s="1" t="s">
        <v>97</v>
      </c>
      <c r="S984" s="1">
        <v>0.0</v>
      </c>
      <c r="T984" s="1">
        <v>0.0</v>
      </c>
      <c r="X984" s="1" t="s">
        <v>56</v>
      </c>
    </row>
    <row r="985">
      <c r="A985" s="3" t="str">
        <f>HYPERLINK("https://stackoverflow.com/q/58124237", "58124237")</f>
        <v>58124237</v>
      </c>
      <c r="B985" s="1" t="s">
        <v>93</v>
      </c>
      <c r="C985" s="1" t="s">
        <v>3429</v>
      </c>
      <c r="D985" s="2" t="s">
        <v>3430</v>
      </c>
      <c r="E985" s="1">
        <v>1.0</v>
      </c>
      <c r="F985" s="1">
        <v>5.8124286E7</v>
      </c>
      <c r="I985" s="1">
        <v>0.0</v>
      </c>
      <c r="J985" s="1">
        <v>57.0</v>
      </c>
      <c r="L985" s="1">
        <v>9617712.0</v>
      </c>
      <c r="Q985" s="1" t="s">
        <v>3431</v>
      </c>
      <c r="R985" s="1" t="s">
        <v>190</v>
      </c>
      <c r="S985" s="1">
        <v>1.0</v>
      </c>
      <c r="T985" s="1">
        <v>0.0</v>
      </c>
      <c r="U985" s="1">
        <v>1.0</v>
      </c>
      <c r="X985" s="1" t="s">
        <v>56</v>
      </c>
      <c r="Z985" s="1" t="s">
        <v>3432</v>
      </c>
    </row>
    <row r="986">
      <c r="A986" s="3" t="str">
        <f>HYPERLINK("https://stackoverflow.com/q/58148729", "58148729")</f>
        <v>58148729</v>
      </c>
      <c r="B986" s="1" t="s">
        <v>93</v>
      </c>
      <c r="C986" s="1" t="s">
        <v>3433</v>
      </c>
      <c r="D986" s="2" t="s">
        <v>3434</v>
      </c>
      <c r="E986" s="1">
        <v>1.0</v>
      </c>
      <c r="I986" s="1">
        <v>0.0</v>
      </c>
      <c r="J986" s="1">
        <v>22.0</v>
      </c>
      <c r="L986" s="1">
        <v>1.0533225E7</v>
      </c>
      <c r="Q986" s="1" t="s">
        <v>3433</v>
      </c>
      <c r="R986" s="1" t="s">
        <v>97</v>
      </c>
      <c r="S986" s="1">
        <v>0.0</v>
      </c>
      <c r="T986" s="1">
        <v>1.0</v>
      </c>
      <c r="X986" s="1" t="s">
        <v>56</v>
      </c>
    </row>
    <row r="987">
      <c r="A987" s="3" t="str">
        <f>HYPERLINK("https://stackoverflow.com/q/58151144", "58151144")</f>
        <v>58151144</v>
      </c>
      <c r="B987" s="1" t="s">
        <v>93</v>
      </c>
      <c r="C987" s="1" t="s">
        <v>3435</v>
      </c>
      <c r="D987" s="2" t="s">
        <v>3436</v>
      </c>
      <c r="E987" s="1">
        <v>1.0</v>
      </c>
      <c r="F987" s="1">
        <v>5.815132E7</v>
      </c>
      <c r="I987" s="1">
        <v>0.0</v>
      </c>
      <c r="J987" s="1">
        <v>88.0</v>
      </c>
      <c r="L987" s="1">
        <v>9617712.0</v>
      </c>
      <c r="N987" s="1">
        <v>9019117.0</v>
      </c>
      <c r="P987" s="1" t="s">
        <v>3437</v>
      </c>
      <c r="Q987" s="1" t="s">
        <v>3437</v>
      </c>
      <c r="R987" s="1" t="s">
        <v>3438</v>
      </c>
      <c r="S987" s="1">
        <v>1.0</v>
      </c>
      <c r="T987" s="1">
        <v>0.0</v>
      </c>
      <c r="U987" s="1">
        <v>2.0</v>
      </c>
      <c r="V987" s="1" t="s">
        <v>3439</v>
      </c>
      <c r="X987" s="1" t="s">
        <v>56</v>
      </c>
      <c r="Z987" s="1" t="s">
        <v>3440</v>
      </c>
    </row>
    <row r="988">
      <c r="A988" s="3" t="str">
        <f>HYPERLINK("https://stackoverflow.com/q/58174411", "58174411")</f>
        <v>58174411</v>
      </c>
      <c r="B988" s="1" t="s">
        <v>93</v>
      </c>
      <c r="C988" s="1" t="s">
        <v>3441</v>
      </c>
      <c r="D988" s="2" t="s">
        <v>3442</v>
      </c>
      <c r="E988" s="1">
        <v>1.0</v>
      </c>
      <c r="F988" s="1">
        <v>5.818717E7</v>
      </c>
      <c r="I988" s="1">
        <v>1.0</v>
      </c>
      <c r="J988" s="1">
        <v>123.0</v>
      </c>
      <c r="L988" s="1">
        <v>5322594.0</v>
      </c>
      <c r="N988" s="1">
        <v>5322594.0</v>
      </c>
      <c r="P988" s="1" t="s">
        <v>3443</v>
      </c>
      <c r="Q988" s="1" t="s">
        <v>3444</v>
      </c>
      <c r="R988" s="1" t="s">
        <v>502</v>
      </c>
      <c r="S988" s="1">
        <v>1.0</v>
      </c>
      <c r="T988" s="1">
        <v>4.0</v>
      </c>
      <c r="U988" s="1">
        <v>2.0</v>
      </c>
      <c r="X988" s="1" t="s">
        <v>56</v>
      </c>
      <c r="Z988" s="1" t="s">
        <v>3445</v>
      </c>
    </row>
    <row r="989">
      <c r="A989" s="3" t="str">
        <f>HYPERLINK("https://stackoverflow.com/q/58177425", "58177425")</f>
        <v>58177425</v>
      </c>
      <c r="B989" s="1" t="s">
        <v>93</v>
      </c>
      <c r="C989" s="1" t="s">
        <v>3446</v>
      </c>
      <c r="D989" s="2" t="s">
        <v>3447</v>
      </c>
      <c r="E989" s="1">
        <v>1.0</v>
      </c>
      <c r="I989" s="1">
        <v>0.0</v>
      </c>
      <c r="J989" s="1">
        <v>40.0</v>
      </c>
      <c r="L989" s="1">
        <v>1.0533225E7</v>
      </c>
      <c r="Q989" s="1" t="s">
        <v>3446</v>
      </c>
      <c r="R989" s="1" t="s">
        <v>696</v>
      </c>
      <c r="S989" s="1">
        <v>0.0</v>
      </c>
      <c r="T989" s="1">
        <v>1.0</v>
      </c>
      <c r="X989" s="1" t="s">
        <v>56</v>
      </c>
    </row>
    <row r="990">
      <c r="A990" s="3" t="str">
        <f>HYPERLINK("https://stackoverflow.com/q/58181033", "58181033")</f>
        <v>58181033</v>
      </c>
      <c r="B990" s="1" t="s">
        <v>93</v>
      </c>
      <c r="C990" s="1" t="s">
        <v>3448</v>
      </c>
      <c r="D990" s="2" t="s">
        <v>3449</v>
      </c>
      <c r="E990" s="1">
        <v>1.0</v>
      </c>
      <c r="I990" s="1">
        <v>0.0</v>
      </c>
      <c r="J990" s="1">
        <v>36.0</v>
      </c>
      <c r="L990" s="1">
        <v>5655471.0</v>
      </c>
      <c r="Q990" s="1" t="s">
        <v>3448</v>
      </c>
      <c r="R990" s="1" t="s">
        <v>3450</v>
      </c>
      <c r="S990" s="1">
        <v>0.0</v>
      </c>
      <c r="T990" s="1">
        <v>6.0</v>
      </c>
      <c r="X990" s="1" t="s">
        <v>56</v>
      </c>
    </row>
    <row r="991">
      <c r="A991" s="3" t="str">
        <f>HYPERLINK("https://stackoverflow.com/q/58182689", "58182689")</f>
        <v>58182689</v>
      </c>
      <c r="B991" s="1" t="s">
        <v>93</v>
      </c>
      <c r="C991" s="1" t="s">
        <v>3451</v>
      </c>
      <c r="D991" s="2" t="s">
        <v>3452</v>
      </c>
      <c r="E991" s="1">
        <v>1.0</v>
      </c>
      <c r="I991" s="1">
        <v>0.0</v>
      </c>
      <c r="J991" s="1">
        <v>62.0</v>
      </c>
      <c r="L991" s="1">
        <v>7419022.0</v>
      </c>
      <c r="Q991" s="1" t="s">
        <v>3451</v>
      </c>
      <c r="R991" s="1" t="s">
        <v>190</v>
      </c>
      <c r="S991" s="1">
        <v>0.0</v>
      </c>
      <c r="T991" s="1">
        <v>4.0</v>
      </c>
      <c r="X991" s="1" t="s">
        <v>56</v>
      </c>
    </row>
    <row r="992">
      <c r="A992" s="3" t="str">
        <f>HYPERLINK("https://stackoverflow.com/q/58200678", "58200678")</f>
        <v>58200678</v>
      </c>
      <c r="B992" s="1" t="s">
        <v>93</v>
      </c>
      <c r="C992" s="1" t="s">
        <v>3453</v>
      </c>
      <c r="D992" s="2" t="s">
        <v>3454</v>
      </c>
      <c r="E992" s="1">
        <v>1.0</v>
      </c>
      <c r="F992" s="1">
        <v>5.8202401E7</v>
      </c>
      <c r="I992" s="1">
        <v>0.0</v>
      </c>
      <c r="J992" s="1">
        <v>43.0</v>
      </c>
      <c r="L992" s="1">
        <v>5655471.0</v>
      </c>
      <c r="Q992" s="1" t="s">
        <v>3455</v>
      </c>
      <c r="R992" s="1" t="s">
        <v>97</v>
      </c>
      <c r="S992" s="1">
        <v>1.0</v>
      </c>
      <c r="T992" s="1">
        <v>4.0</v>
      </c>
      <c r="X992" s="1" t="s">
        <v>56</v>
      </c>
      <c r="Z992" s="1" t="s">
        <v>3455</v>
      </c>
    </row>
    <row r="993">
      <c r="A993" s="3" t="str">
        <f>HYPERLINK("https://stackoverflow.com/q/58205707", "58205707")</f>
        <v>58205707</v>
      </c>
      <c r="B993" s="1" t="s">
        <v>93</v>
      </c>
      <c r="C993" s="1" t="s">
        <v>3456</v>
      </c>
      <c r="D993" s="2" t="s">
        <v>3457</v>
      </c>
      <c r="E993" s="1">
        <v>1.0</v>
      </c>
      <c r="I993" s="1">
        <v>0.0</v>
      </c>
      <c r="J993" s="1">
        <v>30.0</v>
      </c>
      <c r="L993" s="1">
        <v>5297307.0</v>
      </c>
      <c r="N993" s="1">
        <v>5983596.0</v>
      </c>
      <c r="P993" s="1" t="s">
        <v>3458</v>
      </c>
      <c r="Q993" s="1" t="s">
        <v>3459</v>
      </c>
      <c r="R993" s="1" t="s">
        <v>97</v>
      </c>
      <c r="S993" s="1">
        <v>1.0</v>
      </c>
      <c r="T993" s="1">
        <v>0.0</v>
      </c>
      <c r="X993" s="1" t="s">
        <v>56</v>
      </c>
    </row>
    <row r="994">
      <c r="A994" s="3" t="str">
        <f>HYPERLINK("https://stackoverflow.com/q/58218403", "58218403")</f>
        <v>58218403</v>
      </c>
      <c r="B994" s="1" t="s">
        <v>93</v>
      </c>
      <c r="C994" s="1" t="s">
        <v>3460</v>
      </c>
      <c r="D994" s="2" t="s">
        <v>3461</v>
      </c>
      <c r="E994" s="1">
        <v>1.0</v>
      </c>
      <c r="I994" s="1">
        <v>0.0</v>
      </c>
      <c r="J994" s="1">
        <v>85.0</v>
      </c>
      <c r="L994" s="1">
        <v>1.1884663E7</v>
      </c>
      <c r="N994" s="1">
        <v>1.1884663E7</v>
      </c>
      <c r="P994" s="1" t="s">
        <v>3462</v>
      </c>
      <c r="Q994" s="1" t="s">
        <v>3462</v>
      </c>
      <c r="R994" s="1" t="s">
        <v>3463</v>
      </c>
      <c r="S994" s="1">
        <v>1.0</v>
      </c>
      <c r="T994" s="1">
        <v>2.0</v>
      </c>
      <c r="X994" s="1" t="s">
        <v>56</v>
      </c>
    </row>
    <row r="995">
      <c r="A995" s="3" t="str">
        <f>HYPERLINK("https://stackoverflow.com/q/58221451", "58221451")</f>
        <v>58221451</v>
      </c>
      <c r="B995" s="1" t="s">
        <v>93</v>
      </c>
      <c r="C995" s="1" t="s">
        <v>3464</v>
      </c>
      <c r="D995" s="2" t="s">
        <v>3465</v>
      </c>
      <c r="E995" s="1">
        <v>1.0</v>
      </c>
      <c r="F995" s="1">
        <v>5.8224151E7</v>
      </c>
      <c r="I995" s="1">
        <v>1.0</v>
      </c>
      <c r="J995" s="1">
        <v>61.0</v>
      </c>
      <c r="L995" s="1">
        <v>1.2159775E7</v>
      </c>
      <c r="Q995" s="1" t="s">
        <v>3466</v>
      </c>
      <c r="R995" s="1" t="s">
        <v>97</v>
      </c>
      <c r="S995" s="1">
        <v>1.0</v>
      </c>
      <c r="T995" s="1">
        <v>0.0</v>
      </c>
      <c r="X995" s="1" t="s">
        <v>56</v>
      </c>
      <c r="Z995" s="1" t="s">
        <v>3466</v>
      </c>
    </row>
    <row r="996">
      <c r="A996" s="3" t="str">
        <f>HYPERLINK("https://stackoverflow.com/q/58224388", "58224388")</f>
        <v>58224388</v>
      </c>
      <c r="B996" s="1" t="s">
        <v>93</v>
      </c>
      <c r="C996" s="1" t="s">
        <v>3467</v>
      </c>
      <c r="D996" s="2" t="s">
        <v>3468</v>
      </c>
      <c r="E996" s="1">
        <v>1.0</v>
      </c>
      <c r="I996" s="1">
        <v>0.0</v>
      </c>
      <c r="J996" s="1">
        <v>88.0</v>
      </c>
      <c r="L996" s="1">
        <v>1.2154946E7</v>
      </c>
      <c r="Q996" s="1" t="s">
        <v>3467</v>
      </c>
      <c r="R996" s="1" t="s">
        <v>97</v>
      </c>
      <c r="S996" s="1">
        <v>0.0</v>
      </c>
      <c r="T996" s="1">
        <v>2.0</v>
      </c>
      <c r="X996" s="1" t="s">
        <v>56</v>
      </c>
    </row>
    <row r="997">
      <c r="A997" s="3" t="str">
        <f>HYPERLINK("https://stackoverflow.com/q/58227669", "58227669")</f>
        <v>58227669</v>
      </c>
      <c r="B997" s="1" t="s">
        <v>93</v>
      </c>
      <c r="C997" s="1" t="s">
        <v>3469</v>
      </c>
      <c r="D997" s="2" t="s">
        <v>3470</v>
      </c>
      <c r="E997" s="1">
        <v>1.0</v>
      </c>
      <c r="I997" s="1">
        <v>0.0</v>
      </c>
      <c r="J997" s="1">
        <v>28.0</v>
      </c>
      <c r="L997" s="1">
        <v>1.2154946E7</v>
      </c>
      <c r="Q997" s="1" t="s">
        <v>3471</v>
      </c>
      <c r="R997" s="1" t="s">
        <v>97</v>
      </c>
      <c r="S997" s="1">
        <v>1.0</v>
      </c>
      <c r="T997" s="1">
        <v>1.0</v>
      </c>
      <c r="X997" s="1" t="s">
        <v>56</v>
      </c>
    </row>
    <row r="998">
      <c r="A998" s="3" t="str">
        <f>HYPERLINK("https://stackoverflow.com/q/58232113", "58232113")</f>
        <v>58232113</v>
      </c>
      <c r="B998" s="1" t="s">
        <v>93</v>
      </c>
      <c r="C998" s="1" t="s">
        <v>3472</v>
      </c>
      <c r="D998" s="2" t="s">
        <v>3473</v>
      </c>
      <c r="E998" s="1">
        <v>1.0</v>
      </c>
      <c r="I998" s="1">
        <v>0.0</v>
      </c>
      <c r="J998" s="1">
        <v>43.0</v>
      </c>
      <c r="L998" s="1">
        <v>7419022.0</v>
      </c>
      <c r="Q998" s="1" t="s">
        <v>3472</v>
      </c>
      <c r="R998" s="1" t="s">
        <v>190</v>
      </c>
      <c r="S998" s="1">
        <v>0.0</v>
      </c>
      <c r="T998" s="1">
        <v>1.0</v>
      </c>
      <c r="X998" s="1" t="s">
        <v>56</v>
      </c>
    </row>
    <row r="999">
      <c r="A999" s="3" t="str">
        <f>HYPERLINK("https://stackoverflow.com/q/58251535", "58251535")</f>
        <v>58251535</v>
      </c>
      <c r="B999" s="1" t="s">
        <v>93</v>
      </c>
      <c r="C999" s="1" t="s">
        <v>3474</v>
      </c>
      <c r="D999" s="2" t="s">
        <v>3475</v>
      </c>
      <c r="E999" s="1">
        <v>1.0</v>
      </c>
      <c r="F999" s="1">
        <v>5.8288133E7</v>
      </c>
      <c r="I999" s="1">
        <v>0.0</v>
      </c>
      <c r="J999" s="1">
        <v>44.0</v>
      </c>
      <c r="L999" s="1">
        <v>9823996.0</v>
      </c>
      <c r="Q999" s="1" t="s">
        <v>3476</v>
      </c>
      <c r="R999" s="1" t="s">
        <v>3477</v>
      </c>
      <c r="S999" s="1">
        <v>1.0</v>
      </c>
      <c r="T999" s="1">
        <v>2.0</v>
      </c>
      <c r="U999" s="1">
        <v>0.0</v>
      </c>
      <c r="X999" s="1" t="s">
        <v>56</v>
      </c>
      <c r="Z999" s="1" t="s">
        <v>3476</v>
      </c>
    </row>
    <row r="1000">
      <c r="A1000" s="3" t="str">
        <f>HYPERLINK("https://stackoverflow.com/q/58273933", "58273933")</f>
        <v>58273933</v>
      </c>
      <c r="B1000" s="1" t="s">
        <v>93</v>
      </c>
      <c r="C1000" s="1" t="s">
        <v>3478</v>
      </c>
      <c r="D1000" s="2" t="s">
        <v>3479</v>
      </c>
      <c r="E1000" s="1">
        <v>1.0</v>
      </c>
      <c r="I1000" s="1">
        <v>1.0</v>
      </c>
      <c r="J1000" s="1">
        <v>32.0</v>
      </c>
      <c r="L1000" s="1">
        <v>1.1770778E7</v>
      </c>
      <c r="Q1000" s="1" t="s">
        <v>3480</v>
      </c>
      <c r="R1000" s="1" t="s">
        <v>97</v>
      </c>
      <c r="S1000" s="1">
        <v>1.0</v>
      </c>
      <c r="T1000" s="1">
        <v>0.0</v>
      </c>
      <c r="U1000" s="1">
        <v>1.0</v>
      </c>
      <c r="X1000" s="1" t="s">
        <v>56</v>
      </c>
    </row>
    <row r="1001">
      <c r="A1001" s="3" t="str">
        <f>HYPERLINK("https://stackoverflow.com/q/58297072", "58297072")</f>
        <v>58297072</v>
      </c>
      <c r="B1001" s="1" t="s">
        <v>93</v>
      </c>
      <c r="C1001" s="1" t="s">
        <v>3481</v>
      </c>
      <c r="D1001" s="2" t="s">
        <v>3482</v>
      </c>
      <c r="E1001" s="1">
        <v>1.0</v>
      </c>
      <c r="I1001" s="1">
        <v>0.0</v>
      </c>
      <c r="J1001" s="1">
        <v>79.0</v>
      </c>
      <c r="L1001" s="1">
        <v>6747046.0</v>
      </c>
      <c r="N1001" s="1">
        <v>5983596.0</v>
      </c>
      <c r="P1001" s="1" t="s">
        <v>3483</v>
      </c>
      <c r="Q1001" s="1" t="s">
        <v>3484</v>
      </c>
      <c r="R1001" s="1" t="s">
        <v>97</v>
      </c>
      <c r="S1001" s="1">
        <v>2.0</v>
      </c>
      <c r="T1001" s="1">
        <v>5.0</v>
      </c>
      <c r="X1001" s="1" t="s">
        <v>56</v>
      </c>
    </row>
    <row r="1002">
      <c r="A1002" s="3" t="str">
        <f>HYPERLINK("https://stackoverflow.com/q/58317425", "58317425")</f>
        <v>58317425</v>
      </c>
      <c r="B1002" s="1" t="s">
        <v>93</v>
      </c>
      <c r="C1002" s="1" t="s">
        <v>3485</v>
      </c>
      <c r="D1002" s="2" t="s">
        <v>3486</v>
      </c>
      <c r="E1002" s="1">
        <v>1.0</v>
      </c>
      <c r="I1002" s="1">
        <v>0.0</v>
      </c>
      <c r="J1002" s="1">
        <v>34.0</v>
      </c>
      <c r="L1002" s="1">
        <v>1.0533225E7</v>
      </c>
      <c r="N1002" s="1">
        <v>1.0533225E7</v>
      </c>
      <c r="P1002" s="1" t="s">
        <v>3487</v>
      </c>
      <c r="Q1002" s="1" t="s">
        <v>3487</v>
      </c>
      <c r="R1002" s="1" t="s">
        <v>97</v>
      </c>
      <c r="S1002" s="1">
        <v>0.0</v>
      </c>
      <c r="T1002" s="1">
        <v>0.0</v>
      </c>
      <c r="X1002" s="1" t="s">
        <v>56</v>
      </c>
    </row>
    <row r="1003">
      <c r="A1003" s="3" t="str">
        <f>HYPERLINK("https://stackoverflow.com/q/58323730", "58323730")</f>
        <v>58323730</v>
      </c>
      <c r="B1003" s="1" t="s">
        <v>93</v>
      </c>
      <c r="C1003" s="1" t="s">
        <v>3488</v>
      </c>
      <c r="D1003" s="2" t="s">
        <v>3489</v>
      </c>
      <c r="E1003" s="1">
        <v>1.0</v>
      </c>
      <c r="I1003" s="1">
        <v>0.0</v>
      </c>
      <c r="J1003" s="1">
        <v>31.0</v>
      </c>
      <c r="L1003" s="1">
        <v>5655471.0</v>
      </c>
      <c r="Q1003" s="1" t="s">
        <v>3488</v>
      </c>
      <c r="R1003" s="1" t="s">
        <v>3490</v>
      </c>
      <c r="S1003" s="1">
        <v>0.0</v>
      </c>
      <c r="T1003" s="1">
        <v>4.0</v>
      </c>
      <c r="X1003" s="1" t="s">
        <v>56</v>
      </c>
    </row>
    <row r="1004">
      <c r="A1004" s="3" t="str">
        <f>HYPERLINK("https://stackoverflow.com/q/58325530", "58325530")</f>
        <v>58325530</v>
      </c>
      <c r="B1004" s="1" t="s">
        <v>93</v>
      </c>
      <c r="C1004" s="1" t="s">
        <v>3491</v>
      </c>
      <c r="D1004" s="2" t="s">
        <v>3492</v>
      </c>
      <c r="E1004" s="1">
        <v>1.0</v>
      </c>
      <c r="I1004" s="1">
        <v>0.0</v>
      </c>
      <c r="J1004" s="1">
        <v>46.0</v>
      </c>
      <c r="L1004" s="1">
        <v>5655471.0</v>
      </c>
      <c r="Q1004" s="1" t="s">
        <v>3493</v>
      </c>
      <c r="R1004" s="1" t="s">
        <v>3494</v>
      </c>
      <c r="S1004" s="1">
        <v>1.0</v>
      </c>
      <c r="T1004" s="1">
        <v>0.0</v>
      </c>
      <c r="X1004" s="1" t="s">
        <v>56</v>
      </c>
    </row>
    <row r="1005">
      <c r="A1005" s="3" t="str">
        <f>HYPERLINK("https://stackoverflow.com/q/58333964", "58333964")</f>
        <v>58333964</v>
      </c>
      <c r="B1005" s="1" t="s">
        <v>93</v>
      </c>
      <c r="C1005" s="1" t="s">
        <v>3495</v>
      </c>
      <c r="D1005" s="2" t="s">
        <v>3496</v>
      </c>
      <c r="E1005" s="1">
        <v>1.0</v>
      </c>
      <c r="I1005" s="1">
        <v>0.0</v>
      </c>
      <c r="J1005" s="1">
        <v>47.0</v>
      </c>
      <c r="L1005" s="1">
        <v>1.0533225E7</v>
      </c>
      <c r="N1005" s="1">
        <v>1.0533225E7</v>
      </c>
      <c r="P1005" s="1" t="s">
        <v>3497</v>
      </c>
      <c r="Q1005" s="1" t="s">
        <v>3497</v>
      </c>
      <c r="R1005" s="1" t="s">
        <v>97</v>
      </c>
      <c r="S1005" s="1">
        <v>0.0</v>
      </c>
      <c r="T1005" s="1">
        <v>1.0</v>
      </c>
      <c r="X1005" s="1" t="s">
        <v>56</v>
      </c>
    </row>
    <row r="1006">
      <c r="A1006" s="3" t="str">
        <f>HYPERLINK("https://stackoverflow.com/q/58378119", "58378119")</f>
        <v>58378119</v>
      </c>
      <c r="B1006" s="1" t="s">
        <v>93</v>
      </c>
      <c r="C1006" s="1" t="s">
        <v>3498</v>
      </c>
      <c r="D1006" s="2" t="s">
        <v>3499</v>
      </c>
      <c r="E1006" s="1">
        <v>1.0</v>
      </c>
      <c r="F1006" s="1">
        <v>5.8378766E7</v>
      </c>
      <c r="I1006" s="1">
        <v>0.0</v>
      </c>
      <c r="J1006" s="1">
        <v>47.0</v>
      </c>
      <c r="L1006" s="1">
        <v>1.1197483E7</v>
      </c>
      <c r="Q1006" s="1" t="s">
        <v>3500</v>
      </c>
      <c r="R1006" s="1" t="s">
        <v>97</v>
      </c>
      <c r="S1006" s="1">
        <v>1.0</v>
      </c>
      <c r="T1006" s="1">
        <v>0.0</v>
      </c>
      <c r="X1006" s="1" t="s">
        <v>56</v>
      </c>
      <c r="Z1006" s="1" t="s">
        <v>3501</v>
      </c>
    </row>
    <row r="1007">
      <c r="A1007" s="3" t="str">
        <f>HYPERLINK("https://stackoverflow.com/q/58379764", "58379764")</f>
        <v>58379764</v>
      </c>
      <c r="B1007" s="1" t="s">
        <v>93</v>
      </c>
      <c r="C1007" s="1" t="s">
        <v>3502</v>
      </c>
      <c r="D1007" s="2" t="s">
        <v>3503</v>
      </c>
      <c r="E1007" s="1">
        <v>1.0</v>
      </c>
      <c r="I1007" s="1">
        <v>0.0</v>
      </c>
      <c r="J1007" s="1">
        <v>71.0</v>
      </c>
      <c r="L1007" s="1">
        <v>1567090.0</v>
      </c>
      <c r="Q1007" s="1" t="s">
        <v>3502</v>
      </c>
      <c r="R1007" s="1" t="s">
        <v>97</v>
      </c>
      <c r="S1007" s="1">
        <v>0.0</v>
      </c>
      <c r="T1007" s="1">
        <v>1.0</v>
      </c>
      <c r="X1007" s="1" t="s">
        <v>56</v>
      </c>
    </row>
    <row r="1008">
      <c r="A1008" s="3" t="str">
        <f>HYPERLINK("https://stackoverflow.com/q/58401391", "58401391")</f>
        <v>58401391</v>
      </c>
      <c r="B1008" s="1" t="s">
        <v>93</v>
      </c>
      <c r="C1008" s="1" t="s">
        <v>3504</v>
      </c>
      <c r="D1008" s="2" t="s">
        <v>3505</v>
      </c>
      <c r="E1008" s="1">
        <v>1.0</v>
      </c>
      <c r="I1008" s="1">
        <v>0.0</v>
      </c>
      <c r="J1008" s="1">
        <v>60.0</v>
      </c>
      <c r="L1008" s="1">
        <v>1567090.0</v>
      </c>
      <c r="Q1008" s="1" t="s">
        <v>3504</v>
      </c>
      <c r="R1008" s="1" t="s">
        <v>97</v>
      </c>
      <c r="S1008" s="1">
        <v>0.0</v>
      </c>
      <c r="T1008" s="1">
        <v>1.0</v>
      </c>
      <c r="X1008" s="1" t="s">
        <v>56</v>
      </c>
    </row>
    <row r="1009">
      <c r="A1009" s="3" t="str">
        <f>HYPERLINK("https://stackoverflow.com/q/58418959", "58418959")</f>
        <v>58418959</v>
      </c>
      <c r="B1009" s="1" t="s">
        <v>93</v>
      </c>
      <c r="C1009" s="1" t="s">
        <v>3506</v>
      </c>
      <c r="D1009" s="2" t="s">
        <v>3507</v>
      </c>
      <c r="E1009" s="1">
        <v>1.0</v>
      </c>
      <c r="F1009" s="1">
        <v>5.8419168E7</v>
      </c>
      <c r="I1009" s="1">
        <v>0.0</v>
      </c>
      <c r="J1009" s="1">
        <v>58.0</v>
      </c>
      <c r="L1009" s="1">
        <v>1.2227965E7</v>
      </c>
      <c r="N1009" s="1">
        <v>3662110.0</v>
      </c>
      <c r="P1009" s="1" t="s">
        <v>3508</v>
      </c>
      <c r="Q1009" s="1" t="s">
        <v>3509</v>
      </c>
      <c r="R1009" s="1" t="s">
        <v>3510</v>
      </c>
      <c r="S1009" s="1">
        <v>1.0</v>
      </c>
      <c r="T1009" s="1">
        <v>0.0</v>
      </c>
      <c r="X1009" s="1" t="s">
        <v>56</v>
      </c>
      <c r="Z1009" s="1" t="s">
        <v>3509</v>
      </c>
    </row>
    <row r="1010">
      <c r="A1010" s="3" t="str">
        <f>HYPERLINK("https://stackoverflow.com/q/58435535", "58435535")</f>
        <v>58435535</v>
      </c>
      <c r="B1010" s="1" t="s">
        <v>93</v>
      </c>
      <c r="C1010" s="1" t="s">
        <v>3511</v>
      </c>
      <c r="D1010" s="2" t="s">
        <v>3512</v>
      </c>
      <c r="E1010" s="1">
        <v>1.0</v>
      </c>
      <c r="F1010" s="1">
        <v>5.8439982E7</v>
      </c>
      <c r="I1010" s="1">
        <v>0.0</v>
      </c>
      <c r="J1010" s="1">
        <v>78.0</v>
      </c>
      <c r="L1010" s="1">
        <v>1.2233517E7</v>
      </c>
      <c r="Q1010" s="1" t="s">
        <v>3513</v>
      </c>
      <c r="R1010" s="1" t="s">
        <v>97</v>
      </c>
      <c r="S1010" s="1">
        <v>1.0</v>
      </c>
      <c r="T1010" s="1">
        <v>5.0</v>
      </c>
      <c r="X1010" s="1" t="s">
        <v>56</v>
      </c>
      <c r="Z1010" s="1" t="s">
        <v>3513</v>
      </c>
    </row>
    <row r="1011">
      <c r="A1011" s="3" t="str">
        <f>HYPERLINK("https://stackoverflow.com/q/58447864", "58447864")</f>
        <v>58447864</v>
      </c>
      <c r="B1011" s="1" t="s">
        <v>93</v>
      </c>
      <c r="C1011" s="1" t="s">
        <v>3514</v>
      </c>
      <c r="D1011" s="2" t="s">
        <v>3515</v>
      </c>
      <c r="E1011" s="1">
        <v>1.0</v>
      </c>
      <c r="F1011" s="1">
        <v>5.8450398E7</v>
      </c>
      <c r="I1011" s="1">
        <v>0.0</v>
      </c>
      <c r="J1011" s="1">
        <v>64.0</v>
      </c>
      <c r="L1011" s="1">
        <v>5655471.0</v>
      </c>
      <c r="Q1011" s="1" t="s">
        <v>3516</v>
      </c>
      <c r="R1011" s="1" t="s">
        <v>3517</v>
      </c>
      <c r="S1011" s="1">
        <v>1.0</v>
      </c>
      <c r="T1011" s="1">
        <v>0.0</v>
      </c>
      <c r="X1011" s="1" t="s">
        <v>56</v>
      </c>
      <c r="Z1011" s="1" t="s">
        <v>3518</v>
      </c>
    </row>
    <row r="1012">
      <c r="A1012" s="3" t="str">
        <f>HYPERLINK("https://stackoverflow.com/q/58467091", "58467091")</f>
        <v>58467091</v>
      </c>
      <c r="B1012" s="1" t="s">
        <v>93</v>
      </c>
      <c r="C1012" s="1" t="s">
        <v>3519</v>
      </c>
      <c r="D1012" s="2" t="s">
        <v>3520</v>
      </c>
      <c r="E1012" s="1">
        <v>1.0</v>
      </c>
      <c r="F1012" s="1">
        <v>5.8508882E7</v>
      </c>
      <c r="I1012" s="1">
        <v>0.0</v>
      </c>
      <c r="J1012" s="1">
        <v>151.0</v>
      </c>
      <c r="L1012" s="1">
        <v>9012025.0</v>
      </c>
      <c r="Q1012" s="1" t="s">
        <v>3521</v>
      </c>
      <c r="R1012" s="1" t="s">
        <v>130</v>
      </c>
      <c r="S1012" s="1">
        <v>1.0</v>
      </c>
      <c r="T1012" s="1">
        <v>3.0</v>
      </c>
      <c r="X1012" s="1" t="s">
        <v>56</v>
      </c>
      <c r="Z1012" s="1" t="s">
        <v>3521</v>
      </c>
    </row>
    <row r="1013">
      <c r="A1013" s="3" t="str">
        <f>HYPERLINK("https://stackoverflow.com/q/58468165", "58468165")</f>
        <v>58468165</v>
      </c>
      <c r="B1013" s="1" t="s">
        <v>93</v>
      </c>
      <c r="C1013" s="1" t="s">
        <v>3522</v>
      </c>
      <c r="D1013" s="2" t="s">
        <v>3523</v>
      </c>
      <c r="E1013" s="1">
        <v>1.0</v>
      </c>
      <c r="I1013" s="1">
        <v>0.0</v>
      </c>
      <c r="J1013" s="1">
        <v>93.0</v>
      </c>
      <c r="L1013" s="1">
        <v>5173270.0</v>
      </c>
      <c r="Q1013" s="1" t="s">
        <v>3522</v>
      </c>
      <c r="R1013" s="1" t="s">
        <v>3524</v>
      </c>
      <c r="S1013" s="1">
        <v>0.0</v>
      </c>
      <c r="T1013" s="1">
        <v>1.0</v>
      </c>
      <c r="X1013" s="1" t="s">
        <v>56</v>
      </c>
    </row>
    <row r="1014">
      <c r="A1014" s="3" t="str">
        <f>HYPERLINK("https://stackoverflow.com/q/58488121", "58488121")</f>
        <v>58488121</v>
      </c>
      <c r="B1014" s="1" t="s">
        <v>93</v>
      </c>
      <c r="C1014" s="1" t="s">
        <v>3525</v>
      </c>
      <c r="D1014" s="2" t="s">
        <v>3526</v>
      </c>
      <c r="E1014" s="1">
        <v>1.0</v>
      </c>
      <c r="I1014" s="1">
        <v>0.0</v>
      </c>
      <c r="J1014" s="1">
        <v>16.0</v>
      </c>
      <c r="L1014" s="1">
        <v>1.2251451E7</v>
      </c>
      <c r="Q1014" s="1" t="s">
        <v>3525</v>
      </c>
      <c r="R1014" s="1" t="s">
        <v>97</v>
      </c>
      <c r="S1014" s="1">
        <v>0.0</v>
      </c>
      <c r="T1014" s="1">
        <v>3.0</v>
      </c>
      <c r="X1014" s="1" t="s">
        <v>56</v>
      </c>
    </row>
    <row r="1015">
      <c r="A1015" s="3" t="str">
        <f>HYPERLINK("https://stackoverflow.com/q/58488958", "58488958")</f>
        <v>58488958</v>
      </c>
      <c r="B1015" s="1" t="s">
        <v>93</v>
      </c>
      <c r="C1015" s="1" t="s">
        <v>3527</v>
      </c>
      <c r="D1015" s="2" t="s">
        <v>3528</v>
      </c>
      <c r="E1015" s="1">
        <v>1.0</v>
      </c>
      <c r="I1015" s="1">
        <v>1.0</v>
      </c>
      <c r="J1015" s="1">
        <v>19.0</v>
      </c>
      <c r="L1015" s="1">
        <v>9427149.0</v>
      </c>
      <c r="Q1015" s="1" t="s">
        <v>3527</v>
      </c>
      <c r="R1015" s="1" t="s">
        <v>97</v>
      </c>
      <c r="S1015" s="1">
        <v>0.0</v>
      </c>
      <c r="T1015" s="1">
        <v>7.0</v>
      </c>
      <c r="X1015" s="1" t="s">
        <v>56</v>
      </c>
    </row>
    <row r="1016">
      <c r="A1016" s="3" t="str">
        <f>HYPERLINK("https://stackoverflow.com/q/58492310", "58492310")</f>
        <v>58492310</v>
      </c>
      <c r="B1016" s="1" t="s">
        <v>93</v>
      </c>
      <c r="C1016" s="1" t="s">
        <v>3529</v>
      </c>
      <c r="D1016" s="2" t="s">
        <v>3530</v>
      </c>
      <c r="E1016" s="1">
        <v>1.0</v>
      </c>
      <c r="F1016" s="1">
        <v>5.8492348E7</v>
      </c>
      <c r="I1016" s="1">
        <v>1.0</v>
      </c>
      <c r="J1016" s="1">
        <v>41.0</v>
      </c>
      <c r="L1016" s="1">
        <v>5297307.0</v>
      </c>
      <c r="Q1016" s="1" t="s">
        <v>3531</v>
      </c>
      <c r="R1016" s="1" t="s">
        <v>97</v>
      </c>
      <c r="S1016" s="1">
        <v>1.0</v>
      </c>
      <c r="T1016" s="1">
        <v>0.0</v>
      </c>
      <c r="X1016" s="1" t="s">
        <v>56</v>
      </c>
      <c r="Z1016" s="1" t="s">
        <v>3531</v>
      </c>
    </row>
    <row r="1017">
      <c r="A1017" s="3" t="str">
        <f>HYPERLINK("https://stackoverflow.com/q/58496141", "58496141")</f>
        <v>58496141</v>
      </c>
      <c r="B1017" s="1" t="s">
        <v>93</v>
      </c>
      <c r="C1017" s="1" t="s">
        <v>3532</v>
      </c>
      <c r="D1017" s="2" t="s">
        <v>3533</v>
      </c>
      <c r="E1017" s="1">
        <v>1.0</v>
      </c>
      <c r="F1017" s="1">
        <v>5.853661E7</v>
      </c>
      <c r="I1017" s="1">
        <v>0.0</v>
      </c>
      <c r="J1017" s="1">
        <v>35.0</v>
      </c>
      <c r="L1017" s="1">
        <v>1.2254661E7</v>
      </c>
      <c r="Q1017" s="1" t="s">
        <v>3534</v>
      </c>
      <c r="R1017" s="1" t="s">
        <v>97</v>
      </c>
      <c r="S1017" s="1">
        <v>1.0</v>
      </c>
      <c r="T1017" s="1">
        <v>2.0</v>
      </c>
      <c r="X1017" s="1" t="s">
        <v>56</v>
      </c>
      <c r="Z1017" s="1" t="s">
        <v>3534</v>
      </c>
    </row>
    <row r="1018">
      <c r="A1018" s="3" t="str">
        <f>HYPERLINK("https://stackoverflow.com/q/58496748", "58496748")</f>
        <v>58496748</v>
      </c>
      <c r="B1018" s="1" t="s">
        <v>93</v>
      </c>
      <c r="C1018" s="1" t="s">
        <v>3535</v>
      </c>
      <c r="D1018" s="2" t="s">
        <v>3536</v>
      </c>
      <c r="E1018" s="1">
        <v>1.0</v>
      </c>
      <c r="I1018" s="1">
        <v>0.0</v>
      </c>
      <c r="J1018" s="1">
        <v>66.0</v>
      </c>
      <c r="L1018" s="1">
        <v>1.2255023E7</v>
      </c>
      <c r="Q1018" s="1" t="s">
        <v>3537</v>
      </c>
      <c r="R1018" s="1" t="s">
        <v>696</v>
      </c>
      <c r="S1018" s="1">
        <v>1.0</v>
      </c>
      <c r="T1018" s="1">
        <v>3.0</v>
      </c>
      <c r="X1018" s="1" t="s">
        <v>56</v>
      </c>
    </row>
    <row r="1019">
      <c r="A1019" s="3" t="str">
        <f>HYPERLINK("https://stackoverflow.com/q/58511291", "58511291")</f>
        <v>58511291</v>
      </c>
      <c r="B1019" s="1" t="s">
        <v>93</v>
      </c>
      <c r="C1019" s="1" t="s">
        <v>3538</v>
      </c>
      <c r="D1019" s="2" t="s">
        <v>3539</v>
      </c>
      <c r="E1019" s="1">
        <v>1.0</v>
      </c>
      <c r="F1019" s="1">
        <v>5.8511871E7</v>
      </c>
      <c r="I1019" s="1">
        <v>0.0</v>
      </c>
      <c r="J1019" s="1">
        <v>41.0</v>
      </c>
      <c r="L1019" s="1">
        <v>1.2233517E7</v>
      </c>
      <c r="Q1019" s="1" t="s">
        <v>3540</v>
      </c>
      <c r="R1019" s="1" t="s">
        <v>3541</v>
      </c>
      <c r="S1019" s="1">
        <v>1.0</v>
      </c>
      <c r="T1019" s="1">
        <v>2.0</v>
      </c>
      <c r="X1019" s="1" t="s">
        <v>56</v>
      </c>
      <c r="Z1019" s="1" t="s">
        <v>3542</v>
      </c>
    </row>
    <row r="1020">
      <c r="A1020" s="3" t="str">
        <f>HYPERLINK("https://stackoverflow.com/q/58512106", "58512106")</f>
        <v>58512106</v>
      </c>
      <c r="B1020" s="1" t="s">
        <v>93</v>
      </c>
      <c r="C1020" s="1" t="s">
        <v>3543</v>
      </c>
      <c r="D1020" s="2" t="s">
        <v>3544</v>
      </c>
      <c r="E1020" s="1">
        <v>1.0</v>
      </c>
      <c r="F1020" s="1">
        <v>5.8512317E7</v>
      </c>
      <c r="I1020" s="1">
        <v>0.0</v>
      </c>
      <c r="J1020" s="1">
        <v>37.0</v>
      </c>
      <c r="L1020" s="1">
        <v>2844562.0</v>
      </c>
      <c r="N1020" s="1">
        <v>5983596.0</v>
      </c>
      <c r="P1020" s="1" t="s">
        <v>3545</v>
      </c>
      <c r="Q1020" s="1" t="s">
        <v>3546</v>
      </c>
      <c r="R1020" s="1" t="s">
        <v>97</v>
      </c>
      <c r="S1020" s="1">
        <v>1.0</v>
      </c>
      <c r="T1020" s="1">
        <v>1.0</v>
      </c>
      <c r="X1020" s="1" t="s">
        <v>56</v>
      </c>
      <c r="Z1020" s="1" t="s">
        <v>3546</v>
      </c>
    </row>
    <row r="1021">
      <c r="A1021" s="3" t="str">
        <f>HYPERLINK("https://stackoverflow.com/q/58528431", "58528431")</f>
        <v>58528431</v>
      </c>
      <c r="B1021" s="1" t="s">
        <v>93</v>
      </c>
      <c r="C1021" s="1" t="s">
        <v>3547</v>
      </c>
      <c r="D1021" s="2" t="s">
        <v>3548</v>
      </c>
      <c r="E1021" s="1">
        <v>1.0</v>
      </c>
      <c r="F1021" s="1">
        <v>5.8536017E7</v>
      </c>
      <c r="I1021" s="1">
        <v>0.0</v>
      </c>
      <c r="J1021" s="1">
        <v>44.0</v>
      </c>
      <c r="L1021" s="1">
        <v>1.0533225E7</v>
      </c>
      <c r="Q1021" s="1" t="s">
        <v>3549</v>
      </c>
      <c r="R1021" s="1" t="s">
        <v>97</v>
      </c>
      <c r="S1021" s="1">
        <v>1.0</v>
      </c>
      <c r="T1021" s="1">
        <v>1.0</v>
      </c>
      <c r="U1021" s="1">
        <v>1.0</v>
      </c>
      <c r="X1021" s="1" t="s">
        <v>56</v>
      </c>
      <c r="Z1021" s="1" t="s">
        <v>3550</v>
      </c>
    </row>
    <row r="1022">
      <c r="A1022" s="3" t="str">
        <f>HYPERLINK("https://stackoverflow.com/q/58546520", "58546520")</f>
        <v>58546520</v>
      </c>
      <c r="B1022" s="1" t="s">
        <v>93</v>
      </c>
      <c r="C1022" s="1" t="s">
        <v>3551</v>
      </c>
      <c r="D1022" s="2" t="s">
        <v>3552</v>
      </c>
      <c r="E1022" s="1">
        <v>1.0</v>
      </c>
      <c r="F1022" s="1">
        <v>5.854722E7</v>
      </c>
      <c r="I1022" s="1">
        <v>0.0</v>
      </c>
      <c r="J1022" s="1">
        <v>42.0</v>
      </c>
      <c r="L1022" s="1">
        <v>1.2233517E7</v>
      </c>
      <c r="Q1022" s="1" t="s">
        <v>3553</v>
      </c>
      <c r="R1022" s="1" t="s">
        <v>97</v>
      </c>
      <c r="S1022" s="1">
        <v>1.0</v>
      </c>
      <c r="T1022" s="1">
        <v>4.0</v>
      </c>
      <c r="X1022" s="1" t="s">
        <v>56</v>
      </c>
      <c r="Z1022" s="1" t="s">
        <v>3553</v>
      </c>
    </row>
    <row r="1023">
      <c r="A1023" s="3" t="str">
        <f>HYPERLINK("https://stackoverflow.com/q/58580506", "58580506")</f>
        <v>58580506</v>
      </c>
      <c r="B1023" s="1" t="s">
        <v>93</v>
      </c>
      <c r="C1023" s="1" t="s">
        <v>3554</v>
      </c>
      <c r="D1023" s="2" t="s">
        <v>3555</v>
      </c>
      <c r="E1023" s="1">
        <v>1.0</v>
      </c>
      <c r="I1023" s="1">
        <v>0.0</v>
      </c>
      <c r="J1023" s="1">
        <v>46.0</v>
      </c>
      <c r="L1023" s="1">
        <v>1.2281782E7</v>
      </c>
      <c r="Q1023" s="1" t="s">
        <v>3554</v>
      </c>
      <c r="R1023" s="1" t="s">
        <v>97</v>
      </c>
      <c r="S1023" s="1">
        <v>0.0</v>
      </c>
      <c r="T1023" s="1">
        <v>1.0</v>
      </c>
      <c r="X1023" s="1" t="s">
        <v>56</v>
      </c>
    </row>
    <row r="1024">
      <c r="A1024" s="3" t="str">
        <f>HYPERLINK("https://stackoverflow.com/q/58593985", "58593985")</f>
        <v>58593985</v>
      </c>
      <c r="B1024" s="1" t="s">
        <v>93</v>
      </c>
      <c r="C1024" s="1" t="s">
        <v>3556</v>
      </c>
      <c r="D1024" s="2" t="s">
        <v>3557</v>
      </c>
      <c r="E1024" s="1">
        <v>1.0</v>
      </c>
      <c r="I1024" s="1">
        <v>0.0</v>
      </c>
      <c r="J1024" s="1">
        <v>33.0</v>
      </c>
      <c r="L1024" s="1">
        <v>5655471.0</v>
      </c>
      <c r="Q1024" s="1" t="s">
        <v>3558</v>
      </c>
      <c r="R1024" s="1" t="s">
        <v>3559</v>
      </c>
      <c r="S1024" s="1">
        <v>1.0</v>
      </c>
      <c r="T1024" s="1">
        <v>5.0</v>
      </c>
      <c r="X1024" s="1" t="s">
        <v>56</v>
      </c>
    </row>
    <row r="1025">
      <c r="A1025" s="3" t="str">
        <f>HYPERLINK("https://stackoverflow.com/q/58594685", "58594685")</f>
        <v>58594685</v>
      </c>
      <c r="B1025" s="1" t="s">
        <v>93</v>
      </c>
      <c r="C1025" s="1" t="s">
        <v>3560</v>
      </c>
      <c r="D1025" s="2" t="s">
        <v>3561</v>
      </c>
      <c r="E1025" s="1">
        <v>1.0</v>
      </c>
      <c r="I1025" s="1">
        <v>1.0</v>
      </c>
      <c r="J1025" s="1">
        <v>71.0</v>
      </c>
      <c r="L1025" s="1">
        <v>1.1770778E7</v>
      </c>
      <c r="N1025" s="1">
        <v>1.134372E7</v>
      </c>
      <c r="P1025" s="1" t="s">
        <v>3562</v>
      </c>
      <c r="Q1025" s="1" t="s">
        <v>3563</v>
      </c>
      <c r="R1025" s="1" t="s">
        <v>696</v>
      </c>
      <c r="S1025" s="1">
        <v>3.0</v>
      </c>
      <c r="T1025" s="1">
        <v>0.0</v>
      </c>
      <c r="U1025" s="1">
        <v>1.0</v>
      </c>
      <c r="X1025" s="1" t="s">
        <v>56</v>
      </c>
    </row>
    <row r="1026">
      <c r="A1026" s="3" t="str">
        <f>HYPERLINK("https://stackoverflow.com/q/58596586", "58596586")</f>
        <v>58596586</v>
      </c>
      <c r="B1026" s="1" t="s">
        <v>93</v>
      </c>
      <c r="C1026" s="1" t="s">
        <v>3564</v>
      </c>
      <c r="D1026" s="2" t="s">
        <v>3565</v>
      </c>
      <c r="E1026" s="1">
        <v>1.0</v>
      </c>
      <c r="I1026" s="1">
        <v>0.0</v>
      </c>
      <c r="J1026" s="1">
        <v>27.0</v>
      </c>
      <c r="L1026" s="1">
        <v>5297307.0</v>
      </c>
      <c r="Q1026" s="1" t="s">
        <v>3564</v>
      </c>
      <c r="R1026" s="1" t="s">
        <v>97</v>
      </c>
      <c r="S1026" s="1">
        <v>0.0</v>
      </c>
      <c r="T1026" s="1">
        <v>4.0</v>
      </c>
      <c r="X1026" s="1" t="s">
        <v>56</v>
      </c>
    </row>
    <row r="1027">
      <c r="A1027" s="3" t="str">
        <f>HYPERLINK("https://stackoverflow.com/q/58602509", "58602509")</f>
        <v>58602509</v>
      </c>
      <c r="B1027" s="1" t="s">
        <v>93</v>
      </c>
      <c r="C1027" s="1" t="s">
        <v>3566</v>
      </c>
      <c r="D1027" s="2" t="s">
        <v>3567</v>
      </c>
      <c r="E1027" s="1">
        <v>1.0</v>
      </c>
      <c r="I1027" s="1">
        <v>0.0</v>
      </c>
      <c r="J1027" s="1">
        <v>33.0</v>
      </c>
      <c r="L1027" s="1">
        <v>6747046.0</v>
      </c>
      <c r="N1027" s="1">
        <v>1.2892553E7</v>
      </c>
      <c r="P1027" s="1" t="s">
        <v>3568</v>
      </c>
      <c r="Q1027" s="1" t="s">
        <v>3568</v>
      </c>
      <c r="R1027" s="1" t="s">
        <v>97</v>
      </c>
      <c r="S1027" s="1">
        <v>0.0</v>
      </c>
      <c r="T1027" s="1">
        <v>4.0</v>
      </c>
      <c r="X1027" s="1" t="s">
        <v>56</v>
      </c>
    </row>
    <row r="1028">
      <c r="A1028" s="3" t="str">
        <f>HYPERLINK("https://stackoverflow.com/q/58609888", "58609888")</f>
        <v>58609888</v>
      </c>
      <c r="B1028" s="1" t="s">
        <v>93</v>
      </c>
      <c r="C1028" s="1" t="s">
        <v>3569</v>
      </c>
      <c r="D1028" s="2" t="s">
        <v>3570</v>
      </c>
      <c r="E1028" s="1">
        <v>1.0</v>
      </c>
      <c r="I1028" s="1">
        <v>0.0</v>
      </c>
      <c r="J1028" s="1">
        <v>34.0</v>
      </c>
      <c r="L1028" s="1">
        <v>1.2274555E7</v>
      </c>
      <c r="Q1028" s="1" t="s">
        <v>3571</v>
      </c>
      <c r="R1028" s="1" t="s">
        <v>2280</v>
      </c>
      <c r="S1028" s="1">
        <v>1.0</v>
      </c>
      <c r="T1028" s="1">
        <v>4.0</v>
      </c>
      <c r="X1028" s="1" t="s">
        <v>56</v>
      </c>
    </row>
    <row r="1029">
      <c r="A1029" s="3" t="str">
        <f>HYPERLINK("https://stackoverflow.com/q/58628659", "58628659")</f>
        <v>58628659</v>
      </c>
      <c r="B1029" s="1" t="s">
        <v>93</v>
      </c>
      <c r="C1029" s="1" t="s">
        <v>3572</v>
      </c>
      <c r="D1029" s="2" t="s">
        <v>3573</v>
      </c>
      <c r="E1029" s="1">
        <v>1.0</v>
      </c>
      <c r="I1029" s="1">
        <v>0.0</v>
      </c>
      <c r="J1029" s="1">
        <v>32.0</v>
      </c>
      <c r="L1029" s="1">
        <v>6900581.0</v>
      </c>
      <c r="Q1029" s="1" t="s">
        <v>3574</v>
      </c>
      <c r="R1029" s="1" t="s">
        <v>97</v>
      </c>
      <c r="S1029" s="1">
        <v>1.0</v>
      </c>
      <c r="T1029" s="1">
        <v>2.0</v>
      </c>
      <c r="X1029" s="1" t="s">
        <v>56</v>
      </c>
    </row>
    <row r="1030">
      <c r="A1030" s="3" t="str">
        <f>HYPERLINK("https://stackoverflow.com/q/58629272", "58629272")</f>
        <v>58629272</v>
      </c>
      <c r="B1030" s="1" t="s">
        <v>93</v>
      </c>
      <c r="C1030" s="1" t="s">
        <v>3575</v>
      </c>
      <c r="D1030" s="2" t="s">
        <v>3576</v>
      </c>
      <c r="E1030" s="1">
        <v>1.0</v>
      </c>
      <c r="F1030" s="1">
        <v>5.8629466E7</v>
      </c>
      <c r="I1030" s="1">
        <v>0.0</v>
      </c>
      <c r="J1030" s="1">
        <v>24.0</v>
      </c>
      <c r="L1030" s="1">
        <v>1.2233517E7</v>
      </c>
      <c r="Q1030" s="1" t="s">
        <v>3577</v>
      </c>
      <c r="R1030" s="1" t="s">
        <v>97</v>
      </c>
      <c r="S1030" s="1">
        <v>1.0</v>
      </c>
      <c r="T1030" s="1">
        <v>0.0</v>
      </c>
      <c r="X1030" s="1" t="s">
        <v>56</v>
      </c>
      <c r="Z1030" s="1" t="s">
        <v>3577</v>
      </c>
    </row>
    <row r="1031">
      <c r="A1031" s="3" t="str">
        <f>HYPERLINK("https://stackoverflow.com/q/58632538", "58632538")</f>
        <v>58632538</v>
      </c>
      <c r="B1031" s="1" t="s">
        <v>93</v>
      </c>
      <c r="C1031" s="1" t="s">
        <v>3578</v>
      </c>
      <c r="D1031" s="2" t="s">
        <v>3579</v>
      </c>
      <c r="E1031" s="1">
        <v>1.0</v>
      </c>
      <c r="I1031" s="1">
        <v>1.0</v>
      </c>
      <c r="J1031" s="1">
        <v>69.0</v>
      </c>
      <c r="L1031" s="1">
        <v>9427149.0</v>
      </c>
      <c r="N1031" s="1">
        <v>7215091.0</v>
      </c>
      <c r="P1031" s="1" t="s">
        <v>3580</v>
      </c>
      <c r="Q1031" s="1" t="s">
        <v>3581</v>
      </c>
      <c r="R1031" s="1" t="s">
        <v>516</v>
      </c>
      <c r="S1031" s="1">
        <v>1.0</v>
      </c>
      <c r="T1031" s="1">
        <v>2.0</v>
      </c>
      <c r="U1031" s="1">
        <v>2.0</v>
      </c>
      <c r="X1031" s="1" t="s">
        <v>56</v>
      </c>
    </row>
    <row r="1032">
      <c r="A1032" s="3" t="str">
        <f>HYPERLINK("https://stackoverflow.com/q/58632765", "58632765")</f>
        <v>58632765</v>
      </c>
      <c r="B1032" s="1" t="s">
        <v>93</v>
      </c>
      <c r="C1032" s="1" t="s">
        <v>3582</v>
      </c>
      <c r="D1032" s="2" t="s">
        <v>3583</v>
      </c>
      <c r="E1032" s="1">
        <v>1.0</v>
      </c>
      <c r="F1032" s="1">
        <v>5.8634248E7</v>
      </c>
      <c r="I1032" s="1">
        <v>0.0</v>
      </c>
      <c r="J1032" s="1">
        <v>43.0</v>
      </c>
      <c r="L1032" s="1">
        <v>2690677.0</v>
      </c>
      <c r="Q1032" s="1" t="s">
        <v>3584</v>
      </c>
      <c r="R1032" s="1" t="s">
        <v>97</v>
      </c>
      <c r="S1032" s="1">
        <v>1.0</v>
      </c>
      <c r="T1032" s="1">
        <v>0.0</v>
      </c>
      <c r="X1032" s="1" t="s">
        <v>56</v>
      </c>
      <c r="Z1032" s="1" t="s">
        <v>3585</v>
      </c>
    </row>
    <row r="1033">
      <c r="A1033" s="3" t="str">
        <f>HYPERLINK("https://stackoverflow.com/q/58646976", "58646976")</f>
        <v>58646976</v>
      </c>
      <c r="B1033" s="1" t="s">
        <v>93</v>
      </c>
      <c r="C1033" s="1" t="s">
        <v>3586</v>
      </c>
      <c r="D1033" s="2" t="s">
        <v>3587</v>
      </c>
      <c r="E1033" s="1">
        <v>1.0</v>
      </c>
      <c r="F1033" s="1">
        <v>5.8660022E7</v>
      </c>
      <c r="I1033" s="1">
        <v>0.0</v>
      </c>
      <c r="J1033" s="1">
        <v>122.0</v>
      </c>
      <c r="L1033" s="1">
        <v>1.2233517E7</v>
      </c>
      <c r="N1033" s="1">
        <v>1.2892553E7</v>
      </c>
      <c r="P1033" s="1" t="s">
        <v>3588</v>
      </c>
      <c r="Q1033" s="1" t="s">
        <v>3588</v>
      </c>
      <c r="R1033" s="1" t="s">
        <v>97</v>
      </c>
      <c r="S1033" s="1">
        <v>2.0</v>
      </c>
      <c r="T1033" s="1">
        <v>3.0</v>
      </c>
      <c r="X1033" s="1" t="s">
        <v>56</v>
      </c>
      <c r="Z1033" s="1" t="s">
        <v>3589</v>
      </c>
    </row>
    <row r="1034">
      <c r="A1034" s="3" t="str">
        <f>HYPERLINK("https://stackoverflow.com/q/58647180", "58647180")</f>
        <v>58647180</v>
      </c>
      <c r="B1034" s="1" t="s">
        <v>93</v>
      </c>
      <c r="C1034" s="1" t="s">
        <v>3590</v>
      </c>
      <c r="D1034" s="2" t="s">
        <v>3591</v>
      </c>
      <c r="E1034" s="1">
        <v>1.0</v>
      </c>
      <c r="F1034" s="1">
        <v>5.869025E7</v>
      </c>
      <c r="I1034" s="1">
        <v>0.0</v>
      </c>
      <c r="J1034" s="1">
        <v>58.0</v>
      </c>
      <c r="L1034" s="1">
        <v>1.2304144E7</v>
      </c>
      <c r="Q1034" s="1" t="s">
        <v>3592</v>
      </c>
      <c r="R1034" s="1" t="s">
        <v>97</v>
      </c>
      <c r="S1034" s="1">
        <v>1.0</v>
      </c>
      <c r="T1034" s="1">
        <v>3.0</v>
      </c>
      <c r="U1034" s="1">
        <v>0.0</v>
      </c>
      <c r="X1034" s="1" t="s">
        <v>56</v>
      </c>
      <c r="Z1034" s="1" t="s">
        <v>3592</v>
      </c>
    </row>
    <row r="1035">
      <c r="A1035" s="3" t="str">
        <f>HYPERLINK("https://stackoverflow.com/q/58649436", "58649436")</f>
        <v>58649436</v>
      </c>
      <c r="B1035" s="1" t="s">
        <v>93</v>
      </c>
      <c r="C1035" s="1" t="s">
        <v>3593</v>
      </c>
      <c r="D1035" s="2" t="s">
        <v>3594</v>
      </c>
      <c r="E1035" s="1">
        <v>1.0</v>
      </c>
      <c r="I1035" s="1">
        <v>1.0</v>
      </c>
      <c r="J1035" s="1">
        <v>40.0</v>
      </c>
      <c r="L1035" s="1">
        <v>2364045.0</v>
      </c>
      <c r="Q1035" s="1" t="s">
        <v>3593</v>
      </c>
      <c r="R1035" s="1" t="s">
        <v>97</v>
      </c>
      <c r="S1035" s="1">
        <v>0.0</v>
      </c>
      <c r="T1035" s="1">
        <v>5.0</v>
      </c>
      <c r="X1035" s="1" t="s">
        <v>56</v>
      </c>
    </row>
    <row r="1036">
      <c r="A1036" s="3" t="str">
        <f>HYPERLINK("https://stackoverflow.com/q/58696023", "58696023")</f>
        <v>58696023</v>
      </c>
      <c r="B1036" s="1" t="s">
        <v>93</v>
      </c>
      <c r="C1036" s="1" t="s">
        <v>3595</v>
      </c>
      <c r="D1036" s="2" t="s">
        <v>3596</v>
      </c>
      <c r="E1036" s="1">
        <v>1.0</v>
      </c>
      <c r="I1036" s="1">
        <v>1.0</v>
      </c>
      <c r="J1036" s="1">
        <v>27.0</v>
      </c>
      <c r="L1036" s="1">
        <v>1.2307807E7</v>
      </c>
      <c r="N1036" s="1">
        <v>1.2307807E7</v>
      </c>
      <c r="P1036" s="1" t="s">
        <v>3597</v>
      </c>
      <c r="Q1036" s="1" t="s">
        <v>3597</v>
      </c>
      <c r="R1036" s="1" t="s">
        <v>97</v>
      </c>
      <c r="S1036" s="1">
        <v>0.0</v>
      </c>
      <c r="T1036" s="1">
        <v>0.0</v>
      </c>
      <c r="X1036" s="1" t="s">
        <v>56</v>
      </c>
    </row>
    <row r="1037">
      <c r="A1037" s="3" t="str">
        <f>HYPERLINK("https://stackoverflow.com/q/58698789", "58698789")</f>
        <v>58698789</v>
      </c>
      <c r="B1037" s="1" t="s">
        <v>93</v>
      </c>
      <c r="C1037" s="1" t="s">
        <v>3598</v>
      </c>
      <c r="D1037" s="2" t="s">
        <v>3599</v>
      </c>
      <c r="E1037" s="1">
        <v>1.0</v>
      </c>
      <c r="F1037" s="1">
        <v>5.8703419E7</v>
      </c>
      <c r="I1037" s="1">
        <v>0.0</v>
      </c>
      <c r="J1037" s="1">
        <v>70.0</v>
      </c>
      <c r="L1037" s="1">
        <v>9207908.0</v>
      </c>
      <c r="Q1037" s="1" t="s">
        <v>3600</v>
      </c>
      <c r="R1037" s="1" t="s">
        <v>3601</v>
      </c>
      <c r="S1037" s="1">
        <v>1.0</v>
      </c>
      <c r="T1037" s="1">
        <v>1.0</v>
      </c>
      <c r="X1037" s="1" t="s">
        <v>56</v>
      </c>
      <c r="Z1037" s="1" t="s">
        <v>3600</v>
      </c>
    </row>
    <row r="1038">
      <c r="A1038" s="3" t="str">
        <f>HYPERLINK("https://stackoverflow.com/q/58701204", "58701204")</f>
        <v>58701204</v>
      </c>
      <c r="B1038" s="1" t="s">
        <v>93</v>
      </c>
      <c r="C1038" s="1" t="s">
        <v>3602</v>
      </c>
      <c r="D1038" s="2" t="s">
        <v>3603</v>
      </c>
      <c r="E1038" s="1">
        <v>1.0</v>
      </c>
      <c r="F1038" s="1">
        <v>5.8720041E7</v>
      </c>
      <c r="I1038" s="1">
        <v>0.0</v>
      </c>
      <c r="J1038" s="1">
        <v>30.0</v>
      </c>
      <c r="L1038" s="1">
        <v>5297307.0</v>
      </c>
      <c r="Q1038" s="1" t="s">
        <v>3604</v>
      </c>
      <c r="R1038" s="1" t="s">
        <v>97</v>
      </c>
      <c r="S1038" s="1">
        <v>1.0</v>
      </c>
      <c r="T1038" s="1">
        <v>5.0</v>
      </c>
      <c r="X1038" s="1" t="s">
        <v>56</v>
      </c>
      <c r="Z1038" s="1" t="s">
        <v>3604</v>
      </c>
    </row>
    <row r="1039">
      <c r="A1039" s="3" t="str">
        <f>HYPERLINK("https://stackoverflow.com/q/58719818", "58719818")</f>
        <v>58719818</v>
      </c>
      <c r="B1039" s="1" t="s">
        <v>93</v>
      </c>
      <c r="C1039" s="1" t="s">
        <v>3605</v>
      </c>
      <c r="D1039" s="2" t="s">
        <v>3606</v>
      </c>
      <c r="E1039" s="1">
        <v>1.0</v>
      </c>
      <c r="I1039" s="1">
        <v>0.0</v>
      </c>
      <c r="J1039" s="1">
        <v>29.0</v>
      </c>
      <c r="L1039" s="1">
        <v>5297307.0</v>
      </c>
      <c r="Q1039" s="1" t="s">
        <v>3607</v>
      </c>
      <c r="R1039" s="1" t="s">
        <v>97</v>
      </c>
      <c r="S1039" s="1">
        <v>1.0</v>
      </c>
      <c r="T1039" s="1">
        <v>2.0</v>
      </c>
      <c r="X1039" s="1" t="s">
        <v>56</v>
      </c>
    </row>
    <row r="1040">
      <c r="A1040" s="3" t="str">
        <f>HYPERLINK("https://stackoverflow.com/q/58720305", "58720305")</f>
        <v>58720305</v>
      </c>
      <c r="B1040" s="1" t="s">
        <v>93</v>
      </c>
      <c r="C1040" s="1" t="s">
        <v>3608</v>
      </c>
      <c r="D1040" s="2" t="s">
        <v>3609</v>
      </c>
      <c r="E1040" s="1">
        <v>1.0</v>
      </c>
      <c r="I1040" s="1">
        <v>0.0</v>
      </c>
      <c r="J1040" s="1">
        <v>63.0</v>
      </c>
      <c r="L1040" s="1">
        <v>7239320.0</v>
      </c>
      <c r="Q1040" s="1" t="s">
        <v>3608</v>
      </c>
      <c r="R1040" s="1" t="s">
        <v>97</v>
      </c>
      <c r="S1040" s="1">
        <v>0.0</v>
      </c>
      <c r="T1040" s="1">
        <v>4.0</v>
      </c>
      <c r="X1040" s="1" t="s">
        <v>56</v>
      </c>
    </row>
    <row r="1041">
      <c r="A1041" s="3" t="str">
        <f>HYPERLINK("https://stackoverflow.com/q/58730516", "58730516")</f>
        <v>58730516</v>
      </c>
      <c r="B1041" s="1" t="s">
        <v>93</v>
      </c>
      <c r="C1041" s="1" t="s">
        <v>3610</v>
      </c>
      <c r="D1041" s="2" t="s">
        <v>3611</v>
      </c>
      <c r="E1041" s="1">
        <v>1.0</v>
      </c>
      <c r="I1041" s="1">
        <v>0.0</v>
      </c>
      <c r="J1041" s="1">
        <v>35.0</v>
      </c>
      <c r="L1041" s="1">
        <v>1.1197483E7</v>
      </c>
      <c r="N1041" s="1">
        <v>5983596.0</v>
      </c>
      <c r="P1041" s="1" t="s">
        <v>3612</v>
      </c>
      <c r="Q1041" s="1" t="s">
        <v>3612</v>
      </c>
      <c r="R1041" s="1" t="s">
        <v>97</v>
      </c>
      <c r="S1041" s="1">
        <v>0.0</v>
      </c>
      <c r="T1041" s="1">
        <v>2.0</v>
      </c>
      <c r="X1041" s="1" t="s">
        <v>56</v>
      </c>
    </row>
    <row r="1042">
      <c r="A1042" s="3" t="str">
        <f>HYPERLINK("https://stackoverflow.com/q/58736620", "58736620")</f>
        <v>58736620</v>
      </c>
      <c r="B1042" s="1" t="s">
        <v>93</v>
      </c>
      <c r="C1042" s="1" t="s">
        <v>3613</v>
      </c>
      <c r="D1042" s="2" t="s">
        <v>3614</v>
      </c>
      <c r="E1042" s="1">
        <v>1.0</v>
      </c>
      <c r="I1042" s="1">
        <v>1.0</v>
      </c>
      <c r="J1042" s="1">
        <v>49.0</v>
      </c>
      <c r="L1042" s="1">
        <v>9427149.0</v>
      </c>
      <c r="Q1042" s="1" t="s">
        <v>3613</v>
      </c>
      <c r="R1042" s="1" t="s">
        <v>1590</v>
      </c>
      <c r="S1042" s="1">
        <v>0.0</v>
      </c>
      <c r="T1042" s="1">
        <v>2.0</v>
      </c>
      <c r="X1042" s="1" t="s">
        <v>56</v>
      </c>
    </row>
    <row r="1043">
      <c r="A1043" s="3" t="str">
        <f>HYPERLINK("https://stackoverflow.com/q/58746868", "58746868")</f>
        <v>58746868</v>
      </c>
      <c r="B1043" s="1" t="s">
        <v>93</v>
      </c>
      <c r="C1043" s="1" t="s">
        <v>3615</v>
      </c>
      <c r="D1043" s="2" t="s">
        <v>3616</v>
      </c>
      <c r="E1043" s="1">
        <v>1.0</v>
      </c>
      <c r="I1043" s="1">
        <v>0.0</v>
      </c>
      <c r="J1043" s="1">
        <v>40.0</v>
      </c>
      <c r="L1043" s="1">
        <v>1.2337091E7</v>
      </c>
      <c r="Q1043" s="1" t="s">
        <v>3617</v>
      </c>
      <c r="R1043" s="1" t="s">
        <v>696</v>
      </c>
      <c r="S1043" s="1">
        <v>1.0</v>
      </c>
      <c r="T1043" s="1">
        <v>3.0</v>
      </c>
      <c r="X1043" s="1" t="s">
        <v>56</v>
      </c>
    </row>
    <row r="1044">
      <c r="A1044" s="3" t="str">
        <f>HYPERLINK("https://stackoverflow.com/q/58748928", "58748928")</f>
        <v>58748928</v>
      </c>
      <c r="B1044" s="1" t="s">
        <v>93</v>
      </c>
      <c r="C1044" s="1" t="s">
        <v>3618</v>
      </c>
      <c r="D1044" s="2" t="s">
        <v>3619</v>
      </c>
      <c r="E1044" s="1">
        <v>1.0</v>
      </c>
      <c r="I1044" s="1">
        <v>0.0</v>
      </c>
      <c r="J1044" s="1">
        <v>27.0</v>
      </c>
      <c r="L1044" s="1">
        <v>1.2334241E7</v>
      </c>
      <c r="Q1044" s="1" t="s">
        <v>3620</v>
      </c>
      <c r="R1044" s="1" t="s">
        <v>190</v>
      </c>
      <c r="S1044" s="1">
        <v>1.0</v>
      </c>
      <c r="T1044" s="1">
        <v>1.0</v>
      </c>
      <c r="X1044" s="1" t="s">
        <v>56</v>
      </c>
    </row>
    <row r="1045">
      <c r="A1045" s="3" t="str">
        <f>HYPERLINK("https://stackoverflow.com/q/58759042", "58759042")</f>
        <v>58759042</v>
      </c>
      <c r="B1045" s="1" t="s">
        <v>93</v>
      </c>
      <c r="C1045" s="1" t="s">
        <v>3621</v>
      </c>
      <c r="D1045" s="2" t="s">
        <v>3622</v>
      </c>
      <c r="E1045" s="1">
        <v>1.0</v>
      </c>
      <c r="I1045" s="1">
        <v>1.0</v>
      </c>
      <c r="J1045" s="1">
        <v>118.0</v>
      </c>
      <c r="L1045" s="1">
        <v>82156.0</v>
      </c>
      <c r="Q1045" s="1" t="s">
        <v>3623</v>
      </c>
      <c r="R1045" s="1" t="s">
        <v>3624</v>
      </c>
      <c r="S1045" s="1">
        <v>1.0</v>
      </c>
      <c r="T1045" s="1">
        <v>0.0</v>
      </c>
      <c r="X1045" s="1" t="s">
        <v>56</v>
      </c>
    </row>
    <row r="1046">
      <c r="A1046" s="3" t="str">
        <f>HYPERLINK("https://stackoverflow.com/q/58769667", "58769667")</f>
        <v>58769667</v>
      </c>
      <c r="B1046" s="1" t="s">
        <v>93</v>
      </c>
      <c r="C1046" s="1" t="s">
        <v>3625</v>
      </c>
      <c r="D1046" s="2" t="s">
        <v>3626</v>
      </c>
      <c r="E1046" s="1">
        <v>1.0</v>
      </c>
      <c r="I1046" s="1">
        <v>1.0</v>
      </c>
      <c r="J1046" s="1">
        <v>37.0</v>
      </c>
      <c r="L1046" s="1">
        <v>2690677.0</v>
      </c>
      <c r="N1046" s="1">
        <v>2690677.0</v>
      </c>
      <c r="P1046" s="1" t="s">
        <v>3627</v>
      </c>
      <c r="Q1046" s="1" t="s">
        <v>3627</v>
      </c>
      <c r="R1046" s="1" t="s">
        <v>3628</v>
      </c>
      <c r="S1046" s="1">
        <v>0.0</v>
      </c>
      <c r="T1046" s="1">
        <v>2.0</v>
      </c>
      <c r="X1046" s="1" t="s">
        <v>56</v>
      </c>
    </row>
    <row r="1047">
      <c r="A1047" s="3" t="str">
        <f>HYPERLINK("https://stackoverflow.com/q/58769776", "58769776")</f>
        <v>58769776</v>
      </c>
      <c r="B1047" s="1" t="s">
        <v>93</v>
      </c>
      <c r="C1047" s="1" t="s">
        <v>3629</v>
      </c>
      <c r="D1047" s="2" t="s">
        <v>3630</v>
      </c>
      <c r="E1047" s="1">
        <v>1.0</v>
      </c>
      <c r="F1047" s="1">
        <v>5.8923381E7</v>
      </c>
      <c r="I1047" s="1">
        <v>0.0</v>
      </c>
      <c r="J1047" s="1">
        <v>60.0</v>
      </c>
      <c r="L1047" s="1">
        <v>1.2344077E7</v>
      </c>
      <c r="N1047" s="1">
        <v>1.2344077E7</v>
      </c>
      <c r="P1047" s="1" t="s">
        <v>3631</v>
      </c>
      <c r="Q1047" s="1" t="s">
        <v>3632</v>
      </c>
      <c r="R1047" s="1" t="s">
        <v>97</v>
      </c>
      <c r="S1047" s="1">
        <v>1.0</v>
      </c>
      <c r="T1047" s="1">
        <v>4.0</v>
      </c>
      <c r="U1047" s="1">
        <v>1.0</v>
      </c>
      <c r="X1047" s="1" t="s">
        <v>56</v>
      </c>
      <c r="Z1047" s="1" t="s">
        <v>3632</v>
      </c>
    </row>
    <row r="1048">
      <c r="A1048" s="3" t="str">
        <f>HYPERLINK("https://stackoverflow.com/q/58771272", "58771272")</f>
        <v>58771272</v>
      </c>
      <c r="B1048" s="1" t="s">
        <v>93</v>
      </c>
      <c r="C1048" s="1" t="s">
        <v>3633</v>
      </c>
      <c r="D1048" s="2" t="s">
        <v>3634</v>
      </c>
      <c r="E1048" s="1">
        <v>1.0</v>
      </c>
      <c r="I1048" s="1">
        <v>0.0</v>
      </c>
      <c r="J1048" s="1">
        <v>49.0</v>
      </c>
      <c r="L1048" s="1">
        <v>2690677.0</v>
      </c>
      <c r="N1048" s="1">
        <v>2690677.0</v>
      </c>
      <c r="P1048" s="1" t="s">
        <v>3635</v>
      </c>
      <c r="Q1048" s="1" t="s">
        <v>3635</v>
      </c>
      <c r="R1048" s="1" t="s">
        <v>97</v>
      </c>
      <c r="S1048" s="1">
        <v>0.0</v>
      </c>
      <c r="T1048" s="1">
        <v>8.0</v>
      </c>
      <c r="X1048" s="1" t="s">
        <v>56</v>
      </c>
    </row>
    <row r="1049">
      <c r="A1049" s="3" t="str">
        <f>HYPERLINK("https://stackoverflow.com/q/58790918", "58790918")</f>
        <v>58790918</v>
      </c>
      <c r="B1049" s="1" t="s">
        <v>93</v>
      </c>
      <c r="C1049" s="1" t="s">
        <v>3636</v>
      </c>
      <c r="D1049" s="2" t="s">
        <v>3637</v>
      </c>
      <c r="E1049" s="1">
        <v>1.0</v>
      </c>
      <c r="F1049" s="1">
        <v>5.8794879E7</v>
      </c>
      <c r="I1049" s="1">
        <v>0.0</v>
      </c>
      <c r="J1049" s="1">
        <v>31.0</v>
      </c>
      <c r="L1049" s="1">
        <v>5655471.0</v>
      </c>
      <c r="Q1049" s="1" t="s">
        <v>3638</v>
      </c>
      <c r="R1049" s="1" t="s">
        <v>2280</v>
      </c>
      <c r="S1049" s="1">
        <v>1.0</v>
      </c>
      <c r="T1049" s="1">
        <v>2.0</v>
      </c>
      <c r="X1049" s="1" t="s">
        <v>56</v>
      </c>
      <c r="Z1049" s="1" t="s">
        <v>3638</v>
      </c>
    </row>
    <row r="1050">
      <c r="A1050" s="3" t="str">
        <f>HYPERLINK("https://stackoverflow.com/q/58802352", "58802352")</f>
        <v>58802352</v>
      </c>
      <c r="B1050" s="1" t="s">
        <v>93</v>
      </c>
      <c r="C1050" s="1" t="s">
        <v>3639</v>
      </c>
      <c r="D1050" s="2" t="s">
        <v>3640</v>
      </c>
      <c r="E1050" s="1">
        <v>1.0</v>
      </c>
      <c r="I1050" s="1">
        <v>0.0</v>
      </c>
      <c r="J1050" s="1">
        <v>17.0</v>
      </c>
      <c r="L1050" s="1">
        <v>1.2255023E7</v>
      </c>
      <c r="N1050" s="1">
        <v>5983596.0</v>
      </c>
      <c r="P1050" s="1" t="s">
        <v>3641</v>
      </c>
      <c r="Q1050" s="1" t="s">
        <v>3641</v>
      </c>
      <c r="R1050" s="1" t="s">
        <v>3642</v>
      </c>
      <c r="S1050" s="1">
        <v>0.0</v>
      </c>
      <c r="T1050" s="1">
        <v>1.0</v>
      </c>
      <c r="X1050" s="1" t="s">
        <v>56</v>
      </c>
    </row>
    <row r="1051">
      <c r="A1051" s="3" t="str">
        <f>HYPERLINK("https://stackoverflow.com/q/58804457", "58804457")</f>
        <v>58804457</v>
      </c>
      <c r="B1051" s="1" t="s">
        <v>93</v>
      </c>
      <c r="C1051" s="1" t="s">
        <v>3643</v>
      </c>
      <c r="D1051" s="2" t="s">
        <v>3644</v>
      </c>
      <c r="E1051" s="1">
        <v>1.0</v>
      </c>
      <c r="I1051" s="1">
        <v>0.0</v>
      </c>
      <c r="J1051" s="1">
        <v>32.0</v>
      </c>
      <c r="L1051" s="1">
        <v>1.2304144E7</v>
      </c>
      <c r="Q1051" s="1" t="s">
        <v>3643</v>
      </c>
      <c r="R1051" s="1" t="s">
        <v>97</v>
      </c>
      <c r="S1051" s="1">
        <v>0.0</v>
      </c>
      <c r="T1051" s="1">
        <v>2.0</v>
      </c>
      <c r="X1051" s="1" t="s">
        <v>56</v>
      </c>
    </row>
    <row r="1052">
      <c r="A1052" s="3" t="str">
        <f>HYPERLINK("https://stackoverflow.com/q/58822568", "58822568")</f>
        <v>58822568</v>
      </c>
      <c r="B1052" s="1" t="s">
        <v>93</v>
      </c>
      <c r="C1052" s="1" t="s">
        <v>3645</v>
      </c>
      <c r="D1052" s="2" t="s">
        <v>3646</v>
      </c>
      <c r="E1052" s="1">
        <v>1.0</v>
      </c>
      <c r="I1052" s="1">
        <v>0.0</v>
      </c>
      <c r="J1052" s="1">
        <v>23.0</v>
      </c>
      <c r="L1052" s="1">
        <v>1.2304144E7</v>
      </c>
      <c r="Q1052" s="1" t="s">
        <v>3645</v>
      </c>
      <c r="R1052" s="1" t="s">
        <v>97</v>
      </c>
      <c r="S1052" s="1">
        <v>0.0</v>
      </c>
      <c r="T1052" s="1">
        <v>3.0</v>
      </c>
      <c r="X1052" s="1" t="s">
        <v>56</v>
      </c>
    </row>
    <row r="1053">
      <c r="A1053" s="3" t="str">
        <f>HYPERLINK("https://stackoverflow.com/q/58824579", "58824579")</f>
        <v>58824579</v>
      </c>
      <c r="B1053" s="1" t="s">
        <v>93</v>
      </c>
      <c r="C1053" s="1" t="s">
        <v>3647</v>
      </c>
      <c r="D1053" s="2" t="s">
        <v>3648</v>
      </c>
      <c r="E1053" s="1">
        <v>1.0</v>
      </c>
      <c r="I1053" s="1">
        <v>0.0</v>
      </c>
      <c r="J1053" s="1">
        <v>71.0</v>
      </c>
      <c r="L1053" s="1">
        <v>3490987.0</v>
      </c>
      <c r="Q1053" s="1" t="s">
        <v>3649</v>
      </c>
      <c r="R1053" s="1" t="s">
        <v>3650</v>
      </c>
      <c r="S1053" s="1">
        <v>1.0</v>
      </c>
      <c r="T1053" s="1">
        <v>1.0</v>
      </c>
      <c r="X1053" s="1" t="s">
        <v>56</v>
      </c>
    </row>
    <row r="1054">
      <c r="A1054" s="3" t="str">
        <f>HYPERLINK("https://stackoverflow.com/q/58840472", "58840472")</f>
        <v>58840472</v>
      </c>
      <c r="B1054" s="1" t="s">
        <v>93</v>
      </c>
      <c r="C1054" s="1" t="s">
        <v>3651</v>
      </c>
      <c r="D1054" s="2" t="s">
        <v>3652</v>
      </c>
      <c r="E1054" s="1">
        <v>1.0</v>
      </c>
      <c r="I1054" s="1">
        <v>0.0</v>
      </c>
      <c r="J1054" s="1">
        <v>47.0</v>
      </c>
      <c r="L1054" s="1">
        <v>5655471.0</v>
      </c>
      <c r="Q1054" s="1" t="s">
        <v>3651</v>
      </c>
      <c r="R1054" s="1" t="s">
        <v>3653</v>
      </c>
      <c r="S1054" s="1">
        <v>0.0</v>
      </c>
      <c r="T1054" s="1">
        <v>3.0</v>
      </c>
      <c r="X1054" s="1" t="s">
        <v>56</v>
      </c>
    </row>
    <row r="1055">
      <c r="A1055" s="3" t="str">
        <f>HYPERLINK("https://stackoverflow.com/q/58846662", "58846662")</f>
        <v>58846662</v>
      </c>
      <c r="B1055" s="1" t="s">
        <v>93</v>
      </c>
      <c r="C1055" s="1" t="s">
        <v>3654</v>
      </c>
      <c r="D1055" s="2" t="s">
        <v>3655</v>
      </c>
      <c r="E1055" s="1">
        <v>1.0</v>
      </c>
      <c r="F1055" s="1">
        <v>5.8847529E7</v>
      </c>
      <c r="I1055" s="1">
        <v>0.0</v>
      </c>
      <c r="J1055" s="1">
        <v>33.0</v>
      </c>
      <c r="L1055" s="1">
        <v>5297307.0</v>
      </c>
      <c r="Q1055" s="1" t="s">
        <v>3656</v>
      </c>
      <c r="R1055" s="1" t="s">
        <v>97</v>
      </c>
      <c r="S1055" s="1">
        <v>1.0</v>
      </c>
      <c r="T1055" s="1">
        <v>2.0</v>
      </c>
      <c r="X1055" s="1" t="s">
        <v>56</v>
      </c>
      <c r="Z1055" s="1" t="s">
        <v>3656</v>
      </c>
    </row>
    <row r="1056">
      <c r="A1056" s="3" t="str">
        <f>HYPERLINK("https://stackoverflow.com/q/58867149", "58867149")</f>
        <v>58867149</v>
      </c>
      <c r="B1056" s="1" t="s">
        <v>93</v>
      </c>
      <c r="C1056" s="1" t="s">
        <v>3657</v>
      </c>
      <c r="D1056" s="2" t="s">
        <v>3658</v>
      </c>
      <c r="E1056" s="1">
        <v>1.0</v>
      </c>
      <c r="F1056" s="1">
        <v>5.8924112E7</v>
      </c>
      <c r="I1056" s="1">
        <v>0.0</v>
      </c>
      <c r="J1056" s="1">
        <v>89.0</v>
      </c>
      <c r="L1056" s="1">
        <v>1.2344077E7</v>
      </c>
      <c r="N1056" s="1">
        <v>6631280.0</v>
      </c>
      <c r="P1056" s="1" t="s">
        <v>3659</v>
      </c>
      <c r="Q1056" s="1" t="s">
        <v>3659</v>
      </c>
      <c r="R1056" s="1" t="s">
        <v>97</v>
      </c>
      <c r="S1056" s="1">
        <v>1.0</v>
      </c>
      <c r="T1056" s="1">
        <v>8.0</v>
      </c>
      <c r="X1056" s="1" t="s">
        <v>56</v>
      </c>
      <c r="Z1056" s="1" t="s">
        <v>3660</v>
      </c>
    </row>
    <row r="1057">
      <c r="A1057" s="3" t="str">
        <f>HYPERLINK("https://stackoverflow.com/q/58867261", "58867261")</f>
        <v>58867261</v>
      </c>
      <c r="B1057" s="1" t="s">
        <v>93</v>
      </c>
      <c r="C1057" s="1" t="s">
        <v>3661</v>
      </c>
      <c r="D1057" s="2" t="s">
        <v>3662</v>
      </c>
      <c r="E1057" s="1">
        <v>1.0</v>
      </c>
      <c r="I1057" s="1">
        <v>2.0</v>
      </c>
      <c r="J1057" s="1">
        <v>28.0</v>
      </c>
      <c r="L1057" s="1">
        <v>6896144.0</v>
      </c>
      <c r="N1057" s="1">
        <v>6896144.0</v>
      </c>
      <c r="P1057" s="1" t="s">
        <v>3663</v>
      </c>
      <c r="Q1057" s="1" t="s">
        <v>3663</v>
      </c>
      <c r="R1057" s="1" t="s">
        <v>97</v>
      </c>
      <c r="S1057" s="1">
        <v>0.0</v>
      </c>
      <c r="T1057" s="1">
        <v>2.0</v>
      </c>
      <c r="X1057" s="1" t="s">
        <v>56</v>
      </c>
    </row>
    <row r="1058">
      <c r="A1058" s="3" t="str">
        <f>HYPERLINK("https://stackoverflow.com/q/58869893", "58869893")</f>
        <v>58869893</v>
      </c>
      <c r="B1058" s="1" t="s">
        <v>93</v>
      </c>
      <c r="C1058" s="1" t="s">
        <v>3664</v>
      </c>
      <c r="D1058" s="2" t="s">
        <v>3665</v>
      </c>
      <c r="E1058" s="1">
        <v>1.0</v>
      </c>
      <c r="I1058" s="1">
        <v>0.0</v>
      </c>
      <c r="J1058" s="1">
        <v>31.0</v>
      </c>
      <c r="L1058" s="1">
        <v>1.2342302E7</v>
      </c>
      <c r="Q1058" s="1" t="s">
        <v>3666</v>
      </c>
      <c r="R1058" s="1" t="s">
        <v>97</v>
      </c>
      <c r="S1058" s="1">
        <v>1.0</v>
      </c>
      <c r="T1058" s="1">
        <v>1.0</v>
      </c>
      <c r="X1058" s="1" t="s">
        <v>56</v>
      </c>
    </row>
    <row r="1059">
      <c r="A1059" s="3" t="str">
        <f>HYPERLINK("https://stackoverflow.com/q/58885227", "58885227")</f>
        <v>58885227</v>
      </c>
      <c r="B1059" s="1" t="s">
        <v>93</v>
      </c>
      <c r="C1059" s="1" t="s">
        <v>3667</v>
      </c>
      <c r="D1059" s="2" t="s">
        <v>3668</v>
      </c>
      <c r="E1059" s="1">
        <v>1.0</v>
      </c>
      <c r="I1059" s="1">
        <v>1.0</v>
      </c>
      <c r="J1059" s="1">
        <v>122.0</v>
      </c>
      <c r="L1059" s="1">
        <v>1422413.0</v>
      </c>
      <c r="N1059" s="1">
        <v>1422413.0</v>
      </c>
      <c r="P1059" s="1" t="s">
        <v>3669</v>
      </c>
      <c r="Q1059" s="1" t="s">
        <v>3670</v>
      </c>
      <c r="R1059" s="1" t="s">
        <v>2868</v>
      </c>
      <c r="S1059" s="1">
        <v>2.0</v>
      </c>
      <c r="T1059" s="1">
        <v>4.0</v>
      </c>
      <c r="X1059" s="1" t="s">
        <v>56</v>
      </c>
    </row>
    <row r="1060">
      <c r="A1060" s="3" t="str">
        <f>HYPERLINK("https://stackoverflow.com/q/58904486", "58904486")</f>
        <v>58904486</v>
      </c>
      <c r="B1060" s="1" t="s">
        <v>93</v>
      </c>
      <c r="C1060" s="1" t="s">
        <v>3671</v>
      </c>
      <c r="D1060" s="2" t="s">
        <v>3672</v>
      </c>
      <c r="E1060" s="1">
        <v>1.0</v>
      </c>
      <c r="I1060" s="1">
        <v>0.0</v>
      </c>
      <c r="J1060" s="1">
        <v>43.0</v>
      </c>
      <c r="L1060" s="1">
        <v>1.2387993E7</v>
      </c>
      <c r="N1060" s="1">
        <v>1595451.0</v>
      </c>
      <c r="P1060" s="1" t="s">
        <v>3673</v>
      </c>
      <c r="Q1060" s="1" t="s">
        <v>3673</v>
      </c>
      <c r="R1060" s="1" t="s">
        <v>516</v>
      </c>
      <c r="S1060" s="1">
        <v>0.0</v>
      </c>
      <c r="T1060" s="1">
        <v>9.0</v>
      </c>
      <c r="X1060" s="1" t="s">
        <v>56</v>
      </c>
    </row>
    <row r="1061">
      <c r="A1061" s="3" t="str">
        <f>HYPERLINK("https://stackoverflow.com/q/58924846", "58924846")</f>
        <v>58924846</v>
      </c>
      <c r="B1061" s="1" t="s">
        <v>93</v>
      </c>
      <c r="C1061" s="1" t="s">
        <v>3674</v>
      </c>
      <c r="D1061" s="2" t="s">
        <v>3675</v>
      </c>
      <c r="E1061" s="1">
        <v>1.0</v>
      </c>
      <c r="F1061" s="1">
        <v>5.8936646E7</v>
      </c>
      <c r="I1061" s="1">
        <v>0.0</v>
      </c>
      <c r="J1061" s="1">
        <v>39.0</v>
      </c>
      <c r="L1061" s="1">
        <v>1.2344077E7</v>
      </c>
      <c r="N1061" s="1">
        <v>1.2344077E7</v>
      </c>
      <c r="P1061" s="1" t="s">
        <v>3676</v>
      </c>
      <c r="Q1061" s="1" t="s">
        <v>3677</v>
      </c>
      <c r="R1061" s="1" t="s">
        <v>97</v>
      </c>
      <c r="S1061" s="1">
        <v>1.0</v>
      </c>
      <c r="T1061" s="1">
        <v>7.0</v>
      </c>
      <c r="X1061" s="1" t="s">
        <v>56</v>
      </c>
      <c r="Z1061" s="1" t="s">
        <v>3678</v>
      </c>
    </row>
    <row r="1062">
      <c r="A1062" s="3" t="str">
        <f>HYPERLINK("https://stackoverflow.com/q/58935331", "58935331")</f>
        <v>58935331</v>
      </c>
      <c r="B1062" s="1" t="s">
        <v>93</v>
      </c>
      <c r="C1062" s="1" t="s">
        <v>3679</v>
      </c>
      <c r="D1062" s="2" t="s">
        <v>3680</v>
      </c>
      <c r="E1062" s="1">
        <v>1.0</v>
      </c>
      <c r="I1062" s="1">
        <v>0.0</v>
      </c>
      <c r="J1062" s="1">
        <v>95.0</v>
      </c>
      <c r="L1062" s="1">
        <v>1.1684732E7</v>
      </c>
      <c r="N1062" s="1">
        <v>3780040.0</v>
      </c>
      <c r="P1062" s="1" t="s">
        <v>3681</v>
      </c>
      <c r="Q1062" s="1" t="s">
        <v>3681</v>
      </c>
      <c r="R1062" s="1" t="s">
        <v>97</v>
      </c>
      <c r="S1062" s="1">
        <v>0.0</v>
      </c>
      <c r="T1062" s="1">
        <v>3.0</v>
      </c>
      <c r="X1062" s="1" t="s">
        <v>56</v>
      </c>
    </row>
    <row r="1063">
      <c r="A1063" s="3" t="str">
        <f>HYPERLINK("https://stackoverflow.com/q/58937485", "58937485")</f>
        <v>58937485</v>
      </c>
      <c r="B1063" s="1" t="s">
        <v>93</v>
      </c>
      <c r="C1063" s="1" t="s">
        <v>3682</v>
      </c>
      <c r="D1063" s="2" t="s">
        <v>3683</v>
      </c>
      <c r="E1063" s="1">
        <v>1.0</v>
      </c>
      <c r="I1063" s="1">
        <v>0.0</v>
      </c>
      <c r="J1063" s="1">
        <v>26.0</v>
      </c>
      <c r="L1063" s="1">
        <v>4907384.0</v>
      </c>
      <c r="Q1063" s="1" t="s">
        <v>3682</v>
      </c>
      <c r="R1063" s="1" t="s">
        <v>97</v>
      </c>
      <c r="S1063" s="1">
        <v>0.0</v>
      </c>
      <c r="T1063" s="1">
        <v>8.0</v>
      </c>
      <c r="X1063" s="1" t="s">
        <v>56</v>
      </c>
    </row>
    <row r="1064">
      <c r="A1064" s="3" t="str">
        <f>HYPERLINK("https://stackoverflow.com/q/58940439", "58940439")</f>
        <v>58940439</v>
      </c>
      <c r="B1064" s="1" t="s">
        <v>93</v>
      </c>
      <c r="C1064" s="1" t="s">
        <v>3684</v>
      </c>
      <c r="D1064" s="2" t="s">
        <v>3685</v>
      </c>
      <c r="E1064" s="1">
        <v>1.0</v>
      </c>
      <c r="I1064" s="1">
        <v>0.0</v>
      </c>
      <c r="J1064" s="1">
        <v>24.0</v>
      </c>
      <c r="L1064" s="1">
        <v>4907384.0</v>
      </c>
      <c r="Q1064" s="1" t="s">
        <v>3684</v>
      </c>
      <c r="R1064" s="1" t="s">
        <v>97</v>
      </c>
      <c r="S1064" s="1">
        <v>0.0</v>
      </c>
      <c r="T1064" s="1">
        <v>5.0</v>
      </c>
      <c r="X1064" s="1" t="s">
        <v>56</v>
      </c>
    </row>
    <row r="1065">
      <c r="A1065" s="3" t="str">
        <f>HYPERLINK("https://stackoverflow.com/q/58941104", "58941104")</f>
        <v>58941104</v>
      </c>
      <c r="B1065" s="1" t="s">
        <v>93</v>
      </c>
      <c r="C1065" s="1" t="s">
        <v>3686</v>
      </c>
      <c r="D1065" s="2" t="s">
        <v>3687</v>
      </c>
      <c r="E1065" s="1">
        <v>1.0</v>
      </c>
      <c r="I1065" s="1">
        <v>0.0</v>
      </c>
      <c r="J1065" s="1">
        <v>53.0</v>
      </c>
      <c r="L1065" s="1">
        <v>2364045.0</v>
      </c>
      <c r="Q1065" s="1" t="s">
        <v>3688</v>
      </c>
      <c r="R1065" s="1" t="s">
        <v>97</v>
      </c>
      <c r="S1065" s="1">
        <v>1.0</v>
      </c>
      <c r="T1065" s="1">
        <v>0.0</v>
      </c>
      <c r="X1065" s="1" t="s">
        <v>56</v>
      </c>
    </row>
    <row r="1066">
      <c r="A1066" s="3" t="str">
        <f>HYPERLINK("https://stackoverflow.com/q/58945570", "58945570")</f>
        <v>58945570</v>
      </c>
      <c r="B1066" s="1" t="s">
        <v>93</v>
      </c>
      <c r="C1066" s="1" t="s">
        <v>3689</v>
      </c>
      <c r="D1066" s="2" t="s">
        <v>3690</v>
      </c>
      <c r="E1066" s="1">
        <v>1.0</v>
      </c>
      <c r="F1066" s="1">
        <v>5.9042038E7</v>
      </c>
      <c r="I1066" s="1">
        <v>0.0</v>
      </c>
      <c r="J1066" s="1">
        <v>91.0</v>
      </c>
      <c r="L1066" s="1">
        <v>1.2401085E7</v>
      </c>
      <c r="Q1066" s="1" t="s">
        <v>3691</v>
      </c>
      <c r="R1066" s="1" t="s">
        <v>97</v>
      </c>
      <c r="S1066" s="1">
        <v>1.0</v>
      </c>
      <c r="T1066" s="1">
        <v>2.0</v>
      </c>
      <c r="X1066" s="1" t="s">
        <v>56</v>
      </c>
      <c r="Z1066" s="1" t="s">
        <v>3691</v>
      </c>
    </row>
    <row r="1067">
      <c r="A1067" s="3" t="str">
        <f>HYPERLINK("https://stackoverflow.com/q/58956948", "58956948")</f>
        <v>58956948</v>
      </c>
      <c r="B1067" s="1" t="s">
        <v>93</v>
      </c>
      <c r="C1067" s="1" t="s">
        <v>3692</v>
      </c>
      <c r="D1067" s="2" t="s">
        <v>3693</v>
      </c>
      <c r="E1067" s="1">
        <v>1.0</v>
      </c>
      <c r="I1067" s="1">
        <v>0.0</v>
      </c>
      <c r="J1067" s="1">
        <v>46.0</v>
      </c>
      <c r="L1067" s="1">
        <v>1.2334241E7</v>
      </c>
      <c r="Q1067" s="1" t="s">
        <v>3692</v>
      </c>
      <c r="R1067" s="1" t="s">
        <v>516</v>
      </c>
      <c r="S1067" s="1">
        <v>0.0</v>
      </c>
      <c r="T1067" s="1">
        <v>1.0</v>
      </c>
      <c r="X1067" s="1" t="s">
        <v>56</v>
      </c>
    </row>
    <row r="1068">
      <c r="A1068" s="3" t="str">
        <f>HYPERLINK("https://stackoverflow.com/q/58965067", "58965067")</f>
        <v>58965067</v>
      </c>
      <c r="B1068" s="1" t="s">
        <v>93</v>
      </c>
      <c r="C1068" s="1" t="s">
        <v>3694</v>
      </c>
      <c r="D1068" s="2" t="s">
        <v>3695</v>
      </c>
      <c r="E1068" s="1">
        <v>1.0</v>
      </c>
      <c r="I1068" s="1">
        <v>0.0</v>
      </c>
      <c r="J1068" s="1">
        <v>35.0</v>
      </c>
      <c r="L1068" s="1">
        <v>5297307.0</v>
      </c>
      <c r="Q1068" s="1" t="s">
        <v>3694</v>
      </c>
      <c r="R1068" s="1" t="s">
        <v>97</v>
      </c>
      <c r="S1068" s="1">
        <v>0.0</v>
      </c>
      <c r="T1068" s="1">
        <v>1.0</v>
      </c>
      <c r="X1068" s="1" t="s">
        <v>56</v>
      </c>
    </row>
    <row r="1069">
      <c r="A1069" s="3" t="str">
        <f>HYPERLINK("https://stackoverflow.com/q/58976356", "58976356")</f>
        <v>58976356</v>
      </c>
      <c r="B1069" s="1" t="s">
        <v>93</v>
      </c>
      <c r="C1069" s="1" t="s">
        <v>3696</v>
      </c>
      <c r="D1069" s="2" t="s">
        <v>3697</v>
      </c>
      <c r="E1069" s="1">
        <v>1.0</v>
      </c>
      <c r="I1069" s="1">
        <v>0.0</v>
      </c>
      <c r="J1069" s="1">
        <v>97.0</v>
      </c>
      <c r="L1069" s="1">
        <v>1.1197483E7</v>
      </c>
      <c r="N1069" s="1">
        <v>1.1197483E7</v>
      </c>
      <c r="P1069" s="1" t="s">
        <v>3698</v>
      </c>
      <c r="Q1069" s="1" t="s">
        <v>3699</v>
      </c>
      <c r="R1069" s="1" t="s">
        <v>97</v>
      </c>
      <c r="S1069" s="1">
        <v>1.0</v>
      </c>
      <c r="T1069" s="1">
        <v>4.0</v>
      </c>
      <c r="X1069" s="1" t="s">
        <v>56</v>
      </c>
    </row>
    <row r="1070">
      <c r="A1070" s="3" t="str">
        <f>HYPERLINK("https://stackoverflow.com/q/59018968", "59018968")</f>
        <v>59018968</v>
      </c>
      <c r="B1070" s="1" t="s">
        <v>93</v>
      </c>
      <c r="C1070" s="1" t="s">
        <v>3700</v>
      </c>
      <c r="D1070" s="2" t="s">
        <v>3701</v>
      </c>
      <c r="E1070" s="1">
        <v>1.0</v>
      </c>
      <c r="I1070" s="1">
        <v>0.0</v>
      </c>
      <c r="J1070" s="1">
        <v>35.0</v>
      </c>
      <c r="L1070" s="1">
        <v>5655471.0</v>
      </c>
      <c r="Q1070" s="1" t="s">
        <v>3700</v>
      </c>
      <c r="R1070" s="1" t="s">
        <v>3702</v>
      </c>
      <c r="S1070" s="1">
        <v>0.0</v>
      </c>
      <c r="T1070" s="1">
        <v>9.0</v>
      </c>
      <c r="X1070" s="1" t="s">
        <v>56</v>
      </c>
    </row>
    <row r="1071">
      <c r="A1071" s="3" t="str">
        <f>HYPERLINK("https://stackoverflow.com/q/59027006", "59027006")</f>
        <v>59027006</v>
      </c>
      <c r="B1071" s="1" t="s">
        <v>93</v>
      </c>
      <c r="C1071" s="1" t="s">
        <v>3703</v>
      </c>
      <c r="D1071" s="2" t="s">
        <v>3704</v>
      </c>
      <c r="E1071" s="1">
        <v>1.0</v>
      </c>
      <c r="I1071" s="1">
        <v>0.0</v>
      </c>
      <c r="J1071" s="1">
        <v>31.0</v>
      </c>
      <c r="L1071" s="1">
        <v>1.1768814E7</v>
      </c>
      <c r="N1071" s="1">
        <v>4479165.0</v>
      </c>
      <c r="P1071" s="1" t="s">
        <v>3705</v>
      </c>
      <c r="Q1071" s="1" t="s">
        <v>3706</v>
      </c>
      <c r="R1071" s="1" t="s">
        <v>97</v>
      </c>
      <c r="S1071" s="1">
        <v>1.0</v>
      </c>
      <c r="T1071" s="1">
        <v>1.0</v>
      </c>
      <c r="X1071" s="1" t="s">
        <v>56</v>
      </c>
    </row>
    <row r="1072">
      <c r="A1072" s="3" t="str">
        <f>HYPERLINK("https://stackoverflow.com/q/59050535", "59050535")</f>
        <v>59050535</v>
      </c>
      <c r="B1072" s="1" t="s">
        <v>93</v>
      </c>
      <c r="C1072" s="1" t="s">
        <v>3707</v>
      </c>
      <c r="D1072" s="2" t="s">
        <v>3708</v>
      </c>
      <c r="E1072" s="1">
        <v>1.0</v>
      </c>
      <c r="F1072" s="1">
        <v>5.9052605E7</v>
      </c>
      <c r="I1072" s="1">
        <v>0.0</v>
      </c>
      <c r="J1072" s="1">
        <v>66.0</v>
      </c>
      <c r="L1072" s="1">
        <v>1.2361778E7</v>
      </c>
      <c r="Q1072" s="1" t="s">
        <v>3709</v>
      </c>
      <c r="R1072" s="1" t="s">
        <v>3710</v>
      </c>
      <c r="S1072" s="1">
        <v>1.0</v>
      </c>
      <c r="T1072" s="1">
        <v>1.0</v>
      </c>
      <c r="X1072" s="1" t="s">
        <v>56</v>
      </c>
      <c r="Z1072" s="1" t="s">
        <v>3711</v>
      </c>
    </row>
    <row r="1073">
      <c r="A1073" s="3" t="str">
        <f>HYPERLINK("https://stackoverflow.com/q/59061893", "59061893")</f>
        <v>59061893</v>
      </c>
      <c r="B1073" s="1" t="s">
        <v>93</v>
      </c>
      <c r="C1073" s="1" t="s">
        <v>3712</v>
      </c>
      <c r="D1073" s="2" t="s">
        <v>3713</v>
      </c>
      <c r="E1073" s="1">
        <v>1.0</v>
      </c>
      <c r="F1073" s="1">
        <v>5.9343868E7</v>
      </c>
      <c r="I1073" s="1">
        <v>0.0</v>
      </c>
      <c r="J1073" s="1">
        <v>42.0</v>
      </c>
      <c r="L1073" s="1">
        <v>9012025.0</v>
      </c>
      <c r="Q1073" s="1" t="s">
        <v>3714</v>
      </c>
      <c r="R1073" s="1" t="s">
        <v>97</v>
      </c>
      <c r="S1073" s="1">
        <v>1.0</v>
      </c>
      <c r="T1073" s="1">
        <v>2.0</v>
      </c>
      <c r="X1073" s="1" t="s">
        <v>56</v>
      </c>
      <c r="Z1073" s="1" t="s">
        <v>3714</v>
      </c>
    </row>
    <row r="1074">
      <c r="A1074" s="3" t="str">
        <f>HYPERLINK("https://stackoverflow.com/q/59074292", "59074292")</f>
        <v>59074292</v>
      </c>
      <c r="B1074" s="1" t="s">
        <v>93</v>
      </c>
      <c r="C1074" s="1" t="s">
        <v>3715</v>
      </c>
      <c r="D1074" s="2" t="s">
        <v>3716</v>
      </c>
      <c r="E1074" s="1">
        <v>1.0</v>
      </c>
      <c r="F1074" s="1">
        <v>5.9074895E7</v>
      </c>
      <c r="I1074" s="1">
        <v>0.0</v>
      </c>
      <c r="J1074" s="1">
        <v>49.0</v>
      </c>
      <c r="L1074" s="1">
        <v>1216458.0</v>
      </c>
      <c r="Q1074" s="1" t="s">
        <v>3717</v>
      </c>
      <c r="R1074" s="1" t="s">
        <v>1677</v>
      </c>
      <c r="S1074" s="1">
        <v>1.0</v>
      </c>
      <c r="T1074" s="1">
        <v>0.0</v>
      </c>
      <c r="X1074" s="1" t="s">
        <v>56</v>
      </c>
      <c r="Z1074" s="1" t="s">
        <v>3717</v>
      </c>
    </row>
    <row r="1075">
      <c r="A1075" s="3" t="str">
        <f>HYPERLINK("https://stackoverflow.com/q/59085464", "59085464")</f>
        <v>59085464</v>
      </c>
      <c r="B1075" s="1" t="s">
        <v>93</v>
      </c>
      <c r="C1075" s="1" t="s">
        <v>3718</v>
      </c>
      <c r="D1075" s="2" t="s">
        <v>3719</v>
      </c>
      <c r="E1075" s="1">
        <v>1.0</v>
      </c>
      <c r="I1075" s="1">
        <v>0.0</v>
      </c>
      <c r="J1075" s="1">
        <v>80.0</v>
      </c>
      <c r="L1075" s="1">
        <v>1.2401085E7</v>
      </c>
      <c r="Q1075" s="1" t="s">
        <v>3718</v>
      </c>
      <c r="R1075" s="1" t="s">
        <v>97</v>
      </c>
      <c r="S1075" s="1">
        <v>0.0</v>
      </c>
      <c r="T1075" s="1">
        <v>7.0</v>
      </c>
      <c r="X1075" s="1" t="s">
        <v>56</v>
      </c>
    </row>
    <row r="1076">
      <c r="A1076" s="3" t="str">
        <f>HYPERLINK("https://stackoverflow.com/q/59098983", "59098983")</f>
        <v>59098983</v>
      </c>
      <c r="B1076" s="1" t="s">
        <v>93</v>
      </c>
      <c r="C1076" s="1" t="s">
        <v>3720</v>
      </c>
      <c r="D1076" s="2" t="s">
        <v>3721</v>
      </c>
      <c r="E1076" s="1">
        <v>1.0</v>
      </c>
      <c r="I1076" s="1">
        <v>0.0</v>
      </c>
      <c r="J1076" s="1">
        <v>45.0</v>
      </c>
      <c r="L1076" s="1">
        <v>1.2454189E7</v>
      </c>
      <c r="N1076" s="1">
        <v>1.1668444E7</v>
      </c>
      <c r="P1076" s="1" t="s">
        <v>3722</v>
      </c>
      <c r="Q1076" s="1" t="s">
        <v>3722</v>
      </c>
      <c r="R1076" s="1" t="s">
        <v>1677</v>
      </c>
      <c r="S1076" s="1">
        <v>0.0</v>
      </c>
      <c r="T1076" s="1">
        <v>0.0</v>
      </c>
      <c r="X1076" s="1" t="s">
        <v>56</v>
      </c>
    </row>
    <row r="1077">
      <c r="A1077" s="3" t="str">
        <f>HYPERLINK("https://stackoverflow.com/q/59118573", "59118573")</f>
        <v>59118573</v>
      </c>
      <c r="B1077" s="1" t="s">
        <v>93</v>
      </c>
      <c r="C1077" s="1" t="s">
        <v>3723</v>
      </c>
      <c r="D1077" s="2" t="s">
        <v>3724</v>
      </c>
      <c r="E1077" s="1">
        <v>1.0</v>
      </c>
      <c r="F1077" s="1">
        <v>5.9185666E7</v>
      </c>
      <c r="I1077" s="1">
        <v>1.0</v>
      </c>
      <c r="J1077" s="1">
        <v>66.0</v>
      </c>
      <c r="L1077" s="1">
        <v>1.2453258E7</v>
      </c>
      <c r="N1077" s="1">
        <v>1.2453258E7</v>
      </c>
      <c r="P1077" s="1" t="s">
        <v>3725</v>
      </c>
      <c r="Q1077" s="1" t="s">
        <v>3726</v>
      </c>
      <c r="R1077" s="1" t="s">
        <v>97</v>
      </c>
      <c r="S1077" s="1">
        <v>2.0</v>
      </c>
      <c r="T1077" s="1">
        <v>1.0</v>
      </c>
      <c r="X1077" s="1" t="s">
        <v>56</v>
      </c>
      <c r="Z1077" s="1" t="s">
        <v>3726</v>
      </c>
    </row>
    <row r="1078">
      <c r="A1078" s="3" t="str">
        <f>HYPERLINK("https://stackoverflow.com/q/59146323", "59146323")</f>
        <v>59146323</v>
      </c>
      <c r="B1078" s="1" t="s">
        <v>93</v>
      </c>
      <c r="C1078" s="1" t="s">
        <v>3727</v>
      </c>
      <c r="D1078" s="2" t="s">
        <v>3728</v>
      </c>
      <c r="E1078" s="1">
        <v>1.0</v>
      </c>
      <c r="I1078" s="1">
        <v>0.0</v>
      </c>
      <c r="J1078" s="1">
        <v>23.0</v>
      </c>
      <c r="L1078" s="1">
        <v>1.2274555E7</v>
      </c>
      <c r="N1078" s="1">
        <v>1.2274555E7</v>
      </c>
      <c r="P1078" s="1" t="s">
        <v>3729</v>
      </c>
      <c r="Q1078" s="1" t="s">
        <v>3729</v>
      </c>
      <c r="R1078" s="1" t="s">
        <v>97</v>
      </c>
      <c r="S1078" s="1">
        <v>0.0</v>
      </c>
      <c r="T1078" s="1">
        <v>1.0</v>
      </c>
      <c r="V1078" s="1" t="s">
        <v>3730</v>
      </c>
      <c r="X1078" s="1" t="s">
        <v>56</v>
      </c>
    </row>
    <row r="1079">
      <c r="A1079" s="3" t="str">
        <f>HYPERLINK("https://stackoverflow.com/q/59149471", "59149471")</f>
        <v>59149471</v>
      </c>
      <c r="B1079" s="1" t="s">
        <v>93</v>
      </c>
      <c r="C1079" s="1" t="s">
        <v>3731</v>
      </c>
      <c r="D1079" s="2" t="s">
        <v>3732</v>
      </c>
      <c r="E1079" s="1">
        <v>1.0</v>
      </c>
      <c r="F1079" s="1">
        <v>5.9216031E7</v>
      </c>
      <c r="I1079" s="1">
        <v>0.0</v>
      </c>
      <c r="J1079" s="1">
        <v>65.0</v>
      </c>
      <c r="L1079" s="1">
        <v>7102718.0</v>
      </c>
      <c r="N1079" s="1">
        <v>7102718.0</v>
      </c>
      <c r="P1079" s="1" t="s">
        <v>3733</v>
      </c>
      <c r="Q1079" s="1" t="s">
        <v>3734</v>
      </c>
      <c r="R1079" s="1" t="s">
        <v>185</v>
      </c>
      <c r="S1079" s="1">
        <v>2.0</v>
      </c>
      <c r="T1079" s="1">
        <v>0.0</v>
      </c>
      <c r="X1079" s="1" t="s">
        <v>56</v>
      </c>
      <c r="Z1079" s="1" t="s">
        <v>3735</v>
      </c>
    </row>
    <row r="1080">
      <c r="A1080" s="3" t="str">
        <f>HYPERLINK("https://stackoverflow.com/q/59164289", "59164289")</f>
        <v>59164289</v>
      </c>
      <c r="B1080" s="1" t="s">
        <v>93</v>
      </c>
      <c r="C1080" s="1" t="s">
        <v>3736</v>
      </c>
      <c r="D1080" s="2" t="s">
        <v>3737</v>
      </c>
      <c r="E1080" s="1">
        <v>1.0</v>
      </c>
      <c r="I1080" s="1">
        <v>0.0</v>
      </c>
      <c r="J1080" s="1">
        <v>63.0</v>
      </c>
      <c r="L1080" s="1">
        <v>1.2304144E7</v>
      </c>
      <c r="N1080" s="1">
        <v>1.2304144E7</v>
      </c>
      <c r="P1080" s="1" t="s">
        <v>3738</v>
      </c>
      <c r="Q1080" s="1" t="s">
        <v>3739</v>
      </c>
      <c r="R1080" s="1" t="s">
        <v>97</v>
      </c>
      <c r="S1080" s="1">
        <v>1.0</v>
      </c>
      <c r="T1080" s="1">
        <v>2.0</v>
      </c>
      <c r="U1080" s="1">
        <v>0.0</v>
      </c>
      <c r="X1080" s="1" t="s">
        <v>56</v>
      </c>
    </row>
    <row r="1081">
      <c r="A1081" s="3" t="str">
        <f>HYPERLINK("https://stackoverflow.com/q/59186116", "59186116")</f>
        <v>59186116</v>
      </c>
      <c r="B1081" s="1" t="s">
        <v>93</v>
      </c>
      <c r="C1081" s="1" t="s">
        <v>3740</v>
      </c>
      <c r="D1081" s="2" t="s">
        <v>3741</v>
      </c>
      <c r="E1081" s="1">
        <v>1.0</v>
      </c>
      <c r="I1081" s="1">
        <v>0.0</v>
      </c>
      <c r="J1081" s="1">
        <v>37.0</v>
      </c>
      <c r="L1081" s="1">
        <v>6883119.0</v>
      </c>
      <c r="Q1081" s="1" t="s">
        <v>3740</v>
      </c>
      <c r="R1081" s="1" t="s">
        <v>3742</v>
      </c>
      <c r="S1081" s="1">
        <v>0.0</v>
      </c>
      <c r="T1081" s="1">
        <v>1.0</v>
      </c>
      <c r="U1081" s="1">
        <v>1.0</v>
      </c>
      <c r="X1081" s="1" t="s">
        <v>56</v>
      </c>
    </row>
    <row r="1082">
      <c r="A1082" s="3" t="str">
        <f>HYPERLINK("https://stackoverflow.com/q/59192422", "59192422")</f>
        <v>59192422</v>
      </c>
      <c r="B1082" s="1" t="s">
        <v>93</v>
      </c>
      <c r="C1082" s="1" t="s">
        <v>3743</v>
      </c>
      <c r="D1082" s="2" t="s">
        <v>3744</v>
      </c>
      <c r="E1082" s="1">
        <v>1.0</v>
      </c>
      <c r="I1082" s="1">
        <v>0.0</v>
      </c>
      <c r="J1082" s="1">
        <v>27.0</v>
      </c>
      <c r="L1082" s="1">
        <v>9342414.0</v>
      </c>
      <c r="Q1082" s="1" t="s">
        <v>3743</v>
      </c>
      <c r="R1082" s="1" t="s">
        <v>3745</v>
      </c>
      <c r="S1082" s="1">
        <v>0.0</v>
      </c>
      <c r="T1082" s="1">
        <v>0.0</v>
      </c>
      <c r="X1082" s="1" t="s">
        <v>56</v>
      </c>
    </row>
    <row r="1083">
      <c r="A1083" s="3" t="str">
        <f>HYPERLINK("https://stackoverflow.com/q/59199858", "59199858")</f>
        <v>59199858</v>
      </c>
      <c r="B1083" s="1" t="s">
        <v>93</v>
      </c>
      <c r="C1083" s="1" t="s">
        <v>3746</v>
      </c>
      <c r="D1083" s="2" t="s">
        <v>3747</v>
      </c>
      <c r="E1083" s="1">
        <v>1.0</v>
      </c>
      <c r="F1083" s="1">
        <v>5.9200372E7</v>
      </c>
      <c r="I1083" s="1">
        <v>0.0</v>
      </c>
      <c r="J1083" s="1">
        <v>45.0</v>
      </c>
      <c r="L1083" s="1">
        <v>1.2486675E7</v>
      </c>
      <c r="Q1083" s="1" t="s">
        <v>3748</v>
      </c>
      <c r="R1083" s="1" t="s">
        <v>3749</v>
      </c>
      <c r="S1083" s="1">
        <v>1.0</v>
      </c>
      <c r="T1083" s="1">
        <v>4.0</v>
      </c>
      <c r="U1083" s="1">
        <v>1.0</v>
      </c>
      <c r="X1083" s="1" t="s">
        <v>56</v>
      </c>
      <c r="Z1083" s="1" t="s">
        <v>3748</v>
      </c>
    </row>
    <row r="1084">
      <c r="A1084" s="3" t="str">
        <f>HYPERLINK("https://stackoverflow.com/q/59202468", "59202468")</f>
        <v>59202468</v>
      </c>
      <c r="B1084" s="1" t="s">
        <v>93</v>
      </c>
      <c r="C1084" s="1" t="s">
        <v>3750</v>
      </c>
      <c r="D1084" s="2" t="s">
        <v>3751</v>
      </c>
      <c r="E1084" s="1">
        <v>1.0</v>
      </c>
      <c r="I1084" s="1">
        <v>0.0</v>
      </c>
      <c r="J1084" s="1">
        <v>62.0</v>
      </c>
      <c r="L1084" s="1">
        <v>1.2487717E7</v>
      </c>
      <c r="N1084" s="1">
        <v>1.2487717E7</v>
      </c>
      <c r="P1084" s="1" t="s">
        <v>3752</v>
      </c>
      <c r="Q1084" s="1" t="s">
        <v>3752</v>
      </c>
      <c r="R1084" s="1" t="s">
        <v>3753</v>
      </c>
      <c r="S1084" s="1">
        <v>0.0</v>
      </c>
      <c r="T1084" s="1">
        <v>0.0</v>
      </c>
      <c r="X1084" s="1" t="s">
        <v>56</v>
      </c>
    </row>
    <row r="1085">
      <c r="A1085" s="3" t="str">
        <f>HYPERLINK("https://stackoverflow.com/q/59212588", "59212588")</f>
        <v>59212588</v>
      </c>
      <c r="B1085" s="1" t="s">
        <v>93</v>
      </c>
      <c r="C1085" s="1" t="s">
        <v>3754</v>
      </c>
      <c r="D1085" s="2" t="s">
        <v>3755</v>
      </c>
      <c r="E1085" s="1">
        <v>1.0</v>
      </c>
      <c r="I1085" s="1">
        <v>0.0</v>
      </c>
      <c r="J1085" s="1">
        <v>48.0</v>
      </c>
      <c r="L1085" s="1">
        <v>9780438.0</v>
      </c>
      <c r="Q1085" s="1" t="s">
        <v>3756</v>
      </c>
      <c r="R1085" s="1" t="s">
        <v>1689</v>
      </c>
      <c r="S1085" s="1">
        <v>1.0</v>
      </c>
      <c r="T1085" s="1">
        <v>2.0</v>
      </c>
      <c r="X1085" s="1" t="s">
        <v>56</v>
      </c>
    </row>
    <row r="1086">
      <c r="A1086" s="3" t="str">
        <f>HYPERLINK("https://stackoverflow.com/q/59220944", "59220944")</f>
        <v>59220944</v>
      </c>
      <c r="B1086" s="1" t="s">
        <v>93</v>
      </c>
      <c r="C1086" s="1" t="s">
        <v>3757</v>
      </c>
      <c r="D1086" s="2" t="s">
        <v>3758</v>
      </c>
      <c r="E1086" s="1">
        <v>1.0</v>
      </c>
      <c r="I1086" s="1">
        <v>1.0</v>
      </c>
      <c r="J1086" s="1">
        <v>28.0</v>
      </c>
      <c r="L1086" s="1">
        <v>1.1770778E7</v>
      </c>
      <c r="N1086" s="1">
        <v>1.1770778E7</v>
      </c>
      <c r="P1086" s="1" t="s">
        <v>3759</v>
      </c>
      <c r="Q1086" s="1" t="s">
        <v>3759</v>
      </c>
      <c r="R1086" s="1" t="s">
        <v>97</v>
      </c>
      <c r="S1086" s="1">
        <v>0.0</v>
      </c>
      <c r="T1086" s="1">
        <v>2.0</v>
      </c>
      <c r="X1086" s="1" t="s">
        <v>56</v>
      </c>
    </row>
    <row r="1087">
      <c r="A1087" s="3" t="str">
        <f>HYPERLINK("https://stackoverflow.com/q/59231120", "59231120")</f>
        <v>59231120</v>
      </c>
      <c r="B1087" s="1" t="s">
        <v>93</v>
      </c>
      <c r="C1087" s="1" t="s">
        <v>3760</v>
      </c>
      <c r="D1087" s="2" t="s">
        <v>3761</v>
      </c>
      <c r="E1087" s="1">
        <v>1.0</v>
      </c>
      <c r="I1087" s="1">
        <v>0.0</v>
      </c>
      <c r="J1087" s="1">
        <v>42.0</v>
      </c>
      <c r="L1087" s="1">
        <v>9780438.0</v>
      </c>
      <c r="N1087" s="1">
        <v>5983596.0</v>
      </c>
      <c r="P1087" s="1" t="s">
        <v>3762</v>
      </c>
      <c r="Q1087" s="1" t="s">
        <v>3763</v>
      </c>
      <c r="R1087" s="1" t="s">
        <v>97</v>
      </c>
      <c r="S1087" s="1">
        <v>1.0</v>
      </c>
      <c r="T1087" s="1">
        <v>0.0</v>
      </c>
      <c r="X1087" s="1" t="s">
        <v>56</v>
      </c>
    </row>
    <row r="1088">
      <c r="A1088" s="3" t="str">
        <f>HYPERLINK("https://stackoverflow.com/q/59236705", "59236705")</f>
        <v>59236705</v>
      </c>
      <c r="B1088" s="1" t="s">
        <v>93</v>
      </c>
      <c r="C1088" s="1" t="s">
        <v>3764</v>
      </c>
      <c r="D1088" s="2" t="s">
        <v>3765</v>
      </c>
      <c r="E1088" s="1">
        <v>1.0</v>
      </c>
      <c r="I1088" s="1">
        <v>0.0</v>
      </c>
      <c r="J1088" s="1">
        <v>33.0</v>
      </c>
      <c r="L1088" s="1">
        <v>9780438.0</v>
      </c>
      <c r="Q1088" s="1" t="s">
        <v>3764</v>
      </c>
      <c r="R1088" s="1" t="s">
        <v>97</v>
      </c>
      <c r="S1088" s="1">
        <v>0.0</v>
      </c>
      <c r="T1088" s="1">
        <v>4.0</v>
      </c>
      <c r="X1088" s="1" t="s">
        <v>56</v>
      </c>
    </row>
    <row r="1089">
      <c r="A1089" s="3" t="str">
        <f>HYPERLINK("https://stackoverflow.com/q/59263581", "59263581")</f>
        <v>59263581</v>
      </c>
      <c r="B1089" s="1" t="s">
        <v>93</v>
      </c>
      <c r="C1089" s="1" t="s">
        <v>3766</v>
      </c>
      <c r="D1089" s="2" t="s">
        <v>3767</v>
      </c>
      <c r="E1089" s="1">
        <v>1.0</v>
      </c>
      <c r="I1089" s="1">
        <v>0.0</v>
      </c>
      <c r="J1089" s="1">
        <v>35.0</v>
      </c>
      <c r="L1089" s="1">
        <v>6747046.0</v>
      </c>
      <c r="N1089" s="1">
        <v>5188955.0</v>
      </c>
      <c r="P1089" s="1" t="s">
        <v>3768</v>
      </c>
      <c r="Q1089" s="1" t="s">
        <v>3768</v>
      </c>
      <c r="R1089" s="1" t="s">
        <v>97</v>
      </c>
      <c r="S1089" s="1">
        <v>0.0</v>
      </c>
      <c r="T1089" s="1">
        <v>4.0</v>
      </c>
      <c r="X1089" s="1" t="s">
        <v>56</v>
      </c>
    </row>
    <row r="1090">
      <c r="A1090" s="3" t="str">
        <f>HYPERLINK("https://stackoverflow.com/q/59283400", "59283400")</f>
        <v>59283400</v>
      </c>
      <c r="B1090" s="1" t="s">
        <v>93</v>
      </c>
      <c r="C1090" s="1" t="s">
        <v>3769</v>
      </c>
      <c r="D1090" s="2" t="s">
        <v>3770</v>
      </c>
      <c r="E1090" s="1">
        <v>1.0</v>
      </c>
      <c r="I1090" s="1">
        <v>1.0</v>
      </c>
      <c r="J1090" s="1">
        <v>45.0</v>
      </c>
      <c r="L1090" s="1">
        <v>9780438.0</v>
      </c>
      <c r="N1090" s="1">
        <v>9780438.0</v>
      </c>
      <c r="P1090" s="1" t="s">
        <v>3771</v>
      </c>
      <c r="Q1090" s="1" t="s">
        <v>3771</v>
      </c>
      <c r="R1090" s="1" t="s">
        <v>97</v>
      </c>
      <c r="S1090" s="1">
        <v>0.0</v>
      </c>
      <c r="T1090" s="1">
        <v>3.0</v>
      </c>
      <c r="X1090" s="1" t="s">
        <v>56</v>
      </c>
    </row>
    <row r="1091">
      <c r="A1091" s="3" t="str">
        <f>HYPERLINK("https://stackoverflow.com/q/59294324", "59294324")</f>
        <v>59294324</v>
      </c>
      <c r="B1091" s="1" t="s">
        <v>93</v>
      </c>
      <c r="C1091" s="1" t="s">
        <v>3772</v>
      </c>
      <c r="D1091" s="2" t="s">
        <v>3773</v>
      </c>
      <c r="E1091" s="1">
        <v>1.0</v>
      </c>
      <c r="F1091" s="1">
        <v>5.9295196E7</v>
      </c>
      <c r="I1091" s="1">
        <v>0.0</v>
      </c>
      <c r="J1091" s="1">
        <v>49.0</v>
      </c>
      <c r="L1091" s="1">
        <v>1.2344077E7</v>
      </c>
      <c r="N1091" s="1">
        <v>1.2892553E7</v>
      </c>
      <c r="P1091" s="1" t="s">
        <v>3774</v>
      </c>
      <c r="Q1091" s="1" t="s">
        <v>3774</v>
      </c>
      <c r="R1091" s="1" t="s">
        <v>97</v>
      </c>
      <c r="S1091" s="1">
        <v>1.0</v>
      </c>
      <c r="T1091" s="1">
        <v>6.0</v>
      </c>
      <c r="X1091" s="1" t="s">
        <v>56</v>
      </c>
      <c r="Z1091" s="1" t="s">
        <v>3775</v>
      </c>
    </row>
    <row r="1092">
      <c r="A1092" s="3" t="str">
        <f>HYPERLINK("https://stackoverflow.com/q/59305155", "59305155")</f>
        <v>59305155</v>
      </c>
      <c r="B1092" s="1" t="s">
        <v>93</v>
      </c>
      <c r="C1092" s="1" t="s">
        <v>3776</v>
      </c>
      <c r="D1092" s="2" t="s">
        <v>3777</v>
      </c>
      <c r="E1092" s="1">
        <v>1.0</v>
      </c>
      <c r="F1092" s="1">
        <v>5.9305393E7</v>
      </c>
      <c r="I1092" s="1">
        <v>2.0</v>
      </c>
      <c r="J1092" s="1">
        <v>34.0</v>
      </c>
      <c r="L1092" s="1">
        <v>1.2524979E7</v>
      </c>
      <c r="Q1092" s="1" t="s">
        <v>3778</v>
      </c>
      <c r="R1092" s="1" t="s">
        <v>3779</v>
      </c>
      <c r="S1092" s="1">
        <v>2.0</v>
      </c>
      <c r="T1092" s="1">
        <v>1.0</v>
      </c>
      <c r="X1092" s="1" t="s">
        <v>56</v>
      </c>
      <c r="Z1092" s="1" t="s">
        <v>3780</v>
      </c>
    </row>
    <row r="1093">
      <c r="A1093" s="3" t="str">
        <f>HYPERLINK("https://stackoverflow.com/q/59320260", "59320260")</f>
        <v>59320260</v>
      </c>
      <c r="B1093" s="1" t="s">
        <v>93</v>
      </c>
      <c r="C1093" s="1" t="s">
        <v>3781</v>
      </c>
      <c r="D1093" s="2" t="s">
        <v>3782</v>
      </c>
      <c r="E1093" s="1">
        <v>1.0</v>
      </c>
      <c r="F1093" s="1">
        <v>5.9323178E7</v>
      </c>
      <c r="I1093" s="1">
        <v>0.0</v>
      </c>
      <c r="J1093" s="1">
        <v>33.0</v>
      </c>
      <c r="L1093" s="1">
        <v>1.1975399E7</v>
      </c>
      <c r="Q1093" s="1" t="s">
        <v>3783</v>
      </c>
      <c r="R1093" s="1" t="s">
        <v>97</v>
      </c>
      <c r="S1093" s="1">
        <v>1.0</v>
      </c>
      <c r="T1093" s="1">
        <v>0.0</v>
      </c>
      <c r="X1093" s="1" t="s">
        <v>56</v>
      </c>
      <c r="Z1093" s="1" t="s">
        <v>3783</v>
      </c>
    </row>
    <row r="1094">
      <c r="A1094" s="3" t="str">
        <f>HYPERLINK("https://stackoverflow.com/q/59322618", "59322618")</f>
        <v>59322618</v>
      </c>
      <c r="B1094" s="1" t="s">
        <v>93</v>
      </c>
      <c r="C1094" s="1" t="s">
        <v>3784</v>
      </c>
      <c r="D1094" s="2" t="s">
        <v>3785</v>
      </c>
      <c r="E1094" s="1">
        <v>1.0</v>
      </c>
      <c r="F1094" s="1">
        <v>5.932477E7</v>
      </c>
      <c r="I1094" s="1">
        <v>0.0</v>
      </c>
      <c r="J1094" s="1">
        <v>44.0</v>
      </c>
      <c r="L1094" s="1">
        <v>1.2304144E7</v>
      </c>
      <c r="Q1094" s="1" t="s">
        <v>3786</v>
      </c>
      <c r="R1094" s="1" t="s">
        <v>97</v>
      </c>
      <c r="S1094" s="1">
        <v>1.0</v>
      </c>
      <c r="T1094" s="1">
        <v>0.0</v>
      </c>
      <c r="X1094" s="1" t="s">
        <v>56</v>
      </c>
      <c r="Z1094" s="1" t="s">
        <v>3786</v>
      </c>
    </row>
    <row r="1095">
      <c r="A1095" s="3" t="str">
        <f>HYPERLINK("https://stackoverflow.com/q/59327305", "59327305")</f>
        <v>59327305</v>
      </c>
      <c r="B1095" s="1" t="s">
        <v>93</v>
      </c>
      <c r="C1095" s="1" t="s">
        <v>3787</v>
      </c>
      <c r="D1095" s="2" t="s">
        <v>3788</v>
      </c>
      <c r="E1095" s="1">
        <v>1.0</v>
      </c>
      <c r="I1095" s="1">
        <v>0.0</v>
      </c>
      <c r="J1095" s="1">
        <v>40.0</v>
      </c>
      <c r="L1095" s="1">
        <v>1.2274555E7</v>
      </c>
      <c r="Q1095" s="1" t="s">
        <v>3787</v>
      </c>
      <c r="R1095" s="1" t="s">
        <v>2280</v>
      </c>
      <c r="S1095" s="1">
        <v>0.0</v>
      </c>
      <c r="T1095" s="1">
        <v>2.0</v>
      </c>
      <c r="X1095" s="1" t="s">
        <v>56</v>
      </c>
    </row>
    <row r="1096">
      <c r="A1096" s="3" t="str">
        <f>HYPERLINK("https://stackoverflow.com/q/59349005", "59349005")</f>
        <v>59349005</v>
      </c>
      <c r="B1096" s="1" t="s">
        <v>93</v>
      </c>
      <c r="C1096" s="1" t="s">
        <v>3789</v>
      </c>
      <c r="D1096" s="2" t="s">
        <v>3790</v>
      </c>
      <c r="E1096" s="1">
        <v>1.0</v>
      </c>
      <c r="F1096" s="1">
        <v>5.934956E7</v>
      </c>
      <c r="I1096" s="1">
        <v>0.0</v>
      </c>
      <c r="J1096" s="1">
        <v>59.0</v>
      </c>
      <c r="L1096" s="1">
        <v>1.2304144E7</v>
      </c>
      <c r="Q1096" s="1" t="s">
        <v>3791</v>
      </c>
      <c r="R1096" s="1" t="s">
        <v>97</v>
      </c>
      <c r="S1096" s="1">
        <v>1.0</v>
      </c>
      <c r="T1096" s="1">
        <v>0.0</v>
      </c>
      <c r="X1096" s="1" t="s">
        <v>56</v>
      </c>
      <c r="Z1096" s="1" t="s">
        <v>3791</v>
      </c>
    </row>
    <row r="1097">
      <c r="A1097" s="3" t="str">
        <f>HYPERLINK("https://stackoverflow.com/q/59369955", "59369955")</f>
        <v>59369955</v>
      </c>
      <c r="B1097" s="1" t="s">
        <v>93</v>
      </c>
      <c r="C1097" s="1" t="s">
        <v>3792</v>
      </c>
      <c r="D1097" s="2" t="s">
        <v>3793</v>
      </c>
      <c r="E1097" s="1">
        <v>1.0</v>
      </c>
      <c r="I1097" s="1">
        <v>2.0</v>
      </c>
      <c r="J1097" s="1">
        <v>69.0</v>
      </c>
      <c r="L1097" s="1">
        <v>5142981.0</v>
      </c>
      <c r="Q1097" s="1" t="s">
        <v>3792</v>
      </c>
      <c r="R1097" s="1" t="s">
        <v>3794</v>
      </c>
      <c r="S1097" s="1">
        <v>0.0</v>
      </c>
      <c r="T1097" s="1">
        <v>1.0</v>
      </c>
      <c r="X1097" s="1" t="s">
        <v>56</v>
      </c>
    </row>
    <row r="1098">
      <c r="A1098" s="3" t="str">
        <f>HYPERLINK("https://stackoverflow.com/q/59371835", "59371835")</f>
        <v>59371835</v>
      </c>
      <c r="B1098" s="1" t="s">
        <v>93</v>
      </c>
      <c r="C1098" s="1" t="s">
        <v>3795</v>
      </c>
      <c r="D1098" s="2" t="s">
        <v>3796</v>
      </c>
      <c r="E1098" s="1">
        <v>1.0</v>
      </c>
      <c r="F1098" s="1">
        <v>5.9380379E7</v>
      </c>
      <c r="I1098" s="1">
        <v>0.0</v>
      </c>
      <c r="J1098" s="1">
        <v>48.0</v>
      </c>
      <c r="L1098" s="1">
        <v>1.2342302E7</v>
      </c>
      <c r="N1098" s="1">
        <v>1.2892553E7</v>
      </c>
      <c r="P1098" s="1" t="s">
        <v>3797</v>
      </c>
      <c r="Q1098" s="1" t="s">
        <v>3797</v>
      </c>
      <c r="R1098" s="1" t="s">
        <v>97</v>
      </c>
      <c r="S1098" s="1">
        <v>1.0</v>
      </c>
      <c r="T1098" s="1">
        <v>0.0</v>
      </c>
      <c r="X1098" s="1" t="s">
        <v>56</v>
      </c>
      <c r="Z1098" s="1" t="s">
        <v>3798</v>
      </c>
    </row>
    <row r="1099">
      <c r="A1099" s="3" t="str">
        <f>HYPERLINK("https://stackoverflow.com/q/59379754", "59379754")</f>
        <v>59379754</v>
      </c>
      <c r="B1099" s="1" t="s">
        <v>93</v>
      </c>
      <c r="C1099" s="1" t="s">
        <v>3799</v>
      </c>
      <c r="D1099" s="2" t="s">
        <v>3800</v>
      </c>
      <c r="E1099" s="1">
        <v>1.0</v>
      </c>
      <c r="I1099" s="1">
        <v>0.0</v>
      </c>
      <c r="J1099" s="1">
        <v>65.0</v>
      </c>
      <c r="L1099" s="1">
        <v>1.2203777E7</v>
      </c>
      <c r="Q1099" s="1" t="s">
        <v>3801</v>
      </c>
      <c r="R1099" s="1" t="s">
        <v>130</v>
      </c>
      <c r="S1099" s="1">
        <v>1.0</v>
      </c>
      <c r="T1099" s="1">
        <v>6.0</v>
      </c>
      <c r="U1099" s="1">
        <v>0.0</v>
      </c>
      <c r="X1099" s="1" t="s">
        <v>56</v>
      </c>
    </row>
    <row r="1100">
      <c r="A1100" s="3" t="str">
        <f>HYPERLINK("https://stackoverflow.com/q/59399933", "59399933")</f>
        <v>59399933</v>
      </c>
      <c r="B1100" s="1" t="s">
        <v>93</v>
      </c>
      <c r="C1100" s="1" t="s">
        <v>3802</v>
      </c>
      <c r="D1100" s="2" t="s">
        <v>3803</v>
      </c>
      <c r="E1100" s="1">
        <v>1.0</v>
      </c>
      <c r="F1100" s="1">
        <v>5.9400121E7</v>
      </c>
      <c r="I1100" s="1">
        <v>0.0</v>
      </c>
      <c r="J1100" s="1">
        <v>33.0</v>
      </c>
      <c r="L1100" s="1">
        <v>6500312.0</v>
      </c>
      <c r="Q1100" s="1" t="s">
        <v>3804</v>
      </c>
      <c r="R1100" s="1" t="s">
        <v>3034</v>
      </c>
      <c r="S1100" s="1">
        <v>1.0</v>
      </c>
      <c r="T1100" s="1">
        <v>0.0</v>
      </c>
      <c r="X1100" s="1" t="s">
        <v>56</v>
      </c>
      <c r="Z1100" s="1" t="s">
        <v>3804</v>
      </c>
    </row>
    <row r="1101">
      <c r="A1101" s="3" t="str">
        <f>HYPERLINK("https://stackoverflow.com/q/59420530", "59420530")</f>
        <v>59420530</v>
      </c>
      <c r="B1101" s="1" t="s">
        <v>93</v>
      </c>
      <c r="C1101" s="1" t="s">
        <v>3805</v>
      </c>
      <c r="D1101" s="2" t="s">
        <v>3806</v>
      </c>
      <c r="E1101" s="1">
        <v>1.0</v>
      </c>
      <c r="I1101" s="1">
        <v>0.0</v>
      </c>
      <c r="J1101" s="1">
        <v>25.0</v>
      </c>
      <c r="L1101" s="1">
        <v>1.2568987E7</v>
      </c>
      <c r="Q1101" s="1" t="s">
        <v>3805</v>
      </c>
      <c r="R1101" s="1" t="s">
        <v>97</v>
      </c>
      <c r="S1101" s="1">
        <v>0.0</v>
      </c>
      <c r="T1101" s="1">
        <v>2.0</v>
      </c>
      <c r="X1101" s="1" t="s">
        <v>56</v>
      </c>
    </row>
    <row r="1102">
      <c r="A1102" s="3" t="str">
        <f>HYPERLINK("https://stackoverflow.com/q/59427077", "59427077")</f>
        <v>59427077</v>
      </c>
      <c r="B1102" s="1" t="s">
        <v>93</v>
      </c>
      <c r="C1102" s="1" t="s">
        <v>3807</v>
      </c>
      <c r="D1102" s="2" t="s">
        <v>3808</v>
      </c>
      <c r="E1102" s="1">
        <v>1.0</v>
      </c>
      <c r="I1102" s="1">
        <v>0.0</v>
      </c>
      <c r="J1102" s="1">
        <v>26.0</v>
      </c>
      <c r="L1102" s="1">
        <v>1.257135E7</v>
      </c>
      <c r="Q1102" s="1" t="s">
        <v>3807</v>
      </c>
      <c r="R1102" s="1" t="s">
        <v>97</v>
      </c>
      <c r="S1102" s="1">
        <v>0.0</v>
      </c>
      <c r="T1102" s="1">
        <v>1.0</v>
      </c>
      <c r="X1102" s="1" t="s">
        <v>56</v>
      </c>
    </row>
    <row r="1103">
      <c r="A1103" s="3" t="str">
        <f>HYPERLINK("https://stackoverflow.com/q/59438778", "59438778")</f>
        <v>59438778</v>
      </c>
      <c r="B1103" s="1" t="s">
        <v>93</v>
      </c>
      <c r="C1103" s="1" t="s">
        <v>3809</v>
      </c>
      <c r="D1103" s="2" t="s">
        <v>3810</v>
      </c>
      <c r="E1103" s="1">
        <v>1.0</v>
      </c>
      <c r="I1103" s="1">
        <v>0.0</v>
      </c>
      <c r="J1103" s="1">
        <v>31.0</v>
      </c>
      <c r="L1103" s="1">
        <v>1.2576777E7</v>
      </c>
      <c r="Q1103" s="1" t="s">
        <v>3809</v>
      </c>
      <c r="R1103" s="1" t="s">
        <v>97</v>
      </c>
      <c r="S1103" s="1">
        <v>0.0</v>
      </c>
      <c r="T1103" s="1">
        <v>2.0</v>
      </c>
      <c r="X1103" s="1" t="s">
        <v>56</v>
      </c>
    </row>
    <row r="1104">
      <c r="A1104" s="3" t="str">
        <f>HYPERLINK("https://stackoverflow.com/q/59454538", "59454538")</f>
        <v>59454538</v>
      </c>
      <c r="B1104" s="1" t="s">
        <v>93</v>
      </c>
      <c r="C1104" s="1" t="s">
        <v>3811</v>
      </c>
      <c r="D1104" s="2" t="s">
        <v>3812</v>
      </c>
      <c r="E1104" s="1">
        <v>1.0</v>
      </c>
      <c r="I1104" s="1">
        <v>0.0</v>
      </c>
      <c r="J1104" s="1">
        <v>30.0</v>
      </c>
      <c r="L1104" s="1">
        <v>7150642.0</v>
      </c>
      <c r="Q1104" s="1" t="s">
        <v>3811</v>
      </c>
      <c r="R1104" s="1" t="s">
        <v>97</v>
      </c>
      <c r="S1104" s="1">
        <v>0.0</v>
      </c>
      <c r="T1104" s="1">
        <v>1.0</v>
      </c>
      <c r="U1104" s="1">
        <v>1.0</v>
      </c>
      <c r="X1104" s="1" t="s">
        <v>56</v>
      </c>
    </row>
    <row r="1105">
      <c r="A1105" s="3" t="str">
        <f>HYPERLINK("https://stackoverflow.com/q/59462274", "59462274")</f>
        <v>59462274</v>
      </c>
      <c r="B1105" s="1" t="s">
        <v>93</v>
      </c>
      <c r="C1105" s="1" t="s">
        <v>3813</v>
      </c>
      <c r="D1105" s="2" t="s">
        <v>3814</v>
      </c>
      <c r="E1105" s="1">
        <v>1.0</v>
      </c>
      <c r="I1105" s="1">
        <v>0.0</v>
      </c>
      <c r="J1105" s="1">
        <v>36.0</v>
      </c>
      <c r="L1105" s="1">
        <v>1.2344077E7</v>
      </c>
      <c r="Q1105" s="1" t="s">
        <v>3813</v>
      </c>
      <c r="R1105" s="1" t="s">
        <v>97</v>
      </c>
      <c r="S1105" s="1">
        <v>0.0</v>
      </c>
      <c r="T1105" s="1">
        <v>2.0</v>
      </c>
      <c r="X1105" s="1" t="s">
        <v>56</v>
      </c>
    </row>
    <row r="1106">
      <c r="A1106" s="3" t="str">
        <f>HYPERLINK("https://stackoverflow.com/q/59503337", "59503337")</f>
        <v>59503337</v>
      </c>
      <c r="B1106" s="1" t="s">
        <v>93</v>
      </c>
      <c r="C1106" s="1" t="s">
        <v>3815</v>
      </c>
      <c r="D1106" s="2" t="s">
        <v>3816</v>
      </c>
      <c r="E1106" s="1">
        <v>1.0</v>
      </c>
      <c r="I1106" s="1">
        <v>1.0</v>
      </c>
      <c r="J1106" s="1">
        <v>48.0</v>
      </c>
      <c r="L1106" s="1">
        <v>1.2603486E7</v>
      </c>
      <c r="Q1106" s="1" t="s">
        <v>3815</v>
      </c>
      <c r="R1106" s="1" t="s">
        <v>3817</v>
      </c>
      <c r="S1106" s="1">
        <v>0.0</v>
      </c>
      <c r="T1106" s="1">
        <v>4.0</v>
      </c>
      <c r="U1106" s="1">
        <v>2.0</v>
      </c>
      <c r="X1106" s="1" t="s">
        <v>56</v>
      </c>
    </row>
    <row r="1107">
      <c r="A1107" s="3" t="str">
        <f>HYPERLINK("https://stackoverflow.com/q/59510871", "59510871")</f>
        <v>59510871</v>
      </c>
      <c r="B1107" s="1" t="s">
        <v>93</v>
      </c>
      <c r="C1107" s="1" t="s">
        <v>3818</v>
      </c>
      <c r="D1107" s="2" t="s">
        <v>3819</v>
      </c>
      <c r="E1107" s="1">
        <v>1.0</v>
      </c>
      <c r="I1107" s="1">
        <v>0.0</v>
      </c>
      <c r="J1107" s="1">
        <v>35.0</v>
      </c>
      <c r="L1107" s="1">
        <v>1.2304144E7</v>
      </c>
      <c r="Q1107" s="1" t="s">
        <v>3818</v>
      </c>
      <c r="R1107" s="1" t="s">
        <v>3820</v>
      </c>
      <c r="S1107" s="1">
        <v>0.0</v>
      </c>
      <c r="T1107" s="1">
        <v>0.0</v>
      </c>
      <c r="X1107" s="1" t="s">
        <v>56</v>
      </c>
    </row>
    <row r="1108">
      <c r="A1108" s="3" t="str">
        <f>HYPERLINK("https://stackoverflow.com/q/59548023", "59548023")</f>
        <v>59548023</v>
      </c>
      <c r="B1108" s="1" t="s">
        <v>93</v>
      </c>
      <c r="C1108" s="1" t="s">
        <v>3821</v>
      </c>
      <c r="D1108" s="2" t="s">
        <v>3822</v>
      </c>
      <c r="E1108" s="1">
        <v>1.0</v>
      </c>
      <c r="I1108" s="1">
        <v>0.0</v>
      </c>
      <c r="J1108" s="1">
        <v>47.0</v>
      </c>
      <c r="L1108" s="1">
        <v>5173270.0</v>
      </c>
      <c r="N1108" s="1">
        <v>1.2892553E7</v>
      </c>
      <c r="P1108" s="1" t="s">
        <v>3823</v>
      </c>
      <c r="Q1108" s="1" t="s">
        <v>3823</v>
      </c>
      <c r="R1108" s="1" t="s">
        <v>3824</v>
      </c>
      <c r="S1108" s="1">
        <v>1.0</v>
      </c>
      <c r="T1108" s="1">
        <v>4.0</v>
      </c>
      <c r="X1108" s="1" t="s">
        <v>56</v>
      </c>
    </row>
    <row r="1109">
      <c r="A1109" s="3" t="str">
        <f>HYPERLINK("https://stackoverflow.com/q/59570336", "59570336")</f>
        <v>59570336</v>
      </c>
      <c r="B1109" s="1" t="s">
        <v>93</v>
      </c>
      <c r="C1109" s="1" t="s">
        <v>3825</v>
      </c>
      <c r="D1109" s="2" t="s">
        <v>3826</v>
      </c>
      <c r="E1109" s="1">
        <v>1.0</v>
      </c>
      <c r="I1109" s="1">
        <v>0.0</v>
      </c>
      <c r="J1109" s="1">
        <v>62.0</v>
      </c>
      <c r="L1109" s="1">
        <v>1.2603486E7</v>
      </c>
      <c r="N1109" s="1">
        <v>3478852.0</v>
      </c>
      <c r="P1109" s="1" t="s">
        <v>3827</v>
      </c>
      <c r="Q1109" s="1" t="s">
        <v>3827</v>
      </c>
      <c r="R1109" s="1" t="s">
        <v>696</v>
      </c>
      <c r="S1109" s="1">
        <v>0.0</v>
      </c>
      <c r="T1109" s="1">
        <v>9.0</v>
      </c>
      <c r="U1109" s="1">
        <v>0.0</v>
      </c>
      <c r="X1109" s="1" t="s">
        <v>56</v>
      </c>
    </row>
    <row r="1110">
      <c r="A1110" s="3" t="str">
        <f>HYPERLINK("https://stackoverflow.com/q/59677599", "59677599")</f>
        <v>59677599</v>
      </c>
      <c r="B1110" s="1" t="s">
        <v>93</v>
      </c>
      <c r="C1110" s="1" t="s">
        <v>3828</v>
      </c>
      <c r="D1110" s="2" t="s">
        <v>3829</v>
      </c>
      <c r="E1110" s="1">
        <v>1.0</v>
      </c>
      <c r="I1110" s="1">
        <v>0.0</v>
      </c>
      <c r="J1110" s="1">
        <v>30.0</v>
      </c>
      <c r="L1110" s="1">
        <v>6747046.0</v>
      </c>
      <c r="Q1110" s="1" t="s">
        <v>3828</v>
      </c>
      <c r="R1110" s="1" t="s">
        <v>97</v>
      </c>
      <c r="S1110" s="1">
        <v>0.0</v>
      </c>
      <c r="T1110" s="1">
        <v>1.0</v>
      </c>
      <c r="X1110" s="1" t="s">
        <v>56</v>
      </c>
    </row>
    <row r="1111">
      <c r="A1111" s="3" t="str">
        <f>HYPERLINK("https://stackoverflow.com/q/59687114", "59687114")</f>
        <v>59687114</v>
      </c>
      <c r="B1111" s="1" t="s">
        <v>93</v>
      </c>
      <c r="C1111" s="1" t="s">
        <v>3830</v>
      </c>
      <c r="D1111" s="2" t="s">
        <v>3831</v>
      </c>
      <c r="E1111" s="1">
        <v>1.0</v>
      </c>
      <c r="I1111" s="1">
        <v>0.0</v>
      </c>
      <c r="J1111" s="1">
        <v>56.0</v>
      </c>
      <c r="L1111" s="1">
        <v>1.2203777E7</v>
      </c>
      <c r="N1111" s="1">
        <v>1.2203777E7</v>
      </c>
      <c r="P1111" s="1" t="s">
        <v>3832</v>
      </c>
      <c r="Q1111" s="1" t="s">
        <v>3832</v>
      </c>
      <c r="R1111" s="1" t="s">
        <v>3833</v>
      </c>
      <c r="S1111" s="1">
        <v>0.0</v>
      </c>
      <c r="T1111" s="1">
        <v>16.0</v>
      </c>
      <c r="X1111" s="1" t="s">
        <v>56</v>
      </c>
    </row>
    <row r="1112">
      <c r="A1112" s="3" t="str">
        <f>HYPERLINK("https://stackoverflow.com/q/59688843", "59688843")</f>
        <v>59688843</v>
      </c>
      <c r="B1112" s="1" t="s">
        <v>93</v>
      </c>
      <c r="C1112" s="1" t="s">
        <v>3834</v>
      </c>
      <c r="D1112" s="2" t="s">
        <v>3835</v>
      </c>
      <c r="E1112" s="1">
        <v>1.0</v>
      </c>
      <c r="I1112" s="1">
        <v>0.0</v>
      </c>
      <c r="J1112" s="1">
        <v>49.0</v>
      </c>
      <c r="L1112" s="1">
        <v>1.2603486E7</v>
      </c>
      <c r="Q1112" s="1" t="s">
        <v>3834</v>
      </c>
      <c r="R1112" s="1" t="s">
        <v>947</v>
      </c>
      <c r="S1112" s="1">
        <v>0.0</v>
      </c>
      <c r="T1112" s="1">
        <v>7.0</v>
      </c>
      <c r="X1112" s="1" t="s">
        <v>56</v>
      </c>
    </row>
    <row r="1113">
      <c r="A1113" s="3" t="str">
        <f>HYPERLINK("https://stackoverflow.com/q/59738152", "59738152")</f>
        <v>59738152</v>
      </c>
      <c r="B1113" s="1" t="s">
        <v>93</v>
      </c>
      <c r="C1113" s="1" t="s">
        <v>3836</v>
      </c>
      <c r="D1113" s="2" t="s">
        <v>3837</v>
      </c>
      <c r="E1113" s="1">
        <v>1.0</v>
      </c>
      <c r="I1113" s="1">
        <v>0.0</v>
      </c>
      <c r="J1113" s="1">
        <v>39.0</v>
      </c>
      <c r="L1113" s="1">
        <v>1.2304144E7</v>
      </c>
      <c r="N1113" s="1">
        <v>1.2304144E7</v>
      </c>
      <c r="P1113" s="1" t="s">
        <v>3838</v>
      </c>
      <c r="Q1113" s="1" t="s">
        <v>3838</v>
      </c>
      <c r="R1113" s="1" t="s">
        <v>97</v>
      </c>
      <c r="S1113" s="1">
        <v>0.0</v>
      </c>
      <c r="T1113" s="1">
        <v>6.0</v>
      </c>
      <c r="X1113" s="1" t="s">
        <v>56</v>
      </c>
    </row>
    <row r="1114">
      <c r="A1114" s="3" t="str">
        <f>HYPERLINK("https://stackoverflow.com/q/59764363", "59764363")</f>
        <v>59764363</v>
      </c>
      <c r="B1114" s="1" t="s">
        <v>93</v>
      </c>
      <c r="C1114" s="1" t="s">
        <v>3839</v>
      </c>
      <c r="D1114" s="2" t="s">
        <v>3840</v>
      </c>
      <c r="E1114" s="1">
        <v>1.0</v>
      </c>
      <c r="I1114" s="1">
        <v>0.0</v>
      </c>
      <c r="J1114" s="1">
        <v>31.0</v>
      </c>
      <c r="L1114" s="1">
        <v>6747046.0</v>
      </c>
      <c r="N1114" s="1">
        <v>1.2892553E7</v>
      </c>
      <c r="P1114" s="1" t="s">
        <v>3841</v>
      </c>
      <c r="Q1114" s="1" t="s">
        <v>3841</v>
      </c>
      <c r="R1114" s="1" t="s">
        <v>97</v>
      </c>
      <c r="S1114" s="1">
        <v>0.0</v>
      </c>
      <c r="T1114" s="1">
        <v>0.0</v>
      </c>
      <c r="X1114" s="1" t="s">
        <v>56</v>
      </c>
    </row>
    <row r="1115">
      <c r="A1115" s="3" t="str">
        <f>HYPERLINK("https://stackoverflow.com/q/59783806", "59783806")</f>
        <v>59783806</v>
      </c>
      <c r="B1115" s="1" t="s">
        <v>93</v>
      </c>
      <c r="C1115" s="1" t="s">
        <v>3842</v>
      </c>
      <c r="D1115" s="2" t="s">
        <v>3843</v>
      </c>
      <c r="E1115" s="1">
        <v>1.0</v>
      </c>
      <c r="I1115" s="1">
        <v>0.0</v>
      </c>
      <c r="J1115" s="1">
        <v>34.0</v>
      </c>
      <c r="L1115" s="1">
        <v>3749107.0</v>
      </c>
      <c r="Q1115" s="1" t="s">
        <v>3842</v>
      </c>
      <c r="R1115" s="1" t="s">
        <v>97</v>
      </c>
      <c r="S1115" s="1">
        <v>0.0</v>
      </c>
      <c r="T1115" s="1">
        <v>3.0</v>
      </c>
      <c r="X1115" s="1" t="s">
        <v>56</v>
      </c>
    </row>
    <row r="1116">
      <c r="A1116" s="3" t="str">
        <f>HYPERLINK("https://stackoverflow.com/q/59793253", "59793253")</f>
        <v>59793253</v>
      </c>
      <c r="B1116" s="1" t="s">
        <v>93</v>
      </c>
      <c r="C1116" s="1" t="s">
        <v>3844</v>
      </c>
      <c r="D1116" s="2" t="s">
        <v>3845</v>
      </c>
      <c r="E1116" s="1">
        <v>1.0</v>
      </c>
      <c r="I1116" s="1">
        <v>1.0</v>
      </c>
      <c r="J1116" s="1">
        <v>35.0</v>
      </c>
      <c r="L1116" s="1">
        <v>1.2732558E7</v>
      </c>
      <c r="Q1116" s="1" t="s">
        <v>3844</v>
      </c>
      <c r="R1116" s="1" t="s">
        <v>97</v>
      </c>
      <c r="S1116" s="1">
        <v>0.0</v>
      </c>
      <c r="T1116" s="1">
        <v>1.0</v>
      </c>
      <c r="X1116" s="1" t="s">
        <v>56</v>
      </c>
    </row>
    <row r="1117">
      <c r="A1117" s="3" t="str">
        <f>HYPERLINK("https://stackoverflow.com/q/59834480", "59834480")</f>
        <v>59834480</v>
      </c>
      <c r="B1117" s="1" t="s">
        <v>93</v>
      </c>
      <c r="C1117" s="1" t="s">
        <v>3846</v>
      </c>
      <c r="D1117" s="2" t="s">
        <v>3847</v>
      </c>
      <c r="E1117" s="1">
        <v>1.0</v>
      </c>
      <c r="I1117" s="1">
        <v>0.0</v>
      </c>
      <c r="J1117" s="1">
        <v>29.0</v>
      </c>
      <c r="L1117" s="1">
        <v>6747046.0</v>
      </c>
      <c r="N1117" s="1">
        <v>1.2892553E7</v>
      </c>
      <c r="P1117" s="1" t="s">
        <v>3848</v>
      </c>
      <c r="Q1117" s="1" t="s">
        <v>3848</v>
      </c>
      <c r="R1117" s="1" t="s">
        <v>97</v>
      </c>
      <c r="S1117" s="1">
        <v>0.0</v>
      </c>
      <c r="T1117" s="1">
        <v>2.0</v>
      </c>
      <c r="X1117" s="1" t="s">
        <v>56</v>
      </c>
    </row>
    <row r="1118">
      <c r="A1118" s="3" t="str">
        <f>HYPERLINK("https://stackoverflow.com/q/59845710", "59845710")</f>
        <v>59845710</v>
      </c>
      <c r="B1118" s="1" t="s">
        <v>93</v>
      </c>
      <c r="C1118" s="1" t="s">
        <v>3849</v>
      </c>
      <c r="D1118" s="2" t="s">
        <v>3850</v>
      </c>
      <c r="E1118" s="1">
        <v>1.0</v>
      </c>
      <c r="I1118" s="1">
        <v>0.0</v>
      </c>
      <c r="J1118" s="1">
        <v>46.0</v>
      </c>
      <c r="L1118" s="1">
        <v>1.2755623E7</v>
      </c>
      <c r="N1118" s="1">
        <v>7678788.0</v>
      </c>
      <c r="P1118" s="1" t="s">
        <v>3851</v>
      </c>
      <c r="Q1118" s="1" t="s">
        <v>3851</v>
      </c>
      <c r="R1118" s="1" t="s">
        <v>97</v>
      </c>
      <c r="S1118" s="1">
        <v>0.0</v>
      </c>
      <c r="T1118" s="1">
        <v>4.0</v>
      </c>
      <c r="X1118" s="1" t="s">
        <v>56</v>
      </c>
    </row>
    <row r="1119">
      <c r="A1119" s="3" t="str">
        <f>HYPERLINK("https://stackoverflow.com/q/59856067", "59856067")</f>
        <v>59856067</v>
      </c>
      <c r="B1119" s="1" t="s">
        <v>93</v>
      </c>
      <c r="C1119" s="1" t="s">
        <v>3852</v>
      </c>
      <c r="D1119" s="2" t="s">
        <v>3853</v>
      </c>
      <c r="E1119" s="1">
        <v>1.0</v>
      </c>
      <c r="I1119" s="1">
        <v>0.0</v>
      </c>
      <c r="J1119" s="1">
        <v>32.0</v>
      </c>
      <c r="L1119" s="1">
        <v>4145775.0</v>
      </c>
      <c r="N1119" s="1">
        <v>4145775.0</v>
      </c>
      <c r="P1119" s="1" t="s">
        <v>3854</v>
      </c>
      <c r="Q1119" s="1" t="s">
        <v>3854</v>
      </c>
      <c r="R1119" s="1" t="s">
        <v>97</v>
      </c>
      <c r="S1119" s="1">
        <v>0.0</v>
      </c>
      <c r="T1119" s="1">
        <v>4.0</v>
      </c>
      <c r="X1119" s="1" t="s">
        <v>56</v>
      </c>
    </row>
    <row r="1120">
      <c r="A1120" s="3" t="str">
        <f>HYPERLINK("https://stackoverflow.com/q/59861020", "59861020")</f>
        <v>59861020</v>
      </c>
      <c r="B1120" s="1" t="s">
        <v>93</v>
      </c>
      <c r="C1120" s="1" t="s">
        <v>3855</v>
      </c>
      <c r="D1120" s="2" t="s">
        <v>3856</v>
      </c>
      <c r="E1120" s="1">
        <v>1.0</v>
      </c>
      <c r="I1120" s="1">
        <v>0.0</v>
      </c>
      <c r="J1120" s="1">
        <v>78.0</v>
      </c>
      <c r="L1120" s="1">
        <v>1.276194E7</v>
      </c>
      <c r="N1120" s="1">
        <v>1.276194E7</v>
      </c>
      <c r="P1120" s="1" t="s">
        <v>3857</v>
      </c>
      <c r="Q1120" s="1" t="s">
        <v>3857</v>
      </c>
      <c r="R1120" s="1" t="s">
        <v>3858</v>
      </c>
      <c r="S1120" s="1">
        <v>1.0</v>
      </c>
      <c r="T1120" s="1">
        <v>3.0</v>
      </c>
      <c r="X1120" s="1" t="s">
        <v>56</v>
      </c>
    </row>
    <row r="1121">
      <c r="A1121" s="3" t="str">
        <f>HYPERLINK("https://stackoverflow.com/q/59865791", "59865791")</f>
        <v>59865791</v>
      </c>
      <c r="B1121" s="1" t="s">
        <v>93</v>
      </c>
      <c r="C1121" s="1" t="s">
        <v>3859</v>
      </c>
      <c r="D1121" s="2" t="s">
        <v>3860</v>
      </c>
      <c r="E1121" s="1">
        <v>1.0</v>
      </c>
      <c r="I1121" s="1">
        <v>0.0</v>
      </c>
      <c r="J1121" s="1">
        <v>20.0</v>
      </c>
      <c r="L1121" s="1">
        <v>1.2304144E7</v>
      </c>
      <c r="N1121" s="1">
        <v>1.2304144E7</v>
      </c>
      <c r="P1121" s="1" t="s">
        <v>3861</v>
      </c>
      <c r="Q1121" s="1" t="s">
        <v>3861</v>
      </c>
      <c r="R1121" s="1" t="s">
        <v>97</v>
      </c>
      <c r="S1121" s="1">
        <v>0.0</v>
      </c>
      <c r="T1121" s="1">
        <v>0.0</v>
      </c>
      <c r="X1121" s="1" t="s">
        <v>56</v>
      </c>
    </row>
    <row r="1122">
      <c r="A1122" s="3" t="str">
        <f>HYPERLINK("https://stackoverflow.com/q/59867397", "59867397")</f>
        <v>59867397</v>
      </c>
      <c r="B1122" s="1" t="s">
        <v>93</v>
      </c>
      <c r="C1122" s="1" t="s">
        <v>3862</v>
      </c>
      <c r="D1122" s="2" t="s">
        <v>3863</v>
      </c>
      <c r="E1122" s="1">
        <v>1.0</v>
      </c>
      <c r="I1122" s="1">
        <v>0.0</v>
      </c>
      <c r="J1122" s="1">
        <v>58.0</v>
      </c>
      <c r="L1122" s="1">
        <v>7410208.0</v>
      </c>
      <c r="Q1122" s="1" t="s">
        <v>3862</v>
      </c>
      <c r="R1122" s="1" t="s">
        <v>97</v>
      </c>
      <c r="S1122" s="1">
        <v>0.0</v>
      </c>
      <c r="T1122" s="1">
        <v>4.0</v>
      </c>
      <c r="X1122" s="1" t="s">
        <v>56</v>
      </c>
    </row>
    <row r="1123">
      <c r="A1123" s="3" t="str">
        <f>HYPERLINK("https://stackoverflow.com/q/59869618", "59869618")</f>
        <v>59869618</v>
      </c>
      <c r="B1123" s="1" t="s">
        <v>93</v>
      </c>
      <c r="C1123" s="1" t="s">
        <v>3864</v>
      </c>
      <c r="D1123" s="2" t="s">
        <v>3865</v>
      </c>
      <c r="E1123" s="1">
        <v>1.0</v>
      </c>
      <c r="I1123" s="1">
        <v>0.0</v>
      </c>
      <c r="J1123" s="1">
        <v>47.0</v>
      </c>
      <c r="L1123" s="1">
        <v>9780438.0</v>
      </c>
      <c r="N1123" s="1">
        <v>9780438.0</v>
      </c>
      <c r="P1123" s="1" t="s">
        <v>3866</v>
      </c>
      <c r="Q1123" s="1" t="s">
        <v>3866</v>
      </c>
      <c r="R1123" s="1" t="s">
        <v>1047</v>
      </c>
      <c r="S1123" s="1">
        <v>0.0</v>
      </c>
      <c r="T1123" s="1">
        <v>5.0</v>
      </c>
      <c r="X1123" s="1" t="s">
        <v>56</v>
      </c>
    </row>
    <row r="1124">
      <c r="A1124" s="3" t="str">
        <f>HYPERLINK("https://stackoverflow.com/q/59873880", "59873880")</f>
        <v>59873880</v>
      </c>
      <c r="B1124" s="1" t="s">
        <v>93</v>
      </c>
      <c r="C1124" s="1" t="s">
        <v>3867</v>
      </c>
      <c r="D1124" s="2" t="s">
        <v>3868</v>
      </c>
      <c r="E1124" s="1">
        <v>1.0</v>
      </c>
      <c r="I1124" s="1">
        <v>1.0</v>
      </c>
      <c r="J1124" s="1">
        <v>35.0</v>
      </c>
      <c r="L1124" s="1">
        <v>6747046.0</v>
      </c>
      <c r="Q1124" s="1" t="s">
        <v>3869</v>
      </c>
      <c r="R1124" s="1" t="s">
        <v>97</v>
      </c>
      <c r="S1124" s="1">
        <v>1.0</v>
      </c>
      <c r="T1124" s="1">
        <v>2.0</v>
      </c>
      <c r="X1124" s="1" t="s">
        <v>56</v>
      </c>
    </row>
    <row r="1125">
      <c r="A1125" s="3" t="str">
        <f>HYPERLINK("https://stackoverflow.com/q/59899279", "59899279")</f>
        <v>59899279</v>
      </c>
      <c r="B1125" s="1" t="s">
        <v>93</v>
      </c>
      <c r="C1125" s="1" t="s">
        <v>3870</v>
      </c>
      <c r="D1125" s="2" t="s">
        <v>3871</v>
      </c>
      <c r="E1125" s="1">
        <v>1.0</v>
      </c>
      <c r="I1125" s="1">
        <v>0.0</v>
      </c>
      <c r="J1125" s="1">
        <v>34.0</v>
      </c>
      <c r="L1125" s="1">
        <v>1.276194E7</v>
      </c>
      <c r="N1125" s="1">
        <v>1.2892553E7</v>
      </c>
      <c r="P1125" s="1" t="s">
        <v>3872</v>
      </c>
      <c r="Q1125" s="1" t="s">
        <v>3872</v>
      </c>
      <c r="R1125" s="1" t="s">
        <v>3873</v>
      </c>
      <c r="S1125" s="1">
        <v>0.0</v>
      </c>
      <c r="T1125" s="1">
        <v>0.0</v>
      </c>
      <c r="X1125" s="1" t="s">
        <v>56</v>
      </c>
    </row>
    <row r="1126">
      <c r="A1126" s="3" t="str">
        <f>HYPERLINK("https://stackoverflow.com/q/59904208", "59904208")</f>
        <v>59904208</v>
      </c>
      <c r="B1126" s="1" t="s">
        <v>93</v>
      </c>
      <c r="C1126" s="1" t="s">
        <v>3874</v>
      </c>
      <c r="D1126" s="2" t="s">
        <v>3875</v>
      </c>
      <c r="E1126" s="1">
        <v>1.0</v>
      </c>
      <c r="I1126" s="1">
        <v>0.0</v>
      </c>
      <c r="J1126" s="1">
        <v>32.0</v>
      </c>
      <c r="L1126" s="1">
        <v>1.2603486E7</v>
      </c>
      <c r="N1126" s="1">
        <v>9071943.0</v>
      </c>
      <c r="P1126" s="1" t="s">
        <v>3876</v>
      </c>
      <c r="Q1126" s="1" t="s">
        <v>3876</v>
      </c>
      <c r="R1126" s="1" t="s">
        <v>696</v>
      </c>
      <c r="S1126" s="1">
        <v>0.0</v>
      </c>
      <c r="T1126" s="1">
        <v>3.0</v>
      </c>
      <c r="X1126" s="1" t="s">
        <v>56</v>
      </c>
    </row>
    <row r="1127">
      <c r="A1127" s="3" t="str">
        <f>HYPERLINK("https://stackoverflow.com/q/59947680", "59947680")</f>
        <v>59947680</v>
      </c>
      <c r="B1127" s="1" t="s">
        <v>93</v>
      </c>
      <c r="C1127" s="1" t="s">
        <v>3877</v>
      </c>
      <c r="D1127" s="2" t="s">
        <v>3878</v>
      </c>
      <c r="E1127" s="1">
        <v>1.0</v>
      </c>
      <c r="I1127" s="1">
        <v>1.0</v>
      </c>
      <c r="J1127" s="1">
        <v>125.0</v>
      </c>
      <c r="L1127" s="1">
        <v>1.2798608E7</v>
      </c>
      <c r="N1127" s="1">
        <v>2516916.0</v>
      </c>
      <c r="P1127" s="1" t="s">
        <v>3879</v>
      </c>
      <c r="Q1127" s="1" t="s">
        <v>3879</v>
      </c>
      <c r="R1127" s="1" t="s">
        <v>190</v>
      </c>
      <c r="S1127" s="1">
        <v>0.0</v>
      </c>
      <c r="T1127" s="1">
        <v>5.0</v>
      </c>
      <c r="V1127" s="1" t="s">
        <v>3880</v>
      </c>
      <c r="X1127" s="1" t="s">
        <v>56</v>
      </c>
    </row>
    <row r="1128">
      <c r="A1128" s="3" t="str">
        <f>HYPERLINK("https://stackoverflow.com/q/59985750", "59985750")</f>
        <v>59985750</v>
      </c>
      <c r="B1128" s="1" t="s">
        <v>93</v>
      </c>
      <c r="C1128" s="1" t="s">
        <v>3881</v>
      </c>
      <c r="D1128" s="2" t="s">
        <v>3882</v>
      </c>
      <c r="E1128" s="1">
        <v>1.0</v>
      </c>
      <c r="F1128" s="1">
        <v>5.9986636E7</v>
      </c>
      <c r="I1128" s="1">
        <v>2.0</v>
      </c>
      <c r="J1128" s="1">
        <v>162.0</v>
      </c>
      <c r="L1128" s="1">
        <v>1.1625554E7</v>
      </c>
      <c r="Q1128" s="1" t="s">
        <v>3883</v>
      </c>
      <c r="R1128" s="1" t="s">
        <v>97</v>
      </c>
      <c r="S1128" s="1">
        <v>2.0</v>
      </c>
      <c r="T1128" s="1">
        <v>1.0</v>
      </c>
      <c r="U1128" s="1">
        <v>1.0</v>
      </c>
      <c r="V1128" s="1" t="s">
        <v>3884</v>
      </c>
      <c r="X1128" s="1" t="s">
        <v>56</v>
      </c>
      <c r="Z1128" s="1" t="s">
        <v>3885</v>
      </c>
    </row>
    <row r="1129">
      <c r="A1129" s="3" t="str">
        <f>HYPERLINK("https://stackoverflow.com/q/60010596", "60010596")</f>
        <v>60010596</v>
      </c>
      <c r="B1129" s="1" t="s">
        <v>93</v>
      </c>
      <c r="C1129" s="1" t="s">
        <v>3886</v>
      </c>
      <c r="D1129" s="2" t="s">
        <v>3887</v>
      </c>
      <c r="E1129" s="1">
        <v>1.0</v>
      </c>
      <c r="I1129" s="1">
        <v>0.0</v>
      </c>
      <c r="J1129" s="1">
        <v>35.0</v>
      </c>
      <c r="L1129" s="1">
        <v>1.0869188E7</v>
      </c>
      <c r="Q1129" s="1" t="s">
        <v>3888</v>
      </c>
      <c r="R1129" s="1" t="s">
        <v>3889</v>
      </c>
      <c r="S1129" s="1">
        <v>1.0</v>
      </c>
      <c r="T1129" s="1">
        <v>1.0</v>
      </c>
      <c r="X1129" s="1" t="s">
        <v>56</v>
      </c>
    </row>
    <row r="1130">
      <c r="A1130" s="3" t="str">
        <f>HYPERLINK("https://stackoverflow.com/q/60177700", "60177700")</f>
        <v>60177700</v>
      </c>
      <c r="B1130" s="1" t="s">
        <v>93</v>
      </c>
      <c r="C1130" s="1" t="s">
        <v>3890</v>
      </c>
      <c r="D1130" s="2" t="s">
        <v>3891</v>
      </c>
      <c r="E1130" s="1">
        <v>1.0</v>
      </c>
      <c r="I1130" s="1">
        <v>1.0</v>
      </c>
      <c r="J1130" s="1">
        <v>33.0</v>
      </c>
      <c r="L1130" s="1">
        <v>5297307.0</v>
      </c>
      <c r="Q1130" s="1" t="s">
        <v>3890</v>
      </c>
      <c r="R1130" s="1" t="s">
        <v>97</v>
      </c>
      <c r="S1130" s="1">
        <v>0.0</v>
      </c>
      <c r="T1130" s="1">
        <v>2.0</v>
      </c>
      <c r="X1130" s="1" t="s">
        <v>56</v>
      </c>
    </row>
    <row r="1131">
      <c r="A1131" s="3" t="str">
        <f>HYPERLINK("https://stackoverflow.com/q/60556908", "60556908")</f>
        <v>60556908</v>
      </c>
      <c r="B1131" s="1" t="s">
        <v>93</v>
      </c>
      <c r="C1131" s="1" t="s">
        <v>3892</v>
      </c>
      <c r="D1131" s="2" t="s">
        <v>3893</v>
      </c>
      <c r="E1131" s="1">
        <v>1.0</v>
      </c>
      <c r="I1131" s="1">
        <v>0.0</v>
      </c>
      <c r="J1131" s="1">
        <v>25.0</v>
      </c>
      <c r="L1131" s="1">
        <v>1.2401085E7</v>
      </c>
      <c r="Q1131" s="1" t="s">
        <v>3892</v>
      </c>
      <c r="R1131" s="1" t="s">
        <v>97</v>
      </c>
      <c r="S1131" s="1">
        <v>0.0</v>
      </c>
      <c r="T1131" s="1">
        <v>0.0</v>
      </c>
      <c r="X1131" s="1" t="s">
        <v>56</v>
      </c>
    </row>
    <row r="1132">
      <c r="A1132" s="3" t="str">
        <f>HYPERLINK("https://stackoverflow.com/q/60644070", "60644070")</f>
        <v>60644070</v>
      </c>
      <c r="B1132" s="1" t="s">
        <v>93</v>
      </c>
      <c r="C1132" s="1" t="s">
        <v>3894</v>
      </c>
      <c r="D1132" s="2" t="s">
        <v>3895</v>
      </c>
      <c r="E1132" s="1">
        <v>1.0</v>
      </c>
      <c r="I1132" s="1">
        <v>1.0</v>
      </c>
      <c r="J1132" s="1">
        <v>42.0</v>
      </c>
      <c r="L1132" s="1">
        <v>7150642.0</v>
      </c>
      <c r="N1132" s="1">
        <v>7215091.0</v>
      </c>
      <c r="P1132" s="1" t="s">
        <v>3896</v>
      </c>
      <c r="Q1132" s="1" t="s">
        <v>3896</v>
      </c>
      <c r="R1132" s="1" t="s">
        <v>3897</v>
      </c>
      <c r="S1132" s="1">
        <v>0.0</v>
      </c>
      <c r="T1132" s="1">
        <v>3.0</v>
      </c>
      <c r="U1132" s="1">
        <v>1.0</v>
      </c>
      <c r="X1132" s="1" t="s">
        <v>56</v>
      </c>
    </row>
    <row r="1133">
      <c r="A1133" s="3" t="str">
        <f>HYPERLINK("https://stackoverflow.com/q/60672693", "60672693")</f>
        <v>60672693</v>
      </c>
      <c r="B1133" s="1" t="s">
        <v>93</v>
      </c>
      <c r="C1133" s="1" t="s">
        <v>3898</v>
      </c>
      <c r="D1133" s="2" t="s">
        <v>3899</v>
      </c>
      <c r="E1133" s="1">
        <v>1.0</v>
      </c>
      <c r="I1133" s="1">
        <v>0.0</v>
      </c>
      <c r="J1133" s="1">
        <v>13.0</v>
      </c>
      <c r="L1133" s="1">
        <v>1.3057644E7</v>
      </c>
      <c r="Q1133" s="1" t="s">
        <v>3898</v>
      </c>
      <c r="R1133" s="1" t="s">
        <v>97</v>
      </c>
      <c r="S1133" s="1">
        <v>0.0</v>
      </c>
      <c r="T1133" s="1">
        <v>0.0</v>
      </c>
      <c r="X1133" s="1" t="s">
        <v>56</v>
      </c>
    </row>
    <row r="1134">
      <c r="A1134" s="3" t="str">
        <f>HYPERLINK("https://stackoverflow.com/q/60738551", "60738551")</f>
        <v>60738551</v>
      </c>
      <c r="B1134" s="1" t="s">
        <v>93</v>
      </c>
      <c r="C1134" s="1" t="s">
        <v>3900</v>
      </c>
      <c r="D1134" s="2" t="s">
        <v>3901</v>
      </c>
      <c r="E1134" s="1">
        <v>1.0</v>
      </c>
      <c r="I1134" s="1">
        <v>0.0</v>
      </c>
      <c r="J1134" s="1">
        <v>59.0</v>
      </c>
      <c r="L1134" s="1">
        <v>8602197.0</v>
      </c>
      <c r="N1134" s="1">
        <v>8602197.0</v>
      </c>
      <c r="P1134" s="1" t="s">
        <v>3902</v>
      </c>
      <c r="Q1134" s="1" t="s">
        <v>3902</v>
      </c>
      <c r="R1134" s="1" t="s">
        <v>296</v>
      </c>
      <c r="S1134" s="1">
        <v>0.0</v>
      </c>
      <c r="T1134" s="1">
        <v>6.0</v>
      </c>
      <c r="X1134" s="1" t="s">
        <v>56</v>
      </c>
    </row>
    <row r="1135">
      <c r="A1135" s="3" t="str">
        <f>HYPERLINK("https://stackoverflow.com/q/61207759", "61207759")</f>
        <v>61207759</v>
      </c>
      <c r="B1135" s="1" t="s">
        <v>93</v>
      </c>
      <c r="C1135" s="1" t="s">
        <v>3903</v>
      </c>
      <c r="D1135" s="2" t="s">
        <v>3904</v>
      </c>
      <c r="E1135" s="1">
        <v>1.0</v>
      </c>
      <c r="I1135" s="1">
        <v>0.0</v>
      </c>
      <c r="J1135" s="1">
        <v>33.0</v>
      </c>
      <c r="L1135" s="1">
        <v>7377156.0</v>
      </c>
      <c r="Q1135" s="1" t="s">
        <v>3905</v>
      </c>
      <c r="R1135" s="1" t="s">
        <v>97</v>
      </c>
      <c r="S1135" s="1">
        <v>1.0</v>
      </c>
      <c r="T1135" s="1">
        <v>0.0</v>
      </c>
      <c r="U1135" s="1">
        <v>0.0</v>
      </c>
      <c r="X1135" s="1" t="s">
        <v>56</v>
      </c>
    </row>
    <row r="1136">
      <c r="A1136" s="3" t="str">
        <f>HYPERLINK("https://stackoverflow.com/q/61706612", "61706612")</f>
        <v>61706612</v>
      </c>
      <c r="B1136" s="1" t="s">
        <v>93</v>
      </c>
      <c r="C1136" s="1" t="s">
        <v>3906</v>
      </c>
      <c r="D1136" s="2" t="s">
        <v>3907</v>
      </c>
      <c r="E1136" s="1">
        <v>1.0</v>
      </c>
      <c r="I1136" s="1">
        <v>0.0</v>
      </c>
      <c r="J1136" s="1">
        <v>24.0</v>
      </c>
      <c r="L1136" s="1">
        <v>7150642.0</v>
      </c>
      <c r="Q1136" s="1" t="s">
        <v>3906</v>
      </c>
      <c r="R1136" s="1" t="s">
        <v>3908</v>
      </c>
      <c r="S1136" s="1">
        <v>0.0</v>
      </c>
      <c r="T1136" s="1">
        <v>3.0</v>
      </c>
      <c r="U1136" s="1">
        <v>1.0</v>
      </c>
      <c r="X1136" s="1" t="s">
        <v>56</v>
      </c>
    </row>
    <row r="1137">
      <c r="A1137" s="3" t="str">
        <f>HYPERLINK("https://stackoverflow.com/q/61729358", "61729358")</f>
        <v>61729358</v>
      </c>
      <c r="B1137" s="1" t="s">
        <v>93</v>
      </c>
      <c r="C1137" s="1" t="s">
        <v>3909</v>
      </c>
      <c r="D1137" s="2" t="s">
        <v>3910</v>
      </c>
      <c r="E1137" s="1">
        <v>1.0</v>
      </c>
      <c r="F1137" s="1">
        <v>6.1740483E7</v>
      </c>
      <c r="I1137" s="1">
        <v>1.0</v>
      </c>
      <c r="J1137" s="1">
        <v>30.0</v>
      </c>
      <c r="L1137" s="1">
        <v>2611329.0</v>
      </c>
      <c r="N1137" s="1">
        <v>2611329.0</v>
      </c>
      <c r="P1137" s="1" t="s">
        <v>3911</v>
      </c>
      <c r="Q1137" s="1" t="s">
        <v>3912</v>
      </c>
      <c r="R1137" s="1" t="s">
        <v>3913</v>
      </c>
      <c r="S1137" s="1">
        <v>1.0</v>
      </c>
      <c r="T1137" s="1">
        <v>2.0</v>
      </c>
      <c r="X1137" s="1" t="s">
        <v>56</v>
      </c>
      <c r="Z1137" s="1" t="s">
        <v>3912</v>
      </c>
    </row>
    <row r="1138">
      <c r="A1138" s="3" t="str">
        <f>HYPERLINK("https://stackoverflow.com/q/61731925", "61731925")</f>
        <v>61731925</v>
      </c>
      <c r="B1138" s="1" t="s">
        <v>93</v>
      </c>
      <c r="C1138" s="1" t="s">
        <v>3914</v>
      </c>
      <c r="D1138" s="2" t="s">
        <v>3915</v>
      </c>
      <c r="E1138" s="1">
        <v>1.0</v>
      </c>
      <c r="I1138" s="1">
        <v>0.0</v>
      </c>
      <c r="J1138" s="1">
        <v>16.0</v>
      </c>
      <c r="L1138" s="1">
        <v>9780438.0</v>
      </c>
      <c r="N1138" s="1">
        <v>9780438.0</v>
      </c>
      <c r="P1138" s="1" t="s">
        <v>3916</v>
      </c>
      <c r="Q1138" s="1" t="s">
        <v>3916</v>
      </c>
      <c r="R1138" s="1" t="s">
        <v>97</v>
      </c>
      <c r="S1138" s="1">
        <v>0.0</v>
      </c>
      <c r="T1138" s="1">
        <v>0.0</v>
      </c>
      <c r="X1138" s="1" t="s">
        <v>56</v>
      </c>
    </row>
    <row r="1139">
      <c r="A1139" s="3" t="str">
        <f>HYPERLINK("https://stackoverflow.com/q/61979138", "61979138")</f>
        <v>61979138</v>
      </c>
      <c r="B1139" s="1" t="s">
        <v>93</v>
      </c>
      <c r="C1139" s="1" t="s">
        <v>3917</v>
      </c>
      <c r="D1139" s="2" t="s">
        <v>3918</v>
      </c>
      <c r="E1139" s="1">
        <v>1.0</v>
      </c>
      <c r="I1139" s="1">
        <v>0.0</v>
      </c>
      <c r="J1139" s="1">
        <v>6.0</v>
      </c>
      <c r="L1139" s="1">
        <v>1911022.0</v>
      </c>
      <c r="Q1139" s="1" t="s">
        <v>3917</v>
      </c>
      <c r="R1139" s="1" t="s">
        <v>3919</v>
      </c>
      <c r="S1139" s="1">
        <v>0.0</v>
      </c>
      <c r="T1139" s="1">
        <v>0.0</v>
      </c>
      <c r="X1139" s="1" t="s">
        <v>56</v>
      </c>
    </row>
    <row r="1140">
      <c r="A1140" s="3" t="str">
        <f>HYPERLINK("https://stackoverflow.com/q/61983642", "61983642")</f>
        <v>61983642</v>
      </c>
      <c r="B1140" s="1" t="s">
        <v>93</v>
      </c>
      <c r="C1140" s="1" t="s">
        <v>3920</v>
      </c>
      <c r="D1140" s="2" t="s">
        <v>3921</v>
      </c>
      <c r="E1140" s="1">
        <v>1.0</v>
      </c>
      <c r="I1140" s="1">
        <v>0.0</v>
      </c>
      <c r="J1140" s="1">
        <v>16.0</v>
      </c>
      <c r="L1140" s="1">
        <v>1.1625554E7</v>
      </c>
      <c r="Q1140" s="1" t="s">
        <v>3920</v>
      </c>
      <c r="R1140" s="1" t="s">
        <v>696</v>
      </c>
      <c r="S1140" s="1">
        <v>0.0</v>
      </c>
      <c r="T1140" s="1">
        <v>0.0</v>
      </c>
      <c r="X1140" s="1" t="s">
        <v>56</v>
      </c>
    </row>
    <row r="1141">
      <c r="A1141" s="3" t="str">
        <f>HYPERLINK("https://stackoverflow.com/q/25451031", "25451031")</f>
        <v>25451031</v>
      </c>
      <c r="B1141" s="1" t="s">
        <v>3922</v>
      </c>
      <c r="C1141" s="1" t="s">
        <v>3923</v>
      </c>
      <c r="D1141" s="2" t="s">
        <v>3924</v>
      </c>
      <c r="E1141" s="1">
        <v>1.0</v>
      </c>
      <c r="I1141" s="1">
        <v>2.0</v>
      </c>
      <c r="J1141" s="1">
        <v>179.0</v>
      </c>
      <c r="L1141" s="1">
        <v>3968587.0</v>
      </c>
      <c r="N1141" s="1">
        <v>144578.0</v>
      </c>
      <c r="P1141" s="1" t="s">
        <v>3925</v>
      </c>
      <c r="Q1141" s="1" t="s">
        <v>3925</v>
      </c>
      <c r="R1141" s="1" t="s">
        <v>3926</v>
      </c>
      <c r="S1141" s="1">
        <v>0.0</v>
      </c>
      <c r="T1141" s="1">
        <v>2.0</v>
      </c>
      <c r="X1141" s="1" t="s">
        <v>29</v>
      </c>
    </row>
    <row r="1142">
      <c r="A1142" s="3" t="str">
        <f>HYPERLINK("https://stackoverflow.com/q/29308113", "29308113")</f>
        <v>29308113</v>
      </c>
      <c r="B1142" s="1" t="s">
        <v>3922</v>
      </c>
      <c r="C1142" s="1" t="s">
        <v>3927</v>
      </c>
      <c r="D1142" s="2" t="s">
        <v>3928</v>
      </c>
      <c r="E1142" s="1">
        <v>1.0</v>
      </c>
      <c r="F1142" s="1">
        <v>2.9347273E7</v>
      </c>
      <c r="I1142" s="1">
        <v>5.0</v>
      </c>
      <c r="J1142" s="1">
        <v>419.0</v>
      </c>
      <c r="L1142" s="1">
        <v>4721804.0</v>
      </c>
      <c r="N1142" s="1">
        <v>144578.0</v>
      </c>
      <c r="P1142" s="1" t="s">
        <v>3929</v>
      </c>
      <c r="Q1142" s="1" t="s">
        <v>3929</v>
      </c>
      <c r="R1142" s="1" t="s">
        <v>3930</v>
      </c>
      <c r="S1142" s="1">
        <v>1.0</v>
      </c>
      <c r="T1142" s="1">
        <v>0.0</v>
      </c>
      <c r="U1142" s="1">
        <v>1.0</v>
      </c>
      <c r="X1142" s="1" t="s">
        <v>29</v>
      </c>
      <c r="Z1142" s="1" t="s">
        <v>3931</v>
      </c>
    </row>
    <row r="1143">
      <c r="A1143" s="3" t="str">
        <f>HYPERLINK("https://stackoverflow.com/q/29395319", "29395319")</f>
        <v>29395319</v>
      </c>
      <c r="B1143" s="1" t="s">
        <v>3922</v>
      </c>
      <c r="C1143" s="1" t="s">
        <v>3932</v>
      </c>
      <c r="D1143" s="2" t="s">
        <v>3933</v>
      </c>
      <c r="E1143" s="1">
        <v>1.0</v>
      </c>
      <c r="I1143" s="1">
        <v>0.0</v>
      </c>
      <c r="J1143" s="1">
        <v>699.0</v>
      </c>
      <c r="L1143" s="1">
        <v>4721804.0</v>
      </c>
      <c r="Q1143" s="1" t="s">
        <v>3934</v>
      </c>
      <c r="R1143" s="1" t="s">
        <v>3935</v>
      </c>
      <c r="S1143" s="1">
        <v>1.0</v>
      </c>
      <c r="T1143" s="1">
        <v>0.0</v>
      </c>
      <c r="X1143" s="1" t="s">
        <v>29</v>
      </c>
    </row>
    <row r="1144">
      <c r="A1144" s="3" t="str">
        <f>HYPERLINK("https://stackoverflow.com/q/34823823", "34823823")</f>
        <v>34823823</v>
      </c>
      <c r="B1144" s="1" t="s">
        <v>3922</v>
      </c>
      <c r="C1144" s="1" t="s">
        <v>3936</v>
      </c>
      <c r="D1144" s="2" t="s">
        <v>3937</v>
      </c>
      <c r="E1144" s="1">
        <v>1.0</v>
      </c>
      <c r="F1144" s="1">
        <v>3.5358288E7</v>
      </c>
      <c r="I1144" s="1">
        <v>0.0</v>
      </c>
      <c r="J1144" s="1">
        <v>2418.0</v>
      </c>
      <c r="L1144" s="1">
        <v>4542004.0</v>
      </c>
      <c r="N1144" s="1">
        <v>13302.0</v>
      </c>
      <c r="P1144" s="1" t="s">
        <v>3938</v>
      </c>
      <c r="Q1144" s="1" t="s">
        <v>3939</v>
      </c>
      <c r="R1144" s="1" t="s">
        <v>3940</v>
      </c>
      <c r="S1144" s="1">
        <v>1.0</v>
      </c>
      <c r="T1144" s="1">
        <v>8.0</v>
      </c>
      <c r="X1144" s="1" t="s">
        <v>29</v>
      </c>
      <c r="Z1144" s="1" t="s">
        <v>3939</v>
      </c>
    </row>
    <row r="1145">
      <c r="A1145" s="3" t="str">
        <f>HYPERLINK("https://stackoverflow.com/q/35066446", "35066446")</f>
        <v>35066446</v>
      </c>
      <c r="B1145" s="1" t="s">
        <v>3922</v>
      </c>
      <c r="C1145" s="1" t="s">
        <v>3941</v>
      </c>
      <c r="D1145" s="2" t="s">
        <v>3942</v>
      </c>
      <c r="E1145" s="1">
        <v>1.0</v>
      </c>
      <c r="I1145" s="1">
        <v>1.0</v>
      </c>
      <c r="J1145" s="1">
        <v>69.0</v>
      </c>
      <c r="L1145" s="1">
        <v>2970660.0</v>
      </c>
      <c r="Q1145" s="1" t="s">
        <v>3943</v>
      </c>
      <c r="R1145" s="1" t="s">
        <v>3944</v>
      </c>
      <c r="S1145" s="1">
        <v>2.0</v>
      </c>
      <c r="T1145" s="1">
        <v>0.0</v>
      </c>
      <c r="X1145" s="1" t="s">
        <v>29</v>
      </c>
    </row>
    <row r="1146">
      <c r="A1146" s="3" t="str">
        <f>HYPERLINK("https://stackoverflow.com/q/40642721", "40642721")</f>
        <v>40642721</v>
      </c>
      <c r="B1146" s="1" t="s">
        <v>3922</v>
      </c>
      <c r="C1146" s="1" t="s">
        <v>3945</v>
      </c>
      <c r="D1146" s="2" t="s">
        <v>3946</v>
      </c>
      <c r="E1146" s="1">
        <v>1.0</v>
      </c>
      <c r="F1146" s="1">
        <v>4.0645918E7</v>
      </c>
      <c r="I1146" s="1">
        <v>2.0</v>
      </c>
      <c r="J1146" s="1">
        <v>762.0</v>
      </c>
      <c r="L1146" s="1">
        <v>5161459.0</v>
      </c>
      <c r="Q1146" s="1" t="s">
        <v>3947</v>
      </c>
      <c r="R1146" s="1" t="s">
        <v>3948</v>
      </c>
      <c r="S1146" s="1">
        <v>1.0</v>
      </c>
      <c r="T1146" s="1">
        <v>0.0</v>
      </c>
      <c r="X1146" s="1" t="s">
        <v>29</v>
      </c>
      <c r="Z1146" s="1" t="s">
        <v>3949</v>
      </c>
    </row>
    <row r="1147">
      <c r="A1147" s="3" t="str">
        <f>HYPERLINK("https://stackoverflow.com/q/43066045", "43066045")</f>
        <v>43066045</v>
      </c>
      <c r="B1147" s="1" t="s">
        <v>3922</v>
      </c>
      <c r="C1147" s="1" t="s">
        <v>3950</v>
      </c>
      <c r="D1147" s="2" t="s">
        <v>3951</v>
      </c>
      <c r="E1147" s="1">
        <v>1.0</v>
      </c>
      <c r="I1147" s="1">
        <v>1.0</v>
      </c>
      <c r="J1147" s="1">
        <v>36.0</v>
      </c>
      <c r="L1147" s="1">
        <v>7599584.0</v>
      </c>
      <c r="N1147" s="1">
        <v>7599584.0</v>
      </c>
      <c r="P1147" s="1" t="s">
        <v>3952</v>
      </c>
      <c r="Q1147" s="1" t="s">
        <v>3952</v>
      </c>
      <c r="R1147" s="1" t="s">
        <v>3953</v>
      </c>
      <c r="S1147" s="1">
        <v>1.0</v>
      </c>
      <c r="T1147" s="1">
        <v>2.0</v>
      </c>
      <c r="X1147" s="1" t="s">
        <v>29</v>
      </c>
    </row>
    <row r="1148">
      <c r="A1148" s="3" t="str">
        <f>HYPERLINK("https://stackoverflow.com/q/43207458", "43207458")</f>
        <v>43207458</v>
      </c>
      <c r="B1148" s="1" t="s">
        <v>3922</v>
      </c>
      <c r="C1148" s="1" t="s">
        <v>3954</v>
      </c>
      <c r="D1148" s="2" t="s">
        <v>3955</v>
      </c>
      <c r="E1148" s="1">
        <v>1.0</v>
      </c>
      <c r="I1148" s="1">
        <v>0.0</v>
      </c>
      <c r="J1148" s="1">
        <v>127.0</v>
      </c>
      <c r="L1148" s="1">
        <v>7043763.0</v>
      </c>
      <c r="Q1148" s="1" t="s">
        <v>3956</v>
      </c>
      <c r="R1148" s="1" t="s">
        <v>3935</v>
      </c>
      <c r="S1148" s="1">
        <v>1.0</v>
      </c>
      <c r="T1148" s="1">
        <v>0.0</v>
      </c>
      <c r="X1148" s="1" t="s">
        <v>29</v>
      </c>
    </row>
    <row r="1149">
      <c r="A1149" s="3" t="str">
        <f>HYPERLINK("https://stackoverflow.com/q/48611208", "48611208")</f>
        <v>48611208</v>
      </c>
      <c r="B1149" s="1" t="s">
        <v>3922</v>
      </c>
      <c r="C1149" s="1" t="s">
        <v>3957</v>
      </c>
      <c r="D1149" s="2" t="s">
        <v>3958</v>
      </c>
      <c r="E1149" s="1">
        <v>1.0</v>
      </c>
      <c r="F1149" s="1">
        <v>4.8625742E7</v>
      </c>
      <c r="I1149" s="1">
        <v>1.0</v>
      </c>
      <c r="J1149" s="1">
        <v>4748.0</v>
      </c>
      <c r="L1149" s="1">
        <v>3323380.0</v>
      </c>
      <c r="Q1149" s="1" t="s">
        <v>3959</v>
      </c>
      <c r="R1149" s="1" t="s">
        <v>3960</v>
      </c>
      <c r="S1149" s="1">
        <v>1.0</v>
      </c>
      <c r="T1149" s="1">
        <v>0.0</v>
      </c>
      <c r="X1149" s="1" t="s">
        <v>29</v>
      </c>
      <c r="Z1149" s="1" t="s">
        <v>3959</v>
      </c>
    </row>
    <row r="1150">
      <c r="A1150" s="3" t="str">
        <f>HYPERLINK("https://stackoverflow.com/q/50125193", "50125193")</f>
        <v>50125193</v>
      </c>
      <c r="B1150" s="1" t="s">
        <v>3922</v>
      </c>
      <c r="C1150" s="1" t="s">
        <v>3961</v>
      </c>
      <c r="D1150" s="2" t="s">
        <v>3962</v>
      </c>
      <c r="E1150" s="1">
        <v>1.0</v>
      </c>
      <c r="F1150" s="1">
        <v>5.0239551E7</v>
      </c>
      <c r="I1150" s="1">
        <v>1.0</v>
      </c>
      <c r="J1150" s="1">
        <v>314.0</v>
      </c>
      <c r="L1150" s="1">
        <v>4452553.0</v>
      </c>
      <c r="Q1150" s="1" t="s">
        <v>3963</v>
      </c>
      <c r="R1150" s="1" t="s">
        <v>3964</v>
      </c>
      <c r="S1150" s="1">
        <v>1.0</v>
      </c>
      <c r="T1150" s="1">
        <v>0.0</v>
      </c>
      <c r="X1150" s="1" t="s">
        <v>29</v>
      </c>
      <c r="Z1150" s="1" t="s">
        <v>3963</v>
      </c>
    </row>
    <row r="1151">
      <c r="A1151" s="3" t="str">
        <f>HYPERLINK("https://stackoverflow.com/q/53043346", "53043346")</f>
        <v>53043346</v>
      </c>
      <c r="B1151" s="1" t="s">
        <v>3922</v>
      </c>
      <c r="C1151" s="1" t="s">
        <v>3965</v>
      </c>
      <c r="D1151" s="2" t="s">
        <v>3966</v>
      </c>
      <c r="E1151" s="1">
        <v>1.0</v>
      </c>
      <c r="I1151" s="1">
        <v>0.0</v>
      </c>
      <c r="J1151" s="1">
        <v>120.0</v>
      </c>
      <c r="L1151" s="1">
        <v>7396117.0</v>
      </c>
      <c r="Q1151" s="1" t="s">
        <v>3967</v>
      </c>
      <c r="R1151" s="1" t="s">
        <v>3968</v>
      </c>
      <c r="S1151" s="1">
        <v>1.0</v>
      </c>
      <c r="T1151" s="1">
        <v>0.0</v>
      </c>
      <c r="X1151" s="1" t="s">
        <v>56</v>
      </c>
    </row>
    <row r="1152">
      <c r="A1152" s="3" t="str">
        <f>HYPERLINK("https://stackoverflow.com/q/54531836", "54531836")</f>
        <v>54531836</v>
      </c>
      <c r="B1152" s="1" t="s">
        <v>3922</v>
      </c>
      <c r="C1152" s="1" t="s">
        <v>3969</v>
      </c>
      <c r="D1152" s="2" t="s">
        <v>3970</v>
      </c>
      <c r="E1152" s="1">
        <v>1.0</v>
      </c>
      <c r="I1152" s="1">
        <v>0.0</v>
      </c>
      <c r="J1152" s="1">
        <v>51.0</v>
      </c>
      <c r="L1152" s="1">
        <v>3974064.0</v>
      </c>
      <c r="N1152" s="1">
        <v>8958729.0</v>
      </c>
      <c r="P1152" s="1" t="s">
        <v>3971</v>
      </c>
      <c r="Q1152" s="1" t="s">
        <v>3972</v>
      </c>
      <c r="R1152" s="1" t="s">
        <v>3935</v>
      </c>
      <c r="S1152" s="1">
        <v>1.0</v>
      </c>
      <c r="T1152" s="1">
        <v>0.0</v>
      </c>
      <c r="X1152" s="1" t="s">
        <v>56</v>
      </c>
    </row>
    <row r="1153">
      <c r="A1153" s="3" t="str">
        <f>HYPERLINK("https://stackoverflow.com/q/55137884", "55137884")</f>
        <v>55137884</v>
      </c>
      <c r="B1153" s="1" t="s">
        <v>3922</v>
      </c>
      <c r="C1153" s="1" t="s">
        <v>3973</v>
      </c>
      <c r="D1153" s="2" t="s">
        <v>3974</v>
      </c>
      <c r="E1153" s="1">
        <v>1.0</v>
      </c>
      <c r="I1153" s="1">
        <v>0.0</v>
      </c>
      <c r="J1153" s="1">
        <v>77.0</v>
      </c>
      <c r="L1153" s="1">
        <v>6530539.0</v>
      </c>
      <c r="N1153" s="1">
        <v>4420967.0</v>
      </c>
      <c r="P1153" s="1" t="s">
        <v>3975</v>
      </c>
      <c r="Q1153" s="1" t="s">
        <v>3975</v>
      </c>
      <c r="R1153" s="1" t="s">
        <v>3976</v>
      </c>
      <c r="S1153" s="1">
        <v>1.0</v>
      </c>
      <c r="T1153" s="1">
        <v>5.0</v>
      </c>
      <c r="X1153" s="1" t="s">
        <v>56</v>
      </c>
    </row>
    <row r="1154">
      <c r="A1154" s="3" t="str">
        <f>HYPERLINK("https://stackoverflow.com/q/55366951", "55366951")</f>
        <v>55366951</v>
      </c>
      <c r="B1154" s="1" t="s">
        <v>3922</v>
      </c>
      <c r="C1154" s="1" t="s">
        <v>3977</v>
      </c>
      <c r="D1154" s="2" t="s">
        <v>3978</v>
      </c>
      <c r="E1154" s="1">
        <v>1.0</v>
      </c>
      <c r="I1154" s="1">
        <v>2.0</v>
      </c>
      <c r="J1154" s="1">
        <v>3621.0</v>
      </c>
      <c r="L1154" s="1">
        <v>6530539.0</v>
      </c>
      <c r="N1154" s="1">
        <v>472495.0</v>
      </c>
      <c r="P1154" s="1" t="s">
        <v>3979</v>
      </c>
      <c r="Q1154" s="1" t="s">
        <v>3979</v>
      </c>
      <c r="R1154" s="1" t="s">
        <v>3980</v>
      </c>
      <c r="S1154" s="1">
        <v>1.0</v>
      </c>
      <c r="T1154" s="1">
        <v>2.0</v>
      </c>
      <c r="X1154" s="1" t="s">
        <v>56</v>
      </c>
    </row>
    <row r="1155">
      <c r="A1155" s="3" t="str">
        <f>HYPERLINK("https://stackoverflow.com/q/55408264", "55408264")</f>
        <v>55408264</v>
      </c>
      <c r="B1155" s="1" t="s">
        <v>3922</v>
      </c>
      <c r="C1155" s="1" t="s">
        <v>3981</v>
      </c>
      <c r="D1155" s="2" t="s">
        <v>3982</v>
      </c>
      <c r="E1155" s="1">
        <v>1.0</v>
      </c>
      <c r="F1155" s="1">
        <v>5.5417221E7</v>
      </c>
      <c r="I1155" s="1">
        <v>2.0</v>
      </c>
      <c r="J1155" s="1">
        <v>76.0</v>
      </c>
      <c r="L1155" s="1">
        <v>9670904.0</v>
      </c>
      <c r="N1155" s="1">
        <v>9670904.0</v>
      </c>
      <c r="P1155" s="1" t="s">
        <v>3983</v>
      </c>
      <c r="Q1155" s="1" t="s">
        <v>3984</v>
      </c>
      <c r="R1155" s="1" t="s">
        <v>3985</v>
      </c>
      <c r="S1155" s="1">
        <v>1.0</v>
      </c>
      <c r="T1155" s="1">
        <v>0.0</v>
      </c>
      <c r="X1155" s="1" t="s">
        <v>56</v>
      </c>
      <c r="Z1155" s="1" t="s">
        <v>3984</v>
      </c>
    </row>
    <row r="1156">
      <c r="A1156" s="3" t="str">
        <f>HYPERLINK("https://stackoverflow.com/q/55435560", "55435560")</f>
        <v>55435560</v>
      </c>
      <c r="B1156" s="1" t="s">
        <v>3922</v>
      </c>
      <c r="C1156" s="1" t="s">
        <v>3986</v>
      </c>
      <c r="D1156" s="2" t="s">
        <v>3987</v>
      </c>
      <c r="E1156" s="1">
        <v>1.0</v>
      </c>
      <c r="I1156" s="1">
        <v>0.0</v>
      </c>
      <c r="J1156" s="1">
        <v>74.0</v>
      </c>
      <c r="L1156" s="1">
        <v>1.1282819E7</v>
      </c>
      <c r="Q1156" s="1" t="s">
        <v>3988</v>
      </c>
      <c r="R1156" s="1" t="s">
        <v>3989</v>
      </c>
      <c r="S1156" s="1">
        <v>1.0</v>
      </c>
      <c r="T1156" s="1">
        <v>0.0</v>
      </c>
      <c r="X1156" s="1" t="s">
        <v>56</v>
      </c>
    </row>
    <row r="1157">
      <c r="A1157" s="3" t="str">
        <f>HYPERLINK("https://stackoverflow.com/q/55684883", "55684883")</f>
        <v>55684883</v>
      </c>
      <c r="B1157" s="1" t="s">
        <v>3922</v>
      </c>
      <c r="C1157" s="1" t="s">
        <v>3990</v>
      </c>
      <c r="D1157" s="2" t="s">
        <v>3991</v>
      </c>
      <c r="E1157" s="1">
        <v>1.0</v>
      </c>
      <c r="F1157" s="1">
        <v>5.5685379E7</v>
      </c>
      <c r="I1157" s="1">
        <v>0.0</v>
      </c>
      <c r="J1157" s="1">
        <v>107.0</v>
      </c>
      <c r="L1157" s="1">
        <v>6405655.0</v>
      </c>
      <c r="N1157" s="1">
        <v>6405655.0</v>
      </c>
      <c r="P1157" s="1" t="s">
        <v>3992</v>
      </c>
      <c r="Q1157" s="1" t="s">
        <v>3993</v>
      </c>
      <c r="R1157" s="1" t="s">
        <v>3994</v>
      </c>
      <c r="S1157" s="1">
        <v>1.0</v>
      </c>
      <c r="T1157" s="1">
        <v>0.0</v>
      </c>
      <c r="X1157" s="1" t="s">
        <v>56</v>
      </c>
      <c r="Z1157" s="1" t="s">
        <v>3995</v>
      </c>
    </row>
    <row r="1158">
      <c r="A1158" s="3" t="str">
        <f>HYPERLINK("https://stackoverflow.com/q/55794490", "55794490")</f>
        <v>55794490</v>
      </c>
      <c r="B1158" s="1" t="s">
        <v>3922</v>
      </c>
      <c r="C1158" s="1" t="s">
        <v>3996</v>
      </c>
      <c r="D1158" s="2" t="s">
        <v>3997</v>
      </c>
      <c r="E1158" s="1">
        <v>1.0</v>
      </c>
      <c r="F1158" s="1">
        <v>5.5837705E7</v>
      </c>
      <c r="I1158" s="1">
        <v>1.0</v>
      </c>
      <c r="J1158" s="1">
        <v>542.0</v>
      </c>
      <c r="L1158" s="1">
        <v>6405655.0</v>
      </c>
      <c r="Q1158" s="1" t="s">
        <v>3998</v>
      </c>
      <c r="R1158" s="1" t="s">
        <v>3935</v>
      </c>
      <c r="S1158" s="1">
        <v>1.0</v>
      </c>
      <c r="T1158" s="1">
        <v>1.0</v>
      </c>
      <c r="X1158" s="1" t="s">
        <v>56</v>
      </c>
      <c r="Z1158" s="1" t="s">
        <v>3998</v>
      </c>
    </row>
    <row r="1159">
      <c r="A1159" s="3" t="str">
        <f>HYPERLINK("https://stackoverflow.com/q/55868931", "55868931")</f>
        <v>55868931</v>
      </c>
      <c r="B1159" s="1" t="s">
        <v>3922</v>
      </c>
      <c r="C1159" s="1" t="s">
        <v>3999</v>
      </c>
      <c r="D1159" s="2" t="s">
        <v>4000</v>
      </c>
      <c r="E1159" s="1">
        <v>1.0</v>
      </c>
      <c r="F1159" s="1">
        <v>5.5869476E7</v>
      </c>
      <c r="I1159" s="1">
        <v>1.0</v>
      </c>
      <c r="J1159" s="1">
        <v>495.0</v>
      </c>
      <c r="L1159" s="1">
        <v>6405655.0</v>
      </c>
      <c r="N1159" s="1">
        <v>6405655.0</v>
      </c>
      <c r="P1159" s="1" t="s">
        <v>4001</v>
      </c>
      <c r="Q1159" s="1" t="s">
        <v>4002</v>
      </c>
      <c r="R1159" s="1" t="s">
        <v>3935</v>
      </c>
      <c r="S1159" s="1">
        <v>1.0</v>
      </c>
      <c r="T1159" s="1">
        <v>0.0</v>
      </c>
      <c r="X1159" s="1" t="s">
        <v>56</v>
      </c>
      <c r="Z1159" s="1" t="s">
        <v>4002</v>
      </c>
    </row>
    <row r="1160">
      <c r="A1160" s="3" t="str">
        <f>HYPERLINK("https://stackoverflow.com/q/55870883", "55870883")</f>
        <v>55870883</v>
      </c>
      <c r="B1160" s="1" t="s">
        <v>3922</v>
      </c>
      <c r="C1160" s="1" t="s">
        <v>4003</v>
      </c>
      <c r="D1160" s="2" t="s">
        <v>4004</v>
      </c>
      <c r="E1160" s="1">
        <v>1.0</v>
      </c>
      <c r="F1160" s="1">
        <v>5.5870917E7</v>
      </c>
      <c r="I1160" s="1">
        <v>1.0</v>
      </c>
      <c r="J1160" s="1">
        <v>108.0</v>
      </c>
      <c r="L1160" s="1">
        <v>6405655.0</v>
      </c>
      <c r="Q1160" s="1" t="s">
        <v>4005</v>
      </c>
      <c r="R1160" s="1" t="s">
        <v>3935</v>
      </c>
      <c r="S1160" s="1">
        <v>1.0</v>
      </c>
      <c r="T1160" s="1">
        <v>0.0</v>
      </c>
      <c r="X1160" s="1" t="s">
        <v>56</v>
      </c>
      <c r="Z1160" s="1" t="s">
        <v>4006</v>
      </c>
    </row>
    <row r="1161">
      <c r="A1161" s="3" t="str">
        <f>HYPERLINK("https://stackoverflow.com/q/55938858", "55938858")</f>
        <v>55938858</v>
      </c>
      <c r="B1161" s="1" t="s">
        <v>3922</v>
      </c>
      <c r="C1161" s="1" t="s">
        <v>4007</v>
      </c>
      <c r="D1161" s="2" t="s">
        <v>4008</v>
      </c>
      <c r="E1161" s="1">
        <v>1.0</v>
      </c>
      <c r="I1161" s="1">
        <v>1.0</v>
      </c>
      <c r="J1161" s="1">
        <v>54.0</v>
      </c>
      <c r="M1161" s="1" t="s">
        <v>4009</v>
      </c>
      <c r="Q1161" s="1" t="s">
        <v>4010</v>
      </c>
      <c r="R1161" s="1" t="s">
        <v>3935</v>
      </c>
      <c r="S1161" s="1">
        <v>1.0</v>
      </c>
      <c r="T1161" s="1">
        <v>0.0</v>
      </c>
      <c r="X1161" s="1" t="s">
        <v>56</v>
      </c>
    </row>
    <row r="1162">
      <c r="A1162" s="3" t="str">
        <f>HYPERLINK("https://stackoverflow.com/q/55967992", "55967992")</f>
        <v>55967992</v>
      </c>
      <c r="B1162" s="1" t="s">
        <v>3922</v>
      </c>
      <c r="C1162" s="1" t="s">
        <v>4011</v>
      </c>
      <c r="D1162" s="2" t="s">
        <v>4012</v>
      </c>
      <c r="E1162" s="1">
        <v>1.0</v>
      </c>
      <c r="I1162" s="1">
        <v>2.0</v>
      </c>
      <c r="J1162" s="1">
        <v>294.0</v>
      </c>
      <c r="L1162" s="1">
        <v>1.1446675E7</v>
      </c>
      <c r="Q1162" s="1" t="s">
        <v>4013</v>
      </c>
      <c r="R1162" s="1" t="s">
        <v>4014</v>
      </c>
      <c r="S1162" s="1">
        <v>1.0</v>
      </c>
      <c r="T1162" s="1">
        <v>0.0</v>
      </c>
      <c r="X1162" s="1" t="s">
        <v>56</v>
      </c>
    </row>
    <row r="1163">
      <c r="A1163" s="3" t="str">
        <f>HYPERLINK("https://stackoverflow.com/q/56556456", "56556456")</f>
        <v>56556456</v>
      </c>
      <c r="B1163" s="1" t="s">
        <v>3922</v>
      </c>
      <c r="C1163" s="1" t="s">
        <v>4015</v>
      </c>
      <c r="D1163" s="2" t="s">
        <v>4016</v>
      </c>
      <c r="E1163" s="1">
        <v>1.0</v>
      </c>
      <c r="I1163" s="1">
        <v>0.0</v>
      </c>
      <c r="J1163" s="1">
        <v>30.0</v>
      </c>
      <c r="L1163" s="1">
        <v>3223497.0</v>
      </c>
      <c r="Q1163" s="1" t="s">
        <v>4017</v>
      </c>
      <c r="R1163" s="1" t="s">
        <v>4018</v>
      </c>
      <c r="S1163" s="1">
        <v>1.0</v>
      </c>
      <c r="T1163" s="1">
        <v>1.0</v>
      </c>
      <c r="X1163" s="1" t="s">
        <v>56</v>
      </c>
    </row>
    <row r="1164">
      <c r="A1164" s="3" t="str">
        <f>HYPERLINK("https://stackoverflow.com/q/57164103", "57164103")</f>
        <v>57164103</v>
      </c>
      <c r="B1164" s="1" t="s">
        <v>3922</v>
      </c>
      <c r="C1164" s="1" t="s">
        <v>4019</v>
      </c>
      <c r="D1164" s="2" t="s">
        <v>4020</v>
      </c>
      <c r="E1164" s="1">
        <v>1.0</v>
      </c>
      <c r="I1164" s="1">
        <v>0.0</v>
      </c>
      <c r="J1164" s="1">
        <v>162.0</v>
      </c>
      <c r="L1164" s="1">
        <v>9304625.0</v>
      </c>
      <c r="N1164" s="1">
        <v>3629363.0</v>
      </c>
      <c r="P1164" s="1" t="s">
        <v>4021</v>
      </c>
      <c r="Q1164" s="1" t="s">
        <v>4022</v>
      </c>
      <c r="R1164" s="1" t="s">
        <v>4023</v>
      </c>
      <c r="S1164" s="1">
        <v>1.0</v>
      </c>
      <c r="T1164" s="1">
        <v>0.0</v>
      </c>
      <c r="X1164" s="1" t="s">
        <v>56</v>
      </c>
    </row>
    <row r="1165">
      <c r="A1165" s="3" t="str">
        <f>HYPERLINK("https://stackoverflow.com/q/57255303", "57255303")</f>
        <v>57255303</v>
      </c>
      <c r="B1165" s="1" t="s">
        <v>3922</v>
      </c>
      <c r="C1165" s="1" t="s">
        <v>4024</v>
      </c>
      <c r="D1165" s="2" t="s">
        <v>4025</v>
      </c>
      <c r="E1165" s="1">
        <v>1.0</v>
      </c>
      <c r="I1165" s="1">
        <v>0.0</v>
      </c>
      <c r="J1165" s="1">
        <v>114.0</v>
      </c>
      <c r="L1165" s="1">
        <v>1153276.0</v>
      </c>
      <c r="N1165" s="1">
        <v>1153276.0</v>
      </c>
      <c r="P1165" s="1" t="s">
        <v>4026</v>
      </c>
      <c r="Q1165" s="1" t="s">
        <v>4026</v>
      </c>
      <c r="R1165" s="1" t="s">
        <v>4027</v>
      </c>
      <c r="S1165" s="1">
        <v>0.0</v>
      </c>
      <c r="T1165" s="1">
        <v>2.0</v>
      </c>
      <c r="X1165" s="1" t="s">
        <v>56</v>
      </c>
    </row>
    <row r="1166">
      <c r="A1166" s="3" t="str">
        <f>HYPERLINK("https://stackoverflow.com/q/57900028", "57900028")</f>
        <v>57900028</v>
      </c>
      <c r="B1166" s="1" t="s">
        <v>3922</v>
      </c>
      <c r="C1166" s="1" t="s">
        <v>4028</v>
      </c>
      <c r="D1166" s="2" t="s">
        <v>4029</v>
      </c>
      <c r="E1166" s="1">
        <v>1.0</v>
      </c>
      <c r="F1166" s="1">
        <v>5.7900134E7</v>
      </c>
      <c r="I1166" s="1">
        <v>1.0</v>
      </c>
      <c r="J1166" s="1">
        <v>64.0</v>
      </c>
      <c r="L1166" s="1">
        <v>1.1848335E7</v>
      </c>
      <c r="Q1166" s="1" t="s">
        <v>4030</v>
      </c>
      <c r="R1166" s="1" t="s">
        <v>4031</v>
      </c>
      <c r="S1166" s="1">
        <v>1.0</v>
      </c>
      <c r="T1166" s="1">
        <v>0.0</v>
      </c>
      <c r="X1166" s="1" t="s">
        <v>56</v>
      </c>
      <c r="Z1166" s="1" t="s">
        <v>4030</v>
      </c>
    </row>
    <row r="1167">
      <c r="A1167" s="3" t="str">
        <f>HYPERLINK("https://stackoverflow.com/q/59005965", "59005965")</f>
        <v>59005965</v>
      </c>
      <c r="B1167" s="1" t="s">
        <v>3922</v>
      </c>
      <c r="C1167" s="1" t="s">
        <v>4032</v>
      </c>
      <c r="D1167" s="2" t="s">
        <v>4033</v>
      </c>
      <c r="E1167" s="1">
        <v>1.0</v>
      </c>
      <c r="I1167" s="1">
        <v>0.0</v>
      </c>
      <c r="J1167" s="1">
        <v>50.0</v>
      </c>
      <c r="L1167" s="1">
        <v>3812391.0</v>
      </c>
      <c r="Q1167" s="1" t="s">
        <v>4034</v>
      </c>
      <c r="R1167" s="1" t="s">
        <v>4035</v>
      </c>
      <c r="S1167" s="1">
        <v>1.0</v>
      </c>
      <c r="T1167" s="1">
        <v>0.0</v>
      </c>
      <c r="X1167" s="1" t="s">
        <v>56</v>
      </c>
    </row>
    <row r="1168">
      <c r="A1168" s="3" t="str">
        <f>HYPERLINK("https://stackoverflow.com/q/59044506", "59044506")</f>
        <v>59044506</v>
      </c>
      <c r="B1168" s="1" t="s">
        <v>3922</v>
      </c>
      <c r="C1168" s="1" t="s">
        <v>4036</v>
      </c>
      <c r="D1168" s="2" t="s">
        <v>4037</v>
      </c>
      <c r="E1168" s="1">
        <v>1.0</v>
      </c>
      <c r="I1168" s="1">
        <v>0.0</v>
      </c>
      <c r="J1168" s="1">
        <v>56.0</v>
      </c>
      <c r="L1168" s="1">
        <v>7744334.0</v>
      </c>
      <c r="N1168" s="1">
        <v>1000551.0</v>
      </c>
      <c r="P1168" s="1" t="s">
        <v>4038</v>
      </c>
      <c r="Q1168" s="1" t="s">
        <v>4039</v>
      </c>
      <c r="R1168" s="1" t="s">
        <v>4040</v>
      </c>
      <c r="S1168" s="1">
        <v>1.0</v>
      </c>
      <c r="T1168" s="1">
        <v>0.0</v>
      </c>
      <c r="X1168" s="1" t="s">
        <v>56</v>
      </c>
    </row>
    <row r="1169">
      <c r="A1169" s="3" t="str">
        <f>HYPERLINK("https://stackoverflow.com/q/60063934", "60063934")</f>
        <v>60063934</v>
      </c>
      <c r="B1169" s="1" t="s">
        <v>3922</v>
      </c>
      <c r="C1169" s="1" t="s">
        <v>4041</v>
      </c>
      <c r="D1169" s="2" t="s">
        <v>4042</v>
      </c>
      <c r="E1169" s="1">
        <v>1.0</v>
      </c>
      <c r="I1169" s="1">
        <v>0.0</v>
      </c>
      <c r="J1169" s="1">
        <v>60.0</v>
      </c>
      <c r="L1169" s="1">
        <v>6530539.0</v>
      </c>
      <c r="N1169" s="1">
        <v>472495.0</v>
      </c>
      <c r="P1169" s="1" t="s">
        <v>4043</v>
      </c>
      <c r="Q1169" s="1" t="s">
        <v>4044</v>
      </c>
      <c r="R1169" s="1" t="s">
        <v>4045</v>
      </c>
      <c r="S1169" s="1">
        <v>1.0</v>
      </c>
      <c r="T1169" s="1">
        <v>1.0</v>
      </c>
      <c r="X1169" s="1" t="s">
        <v>56</v>
      </c>
    </row>
    <row r="1170">
      <c r="A1170" s="3" t="str">
        <f>HYPERLINK("https://stackoverflow.com/q/60210752", "60210752")</f>
        <v>60210752</v>
      </c>
      <c r="B1170" s="1" t="s">
        <v>3922</v>
      </c>
      <c r="C1170" s="1" t="s">
        <v>4046</v>
      </c>
      <c r="D1170" s="2" t="s">
        <v>4047</v>
      </c>
      <c r="E1170" s="1">
        <v>1.0</v>
      </c>
      <c r="I1170" s="1">
        <v>0.0</v>
      </c>
      <c r="J1170" s="1">
        <v>34.0</v>
      </c>
      <c r="L1170" s="1">
        <v>1.2158257E7</v>
      </c>
      <c r="Q1170" s="1" t="s">
        <v>4048</v>
      </c>
      <c r="R1170" s="1" t="s">
        <v>4049</v>
      </c>
      <c r="S1170" s="1">
        <v>1.0</v>
      </c>
      <c r="T1170" s="1">
        <v>0.0</v>
      </c>
      <c r="X1170" s="1" t="s">
        <v>56</v>
      </c>
    </row>
    <row r="1171">
      <c r="A1171" s="3" t="str">
        <f>HYPERLINK("https://stackoverflow.com/q/60285447", "60285447")</f>
        <v>60285447</v>
      </c>
      <c r="B1171" s="1" t="s">
        <v>3922</v>
      </c>
      <c r="C1171" s="1" t="s">
        <v>4050</v>
      </c>
      <c r="D1171" s="2" t="s">
        <v>4051</v>
      </c>
      <c r="E1171" s="1">
        <v>1.0</v>
      </c>
      <c r="I1171" s="1">
        <v>0.0</v>
      </c>
      <c r="J1171" s="1">
        <v>53.0</v>
      </c>
      <c r="L1171" s="1">
        <v>7009806.0</v>
      </c>
      <c r="Q1171" s="1" t="s">
        <v>4052</v>
      </c>
      <c r="R1171" s="1" t="s">
        <v>4053</v>
      </c>
      <c r="S1171" s="1">
        <v>1.0</v>
      </c>
      <c r="T1171" s="1">
        <v>0.0</v>
      </c>
      <c r="X1171" s="1" t="s">
        <v>56</v>
      </c>
    </row>
    <row r="1172">
      <c r="A1172" s="3" t="str">
        <f>HYPERLINK("https://stackoverflow.com/q/60589214", "60589214")</f>
        <v>60589214</v>
      </c>
      <c r="B1172" s="1" t="s">
        <v>3922</v>
      </c>
      <c r="C1172" s="1" t="s">
        <v>4054</v>
      </c>
      <c r="D1172" s="2" t="s">
        <v>4055</v>
      </c>
      <c r="E1172" s="1">
        <v>1.0</v>
      </c>
      <c r="I1172" s="1">
        <v>0.0</v>
      </c>
      <c r="J1172" s="1">
        <v>23.0</v>
      </c>
      <c r="L1172" s="1">
        <v>6530539.0</v>
      </c>
      <c r="N1172" s="1">
        <v>4420967.0</v>
      </c>
      <c r="P1172" s="1" t="s">
        <v>4056</v>
      </c>
      <c r="Q1172" s="1" t="s">
        <v>4056</v>
      </c>
      <c r="R1172" s="1" t="s">
        <v>4057</v>
      </c>
      <c r="S1172" s="1">
        <v>0.0</v>
      </c>
      <c r="T1172" s="1">
        <v>3.0</v>
      </c>
      <c r="X1172" s="1" t="s">
        <v>56</v>
      </c>
    </row>
    <row r="1173">
      <c r="A1173" s="3" t="str">
        <f>HYPERLINK("https://stackoverflow.com/q/60815382", "60815382")</f>
        <v>60815382</v>
      </c>
      <c r="B1173" s="1" t="s">
        <v>3922</v>
      </c>
      <c r="C1173" s="1" t="s">
        <v>4058</v>
      </c>
      <c r="D1173" s="2" t="s">
        <v>4059</v>
      </c>
      <c r="E1173" s="1">
        <v>1.0</v>
      </c>
      <c r="F1173" s="1">
        <v>6.1366953E7</v>
      </c>
      <c r="I1173" s="1">
        <v>0.0</v>
      </c>
      <c r="J1173" s="1">
        <v>24.0</v>
      </c>
      <c r="L1173" s="1">
        <v>1.186955E7</v>
      </c>
      <c r="N1173" s="1">
        <v>1.186955E7</v>
      </c>
      <c r="P1173" s="1" t="s">
        <v>4060</v>
      </c>
      <c r="Q1173" s="1" t="s">
        <v>4061</v>
      </c>
      <c r="R1173" s="1" t="s">
        <v>4062</v>
      </c>
      <c r="S1173" s="1">
        <v>2.0</v>
      </c>
      <c r="T1173" s="1">
        <v>0.0</v>
      </c>
      <c r="X1173" s="1" t="s">
        <v>56</v>
      </c>
      <c r="Z1173" s="1" t="s">
        <v>4061</v>
      </c>
    </row>
    <row r="1174">
      <c r="A1174" s="3" t="str">
        <f>HYPERLINK("https://stackoverflow.com/q/61548727", "61548727")</f>
        <v>61548727</v>
      </c>
      <c r="B1174" s="1" t="s">
        <v>3922</v>
      </c>
      <c r="C1174" s="1" t="s">
        <v>4063</v>
      </c>
      <c r="D1174" s="2" t="s">
        <v>4064</v>
      </c>
      <c r="E1174" s="1">
        <v>1.0</v>
      </c>
      <c r="I1174" s="1">
        <v>1.0</v>
      </c>
      <c r="J1174" s="1">
        <v>8.0</v>
      </c>
      <c r="L1174" s="1">
        <v>1.3449567E7</v>
      </c>
      <c r="N1174" s="1">
        <v>5148795.0</v>
      </c>
      <c r="P1174" s="1" t="s">
        <v>4065</v>
      </c>
      <c r="Q1174" s="1" t="s">
        <v>4065</v>
      </c>
      <c r="R1174" s="1" t="s">
        <v>4066</v>
      </c>
      <c r="S1174" s="1">
        <v>0.0</v>
      </c>
      <c r="T1174" s="1">
        <v>0.0</v>
      </c>
      <c r="X1174" s="1" t="s">
        <v>56</v>
      </c>
    </row>
    <row r="1175">
      <c r="A1175" s="3" t="str">
        <f>HYPERLINK("https://stackoverflow.com/q/61782655", "61782655")</f>
        <v>61782655</v>
      </c>
      <c r="B1175" s="1" t="s">
        <v>3922</v>
      </c>
      <c r="C1175" s="1" t="s">
        <v>4067</v>
      </c>
      <c r="D1175" s="2" t="s">
        <v>4068</v>
      </c>
      <c r="E1175" s="1">
        <v>1.0</v>
      </c>
      <c r="F1175" s="1">
        <v>6.1864148E7</v>
      </c>
      <c r="I1175" s="1">
        <v>0.0</v>
      </c>
      <c r="J1175" s="1">
        <v>23.0</v>
      </c>
      <c r="L1175" s="1">
        <v>1.3362379E7</v>
      </c>
      <c r="N1175" s="1">
        <v>1125478.0</v>
      </c>
      <c r="P1175" s="1" t="s">
        <v>4069</v>
      </c>
      <c r="Q1175" s="1" t="s">
        <v>4069</v>
      </c>
      <c r="R1175" s="1" t="s">
        <v>4070</v>
      </c>
      <c r="S1175" s="1">
        <v>1.0</v>
      </c>
      <c r="T1175" s="1">
        <v>0.0</v>
      </c>
      <c r="X1175" s="1" t="s">
        <v>56</v>
      </c>
      <c r="Z1175" s="1" t="s">
        <v>4071</v>
      </c>
    </row>
    <row r="1176">
      <c r="A1176" s="3" t="str">
        <f>HYPERLINK("https://stackoverflow.com/q/359717", "359717")</f>
        <v>359717</v>
      </c>
      <c r="B1176" s="1" t="s">
        <v>4072</v>
      </c>
      <c r="C1176" s="1" t="s">
        <v>4073</v>
      </c>
      <c r="D1176" s="2" t="s">
        <v>4074</v>
      </c>
      <c r="E1176" s="1">
        <v>1.0</v>
      </c>
      <c r="F1176" s="1">
        <v>359725.0</v>
      </c>
      <c r="I1176" s="1">
        <v>1.0</v>
      </c>
      <c r="J1176" s="1">
        <v>329.0</v>
      </c>
      <c r="L1176" s="1">
        <v>42010.0</v>
      </c>
      <c r="N1176" s="1">
        <v>42010.0</v>
      </c>
      <c r="P1176" s="1" t="s">
        <v>4075</v>
      </c>
      <c r="Q1176" s="1" t="s">
        <v>4076</v>
      </c>
      <c r="R1176" s="1" t="s">
        <v>4077</v>
      </c>
      <c r="S1176" s="1">
        <v>2.0</v>
      </c>
      <c r="T1176" s="1">
        <v>0.0</v>
      </c>
      <c r="U1176" s="1">
        <v>1.0</v>
      </c>
      <c r="X1176" s="1" t="s">
        <v>4078</v>
      </c>
      <c r="Z1176" s="1" t="s">
        <v>4079</v>
      </c>
    </row>
    <row r="1177">
      <c r="A1177" s="3" t="str">
        <f>HYPERLINK("https://stackoverflow.com/q/1236439", "1236439")</f>
        <v>1236439</v>
      </c>
      <c r="B1177" s="1" t="s">
        <v>4072</v>
      </c>
      <c r="C1177" s="1" t="s">
        <v>4080</v>
      </c>
      <c r="D1177" s="2" t="s">
        <v>4081</v>
      </c>
      <c r="E1177" s="1">
        <v>1.0</v>
      </c>
      <c r="F1177" s="1">
        <v>1237753.0</v>
      </c>
      <c r="I1177" s="1">
        <v>1.0</v>
      </c>
      <c r="J1177" s="1">
        <v>2655.0</v>
      </c>
      <c r="L1177" s="1">
        <v>151452.0</v>
      </c>
      <c r="Q1177" s="1" t="s">
        <v>4082</v>
      </c>
      <c r="R1177" s="1" t="s">
        <v>4083</v>
      </c>
      <c r="S1177" s="1">
        <v>1.0</v>
      </c>
      <c r="T1177" s="1">
        <v>0.0</v>
      </c>
      <c r="U1177" s="1">
        <v>1.0</v>
      </c>
      <c r="X1177" s="1" t="s">
        <v>4078</v>
      </c>
      <c r="Z1177" s="1" t="s">
        <v>4084</v>
      </c>
    </row>
    <row r="1178">
      <c r="A1178" s="3" t="str">
        <f>HYPERLINK("https://stackoverflow.com/q/3016015", "3016015")</f>
        <v>3016015</v>
      </c>
      <c r="B1178" s="1" t="s">
        <v>4072</v>
      </c>
      <c r="C1178" s="1" t="s">
        <v>4085</v>
      </c>
      <c r="D1178" s="2" t="s">
        <v>4086</v>
      </c>
      <c r="E1178" s="1">
        <v>1.0</v>
      </c>
      <c r="F1178" s="1">
        <v>3027087.0</v>
      </c>
      <c r="I1178" s="1">
        <v>26.0</v>
      </c>
      <c r="J1178" s="1">
        <v>20409.0</v>
      </c>
      <c r="L1178" s="1">
        <v>100964.0</v>
      </c>
      <c r="N1178" s="1">
        <v>100964.0</v>
      </c>
      <c r="P1178" s="1" t="s">
        <v>4087</v>
      </c>
      <c r="Q1178" s="1" t="s">
        <v>4088</v>
      </c>
      <c r="R1178" s="1" t="s">
        <v>4089</v>
      </c>
      <c r="S1178" s="1">
        <v>6.0</v>
      </c>
      <c r="T1178" s="1">
        <v>0.0</v>
      </c>
      <c r="U1178" s="1">
        <v>3.0</v>
      </c>
      <c r="V1178" s="1" t="s">
        <v>4090</v>
      </c>
      <c r="X1178" s="1" t="s">
        <v>4078</v>
      </c>
      <c r="Z1178" s="1" t="s">
        <v>4091</v>
      </c>
    </row>
    <row r="1179">
      <c r="A1179" s="3" t="str">
        <f>HYPERLINK("https://stackoverflow.com/q/3990732", "3990732")</f>
        <v>3990732</v>
      </c>
      <c r="B1179" s="1" t="s">
        <v>4072</v>
      </c>
      <c r="C1179" s="1" t="s">
        <v>4092</v>
      </c>
      <c r="D1179" s="2" t="s">
        <v>4093</v>
      </c>
      <c r="E1179" s="1">
        <v>1.0</v>
      </c>
      <c r="I1179" s="1">
        <v>2.0</v>
      </c>
      <c r="J1179" s="1">
        <v>1146.0</v>
      </c>
      <c r="L1179" s="1">
        <v>483404.0</v>
      </c>
      <c r="N1179" s="1">
        <v>483404.0</v>
      </c>
      <c r="P1179" s="1" t="s">
        <v>4094</v>
      </c>
      <c r="Q1179" s="1" t="s">
        <v>4095</v>
      </c>
      <c r="R1179" s="1" t="s">
        <v>4096</v>
      </c>
      <c r="S1179" s="1">
        <v>3.0</v>
      </c>
      <c r="T1179" s="1">
        <v>2.0</v>
      </c>
      <c r="U1179" s="1">
        <v>1.0</v>
      </c>
      <c r="X1179" s="1" t="s">
        <v>4078</v>
      </c>
    </row>
    <row r="1180">
      <c r="A1180" s="3" t="str">
        <f>HYPERLINK("https://stackoverflow.com/q/12242168", "12242168")</f>
        <v>12242168</v>
      </c>
      <c r="B1180" s="1" t="s">
        <v>4072</v>
      </c>
      <c r="C1180" s="1" t="s">
        <v>4097</v>
      </c>
      <c r="D1180" s="2" t="s">
        <v>4098</v>
      </c>
      <c r="E1180" s="1">
        <v>1.0</v>
      </c>
      <c r="F1180" s="1">
        <v>1.2242211E7</v>
      </c>
      <c r="I1180" s="1">
        <v>0.0</v>
      </c>
      <c r="J1180" s="1">
        <v>4303.0</v>
      </c>
      <c r="L1180" s="1">
        <v>1537005.0</v>
      </c>
      <c r="N1180" s="1">
        <v>1550807.0</v>
      </c>
      <c r="P1180" s="1" t="s">
        <v>4099</v>
      </c>
      <c r="Q1180" s="1" t="s">
        <v>4099</v>
      </c>
      <c r="R1180" s="1" t="s">
        <v>4100</v>
      </c>
      <c r="S1180" s="1">
        <v>5.0</v>
      </c>
      <c r="T1180" s="1">
        <v>1.0</v>
      </c>
      <c r="V1180" s="1" t="s">
        <v>4101</v>
      </c>
      <c r="X1180" s="1" t="s">
        <v>29</v>
      </c>
      <c r="Z1180" s="1" t="s">
        <v>4102</v>
      </c>
    </row>
    <row r="1181">
      <c r="A1181" s="3" t="str">
        <f>HYPERLINK("https://stackoverflow.com/q/12382382", "12382382")</f>
        <v>12382382</v>
      </c>
      <c r="B1181" s="1" t="s">
        <v>4072</v>
      </c>
      <c r="C1181" s="1" t="s">
        <v>4103</v>
      </c>
      <c r="D1181" s="2" t="s">
        <v>4104</v>
      </c>
      <c r="E1181" s="1">
        <v>1.0</v>
      </c>
      <c r="F1181" s="1">
        <v>1.2457158E7</v>
      </c>
      <c r="I1181" s="1">
        <v>1.0</v>
      </c>
      <c r="J1181" s="1">
        <v>668.0</v>
      </c>
      <c r="L1181" s="1">
        <v>1537005.0</v>
      </c>
      <c r="Q1181" s="1" t="s">
        <v>4105</v>
      </c>
      <c r="R1181" s="1" t="s">
        <v>4106</v>
      </c>
      <c r="S1181" s="1">
        <v>1.0</v>
      </c>
      <c r="T1181" s="1">
        <v>4.0</v>
      </c>
      <c r="X1181" s="1" t="s">
        <v>29</v>
      </c>
      <c r="Z1181" s="1" t="s">
        <v>4105</v>
      </c>
    </row>
    <row r="1182">
      <c r="A1182" s="3" t="str">
        <f>HYPERLINK("https://stackoverflow.com/q/12507134", "12507134")</f>
        <v>12507134</v>
      </c>
      <c r="B1182" s="1" t="s">
        <v>4072</v>
      </c>
      <c r="C1182" s="1" t="s">
        <v>4107</v>
      </c>
      <c r="D1182" s="2" t="s">
        <v>4108</v>
      </c>
      <c r="E1182" s="1">
        <v>1.0</v>
      </c>
      <c r="F1182" s="1">
        <v>1.2562924E7</v>
      </c>
      <c r="I1182" s="1">
        <v>0.0</v>
      </c>
      <c r="J1182" s="1">
        <v>1838.0</v>
      </c>
      <c r="L1182" s="1">
        <v>1537005.0</v>
      </c>
      <c r="N1182" s="1">
        <v>1537005.0</v>
      </c>
      <c r="P1182" s="1" t="s">
        <v>4109</v>
      </c>
      <c r="Q1182" s="1" t="s">
        <v>4109</v>
      </c>
      <c r="R1182" s="1" t="s">
        <v>4110</v>
      </c>
      <c r="S1182" s="1">
        <v>1.0</v>
      </c>
      <c r="T1182" s="1">
        <v>0.0</v>
      </c>
      <c r="X1182" s="1" t="s">
        <v>29</v>
      </c>
      <c r="Z1182" s="1" t="s">
        <v>4111</v>
      </c>
    </row>
    <row r="1183">
      <c r="A1183" s="3" t="str">
        <f>HYPERLINK("https://stackoverflow.com/q/12559029", "12559029")</f>
        <v>12559029</v>
      </c>
      <c r="B1183" s="1" t="s">
        <v>4072</v>
      </c>
      <c r="C1183" s="1" t="s">
        <v>4112</v>
      </c>
      <c r="D1183" s="2" t="s">
        <v>4113</v>
      </c>
      <c r="E1183" s="1">
        <v>1.0</v>
      </c>
      <c r="F1183" s="1">
        <v>1.2563297E7</v>
      </c>
      <c r="I1183" s="1">
        <v>0.0</v>
      </c>
      <c r="J1183" s="1">
        <v>1813.0</v>
      </c>
      <c r="L1183" s="1">
        <v>1537005.0</v>
      </c>
      <c r="Q1183" s="1" t="s">
        <v>4114</v>
      </c>
      <c r="R1183" s="1" t="s">
        <v>4115</v>
      </c>
      <c r="S1183" s="1">
        <v>1.0</v>
      </c>
      <c r="T1183" s="1">
        <v>0.0</v>
      </c>
      <c r="X1183" s="1" t="s">
        <v>29</v>
      </c>
      <c r="Z1183" s="1" t="s">
        <v>4114</v>
      </c>
    </row>
    <row r="1184">
      <c r="A1184" s="3" t="str">
        <f>HYPERLINK("https://stackoverflow.com/q/12892318", "12892318")</f>
        <v>12892318</v>
      </c>
      <c r="B1184" s="1" t="s">
        <v>4072</v>
      </c>
      <c r="C1184" s="1" t="s">
        <v>4116</v>
      </c>
      <c r="D1184" s="2" t="s">
        <v>4117</v>
      </c>
      <c r="E1184" s="1">
        <v>1.0</v>
      </c>
      <c r="F1184" s="1">
        <v>1.2893712E7</v>
      </c>
      <c r="I1184" s="1">
        <v>0.0</v>
      </c>
      <c r="J1184" s="1">
        <v>529.0</v>
      </c>
      <c r="L1184" s="1">
        <v>1537005.0</v>
      </c>
      <c r="Q1184" s="1" t="s">
        <v>4118</v>
      </c>
      <c r="R1184" s="1" t="s">
        <v>4119</v>
      </c>
      <c r="S1184" s="1">
        <v>1.0</v>
      </c>
      <c r="T1184" s="1">
        <v>1.0</v>
      </c>
      <c r="X1184" s="1" t="s">
        <v>29</v>
      </c>
      <c r="Z1184" s="1" t="s">
        <v>4118</v>
      </c>
    </row>
    <row r="1185">
      <c r="A1185" s="3" t="str">
        <f>HYPERLINK("https://stackoverflow.com/q/13063536", "13063536")</f>
        <v>13063536</v>
      </c>
      <c r="B1185" s="1" t="s">
        <v>4072</v>
      </c>
      <c r="C1185" s="1" t="s">
        <v>4120</v>
      </c>
      <c r="D1185" s="2" t="s">
        <v>4121</v>
      </c>
      <c r="E1185" s="1">
        <v>1.0</v>
      </c>
      <c r="F1185" s="1">
        <v>1.3311108E7</v>
      </c>
      <c r="I1185" s="1">
        <v>0.0</v>
      </c>
      <c r="J1185" s="1">
        <v>206.0</v>
      </c>
      <c r="L1185" s="1">
        <v>1537005.0</v>
      </c>
      <c r="Q1185" s="1" t="s">
        <v>4122</v>
      </c>
      <c r="R1185" s="1" t="s">
        <v>4119</v>
      </c>
      <c r="S1185" s="1">
        <v>1.0</v>
      </c>
      <c r="T1185" s="1">
        <v>0.0</v>
      </c>
      <c r="X1185" s="1" t="s">
        <v>29</v>
      </c>
      <c r="Z1185" s="1" t="s">
        <v>4122</v>
      </c>
    </row>
    <row r="1186">
      <c r="A1186" s="3" t="str">
        <f>HYPERLINK("https://stackoverflow.com/q/13085151", "13085151")</f>
        <v>13085151</v>
      </c>
      <c r="B1186" s="1" t="s">
        <v>4072</v>
      </c>
      <c r="C1186" s="1" t="s">
        <v>4123</v>
      </c>
      <c r="D1186" s="2" t="s">
        <v>4124</v>
      </c>
      <c r="E1186" s="1">
        <v>1.0</v>
      </c>
      <c r="F1186" s="1">
        <v>1.3271771E7</v>
      </c>
      <c r="I1186" s="1">
        <v>3.0</v>
      </c>
      <c r="J1186" s="1">
        <v>2095.0</v>
      </c>
      <c r="L1186" s="1">
        <v>1537005.0</v>
      </c>
      <c r="Q1186" s="1" t="s">
        <v>4125</v>
      </c>
      <c r="R1186" s="1" t="s">
        <v>4089</v>
      </c>
      <c r="S1186" s="1">
        <v>2.0</v>
      </c>
      <c r="T1186" s="1">
        <v>0.0</v>
      </c>
      <c r="X1186" s="1" t="s">
        <v>29</v>
      </c>
      <c r="Z1186" s="1" t="s">
        <v>4126</v>
      </c>
    </row>
    <row r="1187">
      <c r="A1187" s="3" t="str">
        <f>HYPERLINK("https://stackoverflow.com/q/13267422", "13267422")</f>
        <v>13267422</v>
      </c>
      <c r="B1187" s="1" t="s">
        <v>4072</v>
      </c>
      <c r="C1187" s="1" t="s">
        <v>4127</v>
      </c>
      <c r="D1187" s="2" t="s">
        <v>4128</v>
      </c>
      <c r="E1187" s="1">
        <v>1.0</v>
      </c>
      <c r="I1187" s="1">
        <v>0.0</v>
      </c>
      <c r="J1187" s="1">
        <v>1600.0</v>
      </c>
      <c r="L1187" s="1">
        <v>1537005.0</v>
      </c>
      <c r="N1187" s="1">
        <v>3448527.0</v>
      </c>
      <c r="P1187" s="1" t="s">
        <v>4129</v>
      </c>
      <c r="Q1187" s="1" t="s">
        <v>4129</v>
      </c>
      <c r="R1187" s="1" t="s">
        <v>4130</v>
      </c>
      <c r="S1187" s="1">
        <v>2.0</v>
      </c>
      <c r="T1187" s="1">
        <v>0.0</v>
      </c>
      <c r="X1187" s="1" t="s">
        <v>29</v>
      </c>
    </row>
    <row r="1188">
      <c r="A1188" s="3" t="str">
        <f>HYPERLINK("https://stackoverflow.com/q/13561945", "13561945")</f>
        <v>13561945</v>
      </c>
      <c r="B1188" s="1" t="s">
        <v>4072</v>
      </c>
      <c r="C1188" s="1" t="s">
        <v>4131</v>
      </c>
      <c r="D1188" s="2" t="s">
        <v>4132</v>
      </c>
      <c r="E1188" s="1">
        <v>1.0</v>
      </c>
      <c r="F1188" s="1">
        <v>1.3562256E7</v>
      </c>
      <c r="I1188" s="1">
        <v>0.0</v>
      </c>
      <c r="J1188" s="1">
        <v>930.0</v>
      </c>
      <c r="L1188" s="1">
        <v>1537005.0</v>
      </c>
      <c r="Q1188" s="1" t="s">
        <v>4133</v>
      </c>
      <c r="R1188" s="1" t="s">
        <v>4134</v>
      </c>
      <c r="S1188" s="1">
        <v>1.0</v>
      </c>
      <c r="T1188" s="1">
        <v>0.0</v>
      </c>
      <c r="V1188" s="1" t="s">
        <v>4135</v>
      </c>
      <c r="X1188" s="1" t="s">
        <v>29</v>
      </c>
      <c r="Z1188" s="1" t="s">
        <v>4136</v>
      </c>
    </row>
    <row r="1189">
      <c r="A1189" s="3" t="str">
        <f>HYPERLINK("https://stackoverflow.com/q/14598065", "14598065")</f>
        <v>14598065</v>
      </c>
      <c r="B1189" s="1" t="s">
        <v>4072</v>
      </c>
      <c r="C1189" s="1" t="s">
        <v>4137</v>
      </c>
      <c r="D1189" s="2" t="s">
        <v>4138</v>
      </c>
      <c r="E1189" s="1">
        <v>1.0</v>
      </c>
      <c r="F1189" s="1">
        <v>1.4600959E7</v>
      </c>
      <c r="I1189" s="1">
        <v>0.0</v>
      </c>
      <c r="J1189" s="1">
        <v>2064.0</v>
      </c>
      <c r="L1189" s="1">
        <v>1537005.0</v>
      </c>
      <c r="N1189" s="1">
        <v>943983.0</v>
      </c>
      <c r="P1189" s="1" t="s">
        <v>4139</v>
      </c>
      <c r="Q1189" s="1" t="s">
        <v>4140</v>
      </c>
      <c r="R1189" s="1" t="s">
        <v>4141</v>
      </c>
      <c r="S1189" s="1">
        <v>1.0</v>
      </c>
      <c r="T1189" s="1">
        <v>2.0</v>
      </c>
      <c r="X1189" s="1" t="s">
        <v>29</v>
      </c>
      <c r="Z1189" s="1" t="s">
        <v>4140</v>
      </c>
    </row>
    <row r="1190">
      <c r="A1190" s="3" t="str">
        <f>HYPERLINK("https://stackoverflow.com/q/16152727", "16152727")</f>
        <v>16152727</v>
      </c>
      <c r="B1190" s="1" t="s">
        <v>4072</v>
      </c>
      <c r="C1190" s="1" t="s">
        <v>4142</v>
      </c>
      <c r="D1190" s="2" t="s">
        <v>4143</v>
      </c>
      <c r="E1190" s="1">
        <v>1.0</v>
      </c>
      <c r="I1190" s="1">
        <v>1.0</v>
      </c>
      <c r="J1190" s="1">
        <v>1729.0</v>
      </c>
      <c r="L1190" s="1">
        <v>972362.0</v>
      </c>
      <c r="O1190" s="1" t="s">
        <v>4144</v>
      </c>
      <c r="P1190" s="1" t="s">
        <v>4145</v>
      </c>
      <c r="Q1190" s="1" t="s">
        <v>4146</v>
      </c>
      <c r="R1190" s="1" t="s">
        <v>4147</v>
      </c>
      <c r="S1190" s="1">
        <v>2.0</v>
      </c>
      <c r="T1190" s="1">
        <v>4.0</v>
      </c>
      <c r="X1190" s="1" t="s">
        <v>29</v>
      </c>
    </row>
    <row r="1191">
      <c r="A1191" s="3" t="str">
        <f>HYPERLINK("https://stackoverflow.com/q/16163032", "16163032")</f>
        <v>16163032</v>
      </c>
      <c r="B1191" s="1" t="s">
        <v>4072</v>
      </c>
      <c r="C1191" s="1" t="s">
        <v>4148</v>
      </c>
      <c r="D1191" s="2" t="s">
        <v>4149</v>
      </c>
      <c r="E1191" s="1">
        <v>1.0</v>
      </c>
      <c r="F1191" s="1">
        <v>1.6192342E7</v>
      </c>
      <c r="I1191" s="1">
        <v>0.0</v>
      </c>
      <c r="J1191" s="1">
        <v>817.0</v>
      </c>
      <c r="L1191" s="1">
        <v>1537005.0</v>
      </c>
      <c r="N1191" s="1">
        <v>1537005.0</v>
      </c>
      <c r="P1191" s="1" t="s">
        <v>4150</v>
      </c>
      <c r="Q1191" s="1" t="s">
        <v>4151</v>
      </c>
      <c r="R1191" s="1" t="s">
        <v>4134</v>
      </c>
      <c r="S1191" s="1">
        <v>2.0</v>
      </c>
      <c r="T1191" s="1">
        <v>0.0</v>
      </c>
      <c r="X1191" s="1" t="s">
        <v>29</v>
      </c>
      <c r="Z1191" s="1" t="s">
        <v>4152</v>
      </c>
    </row>
    <row r="1192">
      <c r="A1192" s="3" t="str">
        <f>HYPERLINK("https://stackoverflow.com/q/21907126", "21907126")</f>
        <v>21907126</v>
      </c>
      <c r="B1192" s="1" t="s">
        <v>4072</v>
      </c>
      <c r="C1192" s="1" t="s">
        <v>4153</v>
      </c>
      <c r="D1192" s="2" t="s">
        <v>4154</v>
      </c>
      <c r="E1192" s="1">
        <v>1.0</v>
      </c>
      <c r="F1192" s="1">
        <v>2.1930521E7</v>
      </c>
      <c r="I1192" s="1">
        <v>1.0</v>
      </c>
      <c r="J1192" s="1">
        <v>799.0</v>
      </c>
      <c r="L1192" s="1">
        <v>842957.0</v>
      </c>
      <c r="Q1192" s="1" t="s">
        <v>4155</v>
      </c>
      <c r="R1192" s="1" t="s">
        <v>4089</v>
      </c>
      <c r="S1192" s="1">
        <v>1.0</v>
      </c>
      <c r="T1192" s="1">
        <v>0.0</v>
      </c>
      <c r="X1192" s="1" t="s">
        <v>29</v>
      </c>
      <c r="Z1192" s="1" t="s">
        <v>4156</v>
      </c>
    </row>
    <row r="1193">
      <c r="A1193" s="3" t="str">
        <f>HYPERLINK("https://stackoverflow.com/q/24450595", "24450595")</f>
        <v>24450595</v>
      </c>
      <c r="B1193" s="1" t="s">
        <v>4072</v>
      </c>
      <c r="C1193" s="1" t="s">
        <v>4157</v>
      </c>
      <c r="D1193" s="2" t="s">
        <v>4158</v>
      </c>
      <c r="E1193" s="1">
        <v>1.0</v>
      </c>
      <c r="I1193" s="1">
        <v>6.0</v>
      </c>
      <c r="J1193" s="1">
        <v>4330.0</v>
      </c>
      <c r="L1193" s="1">
        <v>978409.0</v>
      </c>
      <c r="N1193" s="1">
        <v>978409.0</v>
      </c>
      <c r="P1193" s="1" t="s">
        <v>4159</v>
      </c>
      <c r="Q1193" s="1" t="s">
        <v>4160</v>
      </c>
      <c r="R1193" s="1" t="s">
        <v>4161</v>
      </c>
      <c r="S1193" s="1">
        <v>1.0</v>
      </c>
      <c r="T1193" s="1">
        <v>3.0</v>
      </c>
      <c r="X1193" s="1" t="s">
        <v>29</v>
      </c>
    </row>
    <row r="1194">
      <c r="A1194" s="3" t="str">
        <f>HYPERLINK("https://stackoverflow.com/q/28073629", "28073629")</f>
        <v>28073629</v>
      </c>
      <c r="B1194" s="1" t="s">
        <v>4072</v>
      </c>
      <c r="C1194" s="1" t="s">
        <v>4162</v>
      </c>
      <c r="D1194" s="2" t="s">
        <v>4163</v>
      </c>
      <c r="E1194" s="1">
        <v>1.0</v>
      </c>
      <c r="F1194" s="1">
        <v>2.807627E7</v>
      </c>
      <c r="I1194" s="1">
        <v>2.0</v>
      </c>
      <c r="J1194" s="1">
        <v>505.0</v>
      </c>
      <c r="L1194" s="1">
        <v>598435.0</v>
      </c>
      <c r="Q1194" s="1" t="s">
        <v>4164</v>
      </c>
      <c r="R1194" s="1" t="s">
        <v>4165</v>
      </c>
      <c r="S1194" s="1">
        <v>1.0</v>
      </c>
      <c r="T1194" s="1">
        <v>0.0</v>
      </c>
      <c r="X1194" s="1" t="s">
        <v>29</v>
      </c>
      <c r="Z1194" s="1" t="s">
        <v>4164</v>
      </c>
    </row>
    <row r="1195">
      <c r="A1195" s="3" t="str">
        <f>HYPERLINK("https://stackoverflow.com/q/28963021", "28963021")</f>
        <v>28963021</v>
      </c>
      <c r="B1195" s="1" t="s">
        <v>4072</v>
      </c>
      <c r="C1195" s="1" t="s">
        <v>4166</v>
      </c>
      <c r="D1195" s="2" t="s">
        <v>4167</v>
      </c>
      <c r="E1195" s="1">
        <v>1.0</v>
      </c>
      <c r="F1195" s="1">
        <v>2.8966206E7</v>
      </c>
      <c r="I1195" s="1">
        <v>2.0</v>
      </c>
      <c r="J1195" s="1">
        <v>624.0</v>
      </c>
      <c r="L1195" s="1">
        <v>3474458.0</v>
      </c>
      <c r="N1195" s="1">
        <v>3474458.0</v>
      </c>
      <c r="P1195" s="1" t="s">
        <v>4168</v>
      </c>
      <c r="Q1195" s="1" t="s">
        <v>4169</v>
      </c>
      <c r="R1195" s="1" t="s">
        <v>4170</v>
      </c>
      <c r="S1195" s="1">
        <v>1.0</v>
      </c>
      <c r="T1195" s="1">
        <v>5.0</v>
      </c>
      <c r="X1195" s="1" t="s">
        <v>29</v>
      </c>
      <c r="Z1195" s="1" t="s">
        <v>4171</v>
      </c>
    </row>
    <row r="1196">
      <c r="A1196" s="3" t="str">
        <f>HYPERLINK("https://stackoverflow.com/q/29035915", "29035915")</f>
        <v>29035915</v>
      </c>
      <c r="B1196" s="1" t="s">
        <v>4072</v>
      </c>
      <c r="C1196" s="1" t="s">
        <v>4172</v>
      </c>
      <c r="D1196" s="2" t="s">
        <v>4173</v>
      </c>
      <c r="E1196" s="1">
        <v>1.0</v>
      </c>
      <c r="F1196" s="1">
        <v>2.9036758E7</v>
      </c>
      <c r="I1196" s="1">
        <v>2.0</v>
      </c>
      <c r="J1196" s="1">
        <v>403.0</v>
      </c>
      <c r="L1196" s="1">
        <v>3474458.0</v>
      </c>
      <c r="Q1196" s="1" t="s">
        <v>4174</v>
      </c>
      <c r="R1196" s="1" t="s">
        <v>4170</v>
      </c>
      <c r="S1196" s="1">
        <v>2.0</v>
      </c>
      <c r="T1196" s="1">
        <v>0.0</v>
      </c>
      <c r="X1196" s="1" t="s">
        <v>29</v>
      </c>
      <c r="Z1196" s="1" t="s">
        <v>4175</v>
      </c>
    </row>
    <row r="1197">
      <c r="A1197" s="3" t="str">
        <f>HYPERLINK("https://stackoverflow.com/q/29800320", "29800320")</f>
        <v>29800320</v>
      </c>
      <c r="B1197" s="1" t="s">
        <v>4072</v>
      </c>
      <c r="C1197" s="1" t="s">
        <v>4176</v>
      </c>
      <c r="D1197" s="2" t="s">
        <v>4177</v>
      </c>
      <c r="E1197" s="1">
        <v>1.0</v>
      </c>
      <c r="F1197" s="1">
        <v>2.981802E7</v>
      </c>
      <c r="I1197" s="1">
        <v>1.0</v>
      </c>
      <c r="J1197" s="1">
        <v>1237.0</v>
      </c>
      <c r="L1197" s="1">
        <v>2145310.0</v>
      </c>
      <c r="N1197" s="1">
        <v>74195.0</v>
      </c>
      <c r="P1197" s="1" t="s">
        <v>4178</v>
      </c>
      <c r="Q1197" s="1" t="s">
        <v>4179</v>
      </c>
      <c r="R1197" s="1" t="s">
        <v>4180</v>
      </c>
      <c r="S1197" s="1">
        <v>2.0</v>
      </c>
      <c r="T1197" s="1">
        <v>1.0</v>
      </c>
      <c r="X1197" s="1" t="s">
        <v>29</v>
      </c>
      <c r="Z1197" s="1" t="s">
        <v>4181</v>
      </c>
    </row>
    <row r="1198">
      <c r="A1198" s="3" t="str">
        <f>HYPERLINK("https://stackoverflow.com/q/31052944", "31052944")</f>
        <v>31052944</v>
      </c>
      <c r="B1198" s="1" t="s">
        <v>4072</v>
      </c>
      <c r="C1198" s="1" t="s">
        <v>4182</v>
      </c>
      <c r="D1198" s="2" t="s">
        <v>4183</v>
      </c>
      <c r="E1198" s="1">
        <v>1.0</v>
      </c>
      <c r="F1198" s="1">
        <v>3.1053187E7</v>
      </c>
      <c r="I1198" s="1">
        <v>1.0</v>
      </c>
      <c r="J1198" s="1">
        <v>1814.0</v>
      </c>
      <c r="L1198" s="1">
        <v>2698249.0</v>
      </c>
      <c r="Q1198" s="1" t="s">
        <v>4184</v>
      </c>
      <c r="R1198" s="1" t="s">
        <v>4185</v>
      </c>
      <c r="S1198" s="1">
        <v>1.0</v>
      </c>
      <c r="T1198" s="1">
        <v>0.0</v>
      </c>
      <c r="X1198" s="1" t="s">
        <v>29</v>
      </c>
      <c r="Z1198" s="1" t="s">
        <v>4184</v>
      </c>
    </row>
    <row r="1199">
      <c r="A1199" s="3" t="str">
        <f>HYPERLINK("https://stackoverflow.com/q/31101619", "31101619")</f>
        <v>31101619</v>
      </c>
      <c r="B1199" s="1" t="s">
        <v>4072</v>
      </c>
      <c r="C1199" s="1" t="s">
        <v>4186</v>
      </c>
      <c r="D1199" s="2" t="s">
        <v>4187</v>
      </c>
      <c r="E1199" s="1">
        <v>1.0</v>
      </c>
      <c r="F1199" s="1">
        <v>3.1118129E7</v>
      </c>
      <c r="I1199" s="1">
        <v>0.0</v>
      </c>
      <c r="J1199" s="1">
        <v>128.0</v>
      </c>
      <c r="L1199" s="1">
        <v>2698249.0</v>
      </c>
      <c r="N1199" s="1">
        <v>2698249.0</v>
      </c>
      <c r="P1199" s="1" t="s">
        <v>4188</v>
      </c>
      <c r="Q1199" s="1" t="s">
        <v>4189</v>
      </c>
      <c r="R1199" s="1" t="s">
        <v>4185</v>
      </c>
      <c r="S1199" s="1">
        <v>1.0</v>
      </c>
      <c r="T1199" s="1">
        <v>12.0</v>
      </c>
      <c r="X1199" s="1" t="s">
        <v>29</v>
      </c>
      <c r="Z1199" s="1" t="s">
        <v>4190</v>
      </c>
    </row>
    <row r="1200">
      <c r="A1200" s="3" t="str">
        <f>HYPERLINK("https://stackoverflow.com/q/31116437", "31116437")</f>
        <v>31116437</v>
      </c>
      <c r="B1200" s="1" t="s">
        <v>4072</v>
      </c>
      <c r="C1200" s="1" t="s">
        <v>4191</v>
      </c>
      <c r="D1200" s="2" t="s">
        <v>4192</v>
      </c>
      <c r="E1200" s="1">
        <v>1.0</v>
      </c>
      <c r="F1200" s="1">
        <v>3.1117267E7</v>
      </c>
      <c r="I1200" s="1">
        <v>1.0</v>
      </c>
      <c r="J1200" s="1">
        <v>531.0</v>
      </c>
      <c r="L1200" s="1">
        <v>2698249.0</v>
      </c>
      <c r="Q1200" s="1" t="s">
        <v>4193</v>
      </c>
      <c r="R1200" s="1" t="s">
        <v>4089</v>
      </c>
      <c r="S1200" s="1">
        <v>2.0</v>
      </c>
      <c r="T1200" s="1">
        <v>0.0</v>
      </c>
      <c r="X1200" s="1" t="s">
        <v>29</v>
      </c>
      <c r="Z1200" s="1" t="s">
        <v>4194</v>
      </c>
    </row>
    <row r="1201">
      <c r="A1201" s="3" t="str">
        <f>HYPERLINK("https://stackoverflow.com/q/31145919", "31145919")</f>
        <v>31145919</v>
      </c>
      <c r="B1201" s="1" t="s">
        <v>4072</v>
      </c>
      <c r="C1201" s="1" t="s">
        <v>4195</v>
      </c>
      <c r="D1201" s="2" t="s">
        <v>4196</v>
      </c>
      <c r="E1201" s="1">
        <v>1.0</v>
      </c>
      <c r="F1201" s="1">
        <v>3.1157469E7</v>
      </c>
      <c r="I1201" s="1">
        <v>0.0</v>
      </c>
      <c r="J1201" s="1">
        <v>94.0</v>
      </c>
      <c r="L1201" s="1">
        <v>2698249.0</v>
      </c>
      <c r="Q1201" s="1" t="s">
        <v>4197</v>
      </c>
      <c r="R1201" s="1" t="s">
        <v>4089</v>
      </c>
      <c r="S1201" s="1">
        <v>1.0</v>
      </c>
      <c r="T1201" s="1">
        <v>0.0</v>
      </c>
      <c r="X1201" s="1" t="s">
        <v>29</v>
      </c>
      <c r="Z1201" s="1" t="s">
        <v>4197</v>
      </c>
    </row>
    <row r="1202">
      <c r="A1202" s="3" t="str">
        <f>HYPERLINK("https://stackoverflow.com/q/31413681", "31413681")</f>
        <v>31413681</v>
      </c>
      <c r="B1202" s="1" t="s">
        <v>4072</v>
      </c>
      <c r="C1202" s="1" t="s">
        <v>4198</v>
      </c>
      <c r="D1202" s="2" t="s">
        <v>4199</v>
      </c>
      <c r="E1202" s="1">
        <v>1.0</v>
      </c>
      <c r="F1202" s="1">
        <v>3.1434648E7</v>
      </c>
      <c r="I1202" s="1">
        <v>1.0</v>
      </c>
      <c r="J1202" s="1">
        <v>409.0</v>
      </c>
      <c r="L1202" s="1">
        <v>2698249.0</v>
      </c>
      <c r="Q1202" s="1" t="s">
        <v>4200</v>
      </c>
      <c r="R1202" s="1" t="s">
        <v>4089</v>
      </c>
      <c r="S1202" s="1">
        <v>1.0</v>
      </c>
      <c r="T1202" s="1">
        <v>0.0</v>
      </c>
      <c r="X1202" s="1" t="s">
        <v>29</v>
      </c>
      <c r="Z1202" s="1" t="s">
        <v>4200</v>
      </c>
    </row>
    <row r="1203">
      <c r="A1203" s="3" t="str">
        <f>HYPERLINK("https://stackoverflow.com/q/31794085", "31794085")</f>
        <v>31794085</v>
      </c>
      <c r="B1203" s="1" t="s">
        <v>4072</v>
      </c>
      <c r="C1203" s="1" t="s">
        <v>4201</v>
      </c>
      <c r="D1203" s="2" t="s">
        <v>4202</v>
      </c>
      <c r="E1203" s="1">
        <v>1.0</v>
      </c>
      <c r="F1203" s="1">
        <v>3.1798483E7</v>
      </c>
      <c r="I1203" s="1">
        <v>0.0</v>
      </c>
      <c r="J1203" s="1">
        <v>53.0</v>
      </c>
      <c r="L1203" s="1">
        <v>2698249.0</v>
      </c>
      <c r="N1203" s="1">
        <v>1602237.0</v>
      </c>
      <c r="P1203" s="1" t="s">
        <v>4203</v>
      </c>
      <c r="Q1203" s="1" t="s">
        <v>4203</v>
      </c>
      <c r="R1203" s="1" t="s">
        <v>4185</v>
      </c>
      <c r="S1203" s="1">
        <v>1.0</v>
      </c>
      <c r="T1203" s="1">
        <v>0.0</v>
      </c>
      <c r="X1203" s="1" t="s">
        <v>29</v>
      </c>
      <c r="Z1203" s="1" t="s">
        <v>4204</v>
      </c>
    </row>
    <row r="1204">
      <c r="A1204" s="3" t="str">
        <f>HYPERLINK("https://stackoverflow.com/q/31838489", "31838489")</f>
        <v>31838489</v>
      </c>
      <c r="B1204" s="1" t="s">
        <v>4072</v>
      </c>
      <c r="C1204" s="1" t="s">
        <v>4205</v>
      </c>
      <c r="D1204" s="2" t="s">
        <v>4206</v>
      </c>
      <c r="E1204" s="1">
        <v>1.0</v>
      </c>
      <c r="F1204" s="1">
        <v>3.1844407E7</v>
      </c>
      <c r="I1204" s="1">
        <v>2.0</v>
      </c>
      <c r="J1204" s="1">
        <v>659.0</v>
      </c>
      <c r="L1204" s="1">
        <v>2698249.0</v>
      </c>
      <c r="Q1204" s="1" t="s">
        <v>4207</v>
      </c>
      <c r="R1204" s="1" t="s">
        <v>4089</v>
      </c>
      <c r="S1204" s="1">
        <v>1.0</v>
      </c>
      <c r="T1204" s="1">
        <v>0.0</v>
      </c>
      <c r="X1204" s="1" t="s">
        <v>29</v>
      </c>
      <c r="Z1204" s="1" t="s">
        <v>4207</v>
      </c>
    </row>
    <row r="1205">
      <c r="A1205" s="3" t="str">
        <f>HYPERLINK("https://stackoverflow.com/q/31838520", "31838520")</f>
        <v>31838520</v>
      </c>
      <c r="B1205" s="1" t="s">
        <v>4072</v>
      </c>
      <c r="C1205" s="1" t="s">
        <v>4208</v>
      </c>
      <c r="D1205" s="2" t="s">
        <v>4209</v>
      </c>
      <c r="E1205" s="1">
        <v>1.0</v>
      </c>
      <c r="F1205" s="1">
        <v>3.1862209E7</v>
      </c>
      <c r="I1205" s="1">
        <v>1.0</v>
      </c>
      <c r="J1205" s="1">
        <v>2577.0</v>
      </c>
      <c r="L1205" s="1">
        <v>2698249.0</v>
      </c>
      <c r="N1205" s="1">
        <v>5015957.0</v>
      </c>
      <c r="P1205" s="1" t="s">
        <v>4210</v>
      </c>
      <c r="Q1205" s="1" t="s">
        <v>4211</v>
      </c>
      <c r="R1205" s="1" t="s">
        <v>4212</v>
      </c>
      <c r="S1205" s="1">
        <v>1.0</v>
      </c>
      <c r="T1205" s="1">
        <v>2.0</v>
      </c>
      <c r="X1205" s="1" t="s">
        <v>29</v>
      </c>
      <c r="Z1205" s="1" t="s">
        <v>4213</v>
      </c>
    </row>
    <row r="1206">
      <c r="A1206" s="3" t="str">
        <f>HYPERLINK("https://stackoverflow.com/q/32380983", "32380983")</f>
        <v>32380983</v>
      </c>
      <c r="B1206" s="1" t="s">
        <v>4072</v>
      </c>
      <c r="C1206" s="1" t="s">
        <v>4214</v>
      </c>
      <c r="D1206" s="2" t="s">
        <v>4215</v>
      </c>
      <c r="E1206" s="1">
        <v>1.0</v>
      </c>
      <c r="F1206" s="1">
        <v>3.239479E7</v>
      </c>
      <c r="I1206" s="1">
        <v>0.0</v>
      </c>
      <c r="J1206" s="1">
        <v>2767.0</v>
      </c>
      <c r="L1206" s="1">
        <v>5297664.0</v>
      </c>
      <c r="N1206" s="1">
        <v>5297664.0</v>
      </c>
      <c r="P1206" s="1" t="s">
        <v>4216</v>
      </c>
      <c r="Q1206" s="1" t="s">
        <v>4217</v>
      </c>
      <c r="R1206" s="1" t="s">
        <v>4089</v>
      </c>
      <c r="S1206" s="1">
        <v>2.0</v>
      </c>
      <c r="T1206" s="1">
        <v>0.0</v>
      </c>
      <c r="U1206" s="1">
        <v>0.0</v>
      </c>
      <c r="X1206" s="1" t="s">
        <v>29</v>
      </c>
      <c r="Z1206" s="1" t="s">
        <v>4218</v>
      </c>
    </row>
    <row r="1207">
      <c r="A1207" s="3" t="str">
        <f>HYPERLINK("https://stackoverflow.com/q/32662381", "32662381")</f>
        <v>32662381</v>
      </c>
      <c r="B1207" s="1" t="s">
        <v>4072</v>
      </c>
      <c r="C1207" s="1" t="s">
        <v>4219</v>
      </c>
      <c r="D1207" s="2" t="s">
        <v>4220</v>
      </c>
      <c r="E1207" s="1">
        <v>1.0</v>
      </c>
      <c r="F1207" s="1">
        <v>3.2679556E7</v>
      </c>
      <c r="I1207" s="1">
        <v>0.0</v>
      </c>
      <c r="J1207" s="1">
        <v>1263.0</v>
      </c>
      <c r="L1207" s="1">
        <v>5297664.0</v>
      </c>
      <c r="Q1207" s="1" t="s">
        <v>4221</v>
      </c>
      <c r="R1207" s="1" t="s">
        <v>4089</v>
      </c>
      <c r="S1207" s="1">
        <v>1.0</v>
      </c>
      <c r="T1207" s="1">
        <v>1.0</v>
      </c>
      <c r="X1207" s="1" t="s">
        <v>29</v>
      </c>
      <c r="Z1207" s="1" t="s">
        <v>4221</v>
      </c>
    </row>
    <row r="1208">
      <c r="A1208" s="3" t="str">
        <f>HYPERLINK("https://stackoverflow.com/q/32698744", "32698744")</f>
        <v>32698744</v>
      </c>
      <c r="B1208" s="1" t="s">
        <v>4072</v>
      </c>
      <c r="C1208" s="1" t="s">
        <v>4222</v>
      </c>
      <c r="D1208" s="2" t="s">
        <v>4223</v>
      </c>
      <c r="E1208" s="1">
        <v>1.0</v>
      </c>
      <c r="F1208" s="1">
        <v>3.2717351E7</v>
      </c>
      <c r="I1208" s="1">
        <v>2.0</v>
      </c>
      <c r="J1208" s="1">
        <v>2004.0</v>
      </c>
      <c r="L1208" s="1">
        <v>5297664.0</v>
      </c>
      <c r="N1208" s="1">
        <v>5073840.0</v>
      </c>
      <c r="P1208" s="1" t="s">
        <v>4224</v>
      </c>
      <c r="Q1208" s="1" t="s">
        <v>4225</v>
      </c>
      <c r="R1208" s="1" t="s">
        <v>4089</v>
      </c>
      <c r="S1208" s="1">
        <v>1.0</v>
      </c>
      <c r="T1208" s="1">
        <v>0.0</v>
      </c>
      <c r="U1208" s="1">
        <v>2.0</v>
      </c>
      <c r="X1208" s="1" t="s">
        <v>29</v>
      </c>
      <c r="Z1208" s="1" t="s">
        <v>4226</v>
      </c>
    </row>
    <row r="1209">
      <c r="A1209" s="3" t="str">
        <f>HYPERLINK("https://stackoverflow.com/q/32723648", "32723648")</f>
        <v>32723648</v>
      </c>
      <c r="B1209" s="1" t="s">
        <v>4072</v>
      </c>
      <c r="C1209" s="1" t="s">
        <v>4227</v>
      </c>
      <c r="D1209" s="2" t="s">
        <v>4228</v>
      </c>
      <c r="E1209" s="1">
        <v>1.0</v>
      </c>
      <c r="F1209" s="1">
        <v>3.2736604E7</v>
      </c>
      <c r="I1209" s="1">
        <v>0.0</v>
      </c>
      <c r="J1209" s="1">
        <v>833.0</v>
      </c>
      <c r="L1209" s="1">
        <v>2698249.0</v>
      </c>
      <c r="Q1209" s="1" t="s">
        <v>4229</v>
      </c>
      <c r="R1209" s="1" t="s">
        <v>4089</v>
      </c>
      <c r="S1209" s="1">
        <v>2.0</v>
      </c>
      <c r="T1209" s="1">
        <v>0.0</v>
      </c>
      <c r="X1209" s="1" t="s">
        <v>29</v>
      </c>
      <c r="Z1209" s="1" t="s">
        <v>4230</v>
      </c>
    </row>
    <row r="1210">
      <c r="A1210" s="3" t="str">
        <f>HYPERLINK("https://stackoverflow.com/q/32747702", "32747702")</f>
        <v>32747702</v>
      </c>
      <c r="B1210" s="1" t="s">
        <v>4072</v>
      </c>
      <c r="C1210" s="1" t="s">
        <v>4231</v>
      </c>
      <c r="D1210" s="2" t="s">
        <v>4232</v>
      </c>
      <c r="E1210" s="1">
        <v>1.0</v>
      </c>
      <c r="I1210" s="1">
        <v>1.0</v>
      </c>
      <c r="J1210" s="1">
        <v>993.0</v>
      </c>
      <c r="L1210" s="1">
        <v>5297664.0</v>
      </c>
      <c r="N1210" s="1">
        <v>2678454.0</v>
      </c>
      <c r="P1210" s="1" t="s">
        <v>4233</v>
      </c>
      <c r="Q1210" s="1" t="s">
        <v>4233</v>
      </c>
      <c r="R1210" s="1" t="s">
        <v>4089</v>
      </c>
      <c r="S1210" s="1">
        <v>1.0</v>
      </c>
      <c r="T1210" s="1">
        <v>0.0</v>
      </c>
      <c r="X1210" s="1" t="s">
        <v>29</v>
      </c>
    </row>
    <row r="1211">
      <c r="A1211" s="3" t="str">
        <f>HYPERLINK("https://stackoverflow.com/q/32750425", "32750425")</f>
        <v>32750425</v>
      </c>
      <c r="B1211" s="1" t="s">
        <v>4072</v>
      </c>
      <c r="C1211" s="1" t="s">
        <v>4234</v>
      </c>
      <c r="D1211" s="2" t="s">
        <v>4235</v>
      </c>
      <c r="E1211" s="1">
        <v>1.0</v>
      </c>
      <c r="F1211" s="1">
        <v>3.2763258E7</v>
      </c>
      <c r="I1211" s="1">
        <v>1.0</v>
      </c>
      <c r="J1211" s="1">
        <v>1036.0</v>
      </c>
      <c r="L1211" s="1">
        <v>5297664.0</v>
      </c>
      <c r="N1211" s="1">
        <v>204218.0</v>
      </c>
      <c r="P1211" s="1" t="s">
        <v>4236</v>
      </c>
      <c r="Q1211" s="1" t="s">
        <v>4237</v>
      </c>
      <c r="R1211" s="1" t="s">
        <v>4089</v>
      </c>
      <c r="S1211" s="1">
        <v>2.0</v>
      </c>
      <c r="T1211" s="1">
        <v>0.0</v>
      </c>
      <c r="X1211" s="1" t="s">
        <v>29</v>
      </c>
      <c r="Z1211" s="1" t="s">
        <v>4237</v>
      </c>
    </row>
    <row r="1212">
      <c r="A1212" s="3" t="str">
        <f>HYPERLINK("https://stackoverflow.com/q/32772409", "32772409")</f>
        <v>32772409</v>
      </c>
      <c r="B1212" s="1" t="s">
        <v>4072</v>
      </c>
      <c r="C1212" s="1" t="s">
        <v>4238</v>
      </c>
      <c r="D1212" s="2" t="s">
        <v>4239</v>
      </c>
      <c r="E1212" s="1">
        <v>1.0</v>
      </c>
      <c r="F1212" s="1">
        <v>3.2777152E7</v>
      </c>
      <c r="I1212" s="1">
        <v>1.0</v>
      </c>
      <c r="J1212" s="1">
        <v>547.0</v>
      </c>
      <c r="L1212" s="1">
        <v>5297664.0</v>
      </c>
      <c r="N1212" s="1">
        <v>5297664.0</v>
      </c>
      <c r="P1212" s="1" t="s">
        <v>4240</v>
      </c>
      <c r="Q1212" s="1" t="s">
        <v>4241</v>
      </c>
      <c r="R1212" s="1" t="s">
        <v>4089</v>
      </c>
      <c r="S1212" s="1">
        <v>2.0</v>
      </c>
      <c r="T1212" s="1">
        <v>2.0</v>
      </c>
      <c r="X1212" s="1" t="s">
        <v>29</v>
      </c>
      <c r="Z1212" s="1" t="s">
        <v>4242</v>
      </c>
    </row>
    <row r="1213">
      <c r="A1213" s="3" t="str">
        <f>HYPERLINK("https://stackoverflow.com/q/32791968", "32791968")</f>
        <v>32791968</v>
      </c>
      <c r="B1213" s="1" t="s">
        <v>4072</v>
      </c>
      <c r="C1213" s="1" t="s">
        <v>4243</v>
      </c>
      <c r="D1213" s="2" t="s">
        <v>4244</v>
      </c>
      <c r="E1213" s="1">
        <v>1.0</v>
      </c>
      <c r="F1213" s="1">
        <v>3.2812869E7</v>
      </c>
      <c r="I1213" s="1">
        <v>0.0</v>
      </c>
      <c r="J1213" s="1">
        <v>2918.0</v>
      </c>
      <c r="L1213" s="1">
        <v>5297664.0</v>
      </c>
      <c r="N1213" s="1">
        <v>5297664.0</v>
      </c>
      <c r="P1213" s="1" t="s">
        <v>4245</v>
      </c>
      <c r="Q1213" s="1" t="s">
        <v>4246</v>
      </c>
      <c r="R1213" s="1" t="s">
        <v>4089</v>
      </c>
      <c r="S1213" s="1">
        <v>3.0</v>
      </c>
      <c r="T1213" s="1">
        <v>1.0</v>
      </c>
      <c r="X1213" s="1" t="s">
        <v>29</v>
      </c>
      <c r="Z1213" s="1" t="s">
        <v>4247</v>
      </c>
    </row>
    <row r="1214">
      <c r="A1214" s="3" t="str">
        <f>HYPERLINK("https://stackoverflow.com/q/32833023", "32833023")</f>
        <v>32833023</v>
      </c>
      <c r="B1214" s="1" t="s">
        <v>4072</v>
      </c>
      <c r="C1214" s="1" t="s">
        <v>4248</v>
      </c>
      <c r="D1214" s="2" t="s">
        <v>4249</v>
      </c>
      <c r="E1214" s="1">
        <v>1.0</v>
      </c>
      <c r="F1214" s="1">
        <v>3.2833066E7</v>
      </c>
      <c r="I1214" s="1">
        <v>0.0</v>
      </c>
      <c r="J1214" s="1">
        <v>316.0</v>
      </c>
      <c r="L1214" s="1">
        <v>5297664.0</v>
      </c>
      <c r="Q1214" s="1" t="s">
        <v>4250</v>
      </c>
      <c r="R1214" s="1" t="s">
        <v>4089</v>
      </c>
      <c r="S1214" s="1">
        <v>1.0</v>
      </c>
      <c r="T1214" s="1">
        <v>1.0</v>
      </c>
      <c r="X1214" s="1" t="s">
        <v>29</v>
      </c>
      <c r="Z1214" s="1" t="s">
        <v>4250</v>
      </c>
    </row>
    <row r="1215">
      <c r="A1215" s="3" t="str">
        <f>HYPERLINK("https://stackoverflow.com/q/33048763", "33048763")</f>
        <v>33048763</v>
      </c>
      <c r="B1215" s="1" t="s">
        <v>4072</v>
      </c>
      <c r="C1215" s="1" t="s">
        <v>4251</v>
      </c>
      <c r="D1215" s="2" t="s">
        <v>4252</v>
      </c>
      <c r="E1215" s="1">
        <v>1.0</v>
      </c>
      <c r="I1215" s="1">
        <v>1.0</v>
      </c>
      <c r="J1215" s="1">
        <v>2702.0</v>
      </c>
      <c r="M1215" s="1" t="s">
        <v>4253</v>
      </c>
      <c r="N1215" s="1">
        <v>2324311.0</v>
      </c>
      <c r="P1215" s="1" t="s">
        <v>4254</v>
      </c>
      <c r="Q1215" s="1" t="s">
        <v>4255</v>
      </c>
      <c r="R1215" s="1" t="s">
        <v>4089</v>
      </c>
      <c r="S1215" s="1">
        <v>1.0</v>
      </c>
      <c r="T1215" s="1">
        <v>0.0</v>
      </c>
      <c r="X1215" s="1" t="s">
        <v>29</v>
      </c>
    </row>
    <row r="1216">
      <c r="A1216" s="3" t="str">
        <f>HYPERLINK("https://stackoverflow.com/q/34292278", "34292278")</f>
        <v>34292278</v>
      </c>
      <c r="B1216" s="1" t="s">
        <v>4072</v>
      </c>
      <c r="C1216" s="1" t="s">
        <v>4256</v>
      </c>
      <c r="D1216" s="2" t="s">
        <v>4257</v>
      </c>
      <c r="E1216" s="1">
        <v>1.0</v>
      </c>
      <c r="F1216" s="1">
        <v>3.4292944E7</v>
      </c>
      <c r="I1216" s="1">
        <v>1.0</v>
      </c>
      <c r="J1216" s="1">
        <v>1750.0</v>
      </c>
      <c r="L1216" s="1">
        <v>4105454.0</v>
      </c>
      <c r="N1216" s="1">
        <v>4105454.0</v>
      </c>
      <c r="P1216" s="1" t="s">
        <v>4258</v>
      </c>
      <c r="Q1216" s="1" t="s">
        <v>4259</v>
      </c>
      <c r="R1216" s="1" t="s">
        <v>4260</v>
      </c>
      <c r="S1216" s="1">
        <v>2.0</v>
      </c>
      <c r="T1216" s="1">
        <v>1.0</v>
      </c>
      <c r="X1216" s="1" t="s">
        <v>29</v>
      </c>
      <c r="Z1216" s="1" t="s">
        <v>4261</v>
      </c>
    </row>
    <row r="1217">
      <c r="A1217" s="3" t="str">
        <f>HYPERLINK("https://stackoverflow.com/q/34341952", "34341952")</f>
        <v>34341952</v>
      </c>
      <c r="B1217" s="1" t="s">
        <v>4072</v>
      </c>
      <c r="C1217" s="1" t="s">
        <v>4262</v>
      </c>
      <c r="D1217" s="2" t="s">
        <v>4263</v>
      </c>
      <c r="E1217" s="1">
        <v>1.0</v>
      </c>
      <c r="F1217" s="1">
        <v>3.4342468E7</v>
      </c>
      <c r="I1217" s="1">
        <v>3.0</v>
      </c>
      <c r="J1217" s="1">
        <v>15964.0</v>
      </c>
      <c r="L1217" s="1">
        <v>2698249.0</v>
      </c>
      <c r="N1217" s="1">
        <v>2698249.0</v>
      </c>
      <c r="P1217" s="1" t="s">
        <v>4264</v>
      </c>
      <c r="Q1217" s="1" t="s">
        <v>4265</v>
      </c>
      <c r="R1217" s="1" t="s">
        <v>4266</v>
      </c>
      <c r="S1217" s="1">
        <v>3.0</v>
      </c>
      <c r="T1217" s="1">
        <v>5.0</v>
      </c>
      <c r="X1217" s="1" t="s">
        <v>29</v>
      </c>
      <c r="Z1217" s="1" t="s">
        <v>4267</v>
      </c>
    </row>
    <row r="1218">
      <c r="A1218" s="3" t="str">
        <f>HYPERLINK("https://stackoverflow.com/q/34510911", "34510911")</f>
        <v>34510911</v>
      </c>
      <c r="B1218" s="1" t="s">
        <v>4072</v>
      </c>
      <c r="C1218" s="1" t="s">
        <v>4268</v>
      </c>
      <c r="D1218" s="2" t="s">
        <v>4269</v>
      </c>
      <c r="E1218" s="1">
        <v>1.0</v>
      </c>
      <c r="F1218" s="1">
        <v>3.7623315E7</v>
      </c>
      <c r="I1218" s="1">
        <v>3.0</v>
      </c>
      <c r="J1218" s="1">
        <v>1327.0</v>
      </c>
      <c r="L1218" s="1">
        <v>2698249.0</v>
      </c>
      <c r="N1218" s="1">
        <v>437768.0</v>
      </c>
      <c r="P1218" s="1" t="s">
        <v>4270</v>
      </c>
      <c r="Q1218" s="1" t="s">
        <v>4271</v>
      </c>
      <c r="R1218" s="1" t="s">
        <v>4089</v>
      </c>
      <c r="S1218" s="1">
        <v>1.0</v>
      </c>
      <c r="T1218" s="1">
        <v>0.0</v>
      </c>
      <c r="U1218" s="1">
        <v>1.0</v>
      </c>
      <c r="X1218" s="1" t="s">
        <v>29</v>
      </c>
      <c r="Z1218" s="1" t="s">
        <v>4272</v>
      </c>
    </row>
    <row r="1219">
      <c r="A1219" s="3" t="str">
        <f>HYPERLINK("https://stackoverflow.com/q/34515865", "34515865")</f>
        <v>34515865</v>
      </c>
      <c r="B1219" s="1" t="s">
        <v>4072</v>
      </c>
      <c r="C1219" s="1" t="s">
        <v>4273</v>
      </c>
      <c r="D1219" s="2" t="s">
        <v>4274</v>
      </c>
      <c r="E1219" s="1">
        <v>1.0</v>
      </c>
      <c r="F1219" s="1">
        <v>3.5289021E7</v>
      </c>
      <c r="I1219" s="1">
        <v>0.0</v>
      </c>
      <c r="J1219" s="1">
        <v>1253.0</v>
      </c>
      <c r="L1219" s="1">
        <v>2698249.0</v>
      </c>
      <c r="N1219" s="1">
        <v>1602237.0</v>
      </c>
      <c r="P1219" s="1" t="s">
        <v>4275</v>
      </c>
      <c r="Q1219" s="1" t="s">
        <v>4275</v>
      </c>
      <c r="R1219" s="1" t="s">
        <v>4089</v>
      </c>
      <c r="S1219" s="1">
        <v>1.0</v>
      </c>
      <c r="T1219" s="1">
        <v>0.0</v>
      </c>
      <c r="X1219" s="1" t="s">
        <v>29</v>
      </c>
      <c r="Z1219" s="1" t="s">
        <v>4276</v>
      </c>
    </row>
    <row r="1220">
      <c r="A1220" s="3" t="str">
        <f>HYPERLINK("https://stackoverflow.com/q/34518419", "34518419")</f>
        <v>34518419</v>
      </c>
      <c r="B1220" s="1" t="s">
        <v>4072</v>
      </c>
      <c r="C1220" s="1" t="s">
        <v>4277</v>
      </c>
      <c r="D1220" s="2" t="s">
        <v>4278</v>
      </c>
      <c r="E1220" s="1">
        <v>1.0</v>
      </c>
      <c r="F1220" s="1">
        <v>3.5660589E7</v>
      </c>
      <c r="I1220" s="1">
        <v>0.0</v>
      </c>
      <c r="J1220" s="1">
        <v>145.0</v>
      </c>
      <c r="L1220" s="1">
        <v>2698249.0</v>
      </c>
      <c r="Q1220" s="1" t="s">
        <v>4279</v>
      </c>
      <c r="R1220" s="1" t="s">
        <v>4089</v>
      </c>
      <c r="S1220" s="1">
        <v>1.0</v>
      </c>
      <c r="T1220" s="1">
        <v>0.0</v>
      </c>
      <c r="X1220" s="1" t="s">
        <v>29</v>
      </c>
      <c r="Z1220" s="1" t="s">
        <v>4279</v>
      </c>
    </row>
    <row r="1221">
      <c r="A1221" s="3" t="str">
        <f>HYPERLINK("https://stackoverflow.com/q/34596332", "34596332")</f>
        <v>34596332</v>
      </c>
      <c r="B1221" s="1" t="s">
        <v>4072</v>
      </c>
      <c r="C1221" s="1" t="s">
        <v>4280</v>
      </c>
      <c r="D1221" s="2" t="s">
        <v>4281</v>
      </c>
      <c r="E1221" s="1">
        <v>1.0</v>
      </c>
      <c r="I1221" s="1">
        <v>1.0</v>
      </c>
      <c r="J1221" s="1">
        <v>2376.0</v>
      </c>
      <c r="L1221" s="1">
        <v>4105454.0</v>
      </c>
      <c r="Q1221" s="1" t="s">
        <v>4282</v>
      </c>
      <c r="R1221" s="1" t="s">
        <v>4283</v>
      </c>
      <c r="S1221" s="1">
        <v>1.0</v>
      </c>
      <c r="T1221" s="1">
        <v>1.0</v>
      </c>
      <c r="X1221" s="1" t="s">
        <v>29</v>
      </c>
    </row>
    <row r="1222">
      <c r="A1222" s="3" t="str">
        <f>HYPERLINK("https://stackoverflow.com/q/34631941", "34631941")</f>
        <v>34631941</v>
      </c>
      <c r="B1222" s="1" t="s">
        <v>4072</v>
      </c>
      <c r="C1222" s="1" t="s">
        <v>4284</v>
      </c>
      <c r="D1222" s="2" t="s">
        <v>4285</v>
      </c>
      <c r="E1222" s="1">
        <v>1.0</v>
      </c>
      <c r="I1222" s="1">
        <v>0.0</v>
      </c>
      <c r="J1222" s="1">
        <v>350.0</v>
      </c>
      <c r="L1222" s="1">
        <v>2583445.0</v>
      </c>
      <c r="Q1222" s="1" t="s">
        <v>4286</v>
      </c>
      <c r="R1222" s="1" t="s">
        <v>4287</v>
      </c>
      <c r="S1222" s="1">
        <v>1.0</v>
      </c>
      <c r="T1222" s="1">
        <v>0.0</v>
      </c>
      <c r="X1222" s="1" t="s">
        <v>29</v>
      </c>
    </row>
    <row r="1223">
      <c r="A1223" s="3" t="str">
        <f>HYPERLINK("https://stackoverflow.com/q/34656482", "34656482")</f>
        <v>34656482</v>
      </c>
      <c r="B1223" s="1" t="s">
        <v>4072</v>
      </c>
      <c r="C1223" s="1" t="s">
        <v>4288</v>
      </c>
      <c r="D1223" s="2" t="s">
        <v>4289</v>
      </c>
      <c r="E1223" s="1">
        <v>1.0</v>
      </c>
      <c r="F1223" s="1">
        <v>3.4683153E7</v>
      </c>
      <c r="I1223" s="1">
        <v>0.0</v>
      </c>
      <c r="J1223" s="1">
        <v>600.0</v>
      </c>
      <c r="L1223" s="1">
        <v>2698249.0</v>
      </c>
      <c r="Q1223" s="1" t="s">
        <v>4290</v>
      </c>
      <c r="R1223" s="1" t="s">
        <v>4089</v>
      </c>
      <c r="S1223" s="1">
        <v>2.0</v>
      </c>
      <c r="T1223" s="1">
        <v>0.0</v>
      </c>
      <c r="X1223" s="1" t="s">
        <v>29</v>
      </c>
      <c r="Z1223" s="1" t="s">
        <v>4291</v>
      </c>
    </row>
    <row r="1224">
      <c r="A1224" s="3" t="str">
        <f>HYPERLINK("https://stackoverflow.com/q/34757888", "34757888")</f>
        <v>34757888</v>
      </c>
      <c r="B1224" s="1" t="s">
        <v>4072</v>
      </c>
      <c r="C1224" s="1" t="s">
        <v>4292</v>
      </c>
      <c r="D1224" s="2" t="s">
        <v>4293</v>
      </c>
      <c r="E1224" s="1">
        <v>1.0</v>
      </c>
      <c r="F1224" s="1">
        <v>3.608875E7</v>
      </c>
      <c r="I1224" s="1">
        <v>1.0</v>
      </c>
      <c r="J1224" s="1">
        <v>84.0</v>
      </c>
      <c r="L1224" s="1">
        <v>2698249.0</v>
      </c>
      <c r="Q1224" s="1" t="s">
        <v>4294</v>
      </c>
      <c r="R1224" s="1" t="s">
        <v>4295</v>
      </c>
      <c r="S1224" s="1">
        <v>1.0</v>
      </c>
      <c r="T1224" s="1">
        <v>0.0</v>
      </c>
      <c r="X1224" s="1" t="s">
        <v>29</v>
      </c>
      <c r="Z1224" s="1" t="s">
        <v>4296</v>
      </c>
    </row>
    <row r="1225">
      <c r="A1225" s="3" t="str">
        <f>HYPERLINK("https://stackoverflow.com/q/34776120", "34776120")</f>
        <v>34776120</v>
      </c>
      <c r="B1225" s="1" t="s">
        <v>4072</v>
      </c>
      <c r="C1225" s="1" t="s">
        <v>4297</v>
      </c>
      <c r="D1225" s="2" t="s">
        <v>4298</v>
      </c>
      <c r="E1225" s="1">
        <v>1.0</v>
      </c>
      <c r="I1225" s="1">
        <v>0.0</v>
      </c>
      <c r="J1225" s="1">
        <v>117.0</v>
      </c>
      <c r="L1225" s="1">
        <v>5185489.0</v>
      </c>
      <c r="N1225" s="1">
        <v>5185489.0</v>
      </c>
      <c r="P1225" s="1" t="s">
        <v>4299</v>
      </c>
      <c r="Q1225" s="1" t="s">
        <v>4300</v>
      </c>
      <c r="R1225" s="1" t="s">
        <v>4260</v>
      </c>
      <c r="S1225" s="1">
        <v>1.0</v>
      </c>
      <c r="T1225" s="1">
        <v>5.0</v>
      </c>
      <c r="X1225" s="1" t="s">
        <v>29</v>
      </c>
    </row>
    <row r="1226">
      <c r="A1226" s="3" t="str">
        <f>HYPERLINK("https://stackoverflow.com/q/34814468", "34814468")</f>
        <v>34814468</v>
      </c>
      <c r="B1226" s="1" t="s">
        <v>4072</v>
      </c>
      <c r="C1226" s="1" t="s">
        <v>4301</v>
      </c>
      <c r="D1226" s="2" t="s">
        <v>4302</v>
      </c>
      <c r="E1226" s="1">
        <v>1.0</v>
      </c>
      <c r="F1226" s="1">
        <v>3.5242521E7</v>
      </c>
      <c r="I1226" s="1">
        <v>0.0</v>
      </c>
      <c r="J1226" s="1">
        <v>1242.0</v>
      </c>
      <c r="L1226" s="1">
        <v>2698249.0</v>
      </c>
      <c r="Q1226" s="1" t="s">
        <v>4303</v>
      </c>
      <c r="R1226" s="1" t="s">
        <v>4089</v>
      </c>
      <c r="S1226" s="1">
        <v>1.0</v>
      </c>
      <c r="T1226" s="1">
        <v>0.0</v>
      </c>
      <c r="U1226" s="1">
        <v>1.0</v>
      </c>
      <c r="X1226" s="1" t="s">
        <v>29</v>
      </c>
      <c r="Z1226" s="1" t="s">
        <v>4303</v>
      </c>
    </row>
    <row r="1227">
      <c r="A1227" s="3" t="str">
        <f>HYPERLINK("https://stackoverflow.com/q/34860991", "34860991")</f>
        <v>34860991</v>
      </c>
      <c r="B1227" s="1" t="s">
        <v>4072</v>
      </c>
      <c r="C1227" s="1" t="s">
        <v>4304</v>
      </c>
      <c r="D1227" s="2" t="s">
        <v>4305</v>
      </c>
      <c r="E1227" s="1">
        <v>1.0</v>
      </c>
      <c r="F1227" s="1">
        <v>3.5817199E7</v>
      </c>
      <c r="I1227" s="1">
        <v>0.0</v>
      </c>
      <c r="J1227" s="1">
        <v>365.0</v>
      </c>
      <c r="L1227" s="1">
        <v>2698249.0</v>
      </c>
      <c r="Q1227" s="1" t="s">
        <v>4306</v>
      </c>
      <c r="R1227" s="1" t="s">
        <v>4089</v>
      </c>
      <c r="S1227" s="1">
        <v>1.0</v>
      </c>
      <c r="T1227" s="1">
        <v>0.0</v>
      </c>
      <c r="X1227" s="1" t="s">
        <v>29</v>
      </c>
      <c r="Z1227" s="1" t="s">
        <v>4307</v>
      </c>
    </row>
    <row r="1228">
      <c r="A1228" s="3" t="str">
        <f>HYPERLINK("https://stackoverflow.com/q/35092415", "35092415")</f>
        <v>35092415</v>
      </c>
      <c r="B1228" s="1" t="s">
        <v>4072</v>
      </c>
      <c r="C1228" s="1" t="s">
        <v>4308</v>
      </c>
      <c r="D1228" s="2" t="s">
        <v>4309</v>
      </c>
      <c r="E1228" s="1">
        <v>1.0</v>
      </c>
      <c r="I1228" s="1">
        <v>0.0</v>
      </c>
      <c r="J1228" s="1">
        <v>60.0</v>
      </c>
      <c r="L1228" s="1">
        <v>4243779.0</v>
      </c>
      <c r="Q1228" s="1" t="s">
        <v>4310</v>
      </c>
      <c r="R1228" s="1" t="s">
        <v>4185</v>
      </c>
      <c r="S1228" s="1">
        <v>1.0</v>
      </c>
      <c r="T1228" s="1">
        <v>1.0</v>
      </c>
      <c r="X1228" s="1" t="s">
        <v>29</v>
      </c>
    </row>
    <row r="1229">
      <c r="A1229" s="3" t="str">
        <f>HYPERLINK("https://stackoverflow.com/q/35476777", "35476777")</f>
        <v>35476777</v>
      </c>
      <c r="B1229" s="1" t="s">
        <v>4072</v>
      </c>
      <c r="C1229" s="1" t="s">
        <v>4311</v>
      </c>
      <c r="D1229" s="2" t="s">
        <v>4312</v>
      </c>
      <c r="E1229" s="1">
        <v>1.0</v>
      </c>
      <c r="F1229" s="1">
        <v>3.547805E7</v>
      </c>
      <c r="I1229" s="1">
        <v>0.0</v>
      </c>
      <c r="J1229" s="1">
        <v>354.0</v>
      </c>
      <c r="L1229" s="1">
        <v>869281.0</v>
      </c>
      <c r="Q1229" s="1" t="s">
        <v>4313</v>
      </c>
      <c r="R1229" s="1" t="s">
        <v>4089</v>
      </c>
      <c r="S1229" s="1">
        <v>1.0</v>
      </c>
      <c r="T1229" s="1">
        <v>0.0</v>
      </c>
      <c r="X1229" s="1" t="s">
        <v>29</v>
      </c>
      <c r="Z1229" s="1" t="s">
        <v>4313</v>
      </c>
    </row>
    <row r="1230">
      <c r="A1230" s="3" t="str">
        <f>HYPERLINK("https://stackoverflow.com/q/35482963", "35482963")</f>
        <v>35482963</v>
      </c>
      <c r="B1230" s="1" t="s">
        <v>4072</v>
      </c>
      <c r="C1230" s="1" t="s">
        <v>4314</v>
      </c>
      <c r="D1230" s="2" t="s">
        <v>4315</v>
      </c>
      <c r="E1230" s="1">
        <v>1.0</v>
      </c>
      <c r="F1230" s="1">
        <v>3.5483732E7</v>
      </c>
      <c r="I1230" s="1">
        <v>2.0</v>
      </c>
      <c r="J1230" s="1">
        <v>864.0</v>
      </c>
      <c r="L1230" s="1">
        <v>869281.0</v>
      </c>
      <c r="N1230" s="1">
        <v>3899908.0</v>
      </c>
      <c r="P1230" s="1" t="s">
        <v>4316</v>
      </c>
      <c r="Q1230" s="1" t="s">
        <v>4317</v>
      </c>
      <c r="R1230" s="1" t="s">
        <v>4089</v>
      </c>
      <c r="S1230" s="1">
        <v>2.0</v>
      </c>
      <c r="T1230" s="1">
        <v>0.0</v>
      </c>
      <c r="X1230" s="1" t="s">
        <v>29</v>
      </c>
      <c r="Z1230" s="1" t="s">
        <v>4318</v>
      </c>
    </row>
    <row r="1231">
      <c r="A1231" s="3" t="str">
        <f>HYPERLINK("https://stackoverflow.com/q/35609644", "35609644")</f>
        <v>35609644</v>
      </c>
      <c r="B1231" s="1" t="s">
        <v>4072</v>
      </c>
      <c r="C1231" s="1" t="s">
        <v>4319</v>
      </c>
      <c r="D1231" s="2" t="s">
        <v>4320</v>
      </c>
      <c r="E1231" s="1">
        <v>1.0</v>
      </c>
      <c r="F1231" s="1">
        <v>3.5820106E7</v>
      </c>
      <c r="I1231" s="1">
        <v>1.0</v>
      </c>
      <c r="J1231" s="1">
        <v>1306.0</v>
      </c>
      <c r="L1231" s="1">
        <v>5976028.0</v>
      </c>
      <c r="Q1231" s="1" t="s">
        <v>4321</v>
      </c>
      <c r="R1231" s="1" t="s">
        <v>4322</v>
      </c>
      <c r="S1231" s="1">
        <v>3.0</v>
      </c>
      <c r="T1231" s="1">
        <v>0.0</v>
      </c>
      <c r="X1231" s="1" t="s">
        <v>29</v>
      </c>
      <c r="Z1231" s="1" t="s">
        <v>4321</v>
      </c>
    </row>
    <row r="1232">
      <c r="A1232" s="3" t="str">
        <f>HYPERLINK("https://stackoverflow.com/q/35776176", "35776176")</f>
        <v>35776176</v>
      </c>
      <c r="B1232" s="1" t="s">
        <v>4072</v>
      </c>
      <c r="C1232" s="1" t="s">
        <v>4323</v>
      </c>
      <c r="D1232" s="2" t="s">
        <v>4324</v>
      </c>
      <c r="E1232" s="1">
        <v>1.0</v>
      </c>
      <c r="F1232" s="1">
        <v>3.5778165E7</v>
      </c>
      <c r="I1232" s="1">
        <v>0.0</v>
      </c>
      <c r="J1232" s="1">
        <v>563.0</v>
      </c>
      <c r="L1232" s="1">
        <v>2698249.0</v>
      </c>
      <c r="N1232" s="1">
        <v>2698249.0</v>
      </c>
      <c r="P1232" s="1" t="s">
        <v>4325</v>
      </c>
      <c r="Q1232" s="1" t="s">
        <v>4326</v>
      </c>
      <c r="R1232" s="1" t="s">
        <v>4185</v>
      </c>
      <c r="S1232" s="1">
        <v>1.0</v>
      </c>
      <c r="T1232" s="1">
        <v>8.0</v>
      </c>
      <c r="X1232" s="1" t="s">
        <v>29</v>
      </c>
      <c r="Z1232" s="1" t="s">
        <v>4327</v>
      </c>
    </row>
    <row r="1233">
      <c r="A1233" s="3" t="str">
        <f>HYPERLINK("https://stackoverflow.com/q/35865098", "35865098")</f>
        <v>35865098</v>
      </c>
      <c r="B1233" s="1" t="s">
        <v>4072</v>
      </c>
      <c r="C1233" s="1" t="s">
        <v>4328</v>
      </c>
      <c r="D1233" s="2" t="s">
        <v>4329</v>
      </c>
      <c r="E1233" s="1">
        <v>1.0</v>
      </c>
      <c r="I1233" s="1">
        <v>0.0</v>
      </c>
      <c r="J1233" s="1">
        <v>234.0</v>
      </c>
      <c r="L1233" s="1">
        <v>869281.0</v>
      </c>
      <c r="Q1233" s="1" t="s">
        <v>4330</v>
      </c>
      <c r="R1233" s="1" t="s">
        <v>4089</v>
      </c>
      <c r="S1233" s="1">
        <v>1.0</v>
      </c>
      <c r="T1233" s="1">
        <v>0.0</v>
      </c>
      <c r="X1233" s="1" t="s">
        <v>29</v>
      </c>
    </row>
    <row r="1234">
      <c r="A1234" s="3" t="str">
        <f>HYPERLINK("https://stackoverflow.com/q/36402477", "36402477")</f>
        <v>36402477</v>
      </c>
      <c r="B1234" s="1" t="s">
        <v>4072</v>
      </c>
      <c r="C1234" s="1" t="s">
        <v>4331</v>
      </c>
      <c r="D1234" s="2" t="s">
        <v>4332</v>
      </c>
      <c r="E1234" s="1">
        <v>1.0</v>
      </c>
      <c r="F1234" s="1">
        <v>3.7623781E7</v>
      </c>
      <c r="I1234" s="1">
        <v>1.0</v>
      </c>
      <c r="J1234" s="1">
        <v>662.0</v>
      </c>
      <c r="L1234" s="1">
        <v>869281.0</v>
      </c>
      <c r="Q1234" s="1" t="s">
        <v>4333</v>
      </c>
      <c r="R1234" s="1" t="s">
        <v>4334</v>
      </c>
      <c r="S1234" s="1">
        <v>3.0</v>
      </c>
      <c r="T1234" s="1">
        <v>0.0</v>
      </c>
      <c r="X1234" s="1" t="s">
        <v>29</v>
      </c>
      <c r="Z1234" s="1" t="s">
        <v>4333</v>
      </c>
    </row>
    <row r="1235">
      <c r="A1235" s="3" t="str">
        <f>HYPERLINK("https://stackoverflow.com/q/37169827", "37169827")</f>
        <v>37169827</v>
      </c>
      <c r="B1235" s="1" t="s">
        <v>4072</v>
      </c>
      <c r="C1235" s="1" t="s">
        <v>4335</v>
      </c>
      <c r="D1235" s="2" t="s">
        <v>4336</v>
      </c>
      <c r="E1235" s="1">
        <v>1.0</v>
      </c>
      <c r="F1235" s="1">
        <v>3.7401434E7</v>
      </c>
      <c r="I1235" s="1">
        <v>0.0</v>
      </c>
      <c r="J1235" s="1">
        <v>198.0</v>
      </c>
      <c r="L1235" s="1">
        <v>6197863.0</v>
      </c>
      <c r="N1235" s="1">
        <v>1602237.0</v>
      </c>
      <c r="P1235" s="1" t="s">
        <v>4337</v>
      </c>
      <c r="Q1235" s="1" t="s">
        <v>4337</v>
      </c>
      <c r="R1235" s="1" t="s">
        <v>4338</v>
      </c>
      <c r="S1235" s="1">
        <v>2.0</v>
      </c>
      <c r="T1235" s="1">
        <v>0.0</v>
      </c>
      <c r="V1235" s="1" t="s">
        <v>4339</v>
      </c>
      <c r="X1235" s="1" t="s">
        <v>29</v>
      </c>
      <c r="Z1235" s="1" t="s">
        <v>4340</v>
      </c>
    </row>
    <row r="1236">
      <c r="A1236" s="3" t="str">
        <f>HYPERLINK("https://stackoverflow.com/q/37707699", "37707699")</f>
        <v>37707699</v>
      </c>
      <c r="B1236" s="1" t="s">
        <v>4072</v>
      </c>
      <c r="C1236" s="1" t="s">
        <v>4341</v>
      </c>
      <c r="D1236" s="2" t="s">
        <v>4342</v>
      </c>
      <c r="E1236" s="1">
        <v>1.0</v>
      </c>
      <c r="F1236" s="1">
        <v>3.7707903E7</v>
      </c>
      <c r="I1236" s="1">
        <v>1.0</v>
      </c>
      <c r="J1236" s="1">
        <v>203.0</v>
      </c>
      <c r="L1236" s="1">
        <v>2698249.0</v>
      </c>
      <c r="N1236" s="1">
        <v>355931.0</v>
      </c>
      <c r="P1236" s="1" t="s">
        <v>4343</v>
      </c>
      <c r="Q1236" s="1" t="s">
        <v>4344</v>
      </c>
      <c r="R1236" s="1" t="s">
        <v>4185</v>
      </c>
      <c r="S1236" s="1">
        <v>3.0</v>
      </c>
      <c r="T1236" s="1">
        <v>3.0</v>
      </c>
      <c r="X1236" s="1" t="s">
        <v>29</v>
      </c>
      <c r="Z1236" s="1" t="s">
        <v>4345</v>
      </c>
    </row>
    <row r="1237">
      <c r="A1237" s="3" t="str">
        <f>HYPERLINK("https://stackoverflow.com/q/38014078", "38014078")</f>
        <v>38014078</v>
      </c>
      <c r="B1237" s="1" t="s">
        <v>4072</v>
      </c>
      <c r="C1237" s="1" t="s">
        <v>4346</v>
      </c>
      <c r="D1237" s="2" t="s">
        <v>4347</v>
      </c>
      <c r="E1237" s="1">
        <v>1.0</v>
      </c>
      <c r="F1237" s="1">
        <v>3.8043309E7</v>
      </c>
      <c r="I1237" s="1">
        <v>0.0</v>
      </c>
      <c r="J1237" s="1">
        <v>768.0</v>
      </c>
      <c r="L1237" s="1">
        <v>2698249.0</v>
      </c>
      <c r="Q1237" s="1" t="s">
        <v>4348</v>
      </c>
      <c r="R1237" s="1" t="s">
        <v>4089</v>
      </c>
      <c r="S1237" s="1">
        <v>1.0</v>
      </c>
      <c r="T1237" s="1">
        <v>0.0</v>
      </c>
      <c r="U1237" s="1">
        <v>1.0</v>
      </c>
      <c r="X1237" s="1" t="s">
        <v>29</v>
      </c>
      <c r="Z1237" s="1" t="s">
        <v>4348</v>
      </c>
    </row>
    <row r="1238">
      <c r="A1238" s="3" t="str">
        <f>HYPERLINK("https://stackoverflow.com/q/38759959", "38759959")</f>
        <v>38759959</v>
      </c>
      <c r="B1238" s="1" t="s">
        <v>4072</v>
      </c>
      <c r="C1238" s="1" t="s">
        <v>4349</v>
      </c>
      <c r="D1238" s="2" t="s">
        <v>4350</v>
      </c>
      <c r="E1238" s="1">
        <v>1.0</v>
      </c>
      <c r="I1238" s="1">
        <v>0.0</v>
      </c>
      <c r="J1238" s="1">
        <v>2664.0</v>
      </c>
      <c r="L1238" s="1">
        <v>5933804.0</v>
      </c>
      <c r="Q1238" s="1" t="s">
        <v>4351</v>
      </c>
      <c r="R1238" s="1" t="s">
        <v>4089</v>
      </c>
      <c r="S1238" s="1">
        <v>1.0</v>
      </c>
      <c r="T1238" s="1">
        <v>0.0</v>
      </c>
      <c r="U1238" s="1">
        <v>0.0</v>
      </c>
      <c r="X1238" s="1" t="s">
        <v>29</v>
      </c>
    </row>
    <row r="1239">
      <c r="A1239" s="3" t="str">
        <f>HYPERLINK("https://stackoverflow.com/q/39386670", "39386670")</f>
        <v>39386670</v>
      </c>
      <c r="B1239" s="1" t="s">
        <v>4072</v>
      </c>
      <c r="C1239" s="1" t="s">
        <v>4352</v>
      </c>
      <c r="D1239" s="2" t="s">
        <v>4353</v>
      </c>
      <c r="E1239" s="1">
        <v>1.0</v>
      </c>
      <c r="I1239" s="1">
        <v>2.0</v>
      </c>
      <c r="J1239" s="1">
        <v>1269.0</v>
      </c>
      <c r="L1239" s="1">
        <v>2828745.0</v>
      </c>
      <c r="N1239" s="1">
        <v>4805174.0</v>
      </c>
      <c r="P1239" s="1" t="s">
        <v>4354</v>
      </c>
      <c r="Q1239" s="1" t="s">
        <v>4355</v>
      </c>
      <c r="R1239" s="1" t="s">
        <v>4356</v>
      </c>
      <c r="S1239" s="1">
        <v>1.0</v>
      </c>
      <c r="T1239" s="1">
        <v>7.0</v>
      </c>
      <c r="X1239" s="1" t="s">
        <v>29</v>
      </c>
    </row>
    <row r="1240">
      <c r="A1240" s="3" t="str">
        <f>HYPERLINK("https://stackoverflow.com/q/39919128", "39919128")</f>
        <v>39919128</v>
      </c>
      <c r="B1240" s="1" t="s">
        <v>4072</v>
      </c>
      <c r="C1240" s="1" t="s">
        <v>4357</v>
      </c>
      <c r="D1240" s="2" t="s">
        <v>4358</v>
      </c>
      <c r="E1240" s="1">
        <v>1.0</v>
      </c>
      <c r="F1240" s="1">
        <v>3.9948462E7</v>
      </c>
      <c r="I1240" s="1">
        <v>0.0</v>
      </c>
      <c r="J1240" s="1">
        <v>1012.0</v>
      </c>
      <c r="L1240" s="1">
        <v>2324311.0</v>
      </c>
      <c r="Q1240" s="1" t="s">
        <v>4359</v>
      </c>
      <c r="R1240" s="1" t="s">
        <v>4089</v>
      </c>
      <c r="S1240" s="1">
        <v>2.0</v>
      </c>
      <c r="T1240" s="1">
        <v>1.0</v>
      </c>
      <c r="X1240" s="1" t="s">
        <v>29</v>
      </c>
      <c r="Z1240" s="1" t="s">
        <v>4360</v>
      </c>
    </row>
    <row r="1241">
      <c r="A1241" s="3" t="str">
        <f>HYPERLINK("https://stackoverflow.com/q/40277399", "40277399")</f>
        <v>40277399</v>
      </c>
      <c r="B1241" s="1" t="s">
        <v>4072</v>
      </c>
      <c r="C1241" s="1" t="s">
        <v>4361</v>
      </c>
      <c r="D1241" s="2" t="s">
        <v>4362</v>
      </c>
      <c r="E1241" s="1">
        <v>1.0</v>
      </c>
      <c r="I1241" s="1">
        <v>0.0</v>
      </c>
      <c r="J1241" s="1">
        <v>91.0</v>
      </c>
      <c r="L1241" s="1">
        <v>5933804.0</v>
      </c>
      <c r="Q1241" s="1" t="s">
        <v>4363</v>
      </c>
      <c r="R1241" s="1" t="s">
        <v>4089</v>
      </c>
      <c r="S1241" s="1">
        <v>1.0</v>
      </c>
      <c r="T1241" s="1">
        <v>0.0</v>
      </c>
      <c r="X1241" s="1" t="s">
        <v>29</v>
      </c>
    </row>
    <row r="1242">
      <c r="A1242" s="3" t="str">
        <f>HYPERLINK("https://stackoverflow.com/q/40871998", "40871998")</f>
        <v>40871998</v>
      </c>
      <c r="B1242" s="1" t="s">
        <v>4072</v>
      </c>
      <c r="C1242" s="1" t="s">
        <v>4364</v>
      </c>
      <c r="D1242" s="2" t="s">
        <v>4365</v>
      </c>
      <c r="E1242" s="1">
        <v>1.0</v>
      </c>
      <c r="F1242" s="1">
        <v>4.0965219E7</v>
      </c>
      <c r="I1242" s="1">
        <v>0.0</v>
      </c>
      <c r="J1242" s="1">
        <v>210.0</v>
      </c>
      <c r="L1242" s="1">
        <v>2698249.0</v>
      </c>
      <c r="Q1242" s="1" t="s">
        <v>4366</v>
      </c>
      <c r="R1242" s="1" t="s">
        <v>4367</v>
      </c>
      <c r="S1242" s="1">
        <v>1.0</v>
      </c>
      <c r="T1242" s="1">
        <v>1.0</v>
      </c>
      <c r="X1242" s="1" t="s">
        <v>29</v>
      </c>
      <c r="Z1242" s="1" t="s">
        <v>4368</v>
      </c>
    </row>
    <row r="1243">
      <c r="A1243" s="3" t="str">
        <f>HYPERLINK("https://stackoverflow.com/q/41173895", "41173895")</f>
        <v>41173895</v>
      </c>
      <c r="B1243" s="1" t="s">
        <v>4072</v>
      </c>
      <c r="C1243" s="1" t="s">
        <v>4369</v>
      </c>
      <c r="D1243" s="2" t="s">
        <v>4370</v>
      </c>
      <c r="E1243" s="1">
        <v>1.0</v>
      </c>
      <c r="F1243" s="1">
        <v>4.1174322E7</v>
      </c>
      <c r="I1243" s="1">
        <v>1.0</v>
      </c>
      <c r="J1243" s="1">
        <v>510.0</v>
      </c>
      <c r="L1243" s="1">
        <v>172359.0</v>
      </c>
      <c r="Q1243" s="1" t="s">
        <v>4371</v>
      </c>
      <c r="R1243" s="1" t="s">
        <v>4372</v>
      </c>
      <c r="S1243" s="1">
        <v>2.0</v>
      </c>
      <c r="T1243" s="1">
        <v>0.0</v>
      </c>
      <c r="X1243" s="1" t="s">
        <v>29</v>
      </c>
      <c r="Z1243" s="1" t="s">
        <v>4373</v>
      </c>
    </row>
    <row r="1244">
      <c r="A1244" s="3" t="str">
        <f>HYPERLINK("https://stackoverflow.com/q/41351244", "41351244")</f>
        <v>41351244</v>
      </c>
      <c r="B1244" s="1" t="s">
        <v>4072</v>
      </c>
      <c r="C1244" s="1" t="s">
        <v>4374</v>
      </c>
      <c r="D1244" s="2" t="s">
        <v>4375</v>
      </c>
      <c r="E1244" s="1">
        <v>1.0</v>
      </c>
      <c r="F1244" s="1">
        <v>4.1366243E7</v>
      </c>
      <c r="I1244" s="1">
        <v>0.0</v>
      </c>
      <c r="J1244" s="1">
        <v>269.0</v>
      </c>
      <c r="L1244" s="1">
        <v>980702.0</v>
      </c>
      <c r="N1244" s="1">
        <v>980702.0</v>
      </c>
      <c r="P1244" s="1" t="s">
        <v>4376</v>
      </c>
      <c r="Q1244" s="1" t="s">
        <v>4377</v>
      </c>
      <c r="R1244" s="1" t="s">
        <v>4266</v>
      </c>
      <c r="S1244" s="1">
        <v>1.0</v>
      </c>
      <c r="T1244" s="1">
        <v>0.0</v>
      </c>
      <c r="X1244" s="1" t="s">
        <v>29</v>
      </c>
      <c r="Z1244" s="1" t="s">
        <v>4377</v>
      </c>
    </row>
    <row r="1245">
      <c r="A1245" s="3" t="str">
        <f>HYPERLINK("https://stackoverflow.com/q/41469924", "41469924")</f>
        <v>41469924</v>
      </c>
      <c r="B1245" s="1" t="s">
        <v>4072</v>
      </c>
      <c r="C1245" s="1" t="s">
        <v>4378</v>
      </c>
      <c r="D1245" s="2" t="s">
        <v>4379</v>
      </c>
      <c r="E1245" s="1">
        <v>1.0</v>
      </c>
      <c r="I1245" s="1">
        <v>0.0</v>
      </c>
      <c r="J1245" s="1">
        <v>1119.0</v>
      </c>
      <c r="L1245" s="1">
        <v>7123046.0</v>
      </c>
      <c r="Q1245" s="1" t="s">
        <v>4380</v>
      </c>
      <c r="R1245" s="1" t="s">
        <v>4089</v>
      </c>
      <c r="S1245" s="1">
        <v>2.0</v>
      </c>
      <c r="T1245" s="1">
        <v>1.0</v>
      </c>
      <c r="X1245" s="1" t="s">
        <v>29</v>
      </c>
    </row>
    <row r="1246">
      <c r="A1246" s="3" t="str">
        <f>HYPERLINK("https://stackoverflow.com/q/41813166", "41813166")</f>
        <v>41813166</v>
      </c>
      <c r="B1246" s="1" t="s">
        <v>4072</v>
      </c>
      <c r="C1246" s="1" t="s">
        <v>4381</v>
      </c>
      <c r="D1246" s="2" t="s">
        <v>4382</v>
      </c>
      <c r="E1246" s="1">
        <v>1.0</v>
      </c>
      <c r="F1246" s="1">
        <v>4.1824279E7</v>
      </c>
      <c r="I1246" s="1">
        <v>1.0</v>
      </c>
      <c r="J1246" s="1">
        <v>1002.0</v>
      </c>
      <c r="L1246" s="1">
        <v>7253275.0</v>
      </c>
      <c r="Q1246" s="1" t="s">
        <v>4383</v>
      </c>
      <c r="R1246" s="1" t="s">
        <v>4384</v>
      </c>
      <c r="S1246" s="1">
        <v>1.0</v>
      </c>
      <c r="T1246" s="1">
        <v>0.0</v>
      </c>
      <c r="X1246" s="1" t="s">
        <v>29</v>
      </c>
      <c r="Z1246" s="1" t="s">
        <v>4385</v>
      </c>
    </row>
    <row r="1247">
      <c r="A1247" s="3" t="str">
        <f>HYPERLINK("https://stackoverflow.com/q/41984603", "41984603")</f>
        <v>41984603</v>
      </c>
      <c r="B1247" s="1" t="s">
        <v>4072</v>
      </c>
      <c r="C1247" s="1" t="s">
        <v>4386</v>
      </c>
      <c r="D1247" s="2" t="s">
        <v>4387</v>
      </c>
      <c r="E1247" s="1">
        <v>1.0</v>
      </c>
      <c r="F1247" s="1">
        <v>4.2008662E7</v>
      </c>
      <c r="I1247" s="1">
        <v>1.0</v>
      </c>
      <c r="J1247" s="1">
        <v>213.0</v>
      </c>
      <c r="L1247" s="1">
        <v>7501347.0</v>
      </c>
      <c r="N1247" s="1">
        <v>330315.0</v>
      </c>
      <c r="P1247" s="1" t="s">
        <v>4388</v>
      </c>
      <c r="Q1247" s="1" t="s">
        <v>4389</v>
      </c>
      <c r="R1247" s="1" t="s">
        <v>4266</v>
      </c>
      <c r="S1247" s="1">
        <v>1.0</v>
      </c>
      <c r="T1247" s="1">
        <v>7.0</v>
      </c>
      <c r="U1247" s="1">
        <v>0.0</v>
      </c>
      <c r="X1247" s="1" t="s">
        <v>29</v>
      </c>
      <c r="Z1247" s="1" t="s">
        <v>4389</v>
      </c>
    </row>
    <row r="1248">
      <c r="A1248" s="3" t="str">
        <f>HYPERLINK("https://stackoverflow.com/q/42020377", "42020377")</f>
        <v>42020377</v>
      </c>
      <c r="B1248" s="1" t="s">
        <v>4072</v>
      </c>
      <c r="C1248" s="1" t="s">
        <v>4390</v>
      </c>
      <c r="D1248" s="2" t="s">
        <v>4391</v>
      </c>
      <c r="E1248" s="1">
        <v>1.0</v>
      </c>
      <c r="F1248" s="1">
        <v>4.2059219E7</v>
      </c>
      <c r="I1248" s="1">
        <v>0.0</v>
      </c>
      <c r="J1248" s="1">
        <v>2132.0</v>
      </c>
      <c r="L1248" s="1">
        <v>5933804.0</v>
      </c>
      <c r="N1248" s="1">
        <v>5933804.0</v>
      </c>
      <c r="P1248" s="1" t="s">
        <v>4392</v>
      </c>
      <c r="Q1248" s="1" t="s">
        <v>4393</v>
      </c>
      <c r="R1248" s="1" t="s">
        <v>4170</v>
      </c>
      <c r="S1248" s="1">
        <v>1.0</v>
      </c>
      <c r="T1248" s="1">
        <v>8.0</v>
      </c>
      <c r="X1248" s="1" t="s">
        <v>29</v>
      </c>
      <c r="Z1248" s="1" t="s">
        <v>4393</v>
      </c>
    </row>
    <row r="1249">
      <c r="A1249" s="3" t="str">
        <f>HYPERLINK("https://stackoverflow.com/q/42619631", "42619631")</f>
        <v>42619631</v>
      </c>
      <c r="B1249" s="1" t="s">
        <v>4072</v>
      </c>
      <c r="C1249" s="1" t="s">
        <v>4394</v>
      </c>
      <c r="D1249" s="2" t="s">
        <v>4395</v>
      </c>
      <c r="E1249" s="1">
        <v>1.0</v>
      </c>
      <c r="F1249" s="1">
        <v>4.2622612E7</v>
      </c>
      <c r="I1249" s="1">
        <v>1.0</v>
      </c>
      <c r="J1249" s="1">
        <v>64.0</v>
      </c>
      <c r="L1249" s="1">
        <v>1602237.0</v>
      </c>
      <c r="Q1249" s="1" t="s">
        <v>4396</v>
      </c>
      <c r="R1249" s="1" t="s">
        <v>4089</v>
      </c>
      <c r="S1249" s="1">
        <v>1.0</v>
      </c>
      <c r="T1249" s="1">
        <v>0.0</v>
      </c>
      <c r="X1249" s="1" t="s">
        <v>29</v>
      </c>
      <c r="Z1249" s="1" t="s">
        <v>4396</v>
      </c>
    </row>
    <row r="1250">
      <c r="A1250" s="3" t="str">
        <f>HYPERLINK("https://stackoverflow.com/q/42623994", "42623994")</f>
        <v>42623994</v>
      </c>
      <c r="B1250" s="1" t="s">
        <v>4072</v>
      </c>
      <c r="C1250" s="1" t="s">
        <v>4397</v>
      </c>
      <c r="D1250" s="2" t="s">
        <v>4398</v>
      </c>
      <c r="E1250" s="1">
        <v>1.0</v>
      </c>
      <c r="I1250" s="1">
        <v>0.0</v>
      </c>
      <c r="J1250" s="1">
        <v>543.0</v>
      </c>
      <c r="L1250" s="1">
        <v>6787397.0</v>
      </c>
      <c r="Q1250" s="1" t="s">
        <v>4399</v>
      </c>
      <c r="R1250" s="1" t="s">
        <v>4400</v>
      </c>
      <c r="S1250" s="1">
        <v>1.0</v>
      </c>
      <c r="T1250" s="1">
        <v>1.0</v>
      </c>
      <c r="X1250" s="1" t="s">
        <v>29</v>
      </c>
    </row>
    <row r="1251">
      <c r="A1251" s="3" t="str">
        <f>HYPERLINK("https://stackoverflow.com/q/42797456", "42797456")</f>
        <v>42797456</v>
      </c>
      <c r="B1251" s="1" t="s">
        <v>4072</v>
      </c>
      <c r="C1251" s="1" t="s">
        <v>4401</v>
      </c>
      <c r="D1251" s="2" t="s">
        <v>4402</v>
      </c>
      <c r="E1251" s="1">
        <v>1.0</v>
      </c>
      <c r="F1251" s="1">
        <v>4.2835329E7</v>
      </c>
      <c r="I1251" s="1">
        <v>1.0</v>
      </c>
      <c r="J1251" s="1">
        <v>1048.0</v>
      </c>
      <c r="L1251" s="1">
        <v>7711503.0</v>
      </c>
      <c r="N1251" s="1">
        <v>7711503.0</v>
      </c>
      <c r="P1251" s="1" t="s">
        <v>4403</v>
      </c>
      <c r="Q1251" s="1" t="s">
        <v>4404</v>
      </c>
      <c r="R1251" s="1" t="s">
        <v>4405</v>
      </c>
      <c r="S1251" s="1">
        <v>2.0</v>
      </c>
      <c r="T1251" s="1">
        <v>6.0</v>
      </c>
      <c r="X1251" s="1" t="s">
        <v>29</v>
      </c>
      <c r="Z1251" s="1" t="s">
        <v>4406</v>
      </c>
    </row>
    <row r="1252">
      <c r="A1252" s="3" t="str">
        <f>HYPERLINK("https://stackoverflow.com/q/42835744", "42835744")</f>
        <v>42835744</v>
      </c>
      <c r="B1252" s="1" t="s">
        <v>4072</v>
      </c>
      <c r="C1252" s="1" t="s">
        <v>4407</v>
      </c>
      <c r="D1252" s="2" t="s">
        <v>4408</v>
      </c>
      <c r="E1252" s="1">
        <v>1.0</v>
      </c>
      <c r="F1252" s="1">
        <v>4.2850881E7</v>
      </c>
      <c r="I1252" s="1">
        <v>0.0</v>
      </c>
      <c r="J1252" s="1">
        <v>55.0</v>
      </c>
      <c r="L1252" s="1">
        <v>1602237.0</v>
      </c>
      <c r="Q1252" s="1" t="s">
        <v>4409</v>
      </c>
      <c r="R1252" s="1" t="s">
        <v>4089</v>
      </c>
      <c r="S1252" s="1">
        <v>1.0</v>
      </c>
      <c r="T1252" s="1">
        <v>2.0</v>
      </c>
      <c r="X1252" s="1" t="s">
        <v>29</v>
      </c>
      <c r="Z1252" s="1" t="s">
        <v>4410</v>
      </c>
    </row>
    <row r="1253">
      <c r="A1253" s="3" t="str">
        <f>HYPERLINK("https://stackoverflow.com/q/43496400", "43496400")</f>
        <v>43496400</v>
      </c>
      <c r="B1253" s="1" t="s">
        <v>4072</v>
      </c>
      <c r="C1253" s="1" t="s">
        <v>4411</v>
      </c>
      <c r="D1253" s="2" t="s">
        <v>4412</v>
      </c>
      <c r="E1253" s="1">
        <v>1.0</v>
      </c>
      <c r="F1253" s="1">
        <v>4.3516236E7</v>
      </c>
      <c r="I1253" s="1">
        <v>0.0</v>
      </c>
      <c r="J1253" s="1">
        <v>920.0</v>
      </c>
      <c r="L1253" s="1">
        <v>7561422.0</v>
      </c>
      <c r="Q1253" s="1" t="s">
        <v>4413</v>
      </c>
      <c r="R1253" s="1" t="s">
        <v>4089</v>
      </c>
      <c r="S1253" s="1">
        <v>2.0</v>
      </c>
      <c r="T1253" s="1">
        <v>1.0</v>
      </c>
      <c r="X1253" s="1" t="s">
        <v>29</v>
      </c>
      <c r="Z1253" s="1" t="s">
        <v>4414</v>
      </c>
    </row>
    <row r="1254">
      <c r="A1254" s="3" t="str">
        <f>HYPERLINK("https://stackoverflow.com/q/43611109", "43611109")</f>
        <v>43611109</v>
      </c>
      <c r="B1254" s="1" t="s">
        <v>4072</v>
      </c>
      <c r="C1254" s="1" t="s">
        <v>4415</v>
      </c>
      <c r="D1254" s="2" t="s">
        <v>4416</v>
      </c>
      <c r="E1254" s="1">
        <v>1.0</v>
      </c>
      <c r="I1254" s="1">
        <v>1.0</v>
      </c>
      <c r="J1254" s="1">
        <v>731.0</v>
      </c>
      <c r="L1254" s="1">
        <v>7561422.0</v>
      </c>
      <c r="N1254" s="1">
        <v>1602237.0</v>
      </c>
      <c r="P1254" s="1" t="s">
        <v>4417</v>
      </c>
      <c r="Q1254" s="1" t="s">
        <v>4418</v>
      </c>
      <c r="R1254" s="1" t="s">
        <v>4419</v>
      </c>
      <c r="S1254" s="1">
        <v>3.0</v>
      </c>
      <c r="T1254" s="1">
        <v>1.0</v>
      </c>
      <c r="X1254" s="1" t="s">
        <v>29</v>
      </c>
    </row>
    <row r="1255">
      <c r="A1255" s="3" t="str">
        <f>HYPERLINK("https://stackoverflow.com/q/43947704", "43947704")</f>
        <v>43947704</v>
      </c>
      <c r="B1255" s="1" t="s">
        <v>4072</v>
      </c>
      <c r="C1255" s="1" t="s">
        <v>4420</v>
      </c>
      <c r="D1255" s="2" t="s">
        <v>4421</v>
      </c>
      <c r="E1255" s="1">
        <v>1.0</v>
      </c>
      <c r="I1255" s="1">
        <v>0.0</v>
      </c>
      <c r="J1255" s="1">
        <v>158.0</v>
      </c>
      <c r="L1255" s="1">
        <v>8005259.0</v>
      </c>
      <c r="N1255" s="1">
        <v>8005259.0</v>
      </c>
      <c r="P1255" s="1" t="s">
        <v>4422</v>
      </c>
      <c r="Q1255" s="1" t="s">
        <v>4423</v>
      </c>
      <c r="R1255" s="1" t="s">
        <v>4424</v>
      </c>
      <c r="S1255" s="1">
        <v>1.0</v>
      </c>
      <c r="T1255" s="1">
        <v>5.0</v>
      </c>
      <c r="X1255" s="1" t="s">
        <v>29</v>
      </c>
    </row>
    <row r="1256">
      <c r="A1256" s="3" t="str">
        <f>HYPERLINK("https://stackoverflow.com/q/44050836", "44050836")</f>
        <v>44050836</v>
      </c>
      <c r="B1256" s="1" t="s">
        <v>4072</v>
      </c>
      <c r="C1256" s="1" t="s">
        <v>4425</v>
      </c>
      <c r="D1256" s="2" t="s">
        <v>4426</v>
      </c>
      <c r="E1256" s="1">
        <v>1.0</v>
      </c>
      <c r="I1256" s="1">
        <v>0.0</v>
      </c>
      <c r="J1256" s="1">
        <v>1576.0</v>
      </c>
      <c r="L1256" s="1">
        <v>2855642.0</v>
      </c>
      <c r="Q1256" s="1" t="s">
        <v>4427</v>
      </c>
      <c r="R1256" s="1" t="s">
        <v>4089</v>
      </c>
      <c r="S1256" s="1">
        <v>2.0</v>
      </c>
      <c r="T1256" s="1">
        <v>2.0</v>
      </c>
      <c r="X1256" s="1" t="s">
        <v>29</v>
      </c>
    </row>
    <row r="1257">
      <c r="A1257" s="3" t="str">
        <f>HYPERLINK("https://stackoverflow.com/q/44111993", "44111993")</f>
        <v>44111993</v>
      </c>
      <c r="B1257" s="1" t="s">
        <v>4072</v>
      </c>
      <c r="C1257" s="1" t="s">
        <v>4428</v>
      </c>
      <c r="D1257" s="2" t="s">
        <v>4429</v>
      </c>
      <c r="E1257" s="1">
        <v>1.0</v>
      </c>
      <c r="I1257" s="1">
        <v>1.0</v>
      </c>
      <c r="J1257" s="1">
        <v>871.0</v>
      </c>
      <c r="L1257" s="1">
        <v>1089226.0</v>
      </c>
      <c r="Q1257" s="1" t="s">
        <v>4430</v>
      </c>
      <c r="R1257" s="1" t="s">
        <v>4295</v>
      </c>
      <c r="S1257" s="1">
        <v>0.0</v>
      </c>
      <c r="T1257" s="1">
        <v>5.0</v>
      </c>
      <c r="X1257" s="1" t="s">
        <v>29</v>
      </c>
    </row>
    <row r="1258">
      <c r="A1258" s="3" t="str">
        <f>HYPERLINK("https://stackoverflow.com/q/44560224", "44560224")</f>
        <v>44560224</v>
      </c>
      <c r="B1258" s="1" t="s">
        <v>4072</v>
      </c>
      <c r="C1258" s="1" t="s">
        <v>4431</v>
      </c>
      <c r="D1258" s="2" t="s">
        <v>4432</v>
      </c>
      <c r="E1258" s="1">
        <v>1.0</v>
      </c>
      <c r="I1258" s="1">
        <v>1.0</v>
      </c>
      <c r="J1258" s="1">
        <v>95.0</v>
      </c>
      <c r="L1258" s="1">
        <v>2583445.0</v>
      </c>
      <c r="Q1258" s="1" t="s">
        <v>4431</v>
      </c>
      <c r="R1258" s="1" t="s">
        <v>4433</v>
      </c>
      <c r="S1258" s="1">
        <v>0.0</v>
      </c>
      <c r="T1258" s="1">
        <v>1.0</v>
      </c>
      <c r="U1258" s="1">
        <v>0.0</v>
      </c>
      <c r="X1258" s="1" t="s">
        <v>29</v>
      </c>
    </row>
    <row r="1259">
      <c r="A1259" s="3" t="str">
        <f>HYPERLINK("https://stackoverflow.com/q/44680025", "44680025")</f>
        <v>44680025</v>
      </c>
      <c r="B1259" s="1" t="s">
        <v>4072</v>
      </c>
      <c r="C1259" s="1" t="s">
        <v>4434</v>
      </c>
      <c r="D1259" s="2" t="s">
        <v>4435</v>
      </c>
      <c r="E1259" s="1">
        <v>1.0</v>
      </c>
      <c r="F1259" s="1">
        <v>4.4688432E7</v>
      </c>
      <c r="I1259" s="1">
        <v>1.0</v>
      </c>
      <c r="J1259" s="1">
        <v>242.0</v>
      </c>
      <c r="L1259" s="1">
        <v>1585385.0</v>
      </c>
      <c r="Q1259" s="1" t="s">
        <v>4436</v>
      </c>
      <c r="R1259" s="1" t="s">
        <v>4437</v>
      </c>
      <c r="S1259" s="1">
        <v>2.0</v>
      </c>
      <c r="T1259" s="1">
        <v>2.0</v>
      </c>
      <c r="X1259" s="1" t="s">
        <v>29</v>
      </c>
      <c r="Z1259" s="1" t="s">
        <v>4438</v>
      </c>
    </row>
    <row r="1260">
      <c r="A1260" s="3" t="str">
        <f>HYPERLINK("https://stackoverflow.com/q/45209796", "45209796")</f>
        <v>45209796</v>
      </c>
      <c r="B1260" s="1" t="s">
        <v>4072</v>
      </c>
      <c r="C1260" s="1" t="s">
        <v>4439</v>
      </c>
      <c r="D1260" s="2" t="s">
        <v>4440</v>
      </c>
      <c r="E1260" s="1">
        <v>1.0</v>
      </c>
      <c r="F1260" s="1">
        <v>4.5245455E7</v>
      </c>
      <c r="I1260" s="1">
        <v>0.0</v>
      </c>
      <c r="J1260" s="1">
        <v>114.0</v>
      </c>
      <c r="L1260" s="1">
        <v>1602237.0</v>
      </c>
      <c r="Q1260" s="1" t="s">
        <v>4441</v>
      </c>
      <c r="R1260" s="1" t="s">
        <v>4089</v>
      </c>
      <c r="S1260" s="1">
        <v>2.0</v>
      </c>
      <c r="T1260" s="1">
        <v>0.0</v>
      </c>
      <c r="X1260" s="1" t="s">
        <v>29</v>
      </c>
      <c r="Z1260" s="1" t="s">
        <v>4442</v>
      </c>
    </row>
    <row r="1261">
      <c r="A1261" s="3" t="str">
        <f>HYPERLINK("https://stackoverflow.com/q/45281799", "45281799")</f>
        <v>45281799</v>
      </c>
      <c r="B1261" s="1" t="s">
        <v>4072</v>
      </c>
      <c r="C1261" s="1" t="s">
        <v>4443</v>
      </c>
      <c r="D1261" s="2" t="s">
        <v>4444</v>
      </c>
      <c r="E1261" s="1">
        <v>1.0</v>
      </c>
      <c r="I1261" s="1">
        <v>0.0</v>
      </c>
      <c r="J1261" s="1">
        <v>70.0</v>
      </c>
      <c r="L1261" s="1">
        <v>1602237.0</v>
      </c>
      <c r="N1261" s="1">
        <v>1602237.0</v>
      </c>
      <c r="P1261" s="1" t="s">
        <v>4445</v>
      </c>
      <c r="Q1261" s="1" t="s">
        <v>4445</v>
      </c>
      <c r="R1261" s="1" t="s">
        <v>4089</v>
      </c>
      <c r="S1261" s="1">
        <v>1.0</v>
      </c>
      <c r="T1261" s="1">
        <v>0.0</v>
      </c>
      <c r="X1261" s="1" t="s">
        <v>29</v>
      </c>
    </row>
    <row r="1262">
      <c r="A1262" s="3" t="str">
        <f>HYPERLINK("https://stackoverflow.com/q/45955538", "45955538")</f>
        <v>45955538</v>
      </c>
      <c r="B1262" s="1" t="s">
        <v>4072</v>
      </c>
      <c r="C1262" s="1" t="s">
        <v>4446</v>
      </c>
      <c r="D1262" s="2" t="s">
        <v>4447</v>
      </c>
      <c r="E1262" s="1">
        <v>1.0</v>
      </c>
      <c r="I1262" s="1">
        <v>44.0</v>
      </c>
      <c r="J1262" s="1">
        <v>36486.0</v>
      </c>
      <c r="L1262" s="1">
        <v>7501347.0</v>
      </c>
      <c r="N1262" s="1">
        <v>157247.0</v>
      </c>
      <c r="P1262" s="1" t="s">
        <v>4448</v>
      </c>
      <c r="Q1262" s="1" t="s">
        <v>4449</v>
      </c>
      <c r="R1262" s="1" t="s">
        <v>4450</v>
      </c>
      <c r="S1262" s="1">
        <v>10.0</v>
      </c>
      <c r="T1262" s="1">
        <v>4.0</v>
      </c>
      <c r="U1262" s="1">
        <v>8.0</v>
      </c>
      <c r="X1262" s="1" t="s">
        <v>56</v>
      </c>
    </row>
    <row r="1263">
      <c r="A1263" s="3" t="str">
        <f>HYPERLINK("https://stackoverflow.com/q/46058660", "46058660")</f>
        <v>46058660</v>
      </c>
      <c r="B1263" s="1" t="s">
        <v>4072</v>
      </c>
      <c r="C1263" s="1" t="s">
        <v>4451</v>
      </c>
      <c r="D1263" s="2" t="s">
        <v>4452</v>
      </c>
      <c r="E1263" s="1">
        <v>1.0</v>
      </c>
      <c r="I1263" s="1">
        <v>1.0</v>
      </c>
      <c r="J1263" s="1">
        <v>437.0</v>
      </c>
      <c r="L1263" s="1">
        <v>1585385.0</v>
      </c>
      <c r="Q1263" s="1" t="s">
        <v>4453</v>
      </c>
      <c r="R1263" s="1" t="s">
        <v>4454</v>
      </c>
      <c r="S1263" s="1">
        <v>2.0</v>
      </c>
      <c r="T1263" s="1">
        <v>4.0</v>
      </c>
      <c r="X1263" s="1" t="s">
        <v>29</v>
      </c>
    </row>
    <row r="1264">
      <c r="A1264" s="3" t="str">
        <f>HYPERLINK("https://stackoverflow.com/q/46090082", "46090082")</f>
        <v>46090082</v>
      </c>
      <c r="B1264" s="1" t="s">
        <v>4072</v>
      </c>
      <c r="C1264" s="1" t="s">
        <v>4455</v>
      </c>
      <c r="D1264" s="2" t="s">
        <v>4456</v>
      </c>
      <c r="E1264" s="1">
        <v>1.0</v>
      </c>
      <c r="F1264" s="1">
        <v>4.6101784E7</v>
      </c>
      <c r="I1264" s="1">
        <v>1.0</v>
      </c>
      <c r="J1264" s="1">
        <v>232.0</v>
      </c>
      <c r="L1264" s="1">
        <v>3706956.0</v>
      </c>
      <c r="Q1264" s="1" t="s">
        <v>4457</v>
      </c>
      <c r="R1264" s="1" t="s">
        <v>4089</v>
      </c>
      <c r="S1264" s="1">
        <v>2.0</v>
      </c>
      <c r="T1264" s="1">
        <v>0.0</v>
      </c>
      <c r="U1264" s="1">
        <v>1.0</v>
      </c>
      <c r="X1264" s="1" t="s">
        <v>29</v>
      </c>
      <c r="Z1264" s="1" t="s">
        <v>4457</v>
      </c>
    </row>
    <row r="1265">
      <c r="A1265" s="3" t="str">
        <f>HYPERLINK("https://stackoverflow.com/q/46193704", "46193704")</f>
        <v>46193704</v>
      </c>
      <c r="B1265" s="1" t="s">
        <v>4072</v>
      </c>
      <c r="C1265" s="1" t="s">
        <v>4458</v>
      </c>
      <c r="D1265" s="2" t="s">
        <v>4459</v>
      </c>
      <c r="E1265" s="1">
        <v>1.0</v>
      </c>
      <c r="I1265" s="1">
        <v>0.0</v>
      </c>
      <c r="J1265" s="1">
        <v>185.0</v>
      </c>
      <c r="L1265" s="1">
        <v>8218789.0</v>
      </c>
      <c r="Q1265" s="1" t="s">
        <v>4460</v>
      </c>
      <c r="R1265" s="1" t="s">
        <v>4461</v>
      </c>
      <c r="S1265" s="1">
        <v>1.0</v>
      </c>
      <c r="T1265" s="1">
        <v>0.0</v>
      </c>
      <c r="X1265" s="1" t="s">
        <v>29</v>
      </c>
    </row>
    <row r="1266">
      <c r="A1266" s="3" t="str">
        <f>HYPERLINK("https://stackoverflow.com/q/46211514", "46211514")</f>
        <v>46211514</v>
      </c>
      <c r="B1266" s="1" t="s">
        <v>4072</v>
      </c>
      <c r="C1266" s="1" t="s">
        <v>4462</v>
      </c>
      <c r="D1266" s="2" t="s">
        <v>4463</v>
      </c>
      <c r="E1266" s="1">
        <v>1.0</v>
      </c>
      <c r="I1266" s="1">
        <v>1.0</v>
      </c>
      <c r="J1266" s="1">
        <v>791.0</v>
      </c>
      <c r="L1266" s="1">
        <v>8218789.0</v>
      </c>
      <c r="Q1266" s="1" t="s">
        <v>4464</v>
      </c>
      <c r="R1266" s="1" t="s">
        <v>4465</v>
      </c>
      <c r="S1266" s="1">
        <v>1.0</v>
      </c>
      <c r="T1266" s="1">
        <v>0.0</v>
      </c>
      <c r="X1266" s="1" t="s">
        <v>29</v>
      </c>
    </row>
    <row r="1267">
      <c r="A1267" s="3" t="str">
        <f>HYPERLINK("https://stackoverflow.com/q/46238759", "46238759")</f>
        <v>46238759</v>
      </c>
      <c r="B1267" s="1" t="s">
        <v>4072</v>
      </c>
      <c r="C1267" s="1" t="s">
        <v>4466</v>
      </c>
      <c r="D1267" s="2" t="s">
        <v>4467</v>
      </c>
      <c r="E1267" s="1">
        <v>1.0</v>
      </c>
      <c r="I1267" s="1">
        <v>0.0</v>
      </c>
      <c r="J1267" s="1">
        <v>296.0</v>
      </c>
      <c r="L1267" s="1">
        <v>8218789.0</v>
      </c>
      <c r="Q1267" s="1" t="s">
        <v>4466</v>
      </c>
      <c r="R1267" s="1" t="s">
        <v>4468</v>
      </c>
      <c r="S1267" s="1">
        <v>0.0</v>
      </c>
      <c r="T1267" s="1">
        <v>6.0</v>
      </c>
      <c r="X1267" s="1" t="s">
        <v>29</v>
      </c>
    </row>
    <row r="1268">
      <c r="A1268" s="3" t="str">
        <f>HYPERLINK("https://stackoverflow.com/q/46541679", "46541679")</f>
        <v>46541679</v>
      </c>
      <c r="B1268" s="1" t="s">
        <v>4072</v>
      </c>
      <c r="C1268" s="1" t="s">
        <v>4469</v>
      </c>
      <c r="D1268" s="2" t="s">
        <v>4470</v>
      </c>
      <c r="E1268" s="1">
        <v>1.0</v>
      </c>
      <c r="I1268" s="1">
        <v>0.0</v>
      </c>
      <c r="J1268" s="1">
        <v>109.0</v>
      </c>
      <c r="L1268" s="1">
        <v>8218789.0</v>
      </c>
      <c r="Q1268" s="1" t="s">
        <v>4471</v>
      </c>
      <c r="R1268" s="1" t="s">
        <v>4472</v>
      </c>
      <c r="S1268" s="1">
        <v>1.0</v>
      </c>
      <c r="T1268" s="1">
        <v>0.0</v>
      </c>
      <c r="X1268" s="1" t="s">
        <v>29</v>
      </c>
    </row>
    <row r="1269">
      <c r="A1269" s="3" t="str">
        <f>HYPERLINK("https://stackoverflow.com/q/46681967", "46681967")</f>
        <v>46681967</v>
      </c>
      <c r="B1269" s="1" t="s">
        <v>4072</v>
      </c>
      <c r="C1269" s="1" t="s">
        <v>4473</v>
      </c>
      <c r="D1269" s="2" t="s">
        <v>4474</v>
      </c>
      <c r="E1269" s="1">
        <v>1.0</v>
      </c>
      <c r="I1269" s="1">
        <v>0.0</v>
      </c>
      <c r="J1269" s="1">
        <v>215.0</v>
      </c>
      <c r="L1269" s="1">
        <v>7796206.0</v>
      </c>
      <c r="Q1269" s="1" t="s">
        <v>4475</v>
      </c>
      <c r="R1269" s="1" t="s">
        <v>4476</v>
      </c>
      <c r="S1269" s="1">
        <v>2.0</v>
      </c>
      <c r="T1269" s="1">
        <v>0.0</v>
      </c>
      <c r="X1269" s="1" t="s">
        <v>29</v>
      </c>
    </row>
    <row r="1270">
      <c r="A1270" s="3" t="str">
        <f>HYPERLINK("https://stackoverflow.com/q/46733068", "46733068")</f>
        <v>46733068</v>
      </c>
      <c r="B1270" s="1" t="s">
        <v>4072</v>
      </c>
      <c r="C1270" s="1" t="s">
        <v>4477</v>
      </c>
      <c r="D1270" s="2" t="s">
        <v>4478</v>
      </c>
      <c r="E1270" s="1">
        <v>1.0</v>
      </c>
      <c r="I1270" s="1">
        <v>0.0</v>
      </c>
      <c r="J1270" s="1">
        <v>989.0</v>
      </c>
      <c r="L1270" s="1">
        <v>2988392.0</v>
      </c>
      <c r="N1270" s="1">
        <v>2988392.0</v>
      </c>
      <c r="P1270" s="1" t="s">
        <v>4479</v>
      </c>
      <c r="Q1270" s="1" t="s">
        <v>4480</v>
      </c>
      <c r="R1270" s="1" t="s">
        <v>4481</v>
      </c>
      <c r="S1270" s="1">
        <v>1.0</v>
      </c>
      <c r="T1270" s="1">
        <v>5.0</v>
      </c>
      <c r="X1270" s="1" t="s">
        <v>29</v>
      </c>
    </row>
    <row r="1271">
      <c r="A1271" s="3" t="str">
        <f>HYPERLINK("https://stackoverflow.com/q/47515082", "47515082")</f>
        <v>47515082</v>
      </c>
      <c r="B1271" s="1" t="s">
        <v>4072</v>
      </c>
      <c r="C1271" s="1" t="s">
        <v>4482</v>
      </c>
      <c r="D1271" s="2" t="s">
        <v>4483</v>
      </c>
      <c r="E1271" s="1">
        <v>1.0</v>
      </c>
      <c r="I1271" s="1">
        <v>0.0</v>
      </c>
      <c r="J1271" s="1">
        <v>726.0</v>
      </c>
      <c r="L1271" s="1">
        <v>9015628.0</v>
      </c>
      <c r="Q1271" s="1" t="s">
        <v>4484</v>
      </c>
      <c r="R1271" s="1" t="s">
        <v>4485</v>
      </c>
      <c r="S1271" s="1">
        <v>0.0</v>
      </c>
      <c r="T1271" s="1">
        <v>7.0</v>
      </c>
      <c r="X1271" s="1" t="s">
        <v>29</v>
      </c>
    </row>
    <row r="1272">
      <c r="A1272" s="3" t="str">
        <f>HYPERLINK("https://stackoverflow.com/q/47688993", "47688993")</f>
        <v>47688993</v>
      </c>
      <c r="B1272" s="1" t="s">
        <v>4072</v>
      </c>
      <c r="C1272" s="1" t="s">
        <v>4486</v>
      </c>
      <c r="D1272" s="2" t="s">
        <v>4487</v>
      </c>
      <c r="E1272" s="1">
        <v>1.0</v>
      </c>
      <c r="I1272" s="1">
        <v>0.0</v>
      </c>
      <c r="J1272" s="1">
        <v>157.0</v>
      </c>
      <c r="L1272" s="1">
        <v>8218789.0</v>
      </c>
      <c r="Q1272" s="1" t="s">
        <v>4488</v>
      </c>
      <c r="R1272" s="1" t="s">
        <v>4489</v>
      </c>
      <c r="S1272" s="1">
        <v>1.0</v>
      </c>
      <c r="T1272" s="1">
        <v>6.0</v>
      </c>
      <c r="X1272" s="1" t="s">
        <v>29</v>
      </c>
    </row>
    <row r="1273">
      <c r="A1273" s="3" t="str">
        <f>HYPERLINK("https://stackoverflow.com/q/48284673", "48284673")</f>
        <v>48284673</v>
      </c>
      <c r="B1273" s="1" t="s">
        <v>4072</v>
      </c>
      <c r="C1273" s="1" t="s">
        <v>4490</v>
      </c>
      <c r="D1273" s="2" t="s">
        <v>4491</v>
      </c>
      <c r="E1273" s="1">
        <v>1.0</v>
      </c>
      <c r="I1273" s="1">
        <v>0.0</v>
      </c>
      <c r="J1273" s="1">
        <v>265.0</v>
      </c>
      <c r="L1273" s="1">
        <v>5415178.0</v>
      </c>
      <c r="Q1273" s="1" t="s">
        <v>4492</v>
      </c>
      <c r="R1273" s="1" t="s">
        <v>4493</v>
      </c>
      <c r="S1273" s="1">
        <v>1.0</v>
      </c>
      <c r="T1273" s="1">
        <v>0.0</v>
      </c>
      <c r="U1273" s="1">
        <v>1.0</v>
      </c>
      <c r="X1273" s="1" t="s">
        <v>29</v>
      </c>
    </row>
    <row r="1274">
      <c r="A1274" s="3" t="str">
        <f>HYPERLINK("https://stackoverflow.com/q/48611557", "48611557")</f>
        <v>48611557</v>
      </c>
      <c r="B1274" s="1" t="s">
        <v>4072</v>
      </c>
      <c r="C1274" s="1" t="s">
        <v>4494</v>
      </c>
      <c r="D1274" s="2" t="s">
        <v>4495</v>
      </c>
      <c r="E1274" s="1">
        <v>1.0</v>
      </c>
      <c r="I1274" s="1">
        <v>0.0</v>
      </c>
      <c r="J1274" s="1">
        <v>84.0</v>
      </c>
      <c r="L1274" s="1">
        <v>6105142.0</v>
      </c>
      <c r="Q1274" s="1" t="s">
        <v>4494</v>
      </c>
      <c r="R1274" s="1" t="s">
        <v>4089</v>
      </c>
      <c r="S1274" s="1">
        <v>0.0</v>
      </c>
      <c r="T1274" s="1">
        <v>3.0</v>
      </c>
      <c r="X1274" s="1" t="s">
        <v>29</v>
      </c>
    </row>
    <row r="1275">
      <c r="A1275" s="3" t="str">
        <f>HYPERLINK("https://stackoverflow.com/q/49642849", "49642849")</f>
        <v>49642849</v>
      </c>
      <c r="B1275" s="1" t="s">
        <v>4072</v>
      </c>
      <c r="C1275" s="1" t="s">
        <v>4496</v>
      </c>
      <c r="D1275" s="2" t="s">
        <v>4497</v>
      </c>
      <c r="E1275" s="1">
        <v>1.0</v>
      </c>
      <c r="I1275" s="1">
        <v>0.0</v>
      </c>
      <c r="J1275" s="1">
        <v>515.0</v>
      </c>
      <c r="L1275" s="1">
        <v>7065086.0</v>
      </c>
      <c r="N1275" s="1">
        <v>7065086.0</v>
      </c>
      <c r="P1275" s="1" t="s">
        <v>4498</v>
      </c>
      <c r="Q1275" s="1" t="s">
        <v>4499</v>
      </c>
      <c r="R1275" s="1" t="s">
        <v>4500</v>
      </c>
      <c r="S1275" s="1">
        <v>2.0</v>
      </c>
      <c r="T1275" s="1">
        <v>0.0</v>
      </c>
      <c r="X1275" s="1" t="s">
        <v>29</v>
      </c>
    </row>
    <row r="1276">
      <c r="A1276" s="3" t="str">
        <f>HYPERLINK("https://stackoverflow.com/q/50084095", "50084095")</f>
        <v>50084095</v>
      </c>
      <c r="B1276" s="1" t="s">
        <v>4072</v>
      </c>
      <c r="C1276" s="1" t="s">
        <v>4501</v>
      </c>
      <c r="D1276" s="2" t="s">
        <v>4502</v>
      </c>
      <c r="E1276" s="1">
        <v>1.0</v>
      </c>
      <c r="F1276" s="1">
        <v>5.0368956E7</v>
      </c>
      <c r="I1276" s="1">
        <v>0.0</v>
      </c>
      <c r="J1276" s="1">
        <v>816.0</v>
      </c>
      <c r="L1276" s="1">
        <v>3056646.0</v>
      </c>
      <c r="Q1276" s="1" t="s">
        <v>4503</v>
      </c>
      <c r="R1276" s="1" t="s">
        <v>4089</v>
      </c>
      <c r="S1276" s="1">
        <v>2.0</v>
      </c>
      <c r="T1276" s="1">
        <v>2.0</v>
      </c>
      <c r="X1276" s="1" t="s">
        <v>29</v>
      </c>
      <c r="Z1276" s="1" t="s">
        <v>4503</v>
      </c>
    </row>
    <row r="1277">
      <c r="A1277" s="3" t="str">
        <f>HYPERLINK("https://stackoverflow.com/q/50470391", "50470391")</f>
        <v>50470391</v>
      </c>
      <c r="B1277" s="1" t="s">
        <v>4072</v>
      </c>
      <c r="C1277" s="1" t="s">
        <v>4504</v>
      </c>
      <c r="D1277" s="2" t="s">
        <v>4505</v>
      </c>
      <c r="E1277" s="1">
        <v>1.0</v>
      </c>
      <c r="F1277" s="1">
        <v>5.0485764E7</v>
      </c>
      <c r="I1277" s="1">
        <v>1.0</v>
      </c>
      <c r="J1277" s="1">
        <v>650.0</v>
      </c>
      <c r="L1277" s="1">
        <v>9602830.0</v>
      </c>
      <c r="Q1277" s="1" t="s">
        <v>4506</v>
      </c>
      <c r="R1277" s="1" t="s">
        <v>4089</v>
      </c>
      <c r="S1277" s="1">
        <v>1.0</v>
      </c>
      <c r="T1277" s="1">
        <v>1.0</v>
      </c>
      <c r="X1277" s="1" t="s">
        <v>56</v>
      </c>
      <c r="Z1277" s="1" t="s">
        <v>4506</v>
      </c>
    </row>
    <row r="1278">
      <c r="A1278" s="3" t="str">
        <f>HYPERLINK("https://stackoverflow.com/q/50852150", "50852150")</f>
        <v>50852150</v>
      </c>
      <c r="B1278" s="1" t="s">
        <v>4072</v>
      </c>
      <c r="C1278" s="1" t="s">
        <v>4507</v>
      </c>
      <c r="D1278" s="2" t="s">
        <v>4508</v>
      </c>
      <c r="E1278" s="1">
        <v>1.0</v>
      </c>
      <c r="I1278" s="1">
        <v>0.0</v>
      </c>
      <c r="J1278" s="1">
        <v>569.0</v>
      </c>
      <c r="L1278" s="1">
        <v>3794205.0</v>
      </c>
      <c r="Q1278" s="1" t="s">
        <v>4509</v>
      </c>
      <c r="R1278" s="1" t="s">
        <v>4510</v>
      </c>
      <c r="S1278" s="1">
        <v>2.0</v>
      </c>
      <c r="T1278" s="1">
        <v>0.0</v>
      </c>
      <c r="X1278" s="1" t="s">
        <v>56</v>
      </c>
    </row>
    <row r="1279">
      <c r="A1279" s="3" t="str">
        <f>HYPERLINK("https://stackoverflow.com/q/51066585", "51066585")</f>
        <v>51066585</v>
      </c>
      <c r="B1279" s="1" t="s">
        <v>4072</v>
      </c>
      <c r="C1279" s="1" t="s">
        <v>4511</v>
      </c>
      <c r="D1279" s="2" t="s">
        <v>4512</v>
      </c>
      <c r="E1279" s="1">
        <v>1.0</v>
      </c>
      <c r="I1279" s="1">
        <v>0.0</v>
      </c>
      <c r="J1279" s="1">
        <v>438.0</v>
      </c>
      <c r="L1279" s="1">
        <v>1.0000841E7</v>
      </c>
      <c r="N1279" s="1">
        <v>2813804.0</v>
      </c>
      <c r="P1279" s="1" t="s">
        <v>4513</v>
      </c>
      <c r="Q1279" s="1" t="s">
        <v>4513</v>
      </c>
      <c r="R1279" s="1" t="s">
        <v>4089</v>
      </c>
      <c r="S1279" s="1">
        <v>0.0</v>
      </c>
      <c r="T1279" s="1">
        <v>2.0</v>
      </c>
      <c r="X1279" s="1" t="s">
        <v>56</v>
      </c>
    </row>
    <row r="1280">
      <c r="A1280" s="3" t="str">
        <f>HYPERLINK("https://stackoverflow.com/q/51242918", "51242918")</f>
        <v>51242918</v>
      </c>
      <c r="B1280" s="1" t="s">
        <v>4072</v>
      </c>
      <c r="C1280" s="1" t="s">
        <v>4514</v>
      </c>
      <c r="D1280" s="2" t="s">
        <v>4515</v>
      </c>
      <c r="E1280" s="1">
        <v>1.0</v>
      </c>
      <c r="F1280" s="1">
        <v>5.1322077E7</v>
      </c>
      <c r="I1280" s="1">
        <v>0.0</v>
      </c>
      <c r="J1280" s="1">
        <v>138.0</v>
      </c>
      <c r="L1280" s="1">
        <v>8146230.0</v>
      </c>
      <c r="N1280" s="1">
        <v>8146230.0</v>
      </c>
      <c r="P1280" s="1" t="s">
        <v>4516</v>
      </c>
      <c r="Q1280" s="1" t="s">
        <v>4517</v>
      </c>
      <c r="R1280" s="1" t="s">
        <v>4518</v>
      </c>
      <c r="S1280" s="1">
        <v>1.0</v>
      </c>
      <c r="T1280" s="1">
        <v>3.0</v>
      </c>
      <c r="X1280" s="1" t="s">
        <v>56</v>
      </c>
      <c r="Z1280" s="1" t="s">
        <v>4517</v>
      </c>
    </row>
    <row r="1281">
      <c r="A1281" s="3" t="str">
        <f>HYPERLINK("https://stackoverflow.com/q/51257658", "51257658")</f>
        <v>51257658</v>
      </c>
      <c r="B1281" s="1" t="s">
        <v>4072</v>
      </c>
      <c r="C1281" s="1" t="s">
        <v>4519</v>
      </c>
      <c r="D1281" s="2" t="s">
        <v>4520</v>
      </c>
      <c r="E1281" s="1">
        <v>1.0</v>
      </c>
      <c r="I1281" s="1">
        <v>1.0</v>
      </c>
      <c r="J1281" s="1">
        <v>280.0</v>
      </c>
      <c r="L1281" s="1">
        <v>3814879.0</v>
      </c>
      <c r="Q1281" s="1" t="s">
        <v>4521</v>
      </c>
      <c r="R1281" s="1" t="s">
        <v>4522</v>
      </c>
      <c r="S1281" s="1">
        <v>1.0</v>
      </c>
      <c r="T1281" s="1">
        <v>3.0</v>
      </c>
      <c r="X1281" s="1" t="s">
        <v>56</v>
      </c>
    </row>
    <row r="1282">
      <c r="A1282" s="3" t="str">
        <f>HYPERLINK("https://stackoverflow.com/q/51483123", "51483123")</f>
        <v>51483123</v>
      </c>
      <c r="B1282" s="1" t="s">
        <v>4072</v>
      </c>
      <c r="C1282" s="1" t="s">
        <v>4523</v>
      </c>
      <c r="D1282" s="2" t="s">
        <v>4524</v>
      </c>
      <c r="E1282" s="1">
        <v>1.0</v>
      </c>
      <c r="F1282" s="1">
        <v>5.1537934E7</v>
      </c>
      <c r="I1282" s="1">
        <v>1.0</v>
      </c>
      <c r="J1282" s="1">
        <v>260.0</v>
      </c>
      <c r="L1282" s="1">
        <v>9213536.0</v>
      </c>
      <c r="Q1282" s="1" t="s">
        <v>4525</v>
      </c>
      <c r="R1282" s="1" t="s">
        <v>4089</v>
      </c>
      <c r="S1282" s="1">
        <v>1.0</v>
      </c>
      <c r="T1282" s="1">
        <v>1.0</v>
      </c>
      <c r="X1282" s="1" t="s">
        <v>56</v>
      </c>
      <c r="Z1282" s="1" t="s">
        <v>4526</v>
      </c>
    </row>
    <row r="1283">
      <c r="A1283" s="3" t="str">
        <f>HYPERLINK("https://stackoverflow.com/q/51884008", "51884008")</f>
        <v>51884008</v>
      </c>
      <c r="B1283" s="1" t="s">
        <v>4072</v>
      </c>
      <c r="C1283" s="1" t="s">
        <v>4527</v>
      </c>
      <c r="D1283" s="2" t="s">
        <v>4528</v>
      </c>
      <c r="E1283" s="1">
        <v>1.0</v>
      </c>
      <c r="I1283" s="1">
        <v>0.0</v>
      </c>
      <c r="J1283" s="1">
        <v>257.0</v>
      </c>
      <c r="L1283" s="1">
        <v>9498553.0</v>
      </c>
      <c r="Q1283" s="1" t="s">
        <v>4529</v>
      </c>
      <c r="R1283" s="1" t="s">
        <v>4089</v>
      </c>
      <c r="S1283" s="1">
        <v>2.0</v>
      </c>
      <c r="T1283" s="1">
        <v>1.0</v>
      </c>
      <c r="X1283" s="1" t="s">
        <v>56</v>
      </c>
    </row>
    <row r="1284">
      <c r="A1284" s="3" t="str">
        <f>HYPERLINK("https://stackoverflow.com/q/51973789", "51973789")</f>
        <v>51973789</v>
      </c>
      <c r="B1284" s="1" t="s">
        <v>4072</v>
      </c>
      <c r="C1284" s="1" t="s">
        <v>4530</v>
      </c>
      <c r="D1284" s="2" t="s">
        <v>4531</v>
      </c>
      <c r="E1284" s="1">
        <v>1.0</v>
      </c>
      <c r="I1284" s="1">
        <v>0.0</v>
      </c>
      <c r="J1284" s="1">
        <v>350.0</v>
      </c>
      <c r="L1284" s="1">
        <v>1144596.0</v>
      </c>
      <c r="Q1284" s="1" t="s">
        <v>4532</v>
      </c>
      <c r="R1284" s="1" t="s">
        <v>4533</v>
      </c>
      <c r="S1284" s="1">
        <v>1.0</v>
      </c>
      <c r="T1284" s="1">
        <v>0.0</v>
      </c>
      <c r="X1284" s="1" t="s">
        <v>56</v>
      </c>
    </row>
    <row r="1285">
      <c r="A1285" s="3" t="str">
        <f>HYPERLINK("https://stackoverflow.com/q/51977391", "51977391")</f>
        <v>51977391</v>
      </c>
      <c r="B1285" s="1" t="s">
        <v>4072</v>
      </c>
      <c r="C1285" s="1" t="s">
        <v>4534</v>
      </c>
      <c r="D1285" s="2" t="s">
        <v>4535</v>
      </c>
      <c r="E1285" s="1">
        <v>1.0</v>
      </c>
      <c r="I1285" s="1">
        <v>0.0</v>
      </c>
      <c r="J1285" s="1">
        <v>214.0</v>
      </c>
      <c r="L1285" s="1">
        <v>7521305.0</v>
      </c>
      <c r="Q1285" s="1" t="s">
        <v>4536</v>
      </c>
      <c r="R1285" s="1" t="s">
        <v>4537</v>
      </c>
      <c r="S1285" s="1">
        <v>1.0</v>
      </c>
      <c r="T1285" s="1">
        <v>1.0</v>
      </c>
      <c r="X1285" s="1" t="s">
        <v>56</v>
      </c>
    </row>
    <row r="1286">
      <c r="A1286" s="3" t="str">
        <f>HYPERLINK("https://stackoverflow.com/q/52519202", "52519202")</f>
        <v>52519202</v>
      </c>
      <c r="B1286" s="1" t="s">
        <v>4072</v>
      </c>
      <c r="C1286" s="1" t="s">
        <v>4538</v>
      </c>
      <c r="D1286" s="2" t="s">
        <v>4539</v>
      </c>
      <c r="E1286" s="1">
        <v>1.0</v>
      </c>
      <c r="I1286" s="1">
        <v>1.0</v>
      </c>
      <c r="J1286" s="1">
        <v>311.0</v>
      </c>
      <c r="L1286" s="1">
        <v>9008357.0</v>
      </c>
      <c r="Q1286" s="1" t="s">
        <v>4540</v>
      </c>
      <c r="R1286" s="1" t="s">
        <v>4089</v>
      </c>
      <c r="S1286" s="1">
        <v>3.0</v>
      </c>
      <c r="T1286" s="1">
        <v>0.0</v>
      </c>
      <c r="X1286" s="1" t="s">
        <v>56</v>
      </c>
    </row>
    <row r="1287">
      <c r="A1287" s="3" t="str">
        <f>HYPERLINK("https://stackoverflow.com/q/52648963", "52648963")</f>
        <v>52648963</v>
      </c>
      <c r="B1287" s="1" t="s">
        <v>4072</v>
      </c>
      <c r="C1287" s="1" t="s">
        <v>4541</v>
      </c>
      <c r="D1287" s="2" t="s">
        <v>4542</v>
      </c>
      <c r="E1287" s="1">
        <v>1.0</v>
      </c>
      <c r="I1287" s="1">
        <v>0.0</v>
      </c>
      <c r="J1287" s="1">
        <v>101.0</v>
      </c>
      <c r="L1287" s="1">
        <v>6577242.0</v>
      </c>
      <c r="Q1287" s="1" t="s">
        <v>4543</v>
      </c>
      <c r="R1287" s="1" t="s">
        <v>4089</v>
      </c>
      <c r="S1287" s="1">
        <v>1.0</v>
      </c>
      <c r="T1287" s="1">
        <v>0.0</v>
      </c>
      <c r="X1287" s="1" t="s">
        <v>56</v>
      </c>
    </row>
    <row r="1288">
      <c r="A1288" s="3" t="str">
        <f>HYPERLINK("https://stackoverflow.com/q/52670156", "52670156")</f>
        <v>52670156</v>
      </c>
      <c r="B1288" s="1" t="s">
        <v>4072</v>
      </c>
      <c r="C1288" s="1" t="s">
        <v>4544</v>
      </c>
      <c r="D1288" s="2" t="s">
        <v>4545</v>
      </c>
      <c r="E1288" s="1">
        <v>1.0</v>
      </c>
      <c r="F1288" s="1">
        <v>5.2706435E7</v>
      </c>
      <c r="I1288" s="1">
        <v>1.0</v>
      </c>
      <c r="J1288" s="1">
        <v>169.0</v>
      </c>
      <c r="L1288" s="1">
        <v>1.0462809E7</v>
      </c>
      <c r="Q1288" s="1" t="s">
        <v>4546</v>
      </c>
      <c r="R1288" s="1" t="s">
        <v>4547</v>
      </c>
      <c r="S1288" s="1">
        <v>1.0</v>
      </c>
      <c r="T1288" s="1">
        <v>7.0</v>
      </c>
      <c r="X1288" s="1" t="s">
        <v>56</v>
      </c>
      <c r="Z1288" s="1" t="s">
        <v>4546</v>
      </c>
    </row>
    <row r="1289">
      <c r="A1289" s="3" t="str">
        <f>HYPERLINK("https://stackoverflow.com/q/52888222", "52888222")</f>
        <v>52888222</v>
      </c>
      <c r="B1289" s="1" t="s">
        <v>4072</v>
      </c>
      <c r="C1289" s="1" t="s">
        <v>4548</v>
      </c>
      <c r="D1289" s="2" t="s">
        <v>4549</v>
      </c>
      <c r="E1289" s="1">
        <v>1.0</v>
      </c>
      <c r="I1289" s="1">
        <v>0.0</v>
      </c>
      <c r="J1289" s="1">
        <v>82.0</v>
      </c>
      <c r="L1289" s="1">
        <v>1.0527925E7</v>
      </c>
      <c r="Q1289" s="1" t="s">
        <v>4550</v>
      </c>
      <c r="R1289" s="1" t="s">
        <v>4551</v>
      </c>
      <c r="S1289" s="1">
        <v>1.0</v>
      </c>
      <c r="T1289" s="1">
        <v>0.0</v>
      </c>
      <c r="X1289" s="1" t="s">
        <v>56</v>
      </c>
    </row>
    <row r="1290">
      <c r="A1290" s="3" t="str">
        <f>HYPERLINK("https://stackoverflow.com/q/53039094", "53039094")</f>
        <v>53039094</v>
      </c>
      <c r="B1290" s="1" t="s">
        <v>4072</v>
      </c>
      <c r="C1290" s="1" t="s">
        <v>4552</v>
      </c>
      <c r="D1290" s="2" t="s">
        <v>4553</v>
      </c>
      <c r="E1290" s="1">
        <v>1.0</v>
      </c>
      <c r="I1290" s="1">
        <v>1.0</v>
      </c>
      <c r="J1290" s="1">
        <v>187.0</v>
      </c>
      <c r="L1290" s="1">
        <v>9750906.0</v>
      </c>
      <c r="N1290" s="1">
        <v>9750906.0</v>
      </c>
      <c r="P1290" s="1" t="s">
        <v>4554</v>
      </c>
      <c r="Q1290" s="1" t="s">
        <v>4555</v>
      </c>
      <c r="R1290" s="1" t="s">
        <v>4556</v>
      </c>
      <c r="S1290" s="1">
        <v>1.0</v>
      </c>
      <c r="T1290" s="1">
        <v>0.0</v>
      </c>
      <c r="X1290" s="1" t="s">
        <v>56</v>
      </c>
    </row>
    <row r="1291">
      <c r="A1291" s="3" t="str">
        <f>HYPERLINK("https://stackoverflow.com/q/53303701", "53303701")</f>
        <v>53303701</v>
      </c>
      <c r="B1291" s="1" t="s">
        <v>4072</v>
      </c>
      <c r="C1291" s="1" t="s">
        <v>4557</v>
      </c>
      <c r="D1291" s="2" t="s">
        <v>4558</v>
      </c>
      <c r="E1291" s="1">
        <v>1.0</v>
      </c>
      <c r="F1291" s="1">
        <v>5.3305674E7</v>
      </c>
      <c r="I1291" s="1">
        <v>0.0</v>
      </c>
      <c r="J1291" s="1">
        <v>101.0</v>
      </c>
      <c r="L1291" s="1">
        <v>9142998.0</v>
      </c>
      <c r="N1291" s="1">
        <v>7172120.0</v>
      </c>
      <c r="P1291" s="1" t="s">
        <v>4559</v>
      </c>
      <c r="Q1291" s="1" t="s">
        <v>4559</v>
      </c>
      <c r="R1291" s="1" t="s">
        <v>4089</v>
      </c>
      <c r="S1291" s="1">
        <v>1.0</v>
      </c>
      <c r="T1291" s="1">
        <v>1.0</v>
      </c>
      <c r="X1291" s="1" t="s">
        <v>56</v>
      </c>
      <c r="Z1291" s="1" t="s">
        <v>4560</v>
      </c>
    </row>
    <row r="1292">
      <c r="A1292" s="3" t="str">
        <f>HYPERLINK("https://stackoverflow.com/q/53538056", "53538056")</f>
        <v>53538056</v>
      </c>
      <c r="B1292" s="1" t="s">
        <v>4072</v>
      </c>
      <c r="C1292" s="1" t="s">
        <v>4561</v>
      </c>
      <c r="D1292" s="2" t="s">
        <v>4562</v>
      </c>
      <c r="E1292" s="1">
        <v>1.0</v>
      </c>
      <c r="I1292" s="1">
        <v>1.0</v>
      </c>
      <c r="J1292" s="1">
        <v>254.0</v>
      </c>
      <c r="L1292" s="1">
        <v>8268774.0</v>
      </c>
      <c r="Q1292" s="1" t="s">
        <v>4563</v>
      </c>
      <c r="R1292" s="1" t="s">
        <v>4564</v>
      </c>
      <c r="S1292" s="1">
        <v>2.0</v>
      </c>
      <c r="T1292" s="1">
        <v>1.0</v>
      </c>
      <c r="X1292" s="1" t="s">
        <v>56</v>
      </c>
    </row>
    <row r="1293">
      <c r="A1293" s="3" t="str">
        <f>HYPERLINK("https://stackoverflow.com/q/53742356", "53742356")</f>
        <v>53742356</v>
      </c>
      <c r="B1293" s="1" t="s">
        <v>4072</v>
      </c>
      <c r="C1293" s="1" t="s">
        <v>4565</v>
      </c>
      <c r="D1293" s="2" t="s">
        <v>4566</v>
      </c>
      <c r="E1293" s="1">
        <v>1.0</v>
      </c>
      <c r="F1293" s="1">
        <v>5.3771614E7</v>
      </c>
      <c r="I1293" s="1">
        <v>1.0</v>
      </c>
      <c r="J1293" s="1">
        <v>100.0</v>
      </c>
      <c r="L1293" s="1">
        <v>3336801.0</v>
      </c>
      <c r="N1293" s="1">
        <v>3336801.0</v>
      </c>
      <c r="P1293" s="1" t="s">
        <v>4567</v>
      </c>
      <c r="Q1293" s="1" t="s">
        <v>4568</v>
      </c>
      <c r="R1293" s="1" t="s">
        <v>4569</v>
      </c>
      <c r="S1293" s="1">
        <v>1.0</v>
      </c>
      <c r="T1293" s="1">
        <v>6.0</v>
      </c>
      <c r="X1293" s="1" t="s">
        <v>56</v>
      </c>
      <c r="Z1293" s="1" t="s">
        <v>4568</v>
      </c>
    </row>
    <row r="1294">
      <c r="A1294" s="3" t="str">
        <f>HYPERLINK("https://stackoverflow.com/q/54398761", "54398761")</f>
        <v>54398761</v>
      </c>
      <c r="B1294" s="1" t="s">
        <v>4072</v>
      </c>
      <c r="C1294" s="1" t="s">
        <v>4570</v>
      </c>
      <c r="D1294" s="2" t="s">
        <v>4571</v>
      </c>
      <c r="E1294" s="1">
        <v>1.0</v>
      </c>
      <c r="I1294" s="1">
        <v>1.0</v>
      </c>
      <c r="J1294" s="1">
        <v>99.0</v>
      </c>
      <c r="L1294" s="1">
        <v>6797752.0</v>
      </c>
      <c r="Q1294" s="1" t="s">
        <v>4570</v>
      </c>
      <c r="R1294" s="1" t="s">
        <v>4572</v>
      </c>
      <c r="S1294" s="1">
        <v>0.0</v>
      </c>
      <c r="T1294" s="1">
        <v>0.0</v>
      </c>
      <c r="X1294" s="1" t="s">
        <v>56</v>
      </c>
    </row>
    <row r="1295">
      <c r="A1295" s="3" t="str">
        <f>HYPERLINK("https://stackoverflow.com/q/54662808", "54662808")</f>
        <v>54662808</v>
      </c>
      <c r="B1295" s="1" t="s">
        <v>4072</v>
      </c>
      <c r="C1295" s="1" t="s">
        <v>4573</v>
      </c>
      <c r="D1295" s="2" t="s">
        <v>4574</v>
      </c>
      <c r="E1295" s="1">
        <v>1.0</v>
      </c>
      <c r="I1295" s="1">
        <v>2.0</v>
      </c>
      <c r="J1295" s="1">
        <v>70.0</v>
      </c>
      <c r="L1295" s="1">
        <v>1095044.0</v>
      </c>
      <c r="N1295" s="1">
        <v>5746504.0</v>
      </c>
      <c r="P1295" s="1" t="s">
        <v>4575</v>
      </c>
      <c r="Q1295" s="1" t="s">
        <v>4576</v>
      </c>
      <c r="R1295" s="1" t="s">
        <v>4577</v>
      </c>
      <c r="S1295" s="1">
        <v>1.0</v>
      </c>
      <c r="T1295" s="1">
        <v>0.0</v>
      </c>
      <c r="X1295" s="1" t="s">
        <v>56</v>
      </c>
    </row>
    <row r="1296">
      <c r="A1296" s="3" t="str">
        <f>HYPERLINK("https://stackoverflow.com/q/55161617", "55161617")</f>
        <v>55161617</v>
      </c>
      <c r="B1296" s="1" t="s">
        <v>4072</v>
      </c>
      <c r="C1296" s="1" t="s">
        <v>4578</v>
      </c>
      <c r="D1296" s="2" t="s">
        <v>4579</v>
      </c>
      <c r="E1296" s="1">
        <v>1.0</v>
      </c>
      <c r="I1296" s="1">
        <v>2.0</v>
      </c>
      <c r="J1296" s="1">
        <v>75.0</v>
      </c>
      <c r="L1296" s="1">
        <v>2808137.0</v>
      </c>
      <c r="N1296" s="1">
        <v>2808137.0</v>
      </c>
      <c r="P1296" s="1" t="s">
        <v>4580</v>
      </c>
      <c r="Q1296" s="1" t="s">
        <v>4580</v>
      </c>
      <c r="R1296" s="1" t="s">
        <v>4334</v>
      </c>
      <c r="S1296" s="1">
        <v>0.0</v>
      </c>
      <c r="T1296" s="1">
        <v>0.0</v>
      </c>
      <c r="X1296" s="1" t="s">
        <v>56</v>
      </c>
    </row>
    <row r="1297">
      <c r="A1297" s="3" t="str">
        <f>HYPERLINK("https://stackoverflow.com/q/55632717", "55632717")</f>
        <v>55632717</v>
      </c>
      <c r="B1297" s="1" t="s">
        <v>4072</v>
      </c>
      <c r="C1297" s="1" t="s">
        <v>4581</v>
      </c>
      <c r="D1297" s="2" t="s">
        <v>4582</v>
      </c>
      <c r="E1297" s="1">
        <v>1.0</v>
      </c>
      <c r="I1297" s="1">
        <v>0.0</v>
      </c>
      <c r="J1297" s="1">
        <v>174.0</v>
      </c>
      <c r="L1297" s="1">
        <v>5493648.0</v>
      </c>
      <c r="Q1297" s="1" t="s">
        <v>4583</v>
      </c>
      <c r="R1297" s="1" t="s">
        <v>4584</v>
      </c>
      <c r="S1297" s="1">
        <v>2.0</v>
      </c>
      <c r="T1297" s="1">
        <v>2.0</v>
      </c>
      <c r="X1297" s="1" t="s">
        <v>56</v>
      </c>
    </row>
    <row r="1298">
      <c r="A1298" s="3" t="str">
        <f>HYPERLINK("https://stackoverflow.com/q/55749828", "55749828")</f>
        <v>55749828</v>
      </c>
      <c r="B1298" s="1" t="s">
        <v>4072</v>
      </c>
      <c r="C1298" s="1" t="s">
        <v>4585</v>
      </c>
      <c r="D1298" s="2" t="s">
        <v>4586</v>
      </c>
      <c r="E1298" s="1">
        <v>1.0</v>
      </c>
      <c r="I1298" s="1">
        <v>0.0</v>
      </c>
      <c r="J1298" s="1">
        <v>174.0</v>
      </c>
      <c r="L1298" s="1">
        <v>1.137972E7</v>
      </c>
      <c r="Q1298" s="1" t="s">
        <v>4587</v>
      </c>
      <c r="R1298" s="1" t="s">
        <v>4588</v>
      </c>
      <c r="S1298" s="1">
        <v>2.0</v>
      </c>
      <c r="T1298" s="1">
        <v>0.0</v>
      </c>
      <c r="X1298" s="1" t="s">
        <v>56</v>
      </c>
    </row>
    <row r="1299">
      <c r="A1299" s="3" t="str">
        <f>HYPERLINK("https://stackoverflow.com/q/56164428", "56164428")</f>
        <v>56164428</v>
      </c>
      <c r="B1299" s="1" t="s">
        <v>4072</v>
      </c>
      <c r="C1299" s="1" t="s">
        <v>4589</v>
      </c>
      <c r="D1299" s="2" t="s">
        <v>4590</v>
      </c>
      <c r="E1299" s="1">
        <v>1.0</v>
      </c>
      <c r="F1299" s="1">
        <v>5.6183987E7</v>
      </c>
      <c r="I1299" s="1">
        <v>2.0</v>
      </c>
      <c r="J1299" s="1">
        <v>66.0</v>
      </c>
      <c r="L1299" s="1">
        <v>5501017.0</v>
      </c>
      <c r="Q1299" s="1" t="s">
        <v>4591</v>
      </c>
      <c r="R1299" s="1" t="s">
        <v>4089</v>
      </c>
      <c r="S1299" s="1">
        <v>1.0</v>
      </c>
      <c r="T1299" s="1">
        <v>1.0</v>
      </c>
      <c r="X1299" s="1" t="s">
        <v>56</v>
      </c>
      <c r="Z1299" s="1" t="s">
        <v>4591</v>
      </c>
    </row>
    <row r="1300">
      <c r="A1300" s="3" t="str">
        <f>HYPERLINK("https://stackoverflow.com/q/56336076", "56336076")</f>
        <v>56336076</v>
      </c>
      <c r="B1300" s="1" t="s">
        <v>4072</v>
      </c>
      <c r="C1300" s="1" t="s">
        <v>4592</v>
      </c>
      <c r="D1300" s="2" t="s">
        <v>4593</v>
      </c>
      <c r="E1300" s="1">
        <v>1.0</v>
      </c>
      <c r="I1300" s="1">
        <v>1.0</v>
      </c>
      <c r="J1300" s="1">
        <v>95.0</v>
      </c>
      <c r="L1300" s="1">
        <v>5501017.0</v>
      </c>
      <c r="Q1300" s="1" t="s">
        <v>4594</v>
      </c>
      <c r="R1300" s="1" t="s">
        <v>4595</v>
      </c>
      <c r="S1300" s="1">
        <v>1.0</v>
      </c>
      <c r="T1300" s="1">
        <v>1.0</v>
      </c>
      <c r="X1300" s="1" t="s">
        <v>56</v>
      </c>
    </row>
    <row r="1301">
      <c r="A1301" s="3" t="str">
        <f>HYPERLINK("https://stackoverflow.com/q/56444605", "56444605")</f>
        <v>56444605</v>
      </c>
      <c r="B1301" s="1" t="s">
        <v>4072</v>
      </c>
      <c r="C1301" s="1" t="s">
        <v>4596</v>
      </c>
      <c r="D1301" s="2" t="s">
        <v>4597</v>
      </c>
      <c r="E1301" s="1">
        <v>1.0</v>
      </c>
      <c r="F1301" s="1">
        <v>5.6449235E7</v>
      </c>
      <c r="I1301" s="1">
        <v>1.0</v>
      </c>
      <c r="J1301" s="1">
        <v>193.0</v>
      </c>
      <c r="L1301" s="1">
        <v>462533.0</v>
      </c>
      <c r="N1301" s="1">
        <v>462533.0</v>
      </c>
      <c r="P1301" s="1" t="s">
        <v>4598</v>
      </c>
      <c r="Q1301" s="1" t="s">
        <v>4599</v>
      </c>
      <c r="R1301" s="1" t="s">
        <v>4600</v>
      </c>
      <c r="S1301" s="1">
        <v>1.0</v>
      </c>
      <c r="T1301" s="1">
        <v>0.0</v>
      </c>
      <c r="X1301" s="1" t="s">
        <v>56</v>
      </c>
      <c r="Z1301" s="1" t="s">
        <v>4601</v>
      </c>
    </row>
    <row r="1302">
      <c r="A1302" s="3" t="str">
        <f>HYPERLINK("https://stackoverflow.com/q/56914312", "56914312")</f>
        <v>56914312</v>
      </c>
      <c r="B1302" s="1" t="s">
        <v>4072</v>
      </c>
      <c r="C1302" s="1" t="s">
        <v>4602</v>
      </c>
      <c r="D1302" s="2" t="s">
        <v>4603</v>
      </c>
      <c r="E1302" s="1">
        <v>1.0</v>
      </c>
      <c r="I1302" s="1">
        <v>0.0</v>
      </c>
      <c r="J1302" s="1">
        <v>187.0</v>
      </c>
      <c r="L1302" s="1">
        <v>1.1628698E7</v>
      </c>
      <c r="N1302" s="1">
        <v>1403785.0</v>
      </c>
      <c r="P1302" s="1" t="s">
        <v>4604</v>
      </c>
      <c r="Q1302" s="1" t="s">
        <v>4605</v>
      </c>
      <c r="R1302" s="1" t="s">
        <v>4606</v>
      </c>
      <c r="S1302" s="1">
        <v>1.0</v>
      </c>
      <c r="T1302" s="1">
        <v>0.0</v>
      </c>
      <c r="X1302" s="1" t="s">
        <v>56</v>
      </c>
    </row>
    <row r="1303">
      <c r="A1303" s="3" t="str">
        <f>HYPERLINK("https://stackoverflow.com/q/56970311", "56970311")</f>
        <v>56970311</v>
      </c>
      <c r="B1303" s="1" t="s">
        <v>4072</v>
      </c>
      <c r="C1303" s="1" t="s">
        <v>4607</v>
      </c>
      <c r="D1303" s="2" t="s">
        <v>4608</v>
      </c>
      <c r="E1303" s="1">
        <v>1.0</v>
      </c>
      <c r="F1303" s="1">
        <v>5.6970647E7</v>
      </c>
      <c r="I1303" s="1">
        <v>0.0</v>
      </c>
      <c r="J1303" s="1">
        <v>114.0</v>
      </c>
      <c r="L1303" s="1">
        <v>1.013001E7</v>
      </c>
      <c r="N1303" s="1">
        <v>5320982.0</v>
      </c>
      <c r="P1303" s="1" t="s">
        <v>4609</v>
      </c>
      <c r="Q1303" s="1" t="s">
        <v>4610</v>
      </c>
      <c r="R1303" s="1" t="s">
        <v>4089</v>
      </c>
      <c r="S1303" s="1">
        <v>1.0</v>
      </c>
      <c r="T1303" s="1">
        <v>0.0</v>
      </c>
      <c r="X1303" s="1" t="s">
        <v>56</v>
      </c>
      <c r="Z1303" s="1" t="s">
        <v>4610</v>
      </c>
    </row>
    <row r="1304">
      <c r="A1304" s="3" t="str">
        <f>HYPERLINK("https://stackoverflow.com/q/57000159", "57000159")</f>
        <v>57000159</v>
      </c>
      <c r="B1304" s="1" t="s">
        <v>4072</v>
      </c>
      <c r="C1304" s="1" t="s">
        <v>4611</v>
      </c>
      <c r="D1304" s="2" t="s">
        <v>4612</v>
      </c>
      <c r="E1304" s="1">
        <v>1.0</v>
      </c>
      <c r="F1304" s="1">
        <v>5.7003905E7</v>
      </c>
      <c r="I1304" s="1">
        <v>0.0</v>
      </c>
      <c r="J1304" s="1">
        <v>216.0</v>
      </c>
      <c r="L1304" s="1">
        <v>5501017.0</v>
      </c>
      <c r="N1304" s="1">
        <v>443523.0</v>
      </c>
      <c r="P1304" s="1" t="s">
        <v>4613</v>
      </c>
      <c r="Q1304" s="1" t="s">
        <v>4613</v>
      </c>
      <c r="R1304" s="1" t="s">
        <v>4089</v>
      </c>
      <c r="S1304" s="1">
        <v>1.0</v>
      </c>
      <c r="T1304" s="1">
        <v>0.0</v>
      </c>
      <c r="X1304" s="1" t="s">
        <v>56</v>
      </c>
      <c r="Z1304" s="1" t="s">
        <v>4614</v>
      </c>
    </row>
    <row r="1305">
      <c r="A1305" s="3" t="str">
        <f>HYPERLINK("https://stackoverflow.com/q/57034340", "57034340")</f>
        <v>57034340</v>
      </c>
      <c r="B1305" s="1" t="s">
        <v>4072</v>
      </c>
      <c r="C1305" s="1" t="s">
        <v>4615</v>
      </c>
      <c r="D1305" s="2" t="s">
        <v>4616</v>
      </c>
      <c r="E1305" s="1">
        <v>1.0</v>
      </c>
      <c r="I1305" s="1">
        <v>0.0</v>
      </c>
      <c r="J1305" s="1">
        <v>353.0</v>
      </c>
      <c r="L1305" s="1">
        <v>5501017.0</v>
      </c>
      <c r="Q1305" s="1" t="s">
        <v>4617</v>
      </c>
      <c r="R1305" s="1" t="s">
        <v>4618</v>
      </c>
      <c r="S1305" s="1">
        <v>1.0</v>
      </c>
      <c r="T1305" s="1">
        <v>1.0</v>
      </c>
      <c r="X1305" s="1" t="s">
        <v>56</v>
      </c>
    </row>
    <row r="1306">
      <c r="A1306" s="3" t="str">
        <f>HYPERLINK("https://stackoverflow.com/q/57306224", "57306224")</f>
        <v>57306224</v>
      </c>
      <c r="B1306" s="1" t="s">
        <v>4072</v>
      </c>
      <c r="C1306" s="1" t="s">
        <v>4619</v>
      </c>
      <c r="D1306" s="2" t="s">
        <v>4620</v>
      </c>
      <c r="E1306" s="1">
        <v>1.0</v>
      </c>
      <c r="I1306" s="1">
        <v>1.0</v>
      </c>
      <c r="J1306" s="1">
        <v>240.0</v>
      </c>
      <c r="L1306" s="1">
        <v>5501017.0</v>
      </c>
      <c r="Q1306" s="1" t="s">
        <v>4621</v>
      </c>
      <c r="R1306" s="1" t="s">
        <v>4089</v>
      </c>
      <c r="S1306" s="1">
        <v>1.0</v>
      </c>
      <c r="T1306" s="1">
        <v>0.0</v>
      </c>
      <c r="X1306" s="1" t="s">
        <v>56</v>
      </c>
    </row>
    <row r="1307">
      <c r="A1307" s="3" t="str">
        <f>HYPERLINK("https://stackoverflow.com/q/57676928", "57676928")</f>
        <v>57676928</v>
      </c>
      <c r="B1307" s="1" t="s">
        <v>4072</v>
      </c>
      <c r="C1307" s="1" t="s">
        <v>4622</v>
      </c>
      <c r="D1307" s="2" t="s">
        <v>4623</v>
      </c>
      <c r="E1307" s="1">
        <v>1.0</v>
      </c>
      <c r="I1307" s="1">
        <v>0.0</v>
      </c>
      <c r="J1307" s="1">
        <v>83.0</v>
      </c>
      <c r="L1307" s="1">
        <v>4962415.0</v>
      </c>
      <c r="Q1307" s="1" t="s">
        <v>4624</v>
      </c>
      <c r="R1307" s="1" t="s">
        <v>4625</v>
      </c>
      <c r="S1307" s="1">
        <v>1.0</v>
      </c>
      <c r="T1307" s="1">
        <v>5.0</v>
      </c>
      <c r="X1307" s="1" t="s">
        <v>56</v>
      </c>
    </row>
    <row r="1308">
      <c r="A1308" s="3" t="str">
        <f>HYPERLINK("https://stackoverflow.com/q/57806521", "57806521")</f>
        <v>57806521</v>
      </c>
      <c r="B1308" s="1" t="s">
        <v>4072</v>
      </c>
      <c r="C1308" s="1" t="s">
        <v>4626</v>
      </c>
      <c r="D1308" s="2" t="s">
        <v>4627</v>
      </c>
      <c r="E1308" s="1">
        <v>1.0</v>
      </c>
      <c r="I1308" s="1">
        <v>0.0</v>
      </c>
      <c r="J1308" s="1">
        <v>45.0</v>
      </c>
      <c r="L1308" s="1">
        <v>1744524.0</v>
      </c>
      <c r="Q1308" s="1" t="s">
        <v>4626</v>
      </c>
      <c r="R1308" s="1" t="s">
        <v>4628</v>
      </c>
      <c r="S1308" s="1">
        <v>0.0</v>
      </c>
      <c r="T1308" s="1">
        <v>0.0</v>
      </c>
      <c r="X1308" s="1" t="s">
        <v>56</v>
      </c>
    </row>
    <row r="1309">
      <c r="A1309" s="3" t="str">
        <f>HYPERLINK("https://stackoverflow.com/q/57848501", "57848501")</f>
        <v>57848501</v>
      </c>
      <c r="B1309" s="1" t="s">
        <v>4072</v>
      </c>
      <c r="C1309" s="1" t="s">
        <v>4629</v>
      </c>
      <c r="D1309" s="2" t="s">
        <v>4630</v>
      </c>
      <c r="E1309" s="1">
        <v>1.0</v>
      </c>
      <c r="F1309" s="1">
        <v>5.7852175E7</v>
      </c>
      <c r="I1309" s="1">
        <v>0.0</v>
      </c>
      <c r="J1309" s="1">
        <v>82.0</v>
      </c>
      <c r="L1309" s="1">
        <v>3929113.0</v>
      </c>
      <c r="N1309" s="1">
        <v>1736047.0</v>
      </c>
      <c r="P1309" s="1" t="s">
        <v>4631</v>
      </c>
      <c r="Q1309" s="1" t="s">
        <v>4632</v>
      </c>
      <c r="R1309" s="1" t="s">
        <v>4633</v>
      </c>
      <c r="S1309" s="1">
        <v>1.0</v>
      </c>
      <c r="T1309" s="1">
        <v>3.0</v>
      </c>
      <c r="X1309" s="1" t="s">
        <v>56</v>
      </c>
      <c r="Z1309" s="1" t="s">
        <v>4632</v>
      </c>
    </row>
    <row r="1310">
      <c r="A1310" s="3" t="str">
        <f>HYPERLINK("https://stackoverflow.com/q/57864148", "57864148")</f>
        <v>57864148</v>
      </c>
      <c r="B1310" s="1" t="s">
        <v>4072</v>
      </c>
      <c r="C1310" s="1" t="s">
        <v>4634</v>
      </c>
      <c r="D1310" s="2" t="s">
        <v>4635</v>
      </c>
      <c r="E1310" s="1">
        <v>1.0</v>
      </c>
      <c r="I1310" s="1">
        <v>0.0</v>
      </c>
      <c r="J1310" s="1">
        <v>36.0</v>
      </c>
      <c r="L1310" s="1">
        <v>6815999.0</v>
      </c>
      <c r="Q1310" s="1" t="s">
        <v>4636</v>
      </c>
      <c r="R1310" s="1" t="s">
        <v>4089</v>
      </c>
      <c r="S1310" s="1">
        <v>0.0</v>
      </c>
      <c r="T1310" s="1">
        <v>1.0</v>
      </c>
      <c r="X1310" s="1" t="s">
        <v>56</v>
      </c>
    </row>
    <row r="1311">
      <c r="A1311" s="3" t="str">
        <f>HYPERLINK("https://stackoverflow.com/q/57918783", "57918783")</f>
        <v>57918783</v>
      </c>
      <c r="B1311" s="1" t="s">
        <v>4072</v>
      </c>
      <c r="C1311" s="1" t="s">
        <v>4637</v>
      </c>
      <c r="D1311" s="2" t="s">
        <v>4638</v>
      </c>
      <c r="E1311" s="1">
        <v>1.0</v>
      </c>
      <c r="I1311" s="1">
        <v>0.0</v>
      </c>
      <c r="J1311" s="1">
        <v>50.0</v>
      </c>
      <c r="L1311" s="1">
        <v>4613438.0</v>
      </c>
      <c r="N1311" s="1">
        <v>4613438.0</v>
      </c>
      <c r="P1311" s="1" t="s">
        <v>4639</v>
      </c>
      <c r="Q1311" s="1" t="s">
        <v>4639</v>
      </c>
      <c r="R1311" s="1" t="s">
        <v>4640</v>
      </c>
      <c r="S1311" s="1">
        <v>0.0</v>
      </c>
      <c r="T1311" s="1">
        <v>0.0</v>
      </c>
      <c r="X1311" s="1" t="s">
        <v>56</v>
      </c>
    </row>
    <row r="1312">
      <c r="A1312" s="3" t="str">
        <f>HYPERLINK("https://stackoverflow.com/q/58316719", "58316719")</f>
        <v>58316719</v>
      </c>
      <c r="B1312" s="1" t="s">
        <v>4072</v>
      </c>
      <c r="C1312" s="1" t="s">
        <v>4641</v>
      </c>
      <c r="D1312" s="2" t="s">
        <v>4642</v>
      </c>
      <c r="E1312" s="1">
        <v>1.0</v>
      </c>
      <c r="I1312" s="1">
        <v>0.0</v>
      </c>
      <c r="J1312" s="1">
        <v>23.0</v>
      </c>
      <c r="L1312" s="1">
        <v>5063879.0</v>
      </c>
      <c r="Q1312" s="1" t="s">
        <v>4641</v>
      </c>
      <c r="R1312" s="1" t="s">
        <v>4089</v>
      </c>
      <c r="S1312" s="1">
        <v>0.0</v>
      </c>
      <c r="T1312" s="1">
        <v>0.0</v>
      </c>
      <c r="X1312" s="1" t="s">
        <v>56</v>
      </c>
    </row>
    <row r="1313">
      <c r="A1313" s="3" t="str">
        <f>HYPERLINK("https://stackoverflow.com/q/59271914", "59271914")</f>
        <v>59271914</v>
      </c>
      <c r="B1313" s="1" t="s">
        <v>4072</v>
      </c>
      <c r="C1313" s="1" t="s">
        <v>4643</v>
      </c>
      <c r="D1313" s="2" t="s">
        <v>4644</v>
      </c>
      <c r="E1313" s="1">
        <v>1.0</v>
      </c>
      <c r="F1313" s="1">
        <v>5.9272331E7</v>
      </c>
      <c r="I1313" s="1">
        <v>0.0</v>
      </c>
      <c r="J1313" s="1">
        <v>34.0</v>
      </c>
      <c r="L1313" s="1">
        <v>1.2448048E7</v>
      </c>
      <c r="N1313" s="1">
        <v>1.1936678E7</v>
      </c>
      <c r="P1313" s="1" t="s">
        <v>4645</v>
      </c>
      <c r="Q1313" s="1" t="s">
        <v>4646</v>
      </c>
      <c r="R1313" s="1" t="s">
        <v>4089</v>
      </c>
      <c r="S1313" s="1">
        <v>1.0</v>
      </c>
      <c r="T1313" s="1">
        <v>0.0</v>
      </c>
      <c r="X1313" s="1" t="s">
        <v>56</v>
      </c>
      <c r="Z1313" s="1" t="s">
        <v>4646</v>
      </c>
    </row>
    <row r="1314">
      <c r="A1314" s="3" t="str">
        <f>HYPERLINK("https://stackoverflow.com/q/59719707", "59719707")</f>
        <v>59719707</v>
      </c>
      <c r="B1314" s="1" t="s">
        <v>4072</v>
      </c>
      <c r="C1314" s="1" t="s">
        <v>4647</v>
      </c>
      <c r="D1314" s="2" t="s">
        <v>4648</v>
      </c>
      <c r="E1314" s="1">
        <v>1.0</v>
      </c>
      <c r="F1314" s="1">
        <v>5.9722575E7</v>
      </c>
      <c r="I1314" s="1">
        <v>0.0</v>
      </c>
      <c r="J1314" s="1">
        <v>115.0</v>
      </c>
      <c r="L1314" s="1">
        <v>1403814.0</v>
      </c>
      <c r="Q1314" s="1" t="s">
        <v>4649</v>
      </c>
      <c r="R1314" s="1" t="s">
        <v>4134</v>
      </c>
      <c r="S1314" s="1">
        <v>1.0</v>
      </c>
      <c r="T1314" s="1">
        <v>2.0</v>
      </c>
      <c r="X1314" s="1" t="s">
        <v>56</v>
      </c>
      <c r="Z1314" s="1" t="s">
        <v>4650</v>
      </c>
    </row>
    <row r="1315">
      <c r="A1315" s="3" t="str">
        <f>HYPERLINK("https://stackoverflow.com/q/59865860", "59865860")</f>
        <v>59865860</v>
      </c>
      <c r="B1315" s="1" t="s">
        <v>4072</v>
      </c>
      <c r="C1315" s="1" t="s">
        <v>4651</v>
      </c>
      <c r="D1315" s="2" t="s">
        <v>4652</v>
      </c>
      <c r="E1315" s="1">
        <v>1.0</v>
      </c>
      <c r="I1315" s="1">
        <v>0.0</v>
      </c>
      <c r="J1315" s="1">
        <v>47.0</v>
      </c>
      <c r="L1315" s="1">
        <v>1.0963024E7</v>
      </c>
      <c r="Q1315" s="1" t="s">
        <v>4651</v>
      </c>
      <c r="R1315" s="1" t="s">
        <v>4653</v>
      </c>
      <c r="S1315" s="1">
        <v>0.0</v>
      </c>
      <c r="T1315" s="1">
        <v>1.0</v>
      </c>
      <c r="X1315" s="1" t="s">
        <v>56</v>
      </c>
    </row>
    <row r="1316">
      <c r="A1316" s="3" t="str">
        <f>HYPERLINK("https://stackoverflow.com/q/60097780", "60097780")</f>
        <v>60097780</v>
      </c>
      <c r="B1316" s="1" t="s">
        <v>4072</v>
      </c>
      <c r="C1316" s="1" t="s">
        <v>4654</v>
      </c>
      <c r="D1316" s="2" t="s">
        <v>4655</v>
      </c>
      <c r="E1316" s="1">
        <v>1.0</v>
      </c>
      <c r="I1316" s="1">
        <v>0.0</v>
      </c>
      <c r="J1316" s="1">
        <v>30.0</v>
      </c>
      <c r="L1316" s="1">
        <v>7572953.0</v>
      </c>
      <c r="Q1316" s="1" t="s">
        <v>4656</v>
      </c>
      <c r="R1316" s="1" t="s">
        <v>4089</v>
      </c>
      <c r="S1316" s="1">
        <v>1.0</v>
      </c>
      <c r="T1316" s="1">
        <v>2.0</v>
      </c>
      <c r="X1316" s="1" t="s">
        <v>56</v>
      </c>
    </row>
    <row r="1317">
      <c r="A1317" s="3" t="str">
        <f>HYPERLINK("https://stackoverflow.com/q/60193479", "60193479")</f>
        <v>60193479</v>
      </c>
      <c r="B1317" s="1" t="s">
        <v>4072</v>
      </c>
      <c r="C1317" s="1" t="s">
        <v>4657</v>
      </c>
      <c r="D1317" s="2" t="s">
        <v>4658</v>
      </c>
      <c r="E1317" s="1">
        <v>1.0</v>
      </c>
      <c r="I1317" s="1">
        <v>0.0</v>
      </c>
      <c r="J1317" s="1">
        <v>109.0</v>
      </c>
      <c r="L1317" s="1">
        <v>1.2887198E7</v>
      </c>
      <c r="Q1317" s="1" t="s">
        <v>4659</v>
      </c>
      <c r="R1317" s="1" t="s">
        <v>4660</v>
      </c>
      <c r="S1317" s="1">
        <v>1.0</v>
      </c>
      <c r="T1317" s="1">
        <v>1.0</v>
      </c>
      <c r="X1317" s="1" t="s">
        <v>56</v>
      </c>
    </row>
    <row r="1318">
      <c r="A1318" s="3" t="str">
        <f>HYPERLINK("https://stackoverflow.com/q/60633360", "60633360")</f>
        <v>60633360</v>
      </c>
      <c r="B1318" s="1" t="s">
        <v>4072</v>
      </c>
      <c r="C1318" s="1" t="s">
        <v>4661</v>
      </c>
      <c r="D1318" s="2" t="s">
        <v>4662</v>
      </c>
      <c r="E1318" s="1">
        <v>1.0</v>
      </c>
      <c r="I1318" s="1">
        <v>0.0</v>
      </c>
      <c r="J1318" s="1">
        <v>26.0</v>
      </c>
      <c r="L1318" s="1">
        <v>65545.0</v>
      </c>
      <c r="Q1318" s="1" t="s">
        <v>4663</v>
      </c>
      <c r="R1318" s="1" t="s">
        <v>4664</v>
      </c>
      <c r="S1318" s="1">
        <v>1.0</v>
      </c>
      <c r="T1318" s="1">
        <v>0.0</v>
      </c>
      <c r="X1318" s="1" t="s">
        <v>56</v>
      </c>
    </row>
    <row r="1319">
      <c r="A1319" s="3" t="str">
        <f>HYPERLINK("https://stackoverflow.com/q/61076786", "61076786")</f>
        <v>61076786</v>
      </c>
      <c r="B1319" s="1" t="s">
        <v>4072</v>
      </c>
      <c r="C1319" s="1" t="s">
        <v>4665</v>
      </c>
      <c r="D1319" s="2" t="s">
        <v>4666</v>
      </c>
      <c r="E1319" s="1">
        <v>1.0</v>
      </c>
      <c r="I1319" s="1">
        <v>0.0</v>
      </c>
      <c r="J1319" s="1">
        <v>14.0</v>
      </c>
      <c r="L1319" s="1">
        <v>5287037.0</v>
      </c>
      <c r="Q1319" s="1" t="s">
        <v>4665</v>
      </c>
      <c r="R1319" s="1" t="s">
        <v>4667</v>
      </c>
      <c r="S1319" s="1">
        <v>0.0</v>
      </c>
      <c r="T1319" s="1">
        <v>0.0</v>
      </c>
      <c r="X1319" s="1" t="s">
        <v>56</v>
      </c>
    </row>
    <row r="1320">
      <c r="A1320" s="3" t="str">
        <f>HYPERLINK("https://stackoverflow.com/q/61623473", "61623473")</f>
        <v>61623473</v>
      </c>
      <c r="B1320" s="1" t="s">
        <v>4072</v>
      </c>
      <c r="C1320" s="1" t="s">
        <v>4668</v>
      </c>
      <c r="D1320" s="2" t="s">
        <v>4669</v>
      </c>
      <c r="E1320" s="1">
        <v>1.0</v>
      </c>
      <c r="I1320" s="1">
        <v>1.0</v>
      </c>
      <c r="J1320" s="1">
        <v>26.0</v>
      </c>
      <c r="L1320" s="1">
        <v>5063879.0</v>
      </c>
      <c r="N1320" s="1">
        <v>5063879.0</v>
      </c>
      <c r="P1320" s="1" t="s">
        <v>4670</v>
      </c>
      <c r="Q1320" s="1" t="s">
        <v>4671</v>
      </c>
      <c r="R1320" s="1" t="s">
        <v>4672</v>
      </c>
      <c r="S1320" s="1">
        <v>1.0</v>
      </c>
      <c r="T1320" s="1">
        <v>0.0</v>
      </c>
      <c r="X1320" s="1" t="s">
        <v>56</v>
      </c>
    </row>
    <row r="1321">
      <c r="A1321" s="3" t="str">
        <f>HYPERLINK("https://stackoverflow.com/q/61628400", "61628400")</f>
        <v>61628400</v>
      </c>
      <c r="B1321" s="1" t="s">
        <v>4072</v>
      </c>
      <c r="C1321" s="1" t="s">
        <v>4673</v>
      </c>
      <c r="D1321" s="2" t="s">
        <v>4674</v>
      </c>
      <c r="E1321" s="1">
        <v>1.0</v>
      </c>
      <c r="I1321" s="1">
        <v>0.0</v>
      </c>
      <c r="J1321" s="1">
        <v>14.0</v>
      </c>
      <c r="L1321" s="1">
        <v>1.3480346E7</v>
      </c>
      <c r="Q1321" s="1" t="s">
        <v>4673</v>
      </c>
      <c r="R1321" s="1" t="s">
        <v>4675</v>
      </c>
      <c r="S1321" s="1">
        <v>0.0</v>
      </c>
      <c r="T1321" s="1">
        <v>0.0</v>
      </c>
      <c r="X1321" s="1" t="s">
        <v>56</v>
      </c>
    </row>
    <row r="1322">
      <c r="A1322" s="3" t="str">
        <f>HYPERLINK("https://stackoverflow.com/q/61713625", "61713625")</f>
        <v>61713625</v>
      </c>
      <c r="B1322" s="1" t="s">
        <v>4072</v>
      </c>
      <c r="C1322" s="1" t="s">
        <v>4676</v>
      </c>
      <c r="D1322" s="2" t="s">
        <v>4677</v>
      </c>
      <c r="E1322" s="1">
        <v>1.0</v>
      </c>
      <c r="I1322" s="1">
        <v>1.0</v>
      </c>
      <c r="J1322" s="1">
        <v>79.0</v>
      </c>
      <c r="L1322" s="1">
        <v>4001862.0</v>
      </c>
      <c r="N1322" s="1">
        <v>4001862.0</v>
      </c>
      <c r="P1322" s="1" t="s">
        <v>4678</v>
      </c>
      <c r="Q1322" s="1" t="s">
        <v>4679</v>
      </c>
      <c r="R1322" s="1" t="s">
        <v>4680</v>
      </c>
      <c r="S1322" s="1">
        <v>1.0</v>
      </c>
      <c r="T1322" s="1">
        <v>0.0</v>
      </c>
      <c r="U1322" s="1">
        <v>0.0</v>
      </c>
      <c r="X1322" s="1" t="s">
        <v>56</v>
      </c>
    </row>
    <row r="1323">
      <c r="A1323" s="3" t="str">
        <f>HYPERLINK("https://stackoverflow.com/q/37125043", "37125043")</f>
        <v>37125043</v>
      </c>
      <c r="B1323" s="1" t="s">
        <v>4681</v>
      </c>
      <c r="C1323" s="1" t="s">
        <v>4682</v>
      </c>
      <c r="D1323" s="2" t="s">
        <v>4683</v>
      </c>
      <c r="E1323" s="1">
        <v>1.0</v>
      </c>
      <c r="F1323" s="1">
        <v>3.7127426E7</v>
      </c>
      <c r="I1323" s="1">
        <v>2.0</v>
      </c>
      <c r="J1323" s="1">
        <v>1023.0</v>
      </c>
      <c r="L1323" s="1">
        <v>2407103.0</v>
      </c>
      <c r="N1323" s="1">
        <v>191591.0</v>
      </c>
      <c r="P1323" s="1" t="s">
        <v>4684</v>
      </c>
      <c r="Q1323" s="1" t="s">
        <v>4685</v>
      </c>
      <c r="R1323" s="1" t="s">
        <v>4686</v>
      </c>
      <c r="S1323" s="1">
        <v>2.0</v>
      </c>
      <c r="T1323" s="1">
        <v>0.0</v>
      </c>
      <c r="X1323" s="1" t="s">
        <v>29</v>
      </c>
      <c r="Z1323" s="1" t="s">
        <v>4687</v>
      </c>
    </row>
    <row r="1324">
      <c r="A1324" s="3" t="str">
        <f>HYPERLINK("https://stackoverflow.com/q/37196287", "37196287")</f>
        <v>37196287</v>
      </c>
      <c r="B1324" s="1" t="s">
        <v>4681</v>
      </c>
      <c r="C1324" s="1" t="s">
        <v>4688</v>
      </c>
      <c r="D1324" s="2" t="s">
        <v>4689</v>
      </c>
      <c r="E1324" s="1">
        <v>1.0</v>
      </c>
      <c r="F1324" s="1">
        <v>3.7633138E7</v>
      </c>
      <c r="I1324" s="1">
        <v>7.0</v>
      </c>
      <c r="J1324" s="1">
        <v>19535.0</v>
      </c>
      <c r="L1324" s="1">
        <v>3715482.0</v>
      </c>
      <c r="Q1324" s="1" t="s">
        <v>4690</v>
      </c>
      <c r="R1324" s="1" t="s">
        <v>4691</v>
      </c>
      <c r="S1324" s="1">
        <v>2.0</v>
      </c>
      <c r="T1324" s="1">
        <v>0.0</v>
      </c>
      <c r="U1324" s="1">
        <v>2.0</v>
      </c>
      <c r="X1324" s="1" t="s">
        <v>29</v>
      </c>
      <c r="Z1324" s="1" t="s">
        <v>4692</v>
      </c>
    </row>
    <row r="1325">
      <c r="A1325" s="3" t="str">
        <f>HYPERLINK("https://stackoverflow.com/q/37481142", "37481142")</f>
        <v>37481142</v>
      </c>
      <c r="B1325" s="1" t="s">
        <v>4681</v>
      </c>
      <c r="C1325" s="1" t="s">
        <v>4693</v>
      </c>
      <c r="D1325" s="2" t="s">
        <v>4694</v>
      </c>
      <c r="E1325" s="1">
        <v>1.0</v>
      </c>
      <c r="I1325" s="1">
        <v>1.0</v>
      </c>
      <c r="J1325" s="1">
        <v>5031.0</v>
      </c>
      <c r="L1325" s="1">
        <v>1346161.0</v>
      </c>
      <c r="N1325" s="1">
        <v>1346161.0</v>
      </c>
      <c r="P1325" s="1" t="s">
        <v>4695</v>
      </c>
      <c r="Q1325" s="1" t="s">
        <v>4696</v>
      </c>
      <c r="R1325" s="1" t="s">
        <v>4697</v>
      </c>
      <c r="S1325" s="1">
        <v>1.0</v>
      </c>
      <c r="T1325" s="1">
        <v>0.0</v>
      </c>
      <c r="X1325" s="1" t="s">
        <v>29</v>
      </c>
    </row>
    <row r="1326">
      <c r="A1326" s="3" t="str">
        <f>HYPERLINK("https://stackoverflow.com/q/37484503", "37484503")</f>
        <v>37484503</v>
      </c>
      <c r="B1326" s="1" t="s">
        <v>4681</v>
      </c>
      <c r="C1326" s="1" t="s">
        <v>4698</v>
      </c>
      <c r="D1326" s="2" t="s">
        <v>4699</v>
      </c>
      <c r="E1326" s="1">
        <v>1.0</v>
      </c>
      <c r="I1326" s="1">
        <v>1.0</v>
      </c>
      <c r="J1326" s="1">
        <v>1105.0</v>
      </c>
      <c r="L1326" s="1">
        <v>1346161.0</v>
      </c>
      <c r="N1326" s="1">
        <v>1.2393134E7</v>
      </c>
      <c r="P1326" s="1" t="s">
        <v>4700</v>
      </c>
      <c r="Q1326" s="1" t="s">
        <v>4700</v>
      </c>
      <c r="R1326" s="1" t="s">
        <v>4697</v>
      </c>
      <c r="S1326" s="1">
        <v>1.0</v>
      </c>
      <c r="T1326" s="1">
        <v>0.0</v>
      </c>
      <c r="X1326" s="1" t="s">
        <v>56</v>
      </c>
    </row>
    <row r="1327">
      <c r="A1327" s="3" t="str">
        <f>HYPERLINK("https://stackoverflow.com/q/37489706", "37489706")</f>
        <v>37489706</v>
      </c>
      <c r="B1327" s="1" t="s">
        <v>4681</v>
      </c>
      <c r="C1327" s="1" t="s">
        <v>4701</v>
      </c>
      <c r="D1327" s="2" t="s">
        <v>4702</v>
      </c>
      <c r="E1327" s="1">
        <v>1.0</v>
      </c>
      <c r="I1327" s="1">
        <v>1.0</v>
      </c>
      <c r="J1327" s="1">
        <v>254.0</v>
      </c>
      <c r="L1327" s="1">
        <v>1346161.0</v>
      </c>
      <c r="N1327" s="1">
        <v>1346161.0</v>
      </c>
      <c r="P1327" s="1" t="s">
        <v>4703</v>
      </c>
      <c r="Q1327" s="1" t="s">
        <v>4704</v>
      </c>
      <c r="R1327" s="1" t="s">
        <v>4697</v>
      </c>
      <c r="S1327" s="1">
        <v>1.0</v>
      </c>
      <c r="T1327" s="1">
        <v>0.0</v>
      </c>
      <c r="U1327" s="1">
        <v>1.0</v>
      </c>
      <c r="X1327" s="1" t="s">
        <v>29</v>
      </c>
    </row>
    <row r="1328">
      <c r="A1328" s="3" t="str">
        <f>HYPERLINK("https://stackoverflow.com/q/37521245", "37521245")</f>
        <v>37521245</v>
      </c>
      <c r="B1328" s="1" t="s">
        <v>4681</v>
      </c>
      <c r="C1328" s="1" t="s">
        <v>4705</v>
      </c>
      <c r="D1328" s="2" t="s">
        <v>4706</v>
      </c>
      <c r="E1328" s="1">
        <v>1.0</v>
      </c>
      <c r="I1328" s="1">
        <v>0.0</v>
      </c>
      <c r="J1328" s="1">
        <v>1683.0</v>
      </c>
      <c r="L1328" s="1">
        <v>1346161.0</v>
      </c>
      <c r="N1328" s="1">
        <v>1346161.0</v>
      </c>
      <c r="P1328" s="1" t="s">
        <v>4707</v>
      </c>
      <c r="Q1328" s="1" t="s">
        <v>4708</v>
      </c>
      <c r="R1328" s="1" t="s">
        <v>4697</v>
      </c>
      <c r="S1328" s="1">
        <v>1.0</v>
      </c>
      <c r="T1328" s="1">
        <v>0.0</v>
      </c>
      <c r="X1328" s="1" t="s">
        <v>29</v>
      </c>
    </row>
    <row r="1329">
      <c r="A1329" s="3" t="str">
        <f>HYPERLINK("https://stackoverflow.com/q/37816734", "37816734")</f>
        <v>37816734</v>
      </c>
      <c r="B1329" s="1" t="s">
        <v>4681</v>
      </c>
      <c r="C1329" s="1" t="s">
        <v>4709</v>
      </c>
      <c r="D1329" s="2" t="s">
        <v>4710</v>
      </c>
      <c r="E1329" s="1">
        <v>1.0</v>
      </c>
      <c r="I1329" s="1">
        <v>1.0</v>
      </c>
      <c r="J1329" s="1">
        <v>8237.0</v>
      </c>
      <c r="L1329" s="1">
        <v>6465397.0</v>
      </c>
      <c r="N1329" s="1">
        <v>2788608.0</v>
      </c>
      <c r="P1329" s="1" t="s">
        <v>4711</v>
      </c>
      <c r="Q1329" s="1" t="s">
        <v>4712</v>
      </c>
      <c r="R1329" s="1" t="s">
        <v>4713</v>
      </c>
      <c r="S1329" s="1">
        <v>3.0</v>
      </c>
      <c r="T1329" s="1">
        <v>0.0</v>
      </c>
      <c r="U1329" s="1">
        <v>1.0</v>
      </c>
      <c r="X1329" s="1" t="s">
        <v>29</v>
      </c>
    </row>
    <row r="1330">
      <c r="A1330" s="3" t="str">
        <f>HYPERLINK("https://stackoverflow.com/q/37916645", "37916645")</f>
        <v>37916645</v>
      </c>
      <c r="B1330" s="1" t="s">
        <v>4681</v>
      </c>
      <c r="C1330" s="1" t="s">
        <v>4714</v>
      </c>
      <c r="D1330" s="2" t="s">
        <v>4715</v>
      </c>
      <c r="E1330" s="1">
        <v>1.0</v>
      </c>
      <c r="I1330" s="1">
        <v>1.0</v>
      </c>
      <c r="J1330" s="1">
        <v>374.0</v>
      </c>
      <c r="L1330" s="1">
        <v>6487853.0</v>
      </c>
      <c r="N1330" s="1">
        <v>915364.0</v>
      </c>
      <c r="P1330" s="1" t="s">
        <v>4716</v>
      </c>
      <c r="Q1330" s="1" t="s">
        <v>4716</v>
      </c>
      <c r="R1330" s="1" t="s">
        <v>4717</v>
      </c>
      <c r="S1330" s="1">
        <v>2.0</v>
      </c>
      <c r="T1330" s="1">
        <v>0.0</v>
      </c>
      <c r="X1330" s="1" t="s">
        <v>29</v>
      </c>
    </row>
    <row r="1331">
      <c r="A1331" s="3" t="str">
        <f>HYPERLINK("https://stackoverflow.com/q/38699998", "38699998")</f>
        <v>38699998</v>
      </c>
      <c r="B1331" s="1" t="s">
        <v>4681</v>
      </c>
      <c r="C1331" s="1" t="s">
        <v>4718</v>
      </c>
      <c r="D1331" s="2" t="s">
        <v>4719</v>
      </c>
      <c r="E1331" s="1">
        <v>1.0</v>
      </c>
      <c r="F1331" s="1">
        <v>3.8701235E7</v>
      </c>
      <c r="I1331" s="1">
        <v>0.0</v>
      </c>
      <c r="J1331" s="1">
        <v>366.0</v>
      </c>
      <c r="L1331" s="1">
        <v>6663456.0</v>
      </c>
      <c r="Q1331" s="1" t="s">
        <v>4720</v>
      </c>
      <c r="R1331" s="1" t="s">
        <v>4721</v>
      </c>
      <c r="S1331" s="1">
        <v>2.0</v>
      </c>
      <c r="T1331" s="1">
        <v>0.0</v>
      </c>
      <c r="X1331" s="1" t="s">
        <v>29</v>
      </c>
      <c r="Z1331" s="1" t="s">
        <v>4722</v>
      </c>
    </row>
    <row r="1332">
      <c r="A1332" s="3" t="str">
        <f>HYPERLINK("https://stackoverflow.com/q/39232599", "39232599")</f>
        <v>39232599</v>
      </c>
      <c r="B1332" s="1" t="s">
        <v>4681</v>
      </c>
      <c r="C1332" s="1" t="s">
        <v>4723</v>
      </c>
      <c r="D1332" s="2" t="s">
        <v>4724</v>
      </c>
      <c r="E1332" s="1">
        <v>1.0</v>
      </c>
      <c r="F1332" s="1">
        <v>3.9262911E7</v>
      </c>
      <c r="I1332" s="1">
        <v>11.0</v>
      </c>
      <c r="J1332" s="1">
        <v>19132.0</v>
      </c>
      <c r="L1332" s="1">
        <v>3245390.0</v>
      </c>
      <c r="Q1332" s="1" t="s">
        <v>4725</v>
      </c>
      <c r="R1332" s="1" t="s">
        <v>4697</v>
      </c>
      <c r="S1332" s="1">
        <v>1.0</v>
      </c>
      <c r="T1332" s="1">
        <v>0.0</v>
      </c>
      <c r="U1332" s="1">
        <v>3.0</v>
      </c>
      <c r="X1332" s="1" t="s">
        <v>29</v>
      </c>
      <c r="Z1332" s="1" t="s">
        <v>4726</v>
      </c>
    </row>
    <row r="1333">
      <c r="A1333" s="3" t="str">
        <f>HYPERLINK("https://stackoverflow.com/q/39320810", "39320810")</f>
        <v>39320810</v>
      </c>
      <c r="B1333" s="1" t="s">
        <v>4681</v>
      </c>
      <c r="C1333" s="1" t="s">
        <v>4727</v>
      </c>
      <c r="D1333" s="2" t="s">
        <v>4728</v>
      </c>
      <c r="E1333" s="1">
        <v>1.0</v>
      </c>
      <c r="I1333" s="1">
        <v>1.0</v>
      </c>
      <c r="J1333" s="1">
        <v>113.0</v>
      </c>
      <c r="L1333" s="1">
        <v>2630261.0</v>
      </c>
      <c r="N1333" s="1">
        <v>2952074.0</v>
      </c>
      <c r="P1333" s="1" t="s">
        <v>4729</v>
      </c>
      <c r="Q1333" s="1" t="s">
        <v>4729</v>
      </c>
      <c r="R1333" s="1" t="s">
        <v>4730</v>
      </c>
      <c r="S1333" s="1">
        <v>1.0</v>
      </c>
      <c r="T1333" s="1">
        <v>0.0</v>
      </c>
      <c r="X1333" s="1" t="s">
        <v>29</v>
      </c>
    </row>
    <row r="1334">
      <c r="A1334" s="3" t="str">
        <f>HYPERLINK("https://stackoverflow.com/q/39488461", "39488461")</f>
        <v>39488461</v>
      </c>
      <c r="B1334" s="1" t="s">
        <v>4681</v>
      </c>
      <c r="C1334" s="1" t="s">
        <v>4731</v>
      </c>
      <c r="D1334" s="2" t="s">
        <v>4732</v>
      </c>
      <c r="E1334" s="1">
        <v>1.0</v>
      </c>
      <c r="F1334" s="1">
        <v>3.9489286E7</v>
      </c>
      <c r="I1334" s="1">
        <v>2.0</v>
      </c>
      <c r="J1334" s="1">
        <v>9531.0</v>
      </c>
      <c r="L1334" s="1">
        <v>6373942.0</v>
      </c>
      <c r="N1334" s="1">
        <v>6373942.0</v>
      </c>
      <c r="P1334" s="1" t="s">
        <v>4733</v>
      </c>
      <c r="Q1334" s="1" t="s">
        <v>4734</v>
      </c>
      <c r="R1334" s="1" t="s">
        <v>4697</v>
      </c>
      <c r="S1334" s="1">
        <v>2.0</v>
      </c>
      <c r="T1334" s="1">
        <v>1.0</v>
      </c>
      <c r="X1334" s="1" t="s">
        <v>29</v>
      </c>
      <c r="Z1334" s="1" t="s">
        <v>4735</v>
      </c>
    </row>
    <row r="1335">
      <c r="A1335" s="3" t="str">
        <f>HYPERLINK("https://stackoverflow.com/q/39490200", "39490200")</f>
        <v>39490200</v>
      </c>
      <c r="B1335" s="1" t="s">
        <v>4681</v>
      </c>
      <c r="C1335" s="1" t="s">
        <v>4736</v>
      </c>
      <c r="D1335" s="2" t="s">
        <v>4737</v>
      </c>
      <c r="E1335" s="1">
        <v>1.0</v>
      </c>
      <c r="F1335" s="1">
        <v>3.9493806E7</v>
      </c>
      <c r="I1335" s="1">
        <v>2.0</v>
      </c>
      <c r="J1335" s="1">
        <v>10721.0</v>
      </c>
      <c r="L1335" s="1">
        <v>6373942.0</v>
      </c>
      <c r="Q1335" s="1" t="s">
        <v>4738</v>
      </c>
      <c r="R1335" s="1" t="s">
        <v>4697</v>
      </c>
      <c r="S1335" s="1">
        <v>1.0</v>
      </c>
      <c r="T1335" s="1">
        <v>0.0</v>
      </c>
      <c r="X1335" s="1" t="s">
        <v>29</v>
      </c>
      <c r="Z1335" s="1" t="s">
        <v>4738</v>
      </c>
    </row>
    <row r="1336">
      <c r="A1336" s="3" t="str">
        <f>HYPERLINK("https://stackoverflow.com/q/39493708", "39493708")</f>
        <v>39493708</v>
      </c>
      <c r="B1336" s="1" t="s">
        <v>4681</v>
      </c>
      <c r="C1336" s="1" t="s">
        <v>4739</v>
      </c>
      <c r="D1336" s="2" t="s">
        <v>4740</v>
      </c>
      <c r="E1336" s="1">
        <v>1.0</v>
      </c>
      <c r="F1336" s="1">
        <v>3.9495121E7</v>
      </c>
      <c r="I1336" s="1">
        <v>3.0</v>
      </c>
      <c r="J1336" s="1">
        <v>7151.0</v>
      </c>
      <c r="L1336" s="1">
        <v>6373942.0</v>
      </c>
      <c r="Q1336" s="1" t="s">
        <v>4741</v>
      </c>
      <c r="R1336" s="1" t="s">
        <v>4697</v>
      </c>
      <c r="S1336" s="1">
        <v>1.0</v>
      </c>
      <c r="T1336" s="1">
        <v>0.0</v>
      </c>
      <c r="X1336" s="1" t="s">
        <v>29</v>
      </c>
      <c r="Z1336" s="1" t="s">
        <v>4741</v>
      </c>
    </row>
    <row r="1337">
      <c r="A1337" s="3" t="str">
        <f>HYPERLINK("https://stackoverflow.com/q/40159662", "40159662")</f>
        <v>40159662</v>
      </c>
      <c r="B1337" s="1" t="s">
        <v>4681</v>
      </c>
      <c r="C1337" s="1" t="s">
        <v>4742</v>
      </c>
      <c r="D1337" s="2" t="s">
        <v>4743</v>
      </c>
      <c r="E1337" s="1">
        <v>1.0</v>
      </c>
      <c r="F1337" s="1">
        <v>4.0179372E7</v>
      </c>
      <c r="I1337" s="1">
        <v>2.0</v>
      </c>
      <c r="J1337" s="1">
        <v>21873.0</v>
      </c>
      <c r="L1337" s="1">
        <v>2959978.0</v>
      </c>
      <c r="Q1337" s="1" t="s">
        <v>4744</v>
      </c>
      <c r="R1337" s="1" t="s">
        <v>4697</v>
      </c>
      <c r="S1337" s="1">
        <v>2.0</v>
      </c>
      <c r="T1337" s="1">
        <v>0.0</v>
      </c>
      <c r="U1337" s="1">
        <v>0.0</v>
      </c>
      <c r="X1337" s="1" t="s">
        <v>29</v>
      </c>
      <c r="Z1337" s="1" t="s">
        <v>4745</v>
      </c>
    </row>
    <row r="1338">
      <c r="A1338" s="3" t="str">
        <f>HYPERLINK("https://stackoverflow.com/q/41002487", "41002487")</f>
        <v>41002487</v>
      </c>
      <c r="B1338" s="1" t="s">
        <v>4681</v>
      </c>
      <c r="C1338" s="1" t="s">
        <v>4746</v>
      </c>
      <c r="D1338" s="2" t="s">
        <v>4747</v>
      </c>
      <c r="E1338" s="1">
        <v>1.0</v>
      </c>
      <c r="I1338" s="1">
        <v>1.0</v>
      </c>
      <c r="J1338" s="1">
        <v>5130.0</v>
      </c>
      <c r="L1338" s="1">
        <v>4984268.0</v>
      </c>
      <c r="Q1338" s="1" t="s">
        <v>4748</v>
      </c>
      <c r="R1338" s="1" t="s">
        <v>4749</v>
      </c>
      <c r="S1338" s="1">
        <v>2.0</v>
      </c>
      <c r="T1338" s="1">
        <v>0.0</v>
      </c>
      <c r="X1338" s="1" t="s">
        <v>29</v>
      </c>
    </row>
    <row r="1339">
      <c r="A1339" s="3" t="str">
        <f>HYPERLINK("https://stackoverflow.com/q/41036556", "41036556")</f>
        <v>41036556</v>
      </c>
      <c r="B1339" s="1" t="s">
        <v>4681</v>
      </c>
      <c r="C1339" s="1" t="s">
        <v>4750</v>
      </c>
      <c r="D1339" s="2" t="s">
        <v>4751</v>
      </c>
      <c r="E1339" s="1">
        <v>1.0</v>
      </c>
      <c r="I1339" s="1">
        <v>1.0</v>
      </c>
      <c r="J1339" s="1">
        <v>1420.0</v>
      </c>
      <c r="L1339" s="1">
        <v>7263714.0</v>
      </c>
      <c r="Q1339" s="1" t="s">
        <v>4752</v>
      </c>
      <c r="R1339" s="1" t="s">
        <v>4697</v>
      </c>
      <c r="S1339" s="1">
        <v>2.0</v>
      </c>
      <c r="T1339" s="1">
        <v>0.0</v>
      </c>
      <c r="X1339" s="1" t="s">
        <v>29</v>
      </c>
    </row>
    <row r="1340">
      <c r="A1340" s="3" t="str">
        <f>HYPERLINK("https://stackoverflow.com/q/41291090", "41291090")</f>
        <v>41291090</v>
      </c>
      <c r="B1340" s="1" t="s">
        <v>4681</v>
      </c>
      <c r="C1340" s="1" t="s">
        <v>4753</v>
      </c>
      <c r="D1340" s="2" t="s">
        <v>4754</v>
      </c>
      <c r="E1340" s="1">
        <v>1.0</v>
      </c>
      <c r="I1340" s="1">
        <v>1.0</v>
      </c>
      <c r="J1340" s="1">
        <v>1556.0</v>
      </c>
      <c r="L1340" s="1">
        <v>2513786.0</v>
      </c>
      <c r="Q1340" s="1" t="s">
        <v>4755</v>
      </c>
      <c r="R1340" s="1" t="s">
        <v>4756</v>
      </c>
      <c r="S1340" s="1">
        <v>1.0</v>
      </c>
      <c r="T1340" s="1">
        <v>1.0</v>
      </c>
      <c r="X1340" s="1" t="s">
        <v>29</v>
      </c>
    </row>
    <row r="1341">
      <c r="A1341" s="3" t="str">
        <f>HYPERLINK("https://stackoverflow.com/q/41360274", "41360274")</f>
        <v>41360274</v>
      </c>
      <c r="B1341" s="1" t="s">
        <v>4681</v>
      </c>
      <c r="C1341" s="1" t="s">
        <v>4757</v>
      </c>
      <c r="D1341" s="2" t="s">
        <v>4758</v>
      </c>
      <c r="E1341" s="1">
        <v>1.0</v>
      </c>
      <c r="I1341" s="1">
        <v>0.0</v>
      </c>
      <c r="J1341" s="1">
        <v>158.0</v>
      </c>
      <c r="L1341" s="1">
        <v>792659.0</v>
      </c>
      <c r="Q1341" s="1" t="s">
        <v>4759</v>
      </c>
      <c r="R1341" s="1" t="s">
        <v>4760</v>
      </c>
      <c r="S1341" s="1">
        <v>1.0</v>
      </c>
      <c r="T1341" s="1">
        <v>0.0</v>
      </c>
      <c r="X1341" s="1" t="s">
        <v>29</v>
      </c>
    </row>
    <row r="1342">
      <c r="A1342" s="3" t="str">
        <f>HYPERLINK("https://stackoverflow.com/q/41484050", "41484050")</f>
        <v>41484050</v>
      </c>
      <c r="B1342" s="1" t="s">
        <v>4681</v>
      </c>
      <c r="C1342" s="1" t="s">
        <v>4761</v>
      </c>
      <c r="D1342" s="2" t="s">
        <v>4762</v>
      </c>
      <c r="E1342" s="1">
        <v>1.0</v>
      </c>
      <c r="I1342" s="1">
        <v>0.0</v>
      </c>
      <c r="J1342" s="1">
        <v>2454.0</v>
      </c>
      <c r="L1342" s="1">
        <v>7194276.0</v>
      </c>
      <c r="Q1342" s="1" t="s">
        <v>4763</v>
      </c>
      <c r="R1342" s="1" t="s">
        <v>4697</v>
      </c>
      <c r="S1342" s="1">
        <v>3.0</v>
      </c>
      <c r="T1342" s="1">
        <v>0.0</v>
      </c>
      <c r="X1342" s="1" t="s">
        <v>29</v>
      </c>
    </row>
    <row r="1343">
      <c r="A1343" s="3" t="str">
        <f>HYPERLINK("https://stackoverflow.com/q/41577382", "41577382")</f>
        <v>41577382</v>
      </c>
      <c r="B1343" s="1" t="s">
        <v>4681</v>
      </c>
      <c r="C1343" s="1" t="s">
        <v>4764</v>
      </c>
      <c r="D1343" s="2" t="s">
        <v>4765</v>
      </c>
      <c r="E1343" s="1">
        <v>1.0</v>
      </c>
      <c r="I1343" s="1">
        <v>3.0</v>
      </c>
      <c r="J1343" s="1">
        <v>2199.0</v>
      </c>
      <c r="L1343" s="1">
        <v>3945848.0</v>
      </c>
      <c r="Q1343" s="1" t="s">
        <v>4766</v>
      </c>
      <c r="R1343" s="1" t="s">
        <v>4767</v>
      </c>
      <c r="S1343" s="1">
        <v>1.0</v>
      </c>
      <c r="T1343" s="1">
        <v>0.0</v>
      </c>
      <c r="U1343" s="1">
        <v>1.0</v>
      </c>
      <c r="X1343" s="1" t="s">
        <v>29</v>
      </c>
    </row>
    <row r="1344">
      <c r="A1344" s="3" t="str">
        <f>HYPERLINK("https://stackoverflow.com/q/41580358", "41580358")</f>
        <v>41580358</v>
      </c>
      <c r="B1344" s="1" t="s">
        <v>4681</v>
      </c>
      <c r="C1344" s="1" t="s">
        <v>4768</v>
      </c>
      <c r="D1344" s="2" t="s">
        <v>4769</v>
      </c>
      <c r="E1344" s="1">
        <v>1.0</v>
      </c>
      <c r="I1344" s="1">
        <v>1.0</v>
      </c>
      <c r="J1344" s="1">
        <v>1141.0</v>
      </c>
      <c r="L1344" s="1">
        <v>7401917.0</v>
      </c>
      <c r="Q1344" s="1" t="s">
        <v>4770</v>
      </c>
      <c r="R1344" s="1" t="s">
        <v>4771</v>
      </c>
      <c r="S1344" s="1">
        <v>1.0</v>
      </c>
      <c r="T1344" s="1">
        <v>0.0</v>
      </c>
      <c r="X1344" s="1" t="s">
        <v>29</v>
      </c>
    </row>
    <row r="1345">
      <c r="A1345" s="3" t="str">
        <f>HYPERLINK("https://stackoverflow.com/q/41652958", "41652958")</f>
        <v>41652958</v>
      </c>
      <c r="B1345" s="1" t="s">
        <v>4681</v>
      </c>
      <c r="C1345" s="1" t="s">
        <v>4772</v>
      </c>
      <c r="D1345" s="2" t="s">
        <v>4773</v>
      </c>
      <c r="E1345" s="1">
        <v>1.0</v>
      </c>
      <c r="I1345" s="1">
        <v>1.0</v>
      </c>
      <c r="J1345" s="1">
        <v>1001.0</v>
      </c>
      <c r="L1345" s="1">
        <v>7419136.0</v>
      </c>
      <c r="Q1345" s="1" t="s">
        <v>4774</v>
      </c>
      <c r="R1345" s="1" t="s">
        <v>4775</v>
      </c>
      <c r="S1345" s="1">
        <v>1.0</v>
      </c>
      <c r="T1345" s="1">
        <v>0.0</v>
      </c>
      <c r="X1345" s="1" t="s">
        <v>29</v>
      </c>
    </row>
    <row r="1346">
      <c r="A1346" s="3" t="str">
        <f>HYPERLINK("https://stackoverflow.com/q/41733883", "41733883")</f>
        <v>41733883</v>
      </c>
      <c r="B1346" s="1" t="s">
        <v>4681</v>
      </c>
      <c r="C1346" s="1" t="s">
        <v>4776</v>
      </c>
      <c r="D1346" s="2" t="s">
        <v>4777</v>
      </c>
      <c r="E1346" s="1">
        <v>1.0</v>
      </c>
      <c r="I1346" s="1">
        <v>0.0</v>
      </c>
      <c r="J1346" s="1">
        <v>786.0</v>
      </c>
      <c r="L1346" s="1">
        <v>5036124.0</v>
      </c>
      <c r="Q1346" s="1" t="s">
        <v>4778</v>
      </c>
      <c r="R1346" s="1" t="s">
        <v>4779</v>
      </c>
      <c r="S1346" s="1">
        <v>2.0</v>
      </c>
      <c r="T1346" s="1">
        <v>0.0</v>
      </c>
      <c r="X1346" s="1" t="s">
        <v>29</v>
      </c>
    </row>
    <row r="1347">
      <c r="A1347" s="3" t="str">
        <f>HYPERLINK("https://stackoverflow.com/q/41755842", "41755842")</f>
        <v>41755842</v>
      </c>
      <c r="B1347" s="1" t="s">
        <v>4681</v>
      </c>
      <c r="C1347" s="1" t="s">
        <v>4780</v>
      </c>
      <c r="D1347" s="2" t="s">
        <v>4781</v>
      </c>
      <c r="E1347" s="1">
        <v>1.0</v>
      </c>
      <c r="I1347" s="1">
        <v>1.0</v>
      </c>
      <c r="J1347" s="1">
        <v>326.0</v>
      </c>
      <c r="L1347" s="1">
        <v>7444357.0</v>
      </c>
      <c r="Q1347" s="1" t="s">
        <v>4782</v>
      </c>
      <c r="R1347" s="1" t="s">
        <v>4697</v>
      </c>
      <c r="S1347" s="1">
        <v>0.0</v>
      </c>
      <c r="T1347" s="1">
        <v>0.0</v>
      </c>
      <c r="X1347" s="1" t="s">
        <v>29</v>
      </c>
    </row>
    <row r="1348">
      <c r="A1348" s="3" t="str">
        <f>HYPERLINK("https://stackoverflow.com/q/41806580", "41806580")</f>
        <v>41806580</v>
      </c>
      <c r="B1348" s="1" t="s">
        <v>4681</v>
      </c>
      <c r="C1348" s="1" t="s">
        <v>4783</v>
      </c>
      <c r="D1348" s="2" t="s">
        <v>4784</v>
      </c>
      <c r="E1348" s="1">
        <v>1.0</v>
      </c>
      <c r="I1348" s="1">
        <v>2.0</v>
      </c>
      <c r="J1348" s="1">
        <v>2824.0</v>
      </c>
      <c r="L1348" s="1">
        <v>6331523.0</v>
      </c>
      <c r="Q1348" s="1" t="s">
        <v>4785</v>
      </c>
      <c r="R1348" s="1" t="s">
        <v>4697</v>
      </c>
      <c r="S1348" s="1">
        <v>3.0</v>
      </c>
      <c r="T1348" s="1">
        <v>0.0</v>
      </c>
      <c r="X1348" s="1" t="s">
        <v>29</v>
      </c>
    </row>
    <row r="1349">
      <c r="A1349" s="3" t="str">
        <f>HYPERLINK("https://stackoverflow.com/q/41883521", "41883521")</f>
        <v>41883521</v>
      </c>
      <c r="B1349" s="1" t="s">
        <v>4681</v>
      </c>
      <c r="C1349" s="1" t="s">
        <v>4786</v>
      </c>
      <c r="D1349" s="2" t="s">
        <v>4787</v>
      </c>
      <c r="E1349" s="1">
        <v>1.0</v>
      </c>
      <c r="I1349" s="1">
        <v>0.0</v>
      </c>
      <c r="J1349" s="1">
        <v>2553.0</v>
      </c>
      <c r="L1349" s="1">
        <v>7085491.0</v>
      </c>
      <c r="Q1349" s="1" t="s">
        <v>4788</v>
      </c>
      <c r="R1349" s="1" t="s">
        <v>4789</v>
      </c>
      <c r="S1349" s="1">
        <v>1.0</v>
      </c>
      <c r="T1349" s="1">
        <v>0.0</v>
      </c>
      <c r="X1349" s="1" t="s">
        <v>29</v>
      </c>
    </row>
    <row r="1350">
      <c r="A1350" s="3" t="str">
        <f>HYPERLINK("https://stackoverflow.com/q/41920583", "41920583")</f>
        <v>41920583</v>
      </c>
      <c r="B1350" s="1" t="s">
        <v>4681</v>
      </c>
      <c r="C1350" s="1" t="s">
        <v>4790</v>
      </c>
      <c r="D1350" s="2" t="s">
        <v>4791</v>
      </c>
      <c r="E1350" s="1">
        <v>1.0</v>
      </c>
      <c r="I1350" s="1">
        <v>0.0</v>
      </c>
      <c r="J1350" s="1">
        <v>118.0</v>
      </c>
      <c r="L1350" s="1">
        <v>7485833.0</v>
      </c>
      <c r="Q1350" s="1" t="s">
        <v>4790</v>
      </c>
      <c r="R1350" s="1" t="s">
        <v>4792</v>
      </c>
      <c r="S1350" s="1">
        <v>0.0</v>
      </c>
      <c r="T1350" s="1">
        <v>4.0</v>
      </c>
      <c r="V1350" s="1" t="s">
        <v>4793</v>
      </c>
      <c r="X1350" s="1" t="s">
        <v>29</v>
      </c>
    </row>
    <row r="1351">
      <c r="A1351" s="3" t="str">
        <f>HYPERLINK("https://stackoverflow.com/q/41935351", "41935351")</f>
        <v>41935351</v>
      </c>
      <c r="B1351" s="1" t="s">
        <v>4681</v>
      </c>
      <c r="C1351" s="1" t="s">
        <v>4794</v>
      </c>
      <c r="D1351" s="2" t="s">
        <v>4795</v>
      </c>
      <c r="E1351" s="1">
        <v>1.0</v>
      </c>
      <c r="F1351" s="1">
        <v>4.1935566E7</v>
      </c>
      <c r="I1351" s="1">
        <v>2.0</v>
      </c>
      <c r="J1351" s="1">
        <v>2905.0</v>
      </c>
      <c r="L1351" s="1">
        <v>3116151.0</v>
      </c>
      <c r="Q1351" s="1" t="s">
        <v>4796</v>
      </c>
      <c r="R1351" s="1" t="s">
        <v>4797</v>
      </c>
      <c r="S1351" s="1">
        <v>1.0</v>
      </c>
      <c r="T1351" s="1">
        <v>0.0</v>
      </c>
      <c r="X1351" s="1" t="s">
        <v>29</v>
      </c>
      <c r="Z1351" s="1" t="s">
        <v>4798</v>
      </c>
    </row>
    <row r="1352">
      <c r="A1352" s="3" t="str">
        <f>HYPERLINK("https://stackoverflow.com/q/42073424", "42073424")</f>
        <v>42073424</v>
      </c>
      <c r="B1352" s="1" t="s">
        <v>4681</v>
      </c>
      <c r="C1352" s="1" t="s">
        <v>4799</v>
      </c>
      <c r="D1352" s="2" t="s">
        <v>4800</v>
      </c>
      <c r="E1352" s="1">
        <v>1.0</v>
      </c>
      <c r="I1352" s="1">
        <v>1.0</v>
      </c>
      <c r="J1352" s="1">
        <v>1064.0</v>
      </c>
      <c r="L1352" s="1">
        <v>1545690.0</v>
      </c>
      <c r="Q1352" s="1" t="s">
        <v>4801</v>
      </c>
      <c r="R1352" s="1" t="s">
        <v>4697</v>
      </c>
      <c r="S1352" s="1">
        <v>1.0</v>
      </c>
      <c r="T1352" s="1">
        <v>0.0</v>
      </c>
      <c r="X1352" s="1" t="s">
        <v>29</v>
      </c>
    </row>
    <row r="1353">
      <c r="A1353" s="3" t="str">
        <f>HYPERLINK("https://stackoverflow.com/q/42388942", "42388942")</f>
        <v>42388942</v>
      </c>
      <c r="B1353" s="1" t="s">
        <v>4681</v>
      </c>
      <c r="C1353" s="1" t="s">
        <v>4802</v>
      </c>
      <c r="D1353" s="2" t="s">
        <v>4803</v>
      </c>
      <c r="E1353" s="1">
        <v>1.0</v>
      </c>
      <c r="I1353" s="1">
        <v>0.0</v>
      </c>
      <c r="J1353" s="1">
        <v>1294.0</v>
      </c>
      <c r="L1353" s="1">
        <v>7290461.0</v>
      </c>
      <c r="Q1353" s="1" t="s">
        <v>4804</v>
      </c>
      <c r="R1353" s="1" t="s">
        <v>4805</v>
      </c>
      <c r="S1353" s="1">
        <v>1.0</v>
      </c>
      <c r="T1353" s="1">
        <v>0.0</v>
      </c>
      <c r="X1353" s="1" t="s">
        <v>29</v>
      </c>
    </row>
    <row r="1354">
      <c r="A1354" s="3" t="str">
        <f>HYPERLINK("https://stackoverflow.com/q/42483638", "42483638")</f>
        <v>42483638</v>
      </c>
      <c r="B1354" s="1" t="s">
        <v>4681</v>
      </c>
      <c r="C1354" s="1" t="s">
        <v>4806</v>
      </c>
      <c r="D1354" s="2" t="s">
        <v>4807</v>
      </c>
      <c r="E1354" s="1">
        <v>1.0</v>
      </c>
      <c r="I1354" s="1">
        <v>0.0</v>
      </c>
      <c r="J1354" s="1">
        <v>580.0</v>
      </c>
      <c r="L1354" s="1">
        <v>6577968.0</v>
      </c>
      <c r="Q1354" s="1" t="s">
        <v>4808</v>
      </c>
      <c r="R1354" s="1" t="s">
        <v>4767</v>
      </c>
      <c r="S1354" s="1">
        <v>2.0</v>
      </c>
      <c r="T1354" s="1">
        <v>0.0</v>
      </c>
      <c r="X1354" s="1" t="s">
        <v>29</v>
      </c>
    </row>
    <row r="1355">
      <c r="A1355" s="3" t="str">
        <f>HYPERLINK("https://stackoverflow.com/q/42530654", "42530654")</f>
        <v>42530654</v>
      </c>
      <c r="B1355" s="1" t="s">
        <v>4681</v>
      </c>
      <c r="C1355" s="1" t="s">
        <v>4809</v>
      </c>
      <c r="D1355" s="2" t="s">
        <v>4810</v>
      </c>
      <c r="E1355" s="1">
        <v>1.0</v>
      </c>
      <c r="I1355" s="1">
        <v>4.0</v>
      </c>
      <c r="J1355" s="1">
        <v>1927.0</v>
      </c>
      <c r="L1355" s="1">
        <v>7640938.0</v>
      </c>
      <c r="N1355" s="1">
        <v>7640938.0</v>
      </c>
      <c r="P1355" s="1" t="s">
        <v>4811</v>
      </c>
      <c r="Q1355" s="1" t="s">
        <v>4811</v>
      </c>
      <c r="R1355" s="1" t="s">
        <v>4812</v>
      </c>
      <c r="S1355" s="1">
        <v>1.0</v>
      </c>
      <c r="T1355" s="1">
        <v>1.0</v>
      </c>
      <c r="U1355" s="1">
        <v>4.0</v>
      </c>
      <c r="X1355" s="1" t="s">
        <v>29</v>
      </c>
    </row>
    <row r="1356">
      <c r="A1356" s="3" t="str">
        <f>HYPERLINK("https://stackoverflow.com/q/42859891", "42859891")</f>
        <v>42859891</v>
      </c>
      <c r="B1356" s="1" t="s">
        <v>4681</v>
      </c>
      <c r="C1356" s="1" t="s">
        <v>4813</v>
      </c>
      <c r="D1356" s="2" t="s">
        <v>4814</v>
      </c>
      <c r="E1356" s="1">
        <v>1.0</v>
      </c>
      <c r="F1356" s="1">
        <v>4.2869992E7</v>
      </c>
      <c r="I1356" s="1">
        <v>1.0</v>
      </c>
      <c r="J1356" s="1">
        <v>844.0</v>
      </c>
      <c r="L1356" s="1">
        <v>4589466.0</v>
      </c>
      <c r="N1356" s="1">
        <v>4589466.0</v>
      </c>
      <c r="P1356" s="1" t="s">
        <v>4815</v>
      </c>
      <c r="Q1356" s="1" t="s">
        <v>4816</v>
      </c>
      <c r="R1356" s="1" t="s">
        <v>4697</v>
      </c>
      <c r="S1356" s="1">
        <v>1.0</v>
      </c>
      <c r="T1356" s="1">
        <v>0.0</v>
      </c>
      <c r="X1356" s="1" t="s">
        <v>29</v>
      </c>
      <c r="Z1356" s="1" t="s">
        <v>4817</v>
      </c>
    </row>
    <row r="1357">
      <c r="A1357" s="3" t="str">
        <f>HYPERLINK("https://stackoverflow.com/q/42900540", "42900540")</f>
        <v>42900540</v>
      </c>
      <c r="B1357" s="1" t="s">
        <v>4681</v>
      </c>
      <c r="C1357" s="1" t="s">
        <v>4818</v>
      </c>
      <c r="D1357" s="2" t="s">
        <v>4819</v>
      </c>
      <c r="E1357" s="1">
        <v>1.0</v>
      </c>
      <c r="I1357" s="1">
        <v>0.0</v>
      </c>
      <c r="J1357" s="1">
        <v>3197.0</v>
      </c>
      <c r="L1357" s="1">
        <v>4589466.0</v>
      </c>
      <c r="N1357" s="1">
        <v>4589466.0</v>
      </c>
      <c r="P1357" s="1" t="s">
        <v>4820</v>
      </c>
      <c r="Q1357" s="1" t="s">
        <v>4821</v>
      </c>
      <c r="R1357" s="1" t="s">
        <v>4697</v>
      </c>
      <c r="S1357" s="1">
        <v>1.0</v>
      </c>
      <c r="T1357" s="1">
        <v>0.0</v>
      </c>
      <c r="X1357" s="1" t="s">
        <v>29</v>
      </c>
    </row>
    <row r="1358">
      <c r="A1358" s="3" t="str">
        <f>HYPERLINK("https://stackoverflow.com/q/42912565", "42912565")</f>
        <v>42912565</v>
      </c>
      <c r="B1358" s="1" t="s">
        <v>4681</v>
      </c>
      <c r="C1358" s="1" t="s">
        <v>4822</v>
      </c>
      <c r="D1358" s="2" t="s">
        <v>4823</v>
      </c>
      <c r="E1358" s="1">
        <v>1.0</v>
      </c>
      <c r="I1358" s="1">
        <v>1.0</v>
      </c>
      <c r="J1358" s="1">
        <v>2111.0</v>
      </c>
      <c r="L1358" s="1">
        <v>7741671.0</v>
      </c>
      <c r="Q1358" s="1" t="s">
        <v>4824</v>
      </c>
      <c r="R1358" s="1" t="s">
        <v>4825</v>
      </c>
      <c r="S1358" s="1">
        <v>1.0</v>
      </c>
      <c r="T1358" s="1">
        <v>0.0</v>
      </c>
      <c r="X1358" s="1" t="s">
        <v>29</v>
      </c>
    </row>
    <row r="1359">
      <c r="A1359" s="3" t="str">
        <f>HYPERLINK("https://stackoverflow.com/q/42946766", "42946766")</f>
        <v>42946766</v>
      </c>
      <c r="B1359" s="1" t="s">
        <v>4681</v>
      </c>
      <c r="C1359" s="1" t="s">
        <v>4826</v>
      </c>
      <c r="D1359" s="2" t="s">
        <v>4827</v>
      </c>
      <c r="E1359" s="1">
        <v>1.0</v>
      </c>
      <c r="I1359" s="1">
        <v>1.0</v>
      </c>
      <c r="J1359" s="1">
        <v>639.0</v>
      </c>
      <c r="L1359" s="1">
        <v>1959753.0</v>
      </c>
      <c r="Q1359" s="1" t="s">
        <v>4828</v>
      </c>
      <c r="R1359" s="1" t="s">
        <v>4829</v>
      </c>
      <c r="S1359" s="1">
        <v>1.0</v>
      </c>
      <c r="T1359" s="1">
        <v>0.0</v>
      </c>
      <c r="U1359" s="1">
        <v>1.0</v>
      </c>
      <c r="X1359" s="1" t="s">
        <v>29</v>
      </c>
    </row>
    <row r="1360">
      <c r="A1360" s="3" t="str">
        <f>HYPERLINK("https://stackoverflow.com/q/43261740", "43261740")</f>
        <v>43261740</v>
      </c>
      <c r="B1360" s="1" t="s">
        <v>4681</v>
      </c>
      <c r="C1360" s="1" t="s">
        <v>4830</v>
      </c>
      <c r="D1360" s="2" t="s">
        <v>4831</v>
      </c>
      <c r="E1360" s="1">
        <v>1.0</v>
      </c>
      <c r="I1360" s="1">
        <v>0.0</v>
      </c>
      <c r="J1360" s="1">
        <v>2678.0</v>
      </c>
      <c r="L1360" s="1">
        <v>2350106.0</v>
      </c>
      <c r="Q1360" s="1" t="s">
        <v>4832</v>
      </c>
      <c r="R1360" s="1" t="s">
        <v>4697</v>
      </c>
      <c r="S1360" s="1">
        <v>1.0</v>
      </c>
      <c r="T1360" s="1">
        <v>0.0</v>
      </c>
      <c r="X1360" s="1" t="s">
        <v>29</v>
      </c>
    </row>
    <row r="1361">
      <c r="A1361" s="3" t="str">
        <f>HYPERLINK("https://stackoverflow.com/q/43480568", "43480568")</f>
        <v>43480568</v>
      </c>
      <c r="B1361" s="1" t="s">
        <v>4681</v>
      </c>
      <c r="C1361" s="1" t="s">
        <v>4833</v>
      </c>
      <c r="D1361" s="2" t="s">
        <v>4834</v>
      </c>
      <c r="E1361" s="1">
        <v>1.0</v>
      </c>
      <c r="F1361" s="1">
        <v>4.3505601E7</v>
      </c>
      <c r="I1361" s="1">
        <v>1.0</v>
      </c>
      <c r="J1361" s="1">
        <v>3575.0</v>
      </c>
      <c r="L1361" s="1">
        <v>920007.0</v>
      </c>
      <c r="Q1361" s="1" t="s">
        <v>4835</v>
      </c>
      <c r="R1361" s="1" t="s">
        <v>4836</v>
      </c>
      <c r="S1361" s="1">
        <v>1.0</v>
      </c>
      <c r="T1361" s="1">
        <v>0.0</v>
      </c>
      <c r="X1361" s="1" t="s">
        <v>29</v>
      </c>
      <c r="Z1361" s="1" t="s">
        <v>4837</v>
      </c>
    </row>
    <row r="1362">
      <c r="A1362" s="3" t="str">
        <f>HYPERLINK("https://stackoverflow.com/q/43529651", "43529651")</f>
        <v>43529651</v>
      </c>
      <c r="B1362" s="1" t="s">
        <v>4681</v>
      </c>
      <c r="C1362" s="1" t="s">
        <v>4838</v>
      </c>
      <c r="D1362" s="2" t="s">
        <v>4839</v>
      </c>
      <c r="E1362" s="1">
        <v>1.0</v>
      </c>
      <c r="I1362" s="1">
        <v>1.0</v>
      </c>
      <c r="J1362" s="1">
        <v>1708.0</v>
      </c>
      <c r="L1362" s="1">
        <v>1223463.0</v>
      </c>
      <c r="N1362" s="1">
        <v>915364.0</v>
      </c>
      <c r="P1362" s="1" t="s">
        <v>4840</v>
      </c>
      <c r="Q1362" s="1" t="s">
        <v>4840</v>
      </c>
      <c r="R1362" s="1" t="s">
        <v>4841</v>
      </c>
      <c r="S1362" s="1">
        <v>1.0</v>
      </c>
      <c r="T1362" s="1">
        <v>0.0</v>
      </c>
      <c r="X1362" s="1" t="s">
        <v>29</v>
      </c>
    </row>
    <row r="1363">
      <c r="A1363" s="3" t="str">
        <f>HYPERLINK("https://stackoverflow.com/q/43725028", "43725028")</f>
        <v>43725028</v>
      </c>
      <c r="B1363" s="1" t="s">
        <v>4681</v>
      </c>
      <c r="C1363" s="1" t="s">
        <v>4842</v>
      </c>
      <c r="D1363" s="2" t="s">
        <v>4843</v>
      </c>
      <c r="E1363" s="1">
        <v>1.0</v>
      </c>
      <c r="F1363" s="1">
        <v>4.3725574E7</v>
      </c>
      <c r="I1363" s="1">
        <v>0.0</v>
      </c>
      <c r="J1363" s="1">
        <v>5744.0</v>
      </c>
      <c r="L1363" s="1">
        <v>1227058.0</v>
      </c>
      <c r="Q1363" s="1" t="s">
        <v>4844</v>
      </c>
      <c r="R1363" s="1" t="s">
        <v>4749</v>
      </c>
      <c r="S1363" s="1">
        <v>1.0</v>
      </c>
      <c r="T1363" s="1">
        <v>0.0</v>
      </c>
      <c r="X1363" s="1" t="s">
        <v>29</v>
      </c>
      <c r="Z1363" s="1" t="s">
        <v>4844</v>
      </c>
    </row>
    <row r="1364">
      <c r="A1364" s="3" t="str">
        <f>HYPERLINK("https://stackoverflow.com/q/43861008", "43861008")</f>
        <v>43861008</v>
      </c>
      <c r="B1364" s="1" t="s">
        <v>4681</v>
      </c>
      <c r="C1364" s="1" t="s">
        <v>4845</v>
      </c>
      <c r="D1364" s="2" t="s">
        <v>4846</v>
      </c>
      <c r="E1364" s="1">
        <v>1.0</v>
      </c>
      <c r="F1364" s="1">
        <v>4.3876986E7</v>
      </c>
      <c r="I1364" s="1">
        <v>0.0</v>
      </c>
      <c r="J1364" s="1">
        <v>972.0</v>
      </c>
      <c r="L1364" s="1">
        <v>1119343.0</v>
      </c>
      <c r="Q1364" s="1" t="s">
        <v>4847</v>
      </c>
      <c r="R1364" s="1" t="s">
        <v>4848</v>
      </c>
      <c r="S1364" s="1">
        <v>1.0</v>
      </c>
      <c r="T1364" s="1">
        <v>0.0</v>
      </c>
      <c r="X1364" s="1" t="s">
        <v>29</v>
      </c>
      <c r="Z1364" s="1" t="s">
        <v>4847</v>
      </c>
    </row>
    <row r="1365">
      <c r="A1365" s="3" t="str">
        <f>HYPERLINK("https://stackoverflow.com/q/43876357", "43876357")</f>
        <v>43876357</v>
      </c>
      <c r="B1365" s="1" t="s">
        <v>4681</v>
      </c>
      <c r="C1365" s="1" t="s">
        <v>4849</v>
      </c>
      <c r="D1365" s="2" t="s">
        <v>4850</v>
      </c>
      <c r="E1365" s="1">
        <v>1.0</v>
      </c>
      <c r="F1365" s="1">
        <v>4.3878513E7</v>
      </c>
      <c r="I1365" s="1">
        <v>1.0</v>
      </c>
      <c r="J1365" s="1">
        <v>1281.0</v>
      </c>
      <c r="L1365" s="1">
        <v>1227058.0</v>
      </c>
      <c r="Q1365" s="1" t="s">
        <v>4851</v>
      </c>
      <c r="R1365" s="1" t="s">
        <v>4749</v>
      </c>
      <c r="S1365" s="1">
        <v>1.0</v>
      </c>
      <c r="T1365" s="1">
        <v>0.0</v>
      </c>
      <c r="X1365" s="1" t="s">
        <v>29</v>
      </c>
      <c r="Z1365" s="1" t="s">
        <v>4851</v>
      </c>
    </row>
    <row r="1366">
      <c r="A1366" s="3" t="str">
        <f>HYPERLINK("https://stackoverflow.com/q/43877814", "43877814")</f>
        <v>43877814</v>
      </c>
      <c r="B1366" s="1" t="s">
        <v>4681</v>
      </c>
      <c r="C1366" s="1" t="s">
        <v>4852</v>
      </c>
      <c r="D1366" s="2" t="s">
        <v>4853</v>
      </c>
      <c r="E1366" s="1">
        <v>1.0</v>
      </c>
      <c r="I1366" s="1">
        <v>0.0</v>
      </c>
      <c r="J1366" s="1">
        <v>546.0</v>
      </c>
      <c r="L1366" s="1">
        <v>3402248.0</v>
      </c>
      <c r="N1366" s="1">
        <v>3402248.0</v>
      </c>
      <c r="P1366" s="1" t="s">
        <v>4854</v>
      </c>
      <c r="Q1366" s="1" t="s">
        <v>4855</v>
      </c>
      <c r="R1366" s="1" t="s">
        <v>4856</v>
      </c>
      <c r="S1366" s="1">
        <v>1.0</v>
      </c>
      <c r="T1366" s="1">
        <v>0.0</v>
      </c>
      <c r="X1366" s="1" t="s">
        <v>29</v>
      </c>
    </row>
    <row r="1367">
      <c r="A1367" s="3" t="str">
        <f>HYPERLINK("https://stackoverflow.com/q/43924709", "43924709")</f>
        <v>43924709</v>
      </c>
      <c r="B1367" s="1" t="s">
        <v>4681</v>
      </c>
      <c r="C1367" s="1" t="s">
        <v>4857</v>
      </c>
      <c r="D1367" s="2" t="s">
        <v>4858</v>
      </c>
      <c r="E1367" s="1">
        <v>1.0</v>
      </c>
      <c r="F1367" s="1">
        <v>4.6275349E7</v>
      </c>
      <c r="I1367" s="1">
        <v>2.0</v>
      </c>
      <c r="J1367" s="1">
        <v>1344.0</v>
      </c>
      <c r="L1367" s="1">
        <v>6855437.0</v>
      </c>
      <c r="Q1367" s="1" t="s">
        <v>4859</v>
      </c>
      <c r="R1367" s="1" t="s">
        <v>4697</v>
      </c>
      <c r="S1367" s="1">
        <v>2.0</v>
      </c>
      <c r="T1367" s="1">
        <v>0.0</v>
      </c>
      <c r="X1367" s="1" t="s">
        <v>29</v>
      </c>
      <c r="Z1367" s="1" t="s">
        <v>4860</v>
      </c>
    </row>
    <row r="1368">
      <c r="A1368" s="3" t="str">
        <f>HYPERLINK("https://stackoverflow.com/q/43937563", "43937563")</f>
        <v>43937563</v>
      </c>
      <c r="B1368" s="1" t="s">
        <v>4681</v>
      </c>
      <c r="C1368" s="1" t="s">
        <v>4861</v>
      </c>
      <c r="D1368" s="2" t="s">
        <v>4862</v>
      </c>
      <c r="E1368" s="1">
        <v>1.0</v>
      </c>
      <c r="I1368" s="1">
        <v>0.0</v>
      </c>
      <c r="J1368" s="1">
        <v>199.0</v>
      </c>
      <c r="L1368" s="1">
        <v>846162.0</v>
      </c>
      <c r="Q1368" s="1" t="s">
        <v>4861</v>
      </c>
      <c r="R1368" s="1" t="s">
        <v>4863</v>
      </c>
      <c r="S1368" s="1">
        <v>0.0</v>
      </c>
      <c r="T1368" s="1">
        <v>2.0</v>
      </c>
      <c r="X1368" s="1" t="s">
        <v>29</v>
      </c>
    </row>
    <row r="1369">
      <c r="A1369" s="3" t="str">
        <f>HYPERLINK("https://stackoverflow.com/q/43995671", "43995671")</f>
        <v>43995671</v>
      </c>
      <c r="B1369" s="1" t="s">
        <v>4681</v>
      </c>
      <c r="C1369" s="1" t="s">
        <v>4864</v>
      </c>
      <c r="D1369" s="2" t="s">
        <v>4865</v>
      </c>
      <c r="E1369" s="1">
        <v>1.0</v>
      </c>
      <c r="I1369" s="1">
        <v>0.0</v>
      </c>
      <c r="J1369" s="1">
        <v>816.0</v>
      </c>
      <c r="L1369" s="1">
        <v>7844200.0</v>
      </c>
      <c r="Q1369" s="1" t="s">
        <v>4866</v>
      </c>
      <c r="R1369" s="1" t="s">
        <v>4697</v>
      </c>
      <c r="S1369" s="1">
        <v>2.0</v>
      </c>
      <c r="T1369" s="1">
        <v>0.0</v>
      </c>
      <c r="U1369" s="1">
        <v>1.0</v>
      </c>
      <c r="X1369" s="1" t="s">
        <v>29</v>
      </c>
    </row>
    <row r="1370">
      <c r="A1370" s="3" t="str">
        <f>HYPERLINK("https://stackoverflow.com/q/44073502", "44073502")</f>
        <v>44073502</v>
      </c>
      <c r="B1370" s="1" t="s">
        <v>4681</v>
      </c>
      <c r="C1370" s="1" t="s">
        <v>4867</v>
      </c>
      <c r="D1370" s="2" t="s">
        <v>4868</v>
      </c>
      <c r="E1370" s="1">
        <v>1.0</v>
      </c>
      <c r="F1370" s="1">
        <v>4.4073514E7</v>
      </c>
      <c r="I1370" s="1">
        <v>2.0</v>
      </c>
      <c r="J1370" s="1">
        <v>197.0</v>
      </c>
      <c r="L1370" s="1">
        <v>4229452.0</v>
      </c>
      <c r="Q1370" s="1" t="s">
        <v>4869</v>
      </c>
      <c r="R1370" s="1" t="s">
        <v>4697</v>
      </c>
      <c r="S1370" s="1">
        <v>1.0</v>
      </c>
      <c r="T1370" s="1">
        <v>0.0</v>
      </c>
      <c r="X1370" s="1" t="s">
        <v>29</v>
      </c>
      <c r="Z1370" s="1" t="s">
        <v>4869</v>
      </c>
    </row>
    <row r="1371">
      <c r="A1371" s="3" t="str">
        <f>HYPERLINK("https://stackoverflow.com/q/44102892", "44102892")</f>
        <v>44102892</v>
      </c>
      <c r="B1371" s="1" t="s">
        <v>4681</v>
      </c>
      <c r="C1371" s="1" t="s">
        <v>4870</v>
      </c>
      <c r="D1371" s="2" t="s">
        <v>4871</v>
      </c>
      <c r="E1371" s="1">
        <v>1.0</v>
      </c>
      <c r="I1371" s="1">
        <v>0.0</v>
      </c>
      <c r="J1371" s="1">
        <v>329.0</v>
      </c>
      <c r="L1371" s="1">
        <v>2175431.0</v>
      </c>
      <c r="N1371" s="1">
        <v>1878728.0</v>
      </c>
      <c r="P1371" s="1" t="s">
        <v>4872</v>
      </c>
      <c r="Q1371" s="1" t="s">
        <v>4872</v>
      </c>
      <c r="R1371" s="1" t="s">
        <v>4873</v>
      </c>
      <c r="S1371" s="1">
        <v>1.0</v>
      </c>
      <c r="T1371" s="1">
        <v>0.0</v>
      </c>
      <c r="U1371" s="1">
        <v>0.0</v>
      </c>
      <c r="X1371" s="1" t="s">
        <v>29</v>
      </c>
    </row>
    <row r="1372">
      <c r="A1372" s="3" t="str">
        <f>HYPERLINK("https://stackoverflow.com/q/44178272", "44178272")</f>
        <v>44178272</v>
      </c>
      <c r="B1372" s="1" t="s">
        <v>4681</v>
      </c>
      <c r="C1372" s="1" t="s">
        <v>4874</v>
      </c>
      <c r="D1372" s="2" t="s">
        <v>4875</v>
      </c>
      <c r="E1372" s="1">
        <v>1.0</v>
      </c>
      <c r="I1372" s="1">
        <v>0.0</v>
      </c>
      <c r="J1372" s="1">
        <v>540.0</v>
      </c>
      <c r="L1372" s="1">
        <v>846162.0</v>
      </c>
      <c r="N1372" s="1">
        <v>846162.0</v>
      </c>
      <c r="P1372" s="1" t="s">
        <v>4876</v>
      </c>
      <c r="Q1372" s="1" t="s">
        <v>4876</v>
      </c>
      <c r="R1372" s="1" t="s">
        <v>4697</v>
      </c>
      <c r="S1372" s="1">
        <v>0.0</v>
      </c>
      <c r="T1372" s="1">
        <v>2.0</v>
      </c>
      <c r="X1372" s="1" t="s">
        <v>29</v>
      </c>
    </row>
    <row r="1373">
      <c r="A1373" s="3" t="str">
        <f>HYPERLINK("https://stackoverflow.com/q/44242378", "44242378")</f>
        <v>44242378</v>
      </c>
      <c r="B1373" s="1" t="s">
        <v>4681</v>
      </c>
      <c r="C1373" s="1" t="s">
        <v>4877</v>
      </c>
      <c r="D1373" s="2" t="s">
        <v>4878</v>
      </c>
      <c r="E1373" s="1">
        <v>1.0</v>
      </c>
      <c r="F1373" s="1">
        <v>4.4286904E7</v>
      </c>
      <c r="I1373" s="1">
        <v>0.0</v>
      </c>
      <c r="J1373" s="1">
        <v>4441.0</v>
      </c>
      <c r="L1373" s="1">
        <v>1677734.0</v>
      </c>
      <c r="Q1373" s="1" t="s">
        <v>4879</v>
      </c>
      <c r="R1373" s="1" t="s">
        <v>4880</v>
      </c>
      <c r="S1373" s="1">
        <v>1.0</v>
      </c>
      <c r="T1373" s="1">
        <v>0.0</v>
      </c>
      <c r="X1373" s="1" t="s">
        <v>29</v>
      </c>
      <c r="Z1373" s="1" t="s">
        <v>4881</v>
      </c>
    </row>
    <row r="1374">
      <c r="A1374" s="3" t="str">
        <f>HYPERLINK("https://stackoverflow.com/q/44733222", "44733222")</f>
        <v>44733222</v>
      </c>
      <c r="B1374" s="1" t="s">
        <v>4681</v>
      </c>
      <c r="C1374" s="1" t="s">
        <v>4882</v>
      </c>
      <c r="D1374" s="2" t="s">
        <v>4883</v>
      </c>
      <c r="E1374" s="1">
        <v>1.0</v>
      </c>
      <c r="I1374" s="1">
        <v>1.0</v>
      </c>
      <c r="J1374" s="1">
        <v>217.0</v>
      </c>
      <c r="L1374" s="1">
        <v>1929135.0</v>
      </c>
      <c r="N1374" s="1">
        <v>7920473.0</v>
      </c>
      <c r="P1374" s="1" t="s">
        <v>4884</v>
      </c>
      <c r="Q1374" s="1" t="s">
        <v>4884</v>
      </c>
      <c r="R1374" s="1" t="s">
        <v>4885</v>
      </c>
      <c r="S1374" s="1">
        <v>1.0</v>
      </c>
      <c r="T1374" s="1">
        <v>0.0</v>
      </c>
      <c r="U1374" s="1">
        <v>1.0</v>
      </c>
      <c r="X1374" s="1" t="s">
        <v>29</v>
      </c>
    </row>
    <row r="1375">
      <c r="A1375" s="3" t="str">
        <f>HYPERLINK("https://stackoverflow.com/q/44806952", "44806952")</f>
        <v>44806952</v>
      </c>
      <c r="B1375" s="1" t="s">
        <v>4681</v>
      </c>
      <c r="C1375" s="1" t="s">
        <v>4886</v>
      </c>
      <c r="D1375" s="2" t="s">
        <v>4887</v>
      </c>
      <c r="E1375" s="1">
        <v>1.0</v>
      </c>
      <c r="I1375" s="1">
        <v>2.0</v>
      </c>
      <c r="J1375" s="1">
        <v>760.0</v>
      </c>
      <c r="L1375" s="1">
        <v>7082060.0</v>
      </c>
      <c r="Q1375" s="1" t="s">
        <v>4888</v>
      </c>
      <c r="R1375" s="1" t="s">
        <v>4889</v>
      </c>
      <c r="S1375" s="1">
        <v>1.0</v>
      </c>
      <c r="T1375" s="1">
        <v>0.0</v>
      </c>
      <c r="X1375" s="1" t="s">
        <v>29</v>
      </c>
    </row>
    <row r="1376">
      <c r="A1376" s="3" t="str">
        <f>HYPERLINK("https://stackoverflow.com/q/44920041", "44920041")</f>
        <v>44920041</v>
      </c>
      <c r="B1376" s="1" t="s">
        <v>4681</v>
      </c>
      <c r="C1376" s="1" t="s">
        <v>4890</v>
      </c>
      <c r="D1376" s="2" t="s">
        <v>4891</v>
      </c>
      <c r="E1376" s="1">
        <v>1.0</v>
      </c>
      <c r="I1376" s="1">
        <v>0.0</v>
      </c>
      <c r="J1376" s="1">
        <v>754.0</v>
      </c>
      <c r="L1376" s="1">
        <v>7562954.0</v>
      </c>
      <c r="N1376" s="1">
        <v>472495.0</v>
      </c>
      <c r="P1376" s="1" t="s">
        <v>4892</v>
      </c>
      <c r="Q1376" s="1" t="s">
        <v>4893</v>
      </c>
      <c r="R1376" s="1" t="s">
        <v>4894</v>
      </c>
      <c r="S1376" s="1">
        <v>0.0</v>
      </c>
      <c r="T1376" s="1">
        <v>2.0</v>
      </c>
      <c r="X1376" s="1" t="s">
        <v>29</v>
      </c>
    </row>
    <row r="1377">
      <c r="A1377" s="3" t="str">
        <f>HYPERLINK("https://stackoverflow.com/q/44963674", "44963674")</f>
        <v>44963674</v>
      </c>
      <c r="B1377" s="1" t="s">
        <v>4681</v>
      </c>
      <c r="C1377" s="1" t="s">
        <v>4895</v>
      </c>
      <c r="D1377" s="2" t="s">
        <v>4896</v>
      </c>
      <c r="E1377" s="1">
        <v>1.0</v>
      </c>
      <c r="I1377" s="1">
        <v>0.0</v>
      </c>
      <c r="J1377" s="1">
        <v>284.0</v>
      </c>
      <c r="L1377" s="1">
        <v>7562954.0</v>
      </c>
      <c r="Q1377" s="1" t="s">
        <v>4897</v>
      </c>
      <c r="R1377" s="1" t="s">
        <v>4894</v>
      </c>
      <c r="S1377" s="1">
        <v>1.0</v>
      </c>
      <c r="T1377" s="1">
        <v>1.0</v>
      </c>
      <c r="X1377" s="1" t="s">
        <v>29</v>
      </c>
    </row>
    <row r="1378">
      <c r="A1378" s="3" t="str">
        <f>HYPERLINK("https://stackoverflow.com/q/45145338", "45145338")</f>
        <v>45145338</v>
      </c>
      <c r="B1378" s="1" t="s">
        <v>4681</v>
      </c>
      <c r="C1378" s="1" t="s">
        <v>4898</v>
      </c>
      <c r="D1378" s="2" t="s">
        <v>4899</v>
      </c>
      <c r="E1378" s="1">
        <v>1.0</v>
      </c>
      <c r="F1378" s="1">
        <v>4.5183005E7</v>
      </c>
      <c r="I1378" s="1">
        <v>3.0</v>
      </c>
      <c r="J1378" s="1">
        <v>730.0</v>
      </c>
      <c r="L1378" s="1">
        <v>2000873.0</v>
      </c>
      <c r="Q1378" s="1" t="s">
        <v>4900</v>
      </c>
      <c r="R1378" s="1" t="s">
        <v>4901</v>
      </c>
      <c r="S1378" s="1">
        <v>2.0</v>
      </c>
      <c r="T1378" s="1">
        <v>1.0</v>
      </c>
      <c r="X1378" s="1" t="s">
        <v>29</v>
      </c>
      <c r="Z1378" s="1" t="s">
        <v>4900</v>
      </c>
    </row>
    <row r="1379">
      <c r="A1379" s="3" t="str">
        <f>HYPERLINK("https://stackoverflow.com/q/45318013", "45318013")</f>
        <v>45318013</v>
      </c>
      <c r="B1379" s="1" t="s">
        <v>4681</v>
      </c>
      <c r="C1379" s="1" t="s">
        <v>4902</v>
      </c>
      <c r="D1379" s="2" t="s">
        <v>4903</v>
      </c>
      <c r="E1379" s="1">
        <v>1.0</v>
      </c>
      <c r="I1379" s="1">
        <v>1.0</v>
      </c>
      <c r="J1379" s="1">
        <v>429.0</v>
      </c>
      <c r="L1379" s="1">
        <v>4213660.0</v>
      </c>
      <c r="Q1379" s="1" t="s">
        <v>4904</v>
      </c>
      <c r="R1379" s="1" t="s">
        <v>4697</v>
      </c>
      <c r="S1379" s="1">
        <v>1.0</v>
      </c>
      <c r="T1379" s="1">
        <v>1.0</v>
      </c>
      <c r="X1379" s="1" t="s">
        <v>29</v>
      </c>
    </row>
    <row r="1380">
      <c r="A1380" s="3" t="str">
        <f>HYPERLINK("https://stackoverflow.com/q/45380713", "45380713")</f>
        <v>45380713</v>
      </c>
      <c r="B1380" s="1" t="s">
        <v>4681</v>
      </c>
      <c r="C1380" s="1" t="s">
        <v>4905</v>
      </c>
      <c r="D1380" s="2" t="s">
        <v>4906</v>
      </c>
      <c r="E1380" s="1">
        <v>1.0</v>
      </c>
      <c r="I1380" s="1">
        <v>0.0</v>
      </c>
      <c r="J1380" s="1">
        <v>72.0</v>
      </c>
      <c r="L1380" s="1">
        <v>1531506.0</v>
      </c>
      <c r="Q1380" s="1" t="s">
        <v>4907</v>
      </c>
      <c r="R1380" s="1" t="s">
        <v>4697</v>
      </c>
      <c r="S1380" s="1">
        <v>1.0</v>
      </c>
      <c r="T1380" s="1">
        <v>0.0</v>
      </c>
      <c r="X1380" s="1" t="s">
        <v>29</v>
      </c>
    </row>
    <row r="1381">
      <c r="A1381" s="3" t="str">
        <f>HYPERLINK("https://stackoverflow.com/q/45470211", "45470211")</f>
        <v>45470211</v>
      </c>
      <c r="B1381" s="1" t="s">
        <v>4681</v>
      </c>
      <c r="C1381" s="1" t="s">
        <v>4908</v>
      </c>
      <c r="D1381" s="2" t="s">
        <v>4909</v>
      </c>
      <c r="E1381" s="1">
        <v>1.0</v>
      </c>
      <c r="I1381" s="1">
        <v>0.0</v>
      </c>
      <c r="J1381" s="1">
        <v>424.0</v>
      </c>
      <c r="L1381" s="1">
        <v>5050247.0</v>
      </c>
      <c r="N1381" s="1">
        <v>915364.0</v>
      </c>
      <c r="P1381" s="1" t="s">
        <v>4910</v>
      </c>
      <c r="Q1381" s="1" t="s">
        <v>4910</v>
      </c>
      <c r="R1381" s="1" t="s">
        <v>4911</v>
      </c>
      <c r="S1381" s="1">
        <v>1.0</v>
      </c>
      <c r="T1381" s="1">
        <v>8.0</v>
      </c>
      <c r="X1381" s="1" t="s">
        <v>29</v>
      </c>
    </row>
    <row r="1382">
      <c r="A1382" s="3" t="str">
        <f>HYPERLINK("https://stackoverflow.com/q/45483554", "45483554")</f>
        <v>45483554</v>
      </c>
      <c r="B1382" s="1" t="s">
        <v>4681</v>
      </c>
      <c r="C1382" s="1" t="s">
        <v>4912</v>
      </c>
      <c r="D1382" s="2" t="s">
        <v>4913</v>
      </c>
      <c r="E1382" s="1">
        <v>1.0</v>
      </c>
      <c r="I1382" s="1">
        <v>0.0</v>
      </c>
      <c r="J1382" s="1">
        <v>5048.0</v>
      </c>
      <c r="L1382" s="1">
        <v>2382072.0</v>
      </c>
      <c r="Q1382" s="1" t="s">
        <v>4914</v>
      </c>
      <c r="R1382" s="1" t="s">
        <v>4697</v>
      </c>
      <c r="S1382" s="1">
        <v>1.0</v>
      </c>
      <c r="T1382" s="1">
        <v>0.0</v>
      </c>
      <c r="X1382" s="1" t="s">
        <v>29</v>
      </c>
    </row>
    <row r="1383">
      <c r="A1383" s="3" t="str">
        <f>HYPERLINK("https://stackoverflow.com/q/45511290", "45511290")</f>
        <v>45511290</v>
      </c>
      <c r="B1383" s="1" t="s">
        <v>4681</v>
      </c>
      <c r="C1383" s="1" t="s">
        <v>4915</v>
      </c>
      <c r="D1383" s="2" t="s">
        <v>4916</v>
      </c>
      <c r="E1383" s="1">
        <v>1.0</v>
      </c>
      <c r="F1383" s="1">
        <v>4.5512278E7</v>
      </c>
      <c r="I1383" s="1">
        <v>1.0</v>
      </c>
      <c r="J1383" s="1">
        <v>2234.0</v>
      </c>
      <c r="L1383" s="1">
        <v>8385973.0</v>
      </c>
      <c r="Q1383" s="1" t="s">
        <v>4917</v>
      </c>
      <c r="R1383" s="1" t="s">
        <v>4697</v>
      </c>
      <c r="S1383" s="1">
        <v>3.0</v>
      </c>
      <c r="T1383" s="1">
        <v>0.0</v>
      </c>
      <c r="X1383" s="1" t="s">
        <v>29</v>
      </c>
      <c r="Z1383" s="1" t="s">
        <v>4918</v>
      </c>
    </row>
    <row r="1384">
      <c r="A1384" s="3" t="str">
        <f>HYPERLINK("https://stackoverflow.com/q/45588139", "45588139")</f>
        <v>45588139</v>
      </c>
      <c r="B1384" s="1" t="s">
        <v>4681</v>
      </c>
      <c r="C1384" s="1" t="s">
        <v>4919</v>
      </c>
      <c r="D1384" s="2" t="s">
        <v>4920</v>
      </c>
      <c r="E1384" s="1">
        <v>1.0</v>
      </c>
      <c r="I1384" s="1">
        <v>0.0</v>
      </c>
      <c r="J1384" s="1">
        <v>542.0</v>
      </c>
      <c r="L1384" s="1">
        <v>3785670.0</v>
      </c>
      <c r="N1384" s="1">
        <v>1.2393134E7</v>
      </c>
      <c r="P1384" s="1" t="s">
        <v>4921</v>
      </c>
      <c r="Q1384" s="1" t="s">
        <v>4921</v>
      </c>
      <c r="R1384" s="1" t="s">
        <v>4922</v>
      </c>
      <c r="S1384" s="1">
        <v>0.0</v>
      </c>
      <c r="T1384" s="1">
        <v>2.0</v>
      </c>
      <c r="X1384" s="1" t="s">
        <v>56</v>
      </c>
    </row>
    <row r="1385">
      <c r="A1385" s="3" t="str">
        <f>HYPERLINK("https://stackoverflow.com/q/45662481", "45662481")</f>
        <v>45662481</v>
      </c>
      <c r="B1385" s="1" t="s">
        <v>4681</v>
      </c>
      <c r="C1385" s="1" t="s">
        <v>4923</v>
      </c>
      <c r="D1385" s="2" t="s">
        <v>4924</v>
      </c>
      <c r="E1385" s="1">
        <v>1.0</v>
      </c>
      <c r="F1385" s="1">
        <v>4.5662782E7</v>
      </c>
      <c r="I1385" s="1">
        <v>1.0</v>
      </c>
      <c r="J1385" s="1">
        <v>1295.0</v>
      </c>
      <c r="L1385" s="1">
        <v>2968293.0</v>
      </c>
      <c r="Q1385" s="1" t="s">
        <v>4925</v>
      </c>
      <c r="R1385" s="1" t="s">
        <v>4771</v>
      </c>
      <c r="S1385" s="1">
        <v>1.0</v>
      </c>
      <c r="T1385" s="1">
        <v>0.0</v>
      </c>
      <c r="X1385" s="1" t="s">
        <v>29</v>
      </c>
      <c r="Z1385" s="1" t="s">
        <v>4925</v>
      </c>
    </row>
    <row r="1386">
      <c r="A1386" s="3" t="str">
        <f>HYPERLINK("https://stackoverflow.com/q/45672938", "45672938")</f>
        <v>45672938</v>
      </c>
      <c r="B1386" s="1" t="s">
        <v>4681</v>
      </c>
      <c r="C1386" s="1" t="s">
        <v>4926</v>
      </c>
      <c r="D1386" s="2" t="s">
        <v>4927</v>
      </c>
      <c r="E1386" s="1">
        <v>1.0</v>
      </c>
      <c r="F1386" s="1">
        <v>5.1124401E7</v>
      </c>
      <c r="I1386" s="1">
        <v>0.0</v>
      </c>
      <c r="J1386" s="1">
        <v>1291.0</v>
      </c>
      <c r="L1386" s="1">
        <v>6403274.0</v>
      </c>
      <c r="N1386" s="1">
        <v>2911737.0</v>
      </c>
      <c r="P1386" s="1" t="s">
        <v>4928</v>
      </c>
      <c r="Q1386" s="1" t="s">
        <v>4929</v>
      </c>
      <c r="R1386" s="1" t="s">
        <v>4697</v>
      </c>
      <c r="S1386" s="1">
        <v>2.0</v>
      </c>
      <c r="T1386" s="1">
        <v>1.0</v>
      </c>
      <c r="X1386" s="1" t="s">
        <v>29</v>
      </c>
      <c r="Z1386" s="1" t="s">
        <v>4929</v>
      </c>
    </row>
    <row r="1387">
      <c r="A1387" s="3" t="str">
        <f>HYPERLINK("https://stackoverflow.com/q/45688074", "45688074")</f>
        <v>45688074</v>
      </c>
      <c r="B1387" s="1" t="s">
        <v>4681</v>
      </c>
      <c r="C1387" s="1" t="s">
        <v>4930</v>
      </c>
      <c r="D1387" s="2" t="s">
        <v>4931</v>
      </c>
      <c r="E1387" s="1">
        <v>1.0</v>
      </c>
      <c r="I1387" s="1">
        <v>1.0</v>
      </c>
      <c r="J1387" s="1">
        <v>1070.0</v>
      </c>
      <c r="L1387" s="1">
        <v>8462417.0</v>
      </c>
      <c r="N1387" s="1">
        <v>6203984.0</v>
      </c>
      <c r="P1387" s="1" t="s">
        <v>4932</v>
      </c>
      <c r="Q1387" s="1" t="s">
        <v>4933</v>
      </c>
      <c r="R1387" s="1" t="s">
        <v>4934</v>
      </c>
      <c r="S1387" s="1">
        <v>2.0</v>
      </c>
      <c r="T1387" s="1">
        <v>0.0</v>
      </c>
      <c r="U1387" s="1">
        <v>1.0</v>
      </c>
      <c r="X1387" s="1" t="s">
        <v>29</v>
      </c>
    </row>
    <row r="1388">
      <c r="A1388" s="3" t="str">
        <f>HYPERLINK("https://stackoverflow.com/q/45693510", "45693510")</f>
        <v>45693510</v>
      </c>
      <c r="B1388" s="1" t="s">
        <v>4681</v>
      </c>
      <c r="C1388" s="1" t="s">
        <v>4935</v>
      </c>
      <c r="D1388" s="2" t="s">
        <v>4936</v>
      </c>
      <c r="E1388" s="1">
        <v>1.0</v>
      </c>
      <c r="I1388" s="1">
        <v>2.0</v>
      </c>
      <c r="J1388" s="1">
        <v>1178.0</v>
      </c>
      <c r="L1388" s="1">
        <v>8274572.0</v>
      </c>
      <c r="N1388" s="1">
        <v>8274572.0</v>
      </c>
      <c r="P1388" s="1" t="s">
        <v>4937</v>
      </c>
      <c r="Q1388" s="1" t="s">
        <v>4938</v>
      </c>
      <c r="R1388" s="1" t="s">
        <v>4939</v>
      </c>
      <c r="S1388" s="1">
        <v>1.0</v>
      </c>
      <c r="T1388" s="1">
        <v>7.0</v>
      </c>
      <c r="X1388" s="1" t="s">
        <v>29</v>
      </c>
    </row>
    <row r="1389">
      <c r="A1389" s="3" t="str">
        <f>HYPERLINK("https://stackoverflow.com/q/45711200", "45711200")</f>
        <v>45711200</v>
      </c>
      <c r="B1389" s="1" t="s">
        <v>4681</v>
      </c>
      <c r="C1389" s="1" t="s">
        <v>4940</v>
      </c>
      <c r="D1389" s="2" t="s">
        <v>4941</v>
      </c>
      <c r="E1389" s="1">
        <v>1.0</v>
      </c>
      <c r="F1389" s="1">
        <v>4.5715317E7</v>
      </c>
      <c r="I1389" s="1">
        <v>1.0</v>
      </c>
      <c r="J1389" s="1">
        <v>147.0</v>
      </c>
      <c r="L1389" s="1">
        <v>6403274.0</v>
      </c>
      <c r="N1389" s="1">
        <v>1103990.0</v>
      </c>
      <c r="P1389" s="1" t="s">
        <v>4942</v>
      </c>
      <c r="Q1389" s="1" t="s">
        <v>4942</v>
      </c>
      <c r="R1389" s="1" t="s">
        <v>4697</v>
      </c>
      <c r="S1389" s="1">
        <v>1.0</v>
      </c>
      <c r="T1389" s="1">
        <v>0.0</v>
      </c>
      <c r="X1389" s="1" t="s">
        <v>29</v>
      </c>
      <c r="Z1389" s="1" t="s">
        <v>4943</v>
      </c>
    </row>
    <row r="1390">
      <c r="A1390" s="3" t="str">
        <f>HYPERLINK("https://stackoverflow.com/q/45724820", "45724820")</f>
        <v>45724820</v>
      </c>
      <c r="B1390" s="1" t="s">
        <v>4681</v>
      </c>
      <c r="C1390" s="1" t="s">
        <v>4944</v>
      </c>
      <c r="D1390" s="2" t="s">
        <v>4945</v>
      </c>
      <c r="E1390" s="1">
        <v>1.0</v>
      </c>
      <c r="I1390" s="1">
        <v>1.0</v>
      </c>
      <c r="J1390" s="1">
        <v>171.0</v>
      </c>
      <c r="L1390" s="1">
        <v>4618424.0</v>
      </c>
      <c r="Q1390" s="1" t="s">
        <v>4946</v>
      </c>
      <c r="R1390" s="1" t="s">
        <v>4697</v>
      </c>
      <c r="S1390" s="1">
        <v>1.0</v>
      </c>
      <c r="T1390" s="1">
        <v>0.0</v>
      </c>
      <c r="X1390" s="1" t="s">
        <v>29</v>
      </c>
    </row>
    <row r="1391">
      <c r="A1391" s="3" t="str">
        <f>HYPERLINK("https://stackoverflow.com/q/45731288", "45731288")</f>
        <v>45731288</v>
      </c>
      <c r="B1391" s="1" t="s">
        <v>4681</v>
      </c>
      <c r="C1391" s="1" t="s">
        <v>4947</v>
      </c>
      <c r="D1391" s="2" t="s">
        <v>4948</v>
      </c>
      <c r="E1391" s="1">
        <v>1.0</v>
      </c>
      <c r="F1391" s="1">
        <v>4.5735159E7</v>
      </c>
      <c r="I1391" s="1">
        <v>2.0</v>
      </c>
      <c r="J1391" s="1">
        <v>1421.0</v>
      </c>
      <c r="L1391" s="1">
        <v>6403274.0</v>
      </c>
      <c r="Q1391" s="1" t="s">
        <v>4949</v>
      </c>
      <c r="R1391" s="1" t="s">
        <v>4697</v>
      </c>
      <c r="S1391" s="1">
        <v>3.0</v>
      </c>
      <c r="T1391" s="1">
        <v>2.0</v>
      </c>
      <c r="X1391" s="1" t="s">
        <v>29</v>
      </c>
      <c r="Z1391" s="1" t="s">
        <v>4950</v>
      </c>
    </row>
    <row r="1392">
      <c r="A1392" s="3" t="str">
        <f>HYPERLINK("https://stackoverflow.com/q/45802802", "45802802")</f>
        <v>45802802</v>
      </c>
      <c r="B1392" s="1" t="s">
        <v>4681</v>
      </c>
      <c r="C1392" s="1" t="s">
        <v>4951</v>
      </c>
      <c r="D1392" s="2" t="s">
        <v>4952</v>
      </c>
      <c r="E1392" s="1">
        <v>1.0</v>
      </c>
      <c r="F1392" s="1">
        <v>4.5808436E7</v>
      </c>
      <c r="I1392" s="1">
        <v>0.0</v>
      </c>
      <c r="J1392" s="1">
        <v>704.0</v>
      </c>
      <c r="L1392" s="1">
        <v>512761.0</v>
      </c>
      <c r="Q1392" s="1" t="s">
        <v>4953</v>
      </c>
      <c r="R1392" s="1" t="s">
        <v>4954</v>
      </c>
      <c r="S1392" s="1">
        <v>1.0</v>
      </c>
      <c r="T1392" s="1">
        <v>0.0</v>
      </c>
      <c r="X1392" s="1" t="s">
        <v>29</v>
      </c>
      <c r="Z1392" s="1" t="s">
        <v>4953</v>
      </c>
    </row>
    <row r="1393">
      <c r="A1393" s="3" t="str">
        <f>HYPERLINK("https://stackoverflow.com/q/45817120", "45817120")</f>
        <v>45817120</v>
      </c>
      <c r="B1393" s="1" t="s">
        <v>4681</v>
      </c>
      <c r="C1393" s="1" t="s">
        <v>4955</v>
      </c>
      <c r="D1393" s="2" t="s">
        <v>4956</v>
      </c>
      <c r="E1393" s="1">
        <v>1.0</v>
      </c>
      <c r="I1393" s="1">
        <v>0.0</v>
      </c>
      <c r="J1393" s="1">
        <v>166.0</v>
      </c>
      <c r="L1393" s="1">
        <v>8500142.0</v>
      </c>
      <c r="Q1393" s="1" t="s">
        <v>4957</v>
      </c>
      <c r="R1393" s="1" t="s">
        <v>4958</v>
      </c>
      <c r="S1393" s="1">
        <v>1.0</v>
      </c>
      <c r="T1393" s="1">
        <v>2.0</v>
      </c>
      <c r="X1393" s="1" t="s">
        <v>29</v>
      </c>
    </row>
    <row r="1394">
      <c r="A1394" s="3" t="str">
        <f>HYPERLINK("https://stackoverflow.com/q/45933300", "45933300")</f>
        <v>45933300</v>
      </c>
      <c r="B1394" s="1" t="s">
        <v>4681</v>
      </c>
      <c r="C1394" s="1" t="s">
        <v>4959</v>
      </c>
      <c r="D1394" s="2" t="s">
        <v>4960</v>
      </c>
      <c r="E1394" s="1">
        <v>1.0</v>
      </c>
      <c r="I1394" s="1">
        <v>0.0</v>
      </c>
      <c r="J1394" s="1">
        <v>3160.0</v>
      </c>
      <c r="L1394" s="1">
        <v>7797142.0</v>
      </c>
      <c r="Q1394" s="1" t="s">
        <v>4961</v>
      </c>
      <c r="R1394" s="1" t="s">
        <v>4962</v>
      </c>
      <c r="S1394" s="1">
        <v>1.0</v>
      </c>
      <c r="T1394" s="1">
        <v>0.0</v>
      </c>
      <c r="X1394" s="1" t="s">
        <v>29</v>
      </c>
    </row>
    <row r="1395">
      <c r="A1395" s="3" t="str">
        <f>HYPERLINK("https://stackoverflow.com/q/46250017", "46250017")</f>
        <v>46250017</v>
      </c>
      <c r="B1395" s="1" t="s">
        <v>4681</v>
      </c>
      <c r="C1395" s="1" t="s">
        <v>4963</v>
      </c>
      <c r="D1395" s="2" t="s">
        <v>4964</v>
      </c>
      <c r="E1395" s="1">
        <v>1.0</v>
      </c>
      <c r="I1395" s="1">
        <v>0.0</v>
      </c>
      <c r="J1395" s="1">
        <v>1292.0</v>
      </c>
      <c r="L1395" s="1">
        <v>7730470.0</v>
      </c>
      <c r="Q1395" s="1" t="s">
        <v>4965</v>
      </c>
      <c r="R1395" s="1" t="s">
        <v>4966</v>
      </c>
      <c r="S1395" s="1">
        <v>1.0</v>
      </c>
      <c r="T1395" s="1">
        <v>0.0</v>
      </c>
      <c r="X1395" s="1" t="s">
        <v>29</v>
      </c>
    </row>
    <row r="1396">
      <c r="A1396" s="3" t="str">
        <f>HYPERLINK("https://stackoverflow.com/q/46289453", "46289453")</f>
        <v>46289453</v>
      </c>
      <c r="B1396" s="1" t="s">
        <v>4681</v>
      </c>
      <c r="C1396" s="1" t="s">
        <v>4967</v>
      </c>
      <c r="D1396" s="2" t="s">
        <v>4968</v>
      </c>
      <c r="E1396" s="1">
        <v>1.0</v>
      </c>
      <c r="I1396" s="1">
        <v>1.0</v>
      </c>
      <c r="J1396" s="1">
        <v>183.0</v>
      </c>
      <c r="L1396" s="1">
        <v>8250175.0</v>
      </c>
      <c r="N1396" s="1">
        <v>751090.0</v>
      </c>
      <c r="P1396" s="1" t="s">
        <v>4969</v>
      </c>
      <c r="Q1396" s="1" t="s">
        <v>4970</v>
      </c>
      <c r="R1396" s="1" t="s">
        <v>4697</v>
      </c>
      <c r="S1396" s="1">
        <v>1.0</v>
      </c>
      <c r="T1396" s="1">
        <v>0.0</v>
      </c>
      <c r="X1396" s="1" t="s">
        <v>29</v>
      </c>
    </row>
    <row r="1397">
      <c r="A1397" s="3" t="str">
        <f>HYPERLINK("https://stackoverflow.com/q/46303370", "46303370")</f>
        <v>46303370</v>
      </c>
      <c r="B1397" s="1" t="s">
        <v>4681</v>
      </c>
      <c r="C1397" s="1" t="s">
        <v>4971</v>
      </c>
      <c r="D1397" s="2" t="s">
        <v>4972</v>
      </c>
      <c r="E1397" s="1">
        <v>1.0</v>
      </c>
      <c r="I1397" s="1">
        <v>0.0</v>
      </c>
      <c r="J1397" s="1">
        <v>2706.0</v>
      </c>
      <c r="L1397" s="1">
        <v>5360180.0</v>
      </c>
      <c r="Q1397" s="1" t="s">
        <v>4973</v>
      </c>
      <c r="R1397" s="1" t="s">
        <v>4974</v>
      </c>
      <c r="S1397" s="1">
        <v>1.0</v>
      </c>
      <c r="T1397" s="1">
        <v>0.0</v>
      </c>
      <c r="X1397" s="1" t="s">
        <v>29</v>
      </c>
    </row>
    <row r="1398">
      <c r="A1398" s="3" t="str">
        <f>HYPERLINK("https://stackoverflow.com/q/46314967", "46314967")</f>
        <v>46314967</v>
      </c>
      <c r="B1398" s="1" t="s">
        <v>4681</v>
      </c>
      <c r="C1398" s="1" t="s">
        <v>4975</v>
      </c>
      <c r="D1398" s="2" t="s">
        <v>4976</v>
      </c>
      <c r="E1398" s="1">
        <v>1.0</v>
      </c>
      <c r="I1398" s="1">
        <v>1.0</v>
      </c>
      <c r="J1398" s="1">
        <v>1805.0</v>
      </c>
      <c r="L1398" s="1">
        <v>5360180.0</v>
      </c>
      <c r="Q1398" s="1" t="s">
        <v>4977</v>
      </c>
      <c r="R1398" s="1" t="s">
        <v>4978</v>
      </c>
      <c r="S1398" s="1">
        <v>1.0</v>
      </c>
      <c r="T1398" s="1">
        <v>1.0</v>
      </c>
      <c r="X1398" s="1" t="s">
        <v>29</v>
      </c>
    </row>
    <row r="1399">
      <c r="A1399" s="3" t="str">
        <f>HYPERLINK("https://stackoverflow.com/q/46336305", "46336305")</f>
        <v>46336305</v>
      </c>
      <c r="B1399" s="1" t="s">
        <v>4681</v>
      </c>
      <c r="C1399" s="1" t="s">
        <v>4979</v>
      </c>
      <c r="D1399" s="2" t="s">
        <v>4980</v>
      </c>
      <c r="E1399" s="1">
        <v>1.0</v>
      </c>
      <c r="I1399" s="1">
        <v>1.0</v>
      </c>
      <c r="J1399" s="1">
        <v>90.0</v>
      </c>
      <c r="L1399" s="1">
        <v>8646185.0</v>
      </c>
      <c r="Q1399" s="1" t="s">
        <v>4979</v>
      </c>
      <c r="R1399" s="1" t="s">
        <v>4981</v>
      </c>
      <c r="S1399" s="1">
        <v>0.0</v>
      </c>
      <c r="T1399" s="1">
        <v>0.0</v>
      </c>
      <c r="X1399" s="1" t="s">
        <v>29</v>
      </c>
    </row>
    <row r="1400">
      <c r="A1400" s="3" t="str">
        <f>HYPERLINK("https://stackoverflow.com/q/46340789", "46340789")</f>
        <v>46340789</v>
      </c>
      <c r="B1400" s="1" t="s">
        <v>4681</v>
      </c>
      <c r="C1400" s="1" t="s">
        <v>4982</v>
      </c>
      <c r="D1400" s="2" t="s">
        <v>4983</v>
      </c>
      <c r="E1400" s="1">
        <v>1.0</v>
      </c>
      <c r="I1400" s="1">
        <v>3.0</v>
      </c>
      <c r="J1400" s="1">
        <v>79.0</v>
      </c>
      <c r="L1400" s="1">
        <v>846162.0</v>
      </c>
      <c r="Q1400" s="1" t="s">
        <v>4984</v>
      </c>
      <c r="R1400" s="1" t="s">
        <v>4697</v>
      </c>
      <c r="S1400" s="1">
        <v>0.0</v>
      </c>
      <c r="T1400" s="1">
        <v>5.0</v>
      </c>
      <c r="U1400" s="1">
        <v>1.0</v>
      </c>
      <c r="X1400" s="1" t="s">
        <v>29</v>
      </c>
    </row>
    <row r="1401">
      <c r="A1401" s="3" t="str">
        <f>HYPERLINK("https://stackoverflow.com/q/46422037", "46422037")</f>
        <v>46422037</v>
      </c>
      <c r="B1401" s="1" t="s">
        <v>4681</v>
      </c>
      <c r="C1401" s="1" t="s">
        <v>4985</v>
      </c>
      <c r="D1401" s="2" t="s">
        <v>4986</v>
      </c>
      <c r="E1401" s="1">
        <v>1.0</v>
      </c>
      <c r="F1401" s="1">
        <v>4.6431172E7</v>
      </c>
      <c r="I1401" s="1">
        <v>2.0</v>
      </c>
      <c r="J1401" s="1">
        <v>1803.0</v>
      </c>
      <c r="L1401" s="1">
        <v>2716948.0</v>
      </c>
      <c r="Q1401" s="1" t="s">
        <v>4987</v>
      </c>
      <c r="R1401" s="1" t="s">
        <v>4988</v>
      </c>
      <c r="S1401" s="1">
        <v>1.0</v>
      </c>
      <c r="T1401" s="1">
        <v>0.0</v>
      </c>
      <c r="X1401" s="1" t="s">
        <v>29</v>
      </c>
      <c r="Z1401" s="1" t="s">
        <v>4987</v>
      </c>
    </row>
    <row r="1402">
      <c r="A1402" s="3" t="str">
        <f>HYPERLINK("https://stackoverflow.com/q/46463283", "46463283")</f>
        <v>46463283</v>
      </c>
      <c r="B1402" s="1" t="s">
        <v>4681</v>
      </c>
      <c r="C1402" s="1" t="s">
        <v>4989</v>
      </c>
      <c r="D1402" s="2" t="s">
        <v>4990</v>
      </c>
      <c r="E1402" s="1">
        <v>1.0</v>
      </c>
      <c r="F1402" s="1">
        <v>4.6471834E7</v>
      </c>
      <c r="I1402" s="1">
        <v>0.0</v>
      </c>
      <c r="J1402" s="1">
        <v>560.0</v>
      </c>
      <c r="L1402" s="1">
        <v>2716948.0</v>
      </c>
      <c r="Q1402" s="1" t="s">
        <v>4991</v>
      </c>
      <c r="R1402" s="1" t="s">
        <v>4992</v>
      </c>
      <c r="S1402" s="1">
        <v>2.0</v>
      </c>
      <c r="T1402" s="1">
        <v>0.0</v>
      </c>
      <c r="X1402" s="1" t="s">
        <v>29</v>
      </c>
      <c r="Z1402" s="1" t="s">
        <v>4993</v>
      </c>
    </row>
    <row r="1403">
      <c r="A1403" s="3" t="str">
        <f>HYPERLINK("https://stackoverflow.com/q/46492413", "46492413")</f>
        <v>46492413</v>
      </c>
      <c r="B1403" s="1" t="s">
        <v>4681</v>
      </c>
      <c r="C1403" s="1" t="s">
        <v>4994</v>
      </c>
      <c r="D1403" s="2" t="s">
        <v>4995</v>
      </c>
      <c r="E1403" s="1">
        <v>1.0</v>
      </c>
      <c r="F1403" s="1">
        <v>4.6521657E7</v>
      </c>
      <c r="I1403" s="1">
        <v>0.0</v>
      </c>
      <c r="J1403" s="1">
        <v>546.0</v>
      </c>
      <c r="L1403" s="1">
        <v>6232454.0</v>
      </c>
      <c r="Q1403" s="1" t="s">
        <v>4996</v>
      </c>
      <c r="R1403" s="1" t="s">
        <v>4997</v>
      </c>
      <c r="S1403" s="1">
        <v>1.0</v>
      </c>
      <c r="T1403" s="1">
        <v>0.0</v>
      </c>
      <c r="X1403" s="1" t="s">
        <v>29</v>
      </c>
      <c r="Z1403" s="1" t="s">
        <v>4996</v>
      </c>
    </row>
    <row r="1404">
      <c r="A1404" s="3" t="str">
        <f>HYPERLINK("https://stackoverflow.com/q/46600731", "46600731")</f>
        <v>46600731</v>
      </c>
      <c r="B1404" s="1" t="s">
        <v>4681</v>
      </c>
      <c r="C1404" s="1" t="s">
        <v>4998</v>
      </c>
      <c r="D1404" s="2" t="s">
        <v>4999</v>
      </c>
      <c r="E1404" s="1">
        <v>1.0</v>
      </c>
      <c r="F1404" s="1">
        <v>4.6838297E7</v>
      </c>
      <c r="I1404" s="1">
        <v>0.0</v>
      </c>
      <c r="J1404" s="1">
        <v>86.0</v>
      </c>
      <c r="L1404" s="1">
        <v>915364.0</v>
      </c>
      <c r="Q1404" s="1" t="s">
        <v>5000</v>
      </c>
      <c r="R1404" s="1" t="s">
        <v>5001</v>
      </c>
      <c r="S1404" s="1">
        <v>1.0</v>
      </c>
      <c r="T1404" s="1">
        <v>0.0</v>
      </c>
      <c r="U1404" s="1">
        <v>1.0</v>
      </c>
      <c r="X1404" s="1" t="s">
        <v>29</v>
      </c>
      <c r="Z1404" s="1" t="s">
        <v>5000</v>
      </c>
    </row>
    <row r="1405">
      <c r="A1405" s="3" t="str">
        <f>HYPERLINK("https://stackoverflow.com/q/46612266", "46612266")</f>
        <v>46612266</v>
      </c>
      <c r="B1405" s="1" t="s">
        <v>4681</v>
      </c>
      <c r="C1405" s="1" t="s">
        <v>5002</v>
      </c>
      <c r="D1405" s="2" t="s">
        <v>5003</v>
      </c>
      <c r="E1405" s="1">
        <v>1.0</v>
      </c>
      <c r="I1405" s="1">
        <v>1.0</v>
      </c>
      <c r="J1405" s="1">
        <v>1624.0</v>
      </c>
      <c r="L1405" s="1">
        <v>5570296.0</v>
      </c>
      <c r="Q1405" s="1" t="s">
        <v>5004</v>
      </c>
      <c r="R1405" s="1" t="s">
        <v>5005</v>
      </c>
      <c r="S1405" s="1">
        <v>1.0</v>
      </c>
      <c r="T1405" s="1">
        <v>0.0</v>
      </c>
      <c r="X1405" s="1" t="s">
        <v>29</v>
      </c>
    </row>
    <row r="1406">
      <c r="A1406" s="3" t="str">
        <f>HYPERLINK("https://stackoverflow.com/q/46627009", "46627009")</f>
        <v>46627009</v>
      </c>
      <c r="B1406" s="1" t="s">
        <v>4681</v>
      </c>
      <c r="C1406" s="1" t="s">
        <v>5006</v>
      </c>
      <c r="D1406" s="2" t="s">
        <v>5007</v>
      </c>
      <c r="E1406" s="1">
        <v>1.0</v>
      </c>
      <c r="F1406" s="1">
        <v>4.6879872E7</v>
      </c>
      <c r="I1406" s="1">
        <v>0.0</v>
      </c>
      <c r="J1406" s="1">
        <v>1216.0</v>
      </c>
      <c r="L1406" s="1">
        <v>5890836.0</v>
      </c>
      <c r="Q1406" s="1" t="s">
        <v>5008</v>
      </c>
      <c r="R1406" s="1" t="s">
        <v>5009</v>
      </c>
      <c r="S1406" s="1">
        <v>2.0</v>
      </c>
      <c r="T1406" s="1">
        <v>0.0</v>
      </c>
      <c r="X1406" s="1" t="s">
        <v>29</v>
      </c>
      <c r="Z1406" s="1" t="s">
        <v>5008</v>
      </c>
    </row>
    <row r="1407">
      <c r="A1407" s="3" t="str">
        <f>HYPERLINK("https://stackoverflow.com/q/46636237", "46636237")</f>
        <v>46636237</v>
      </c>
      <c r="B1407" s="1" t="s">
        <v>4681</v>
      </c>
      <c r="C1407" s="1" t="s">
        <v>5010</v>
      </c>
      <c r="D1407" s="2" t="s">
        <v>5011</v>
      </c>
      <c r="E1407" s="1">
        <v>1.0</v>
      </c>
      <c r="I1407" s="1">
        <v>0.0</v>
      </c>
      <c r="J1407" s="1">
        <v>7679.0</v>
      </c>
      <c r="L1407" s="1">
        <v>5406958.0</v>
      </c>
      <c r="Q1407" s="1" t="s">
        <v>5012</v>
      </c>
      <c r="R1407" s="1" t="s">
        <v>5013</v>
      </c>
      <c r="S1407" s="1">
        <v>1.0</v>
      </c>
      <c r="T1407" s="1">
        <v>0.0</v>
      </c>
      <c r="X1407" s="1" t="s">
        <v>29</v>
      </c>
    </row>
    <row r="1408">
      <c r="A1408" s="3" t="str">
        <f>HYPERLINK("https://stackoverflow.com/q/46703013", "46703013")</f>
        <v>46703013</v>
      </c>
      <c r="B1408" s="1" t="s">
        <v>4681</v>
      </c>
      <c r="C1408" s="1" t="s">
        <v>5014</v>
      </c>
      <c r="D1408" s="2" t="s">
        <v>5015</v>
      </c>
      <c r="E1408" s="1">
        <v>1.0</v>
      </c>
      <c r="I1408" s="1">
        <v>1.0</v>
      </c>
      <c r="J1408" s="1">
        <v>1889.0</v>
      </c>
      <c r="L1408" s="1">
        <v>8763249.0</v>
      </c>
      <c r="N1408" s="1">
        <v>1819669.0</v>
      </c>
      <c r="P1408" s="1" t="s">
        <v>5016</v>
      </c>
      <c r="Q1408" s="1" t="s">
        <v>5017</v>
      </c>
      <c r="R1408" s="1" t="s">
        <v>4697</v>
      </c>
      <c r="S1408" s="1">
        <v>0.0</v>
      </c>
      <c r="T1408" s="1">
        <v>7.0</v>
      </c>
      <c r="X1408" s="1" t="s">
        <v>29</v>
      </c>
    </row>
    <row r="1409">
      <c r="A1409" s="3" t="str">
        <f>HYPERLINK("https://stackoverflow.com/q/47048165", "47048165")</f>
        <v>47048165</v>
      </c>
      <c r="B1409" s="1" t="s">
        <v>4681</v>
      </c>
      <c r="C1409" s="1" t="s">
        <v>5018</v>
      </c>
      <c r="D1409" s="2" t="s">
        <v>5019</v>
      </c>
      <c r="E1409" s="1">
        <v>1.0</v>
      </c>
      <c r="I1409" s="1">
        <v>0.0</v>
      </c>
      <c r="J1409" s="1">
        <v>590.0</v>
      </c>
      <c r="L1409" s="1">
        <v>8763249.0</v>
      </c>
      <c r="N1409" s="1">
        <v>7920473.0</v>
      </c>
      <c r="P1409" s="1" t="s">
        <v>5020</v>
      </c>
      <c r="Q1409" s="1" t="s">
        <v>5021</v>
      </c>
      <c r="R1409" s="1" t="s">
        <v>5022</v>
      </c>
      <c r="S1409" s="1">
        <v>1.0</v>
      </c>
      <c r="T1409" s="1">
        <v>0.0</v>
      </c>
      <c r="X1409" s="1" t="s">
        <v>29</v>
      </c>
    </row>
    <row r="1410">
      <c r="A1410" s="3" t="str">
        <f>HYPERLINK("https://stackoverflow.com/q/47057239", "47057239")</f>
        <v>47057239</v>
      </c>
      <c r="B1410" s="1" t="s">
        <v>4681</v>
      </c>
      <c r="C1410" s="1" t="s">
        <v>5023</v>
      </c>
      <c r="D1410" s="2" t="s">
        <v>5024</v>
      </c>
      <c r="E1410" s="1">
        <v>1.0</v>
      </c>
      <c r="I1410" s="1">
        <v>0.0</v>
      </c>
      <c r="J1410" s="1">
        <v>126.0</v>
      </c>
      <c r="L1410" s="1">
        <v>8031749.0</v>
      </c>
      <c r="N1410" s="1">
        <v>7592281.0</v>
      </c>
      <c r="P1410" s="1" t="s">
        <v>5025</v>
      </c>
      <c r="Q1410" s="1" t="s">
        <v>5026</v>
      </c>
      <c r="R1410" s="1" t="s">
        <v>5027</v>
      </c>
      <c r="S1410" s="1">
        <v>1.0</v>
      </c>
      <c r="T1410" s="1">
        <v>1.0</v>
      </c>
      <c r="X1410" s="1" t="s">
        <v>29</v>
      </c>
    </row>
    <row r="1411">
      <c r="A1411" s="3" t="str">
        <f>HYPERLINK("https://stackoverflow.com/q/47060216", "47060216")</f>
        <v>47060216</v>
      </c>
      <c r="B1411" s="1" t="s">
        <v>4681</v>
      </c>
      <c r="C1411" s="1" t="s">
        <v>5028</v>
      </c>
      <c r="D1411" s="2" t="s">
        <v>5029</v>
      </c>
      <c r="E1411" s="1">
        <v>1.0</v>
      </c>
      <c r="F1411" s="1">
        <v>4.7176131E7</v>
      </c>
      <c r="I1411" s="1">
        <v>0.0</v>
      </c>
      <c r="J1411" s="1">
        <v>518.0</v>
      </c>
      <c r="L1411" s="1">
        <v>7668728.0</v>
      </c>
      <c r="Q1411" s="1" t="s">
        <v>5030</v>
      </c>
      <c r="R1411" s="1" t="s">
        <v>5031</v>
      </c>
      <c r="S1411" s="1">
        <v>1.0</v>
      </c>
      <c r="T1411" s="1">
        <v>0.0</v>
      </c>
      <c r="X1411" s="1" t="s">
        <v>29</v>
      </c>
      <c r="Z1411" s="1" t="s">
        <v>5030</v>
      </c>
    </row>
    <row r="1412">
      <c r="A1412" s="3" t="str">
        <f>HYPERLINK("https://stackoverflow.com/q/47084869", "47084869")</f>
        <v>47084869</v>
      </c>
      <c r="B1412" s="1" t="s">
        <v>4681</v>
      </c>
      <c r="C1412" s="1" t="s">
        <v>5032</v>
      </c>
      <c r="D1412" s="2" t="s">
        <v>5033</v>
      </c>
      <c r="E1412" s="1">
        <v>1.0</v>
      </c>
      <c r="I1412" s="1">
        <v>8.0</v>
      </c>
      <c r="J1412" s="1">
        <v>1756.0</v>
      </c>
      <c r="L1412" s="1">
        <v>5570296.0</v>
      </c>
      <c r="N1412" s="1">
        <v>7920473.0</v>
      </c>
      <c r="P1412" s="1" t="s">
        <v>5034</v>
      </c>
      <c r="Q1412" s="1" t="s">
        <v>5034</v>
      </c>
      <c r="R1412" s="1" t="s">
        <v>5035</v>
      </c>
      <c r="S1412" s="1">
        <v>1.0</v>
      </c>
      <c r="T1412" s="1">
        <v>4.0</v>
      </c>
      <c r="U1412" s="1">
        <v>1.0</v>
      </c>
      <c r="X1412" s="1" t="s">
        <v>56</v>
      </c>
    </row>
    <row r="1413">
      <c r="A1413" s="3" t="str">
        <f>HYPERLINK("https://stackoverflow.com/q/47174045", "47174045")</f>
        <v>47174045</v>
      </c>
      <c r="B1413" s="1" t="s">
        <v>4681</v>
      </c>
      <c r="C1413" s="1" t="s">
        <v>5036</v>
      </c>
      <c r="D1413" s="2" t="s">
        <v>5037</v>
      </c>
      <c r="E1413" s="1">
        <v>1.0</v>
      </c>
      <c r="I1413" s="1">
        <v>1.0</v>
      </c>
      <c r="J1413" s="1">
        <v>335.0</v>
      </c>
      <c r="L1413" s="1">
        <v>4099041.0</v>
      </c>
      <c r="Q1413" s="1" t="s">
        <v>5036</v>
      </c>
      <c r="R1413" s="1" t="s">
        <v>4697</v>
      </c>
      <c r="S1413" s="1">
        <v>0.0</v>
      </c>
      <c r="T1413" s="1">
        <v>0.0</v>
      </c>
      <c r="X1413" s="1" t="s">
        <v>29</v>
      </c>
    </row>
    <row r="1414">
      <c r="A1414" s="3" t="str">
        <f>HYPERLINK("https://stackoverflow.com/q/47178776", "47178776")</f>
        <v>47178776</v>
      </c>
      <c r="B1414" s="1" t="s">
        <v>4681</v>
      </c>
      <c r="C1414" s="1" t="s">
        <v>5038</v>
      </c>
      <c r="D1414" s="2" t="s">
        <v>5039</v>
      </c>
      <c r="E1414" s="1">
        <v>1.0</v>
      </c>
      <c r="F1414" s="1">
        <v>4.717941E7</v>
      </c>
      <c r="I1414" s="1">
        <v>0.0</v>
      </c>
      <c r="J1414" s="1">
        <v>389.0</v>
      </c>
      <c r="L1414" s="1">
        <v>7668728.0</v>
      </c>
      <c r="N1414" s="1">
        <v>7668728.0</v>
      </c>
      <c r="P1414" s="1" t="s">
        <v>5040</v>
      </c>
      <c r="Q1414" s="1" t="s">
        <v>5041</v>
      </c>
      <c r="R1414" s="1" t="s">
        <v>5042</v>
      </c>
      <c r="S1414" s="1">
        <v>1.0</v>
      </c>
      <c r="T1414" s="1">
        <v>2.0</v>
      </c>
      <c r="X1414" s="1" t="s">
        <v>29</v>
      </c>
      <c r="Z1414" s="1" t="s">
        <v>5041</v>
      </c>
    </row>
    <row r="1415">
      <c r="A1415" s="3" t="str">
        <f>HYPERLINK("https://stackoverflow.com/q/47178968", "47178968")</f>
        <v>47178968</v>
      </c>
      <c r="B1415" s="1" t="s">
        <v>4681</v>
      </c>
      <c r="C1415" s="1" t="s">
        <v>5043</v>
      </c>
      <c r="D1415" s="2" t="s">
        <v>5044</v>
      </c>
      <c r="E1415" s="1">
        <v>1.0</v>
      </c>
      <c r="F1415" s="1">
        <v>4.7599711E7</v>
      </c>
      <c r="I1415" s="1">
        <v>0.0</v>
      </c>
      <c r="J1415" s="1">
        <v>662.0</v>
      </c>
      <c r="L1415" s="1">
        <v>8031749.0</v>
      </c>
      <c r="Q1415" s="1" t="s">
        <v>5045</v>
      </c>
      <c r="R1415" s="1" t="s">
        <v>5046</v>
      </c>
      <c r="S1415" s="1">
        <v>1.0</v>
      </c>
      <c r="T1415" s="1">
        <v>1.0</v>
      </c>
      <c r="X1415" s="1" t="s">
        <v>29</v>
      </c>
      <c r="Z1415" s="1" t="s">
        <v>5047</v>
      </c>
    </row>
    <row r="1416">
      <c r="A1416" s="3" t="str">
        <f>HYPERLINK("https://stackoverflow.com/q/47189669", "47189669")</f>
        <v>47189669</v>
      </c>
      <c r="B1416" s="1" t="s">
        <v>4681</v>
      </c>
      <c r="C1416" s="1" t="s">
        <v>5048</v>
      </c>
      <c r="D1416" s="2" t="s">
        <v>5049</v>
      </c>
      <c r="E1416" s="1">
        <v>1.0</v>
      </c>
      <c r="F1416" s="1">
        <v>4.7190029E7</v>
      </c>
      <c r="I1416" s="1">
        <v>1.0</v>
      </c>
      <c r="J1416" s="1">
        <v>4323.0</v>
      </c>
      <c r="M1416" s="1" t="s">
        <v>5050</v>
      </c>
      <c r="N1416" s="1">
        <v>3159486.0</v>
      </c>
      <c r="P1416" s="1" t="s">
        <v>5051</v>
      </c>
      <c r="Q1416" s="1" t="s">
        <v>5051</v>
      </c>
      <c r="R1416" s="1" t="s">
        <v>5052</v>
      </c>
      <c r="S1416" s="1">
        <v>1.0</v>
      </c>
      <c r="T1416" s="1">
        <v>0.0</v>
      </c>
      <c r="X1416" s="1" t="s">
        <v>29</v>
      </c>
      <c r="Z1416" s="1" t="s">
        <v>5053</v>
      </c>
    </row>
    <row r="1417">
      <c r="A1417" s="3" t="str">
        <f>HYPERLINK("https://stackoverflow.com/q/47194805", "47194805")</f>
        <v>47194805</v>
      </c>
      <c r="B1417" s="1" t="s">
        <v>4681</v>
      </c>
      <c r="C1417" s="1" t="s">
        <v>5054</v>
      </c>
      <c r="D1417" s="2" t="s">
        <v>5055</v>
      </c>
      <c r="E1417" s="1">
        <v>1.0</v>
      </c>
      <c r="F1417" s="1">
        <v>4.721637E7</v>
      </c>
      <c r="I1417" s="1">
        <v>0.0</v>
      </c>
      <c r="J1417" s="1">
        <v>783.0</v>
      </c>
      <c r="L1417" s="1">
        <v>8031749.0</v>
      </c>
      <c r="Q1417" s="1" t="s">
        <v>5056</v>
      </c>
      <c r="R1417" s="1" t="s">
        <v>5057</v>
      </c>
      <c r="S1417" s="1">
        <v>1.0</v>
      </c>
      <c r="T1417" s="1">
        <v>1.0</v>
      </c>
      <c r="X1417" s="1" t="s">
        <v>29</v>
      </c>
      <c r="Z1417" s="1" t="s">
        <v>5056</v>
      </c>
    </row>
    <row r="1418">
      <c r="A1418" s="3" t="str">
        <f>HYPERLINK("https://stackoverflow.com/q/47236477", "47236477")</f>
        <v>47236477</v>
      </c>
      <c r="B1418" s="1" t="s">
        <v>4681</v>
      </c>
      <c r="C1418" s="1" t="s">
        <v>5058</v>
      </c>
      <c r="D1418" s="2" t="s">
        <v>5059</v>
      </c>
      <c r="E1418" s="1">
        <v>1.0</v>
      </c>
      <c r="I1418" s="1">
        <v>0.0</v>
      </c>
      <c r="J1418" s="1">
        <v>672.0</v>
      </c>
      <c r="L1418" s="1">
        <v>8031749.0</v>
      </c>
      <c r="N1418" s="1">
        <v>8031749.0</v>
      </c>
      <c r="P1418" s="1" t="s">
        <v>5060</v>
      </c>
      <c r="Q1418" s="1" t="s">
        <v>5060</v>
      </c>
      <c r="R1418" s="1" t="s">
        <v>5061</v>
      </c>
      <c r="S1418" s="1">
        <v>0.0</v>
      </c>
      <c r="T1418" s="1">
        <v>3.0</v>
      </c>
      <c r="X1418" s="1" t="s">
        <v>29</v>
      </c>
    </row>
    <row r="1419">
      <c r="A1419" s="3" t="str">
        <f>HYPERLINK("https://stackoverflow.com/q/47336062", "47336062")</f>
        <v>47336062</v>
      </c>
      <c r="B1419" s="1" t="s">
        <v>4681</v>
      </c>
      <c r="C1419" s="1" t="s">
        <v>5062</v>
      </c>
      <c r="D1419" s="2" t="s">
        <v>5063</v>
      </c>
      <c r="E1419" s="1">
        <v>1.0</v>
      </c>
      <c r="I1419" s="1">
        <v>0.0</v>
      </c>
      <c r="J1419" s="1">
        <v>1483.0</v>
      </c>
      <c r="L1419" s="1">
        <v>6232454.0</v>
      </c>
      <c r="Q1419" s="1" t="s">
        <v>5064</v>
      </c>
      <c r="R1419" s="1" t="s">
        <v>5065</v>
      </c>
      <c r="S1419" s="1">
        <v>2.0</v>
      </c>
      <c r="T1419" s="1">
        <v>0.0</v>
      </c>
      <c r="X1419" s="1" t="s">
        <v>29</v>
      </c>
    </row>
    <row r="1420">
      <c r="A1420" s="3" t="str">
        <f>HYPERLINK("https://stackoverflow.com/q/47432384", "47432384")</f>
        <v>47432384</v>
      </c>
      <c r="B1420" s="1" t="s">
        <v>4681</v>
      </c>
      <c r="C1420" s="1" t="s">
        <v>5066</v>
      </c>
      <c r="D1420" s="2" t="s">
        <v>5067</v>
      </c>
      <c r="E1420" s="1">
        <v>1.0</v>
      </c>
      <c r="F1420" s="1">
        <v>4.7697051E7</v>
      </c>
      <c r="I1420" s="1">
        <v>0.0</v>
      </c>
      <c r="J1420" s="1">
        <v>1636.0</v>
      </c>
      <c r="L1420" s="1">
        <v>4555954.0</v>
      </c>
      <c r="N1420" s="1">
        <v>4555954.0</v>
      </c>
      <c r="P1420" s="1" t="s">
        <v>5068</v>
      </c>
      <c r="Q1420" s="1" t="s">
        <v>5069</v>
      </c>
      <c r="R1420" s="1" t="s">
        <v>5070</v>
      </c>
      <c r="S1420" s="1">
        <v>3.0</v>
      </c>
      <c r="T1420" s="1">
        <v>0.0</v>
      </c>
      <c r="X1420" s="1" t="s">
        <v>29</v>
      </c>
      <c r="Z1420" s="1" t="s">
        <v>5071</v>
      </c>
    </row>
    <row r="1421">
      <c r="A1421" s="3" t="str">
        <f>HYPERLINK("https://stackoverflow.com/q/47437912", "47437912")</f>
        <v>47437912</v>
      </c>
      <c r="B1421" s="1" t="s">
        <v>4681</v>
      </c>
      <c r="C1421" s="1" t="s">
        <v>5072</v>
      </c>
      <c r="D1421" s="2" t="s">
        <v>5073</v>
      </c>
      <c r="E1421" s="1">
        <v>1.0</v>
      </c>
      <c r="F1421" s="1">
        <v>4.7469309E7</v>
      </c>
      <c r="I1421" s="1">
        <v>2.0</v>
      </c>
      <c r="J1421" s="1">
        <v>1526.0</v>
      </c>
      <c r="L1421" s="1">
        <v>8990945.0</v>
      </c>
      <c r="Q1421" s="1" t="s">
        <v>5074</v>
      </c>
      <c r="R1421" s="1" t="s">
        <v>5075</v>
      </c>
      <c r="S1421" s="1">
        <v>1.0</v>
      </c>
      <c r="T1421" s="1">
        <v>0.0</v>
      </c>
      <c r="U1421" s="1">
        <v>1.0</v>
      </c>
      <c r="X1421" s="1" t="s">
        <v>29</v>
      </c>
      <c r="Z1421" s="1" t="s">
        <v>5074</v>
      </c>
    </row>
    <row r="1422">
      <c r="A1422" s="3" t="str">
        <f>HYPERLINK("https://stackoverflow.com/q/47772835", "47772835")</f>
        <v>47772835</v>
      </c>
      <c r="B1422" s="1" t="s">
        <v>4681</v>
      </c>
      <c r="C1422" s="1" t="s">
        <v>5076</v>
      </c>
      <c r="D1422" s="2" t="s">
        <v>5077</v>
      </c>
      <c r="E1422" s="1">
        <v>1.0</v>
      </c>
      <c r="I1422" s="1">
        <v>0.0</v>
      </c>
      <c r="J1422" s="1">
        <v>284.0</v>
      </c>
      <c r="L1422" s="1">
        <v>8374868.0</v>
      </c>
      <c r="Q1422" s="1" t="s">
        <v>5078</v>
      </c>
      <c r="R1422" s="1" t="s">
        <v>4836</v>
      </c>
      <c r="S1422" s="1">
        <v>1.0</v>
      </c>
      <c r="T1422" s="1">
        <v>0.0</v>
      </c>
      <c r="X1422" s="1" t="s">
        <v>29</v>
      </c>
    </row>
    <row r="1423">
      <c r="A1423" s="3" t="str">
        <f>HYPERLINK("https://stackoverflow.com/q/47803698", "47803698")</f>
        <v>47803698</v>
      </c>
      <c r="B1423" s="1" t="s">
        <v>4681</v>
      </c>
      <c r="C1423" s="1" t="s">
        <v>5079</v>
      </c>
      <c r="D1423" s="2" t="s">
        <v>5080</v>
      </c>
      <c r="E1423" s="1">
        <v>1.0</v>
      </c>
      <c r="I1423" s="1">
        <v>0.0</v>
      </c>
      <c r="J1423" s="1">
        <v>4950.0</v>
      </c>
      <c r="L1423" s="1">
        <v>8022146.0</v>
      </c>
      <c r="N1423" s="1">
        <v>751090.0</v>
      </c>
      <c r="P1423" s="1" t="s">
        <v>5081</v>
      </c>
      <c r="Q1423" s="1" t="s">
        <v>5082</v>
      </c>
      <c r="R1423" s="1" t="s">
        <v>4966</v>
      </c>
      <c r="S1423" s="1">
        <v>1.0</v>
      </c>
      <c r="T1423" s="1">
        <v>1.0</v>
      </c>
      <c r="X1423" s="1" t="s">
        <v>29</v>
      </c>
    </row>
    <row r="1424">
      <c r="A1424" s="3" t="str">
        <f>HYPERLINK("https://stackoverflow.com/q/48026832", "48026832")</f>
        <v>48026832</v>
      </c>
      <c r="B1424" s="1" t="s">
        <v>4681</v>
      </c>
      <c r="C1424" s="1" t="s">
        <v>5083</v>
      </c>
      <c r="D1424" s="2" t="s">
        <v>5084</v>
      </c>
      <c r="E1424" s="1">
        <v>1.0</v>
      </c>
      <c r="I1424" s="1">
        <v>0.0</v>
      </c>
      <c r="J1424" s="1">
        <v>233.0</v>
      </c>
      <c r="L1424" s="1">
        <v>2444505.0</v>
      </c>
      <c r="N1424" s="1">
        <v>751090.0</v>
      </c>
      <c r="P1424" s="1" t="s">
        <v>5085</v>
      </c>
      <c r="Q1424" s="1" t="s">
        <v>5085</v>
      </c>
      <c r="R1424" s="1" t="s">
        <v>4697</v>
      </c>
      <c r="S1424" s="1">
        <v>0.0</v>
      </c>
      <c r="T1424" s="1">
        <v>2.0</v>
      </c>
      <c r="X1424" s="1" t="s">
        <v>29</v>
      </c>
    </row>
    <row r="1425">
      <c r="A1425" s="3" t="str">
        <f>HYPERLINK("https://stackoverflow.com/q/48119162", "48119162")</f>
        <v>48119162</v>
      </c>
      <c r="B1425" s="1" t="s">
        <v>4681</v>
      </c>
      <c r="C1425" s="1" t="s">
        <v>5086</v>
      </c>
      <c r="D1425" s="2" t="s">
        <v>5087</v>
      </c>
      <c r="E1425" s="1">
        <v>1.0</v>
      </c>
      <c r="F1425" s="1">
        <v>4.815666E7</v>
      </c>
      <c r="I1425" s="1">
        <v>0.0</v>
      </c>
      <c r="J1425" s="1">
        <v>4174.0</v>
      </c>
      <c r="L1425" s="1">
        <v>489378.0</v>
      </c>
      <c r="Q1425" s="1" t="s">
        <v>5088</v>
      </c>
      <c r="R1425" s="1" t="s">
        <v>4697</v>
      </c>
      <c r="S1425" s="1">
        <v>1.0</v>
      </c>
      <c r="T1425" s="1">
        <v>0.0</v>
      </c>
      <c r="X1425" s="1" t="s">
        <v>29</v>
      </c>
      <c r="Z1425" s="1" t="s">
        <v>5089</v>
      </c>
    </row>
    <row r="1426">
      <c r="A1426" s="3" t="str">
        <f>HYPERLINK("https://stackoverflow.com/q/48158928", "48158928")</f>
        <v>48158928</v>
      </c>
      <c r="B1426" s="1" t="s">
        <v>4681</v>
      </c>
      <c r="C1426" s="1" t="s">
        <v>5090</v>
      </c>
      <c r="D1426" s="2" t="s">
        <v>5091</v>
      </c>
      <c r="E1426" s="1">
        <v>1.0</v>
      </c>
      <c r="I1426" s="1">
        <v>0.0</v>
      </c>
      <c r="J1426" s="1">
        <v>1556.0</v>
      </c>
      <c r="L1426" s="1">
        <v>2444505.0</v>
      </c>
      <c r="N1426" s="1">
        <v>747965.0</v>
      </c>
      <c r="P1426" s="1" t="s">
        <v>5092</v>
      </c>
      <c r="Q1426" s="1" t="s">
        <v>5092</v>
      </c>
      <c r="R1426" s="1" t="s">
        <v>5093</v>
      </c>
      <c r="S1426" s="1">
        <v>1.0</v>
      </c>
      <c r="T1426" s="1">
        <v>0.0</v>
      </c>
      <c r="X1426" s="1" t="s">
        <v>56</v>
      </c>
    </row>
    <row r="1427">
      <c r="A1427" s="3" t="str">
        <f>HYPERLINK("https://stackoverflow.com/q/48426028", "48426028")</f>
        <v>48426028</v>
      </c>
      <c r="B1427" s="1" t="s">
        <v>4681</v>
      </c>
      <c r="C1427" s="1" t="s">
        <v>5094</v>
      </c>
      <c r="D1427" s="2" t="s">
        <v>5095</v>
      </c>
      <c r="E1427" s="1">
        <v>1.0</v>
      </c>
      <c r="F1427" s="1">
        <v>4.8555216E7</v>
      </c>
      <c r="I1427" s="1">
        <v>3.0</v>
      </c>
      <c r="J1427" s="1">
        <v>170.0</v>
      </c>
      <c r="L1427" s="1">
        <v>7443103.0</v>
      </c>
      <c r="Q1427" s="1" t="s">
        <v>5096</v>
      </c>
      <c r="R1427" s="1" t="s">
        <v>4697</v>
      </c>
      <c r="S1427" s="1">
        <v>1.0</v>
      </c>
      <c r="T1427" s="1">
        <v>0.0</v>
      </c>
      <c r="X1427" s="1" t="s">
        <v>29</v>
      </c>
      <c r="Z1427" s="1" t="s">
        <v>5096</v>
      </c>
    </row>
    <row r="1428">
      <c r="A1428" s="3" t="str">
        <f>HYPERLINK("https://stackoverflow.com/q/48439073", "48439073")</f>
        <v>48439073</v>
      </c>
      <c r="B1428" s="1" t="s">
        <v>4681</v>
      </c>
      <c r="C1428" s="1" t="s">
        <v>5097</v>
      </c>
      <c r="D1428" s="2" t="s">
        <v>5098</v>
      </c>
      <c r="E1428" s="1">
        <v>1.0</v>
      </c>
      <c r="F1428" s="1">
        <v>4.8453505E7</v>
      </c>
      <c r="I1428" s="1">
        <v>1.0</v>
      </c>
      <c r="J1428" s="1">
        <v>6376.0</v>
      </c>
      <c r="L1428" s="1">
        <v>6504032.0</v>
      </c>
      <c r="N1428" s="1">
        <v>6504032.0</v>
      </c>
      <c r="P1428" s="1" t="s">
        <v>5099</v>
      </c>
      <c r="Q1428" s="1" t="s">
        <v>5100</v>
      </c>
      <c r="R1428" s="1" t="s">
        <v>5101</v>
      </c>
      <c r="S1428" s="1">
        <v>1.0</v>
      </c>
      <c r="T1428" s="1">
        <v>0.0</v>
      </c>
      <c r="U1428" s="1">
        <v>1.0</v>
      </c>
      <c r="X1428" s="1" t="s">
        <v>29</v>
      </c>
      <c r="Z1428" s="1" t="s">
        <v>5100</v>
      </c>
    </row>
    <row r="1429">
      <c r="A1429" s="3" t="str">
        <f>HYPERLINK("https://stackoverflow.com/q/48443288", "48443288")</f>
        <v>48443288</v>
      </c>
      <c r="B1429" s="1" t="s">
        <v>4681</v>
      </c>
      <c r="C1429" s="1" t="s">
        <v>5102</v>
      </c>
      <c r="D1429" s="2" t="s">
        <v>5103</v>
      </c>
      <c r="E1429" s="1">
        <v>1.0</v>
      </c>
      <c r="I1429" s="1">
        <v>1.0</v>
      </c>
      <c r="J1429" s="1">
        <v>802.0</v>
      </c>
      <c r="L1429" s="1">
        <v>1308133.0</v>
      </c>
      <c r="Q1429" s="1" t="s">
        <v>5104</v>
      </c>
      <c r="R1429" s="1" t="s">
        <v>5105</v>
      </c>
      <c r="S1429" s="1">
        <v>1.0</v>
      </c>
      <c r="T1429" s="1">
        <v>0.0</v>
      </c>
      <c r="U1429" s="1">
        <v>1.0</v>
      </c>
      <c r="X1429" s="1" t="s">
        <v>29</v>
      </c>
    </row>
    <row r="1430">
      <c r="A1430" s="3" t="str">
        <f>HYPERLINK("https://stackoverflow.com/q/48452352", "48452352")</f>
        <v>48452352</v>
      </c>
      <c r="B1430" s="1" t="s">
        <v>4681</v>
      </c>
      <c r="C1430" s="1" t="s">
        <v>5106</v>
      </c>
      <c r="D1430" s="2" t="s">
        <v>5107</v>
      </c>
      <c r="E1430" s="1">
        <v>1.0</v>
      </c>
      <c r="F1430" s="1">
        <v>4.8567347E7</v>
      </c>
      <c r="I1430" s="1">
        <v>6.0</v>
      </c>
      <c r="J1430" s="1">
        <v>1300.0</v>
      </c>
      <c r="L1430" s="1">
        <v>440279.0</v>
      </c>
      <c r="N1430" s="1">
        <v>440279.0</v>
      </c>
      <c r="P1430" s="1" t="s">
        <v>5108</v>
      </c>
      <c r="Q1430" s="1" t="s">
        <v>5109</v>
      </c>
      <c r="R1430" s="1" t="s">
        <v>5110</v>
      </c>
      <c r="S1430" s="1">
        <v>1.0</v>
      </c>
      <c r="T1430" s="1">
        <v>4.0</v>
      </c>
      <c r="X1430" s="1" t="s">
        <v>29</v>
      </c>
      <c r="Z1430" s="1" t="s">
        <v>5109</v>
      </c>
    </row>
    <row r="1431">
      <c r="A1431" s="3" t="str">
        <f>HYPERLINK("https://stackoverflow.com/q/48466362", "48466362")</f>
        <v>48466362</v>
      </c>
      <c r="B1431" s="1" t="s">
        <v>4681</v>
      </c>
      <c r="C1431" s="1" t="s">
        <v>5111</v>
      </c>
      <c r="D1431" s="2" t="s">
        <v>5112</v>
      </c>
      <c r="E1431" s="1">
        <v>1.0</v>
      </c>
      <c r="F1431" s="1">
        <v>4.8571299E7</v>
      </c>
      <c r="I1431" s="1">
        <v>0.0</v>
      </c>
      <c r="J1431" s="1">
        <v>1440.0</v>
      </c>
      <c r="L1431" s="1">
        <v>2026536.0</v>
      </c>
      <c r="Q1431" s="1" t="s">
        <v>5113</v>
      </c>
      <c r="R1431" s="1" t="s">
        <v>5114</v>
      </c>
      <c r="S1431" s="1">
        <v>2.0</v>
      </c>
      <c r="T1431" s="1">
        <v>0.0</v>
      </c>
      <c r="U1431" s="1">
        <v>0.0</v>
      </c>
      <c r="X1431" s="1" t="s">
        <v>29</v>
      </c>
      <c r="Z1431" s="1" t="s">
        <v>5115</v>
      </c>
    </row>
    <row r="1432">
      <c r="A1432" s="3" t="str">
        <f>HYPERLINK("https://stackoverflow.com/q/48601226", "48601226")</f>
        <v>48601226</v>
      </c>
      <c r="B1432" s="1" t="s">
        <v>4681</v>
      </c>
      <c r="C1432" s="1" t="s">
        <v>5116</v>
      </c>
      <c r="D1432" s="2" t="s">
        <v>5117</v>
      </c>
      <c r="E1432" s="1">
        <v>1.0</v>
      </c>
      <c r="I1432" s="1">
        <v>1.0</v>
      </c>
      <c r="J1432" s="1">
        <v>2110.0</v>
      </c>
      <c r="L1432" s="1">
        <v>5188550.0</v>
      </c>
      <c r="N1432" s="1">
        <v>13302.0</v>
      </c>
      <c r="P1432" s="1" t="s">
        <v>5118</v>
      </c>
      <c r="Q1432" s="1" t="s">
        <v>5118</v>
      </c>
      <c r="R1432" s="1" t="s">
        <v>5005</v>
      </c>
      <c r="S1432" s="1">
        <v>0.0</v>
      </c>
      <c r="T1432" s="1">
        <v>3.0</v>
      </c>
      <c r="X1432" s="1" t="s">
        <v>29</v>
      </c>
    </row>
    <row r="1433">
      <c r="A1433" s="3" t="str">
        <f>HYPERLINK("https://stackoverflow.com/q/48649652", "48649652")</f>
        <v>48649652</v>
      </c>
      <c r="B1433" s="1" t="s">
        <v>4681</v>
      </c>
      <c r="C1433" s="1" t="s">
        <v>5119</v>
      </c>
      <c r="D1433" s="2" t="s">
        <v>5120</v>
      </c>
      <c r="E1433" s="1">
        <v>1.0</v>
      </c>
      <c r="I1433" s="1">
        <v>0.0</v>
      </c>
      <c r="J1433" s="1">
        <v>368.0</v>
      </c>
      <c r="L1433" s="1">
        <v>974061.0</v>
      </c>
      <c r="Q1433" s="1" t="s">
        <v>5121</v>
      </c>
      <c r="R1433" s="1" t="s">
        <v>5122</v>
      </c>
      <c r="S1433" s="1">
        <v>1.0</v>
      </c>
      <c r="T1433" s="1">
        <v>1.0</v>
      </c>
      <c r="X1433" s="1" t="s">
        <v>29</v>
      </c>
    </row>
    <row r="1434">
      <c r="A1434" s="3" t="str">
        <f>HYPERLINK("https://stackoverflow.com/q/48757984", "48757984")</f>
        <v>48757984</v>
      </c>
      <c r="B1434" s="1" t="s">
        <v>4681</v>
      </c>
      <c r="C1434" s="1" t="s">
        <v>5123</v>
      </c>
      <c r="D1434" s="2" t="s">
        <v>5124</v>
      </c>
      <c r="E1434" s="1">
        <v>1.0</v>
      </c>
      <c r="F1434" s="1">
        <v>4.878587E7</v>
      </c>
      <c r="I1434" s="1">
        <v>1.0</v>
      </c>
      <c r="J1434" s="1">
        <v>438.0</v>
      </c>
      <c r="L1434" s="1">
        <v>388992.0</v>
      </c>
      <c r="Q1434" s="1" t="s">
        <v>5125</v>
      </c>
      <c r="R1434" s="1" t="s">
        <v>5126</v>
      </c>
      <c r="S1434" s="1">
        <v>1.0</v>
      </c>
      <c r="T1434" s="1">
        <v>0.0</v>
      </c>
      <c r="X1434" s="1" t="s">
        <v>29</v>
      </c>
      <c r="Z1434" s="1" t="s">
        <v>5127</v>
      </c>
    </row>
    <row r="1435">
      <c r="A1435" s="3" t="str">
        <f>HYPERLINK("https://stackoverflow.com/q/48869897", "48869897")</f>
        <v>48869897</v>
      </c>
      <c r="B1435" s="1" t="s">
        <v>4681</v>
      </c>
      <c r="C1435" s="1" t="s">
        <v>5128</v>
      </c>
      <c r="D1435" s="2" t="s">
        <v>5129</v>
      </c>
      <c r="E1435" s="1">
        <v>1.0</v>
      </c>
      <c r="I1435" s="1">
        <v>0.0</v>
      </c>
      <c r="J1435" s="1">
        <v>341.0</v>
      </c>
      <c r="L1435" s="1">
        <v>3892608.0</v>
      </c>
      <c r="N1435" s="1">
        <v>3892608.0</v>
      </c>
      <c r="P1435" s="1" t="s">
        <v>5130</v>
      </c>
      <c r="Q1435" s="1" t="s">
        <v>5130</v>
      </c>
      <c r="R1435" s="1" t="s">
        <v>5131</v>
      </c>
      <c r="S1435" s="1">
        <v>0.0</v>
      </c>
      <c r="T1435" s="1">
        <v>3.0</v>
      </c>
      <c r="X1435" s="1" t="s">
        <v>29</v>
      </c>
    </row>
    <row r="1436">
      <c r="A1436" s="3" t="str">
        <f>HYPERLINK("https://stackoverflow.com/q/48870896", "48870896")</f>
        <v>48870896</v>
      </c>
      <c r="B1436" s="1" t="s">
        <v>4681</v>
      </c>
      <c r="C1436" s="1" t="s">
        <v>5132</v>
      </c>
      <c r="D1436" s="2" t="s">
        <v>5133</v>
      </c>
      <c r="E1436" s="1">
        <v>1.0</v>
      </c>
      <c r="I1436" s="1">
        <v>1.0</v>
      </c>
      <c r="J1436" s="1">
        <v>146.0</v>
      </c>
      <c r="L1436" s="1">
        <v>9381888.0</v>
      </c>
      <c r="N1436" s="1">
        <v>7920473.0</v>
      </c>
      <c r="P1436" s="1" t="s">
        <v>5134</v>
      </c>
      <c r="Q1436" s="1" t="s">
        <v>5134</v>
      </c>
      <c r="R1436" s="1" t="s">
        <v>5135</v>
      </c>
      <c r="S1436" s="1">
        <v>0.0</v>
      </c>
      <c r="T1436" s="1">
        <v>0.0</v>
      </c>
      <c r="X1436" s="1" t="s">
        <v>29</v>
      </c>
    </row>
    <row r="1437">
      <c r="A1437" s="3" t="str">
        <f>HYPERLINK("https://stackoverflow.com/q/48906831", "48906831")</f>
        <v>48906831</v>
      </c>
      <c r="B1437" s="1" t="s">
        <v>4681</v>
      </c>
      <c r="C1437" s="1" t="s">
        <v>5136</v>
      </c>
      <c r="D1437" s="2" t="s">
        <v>5137</v>
      </c>
      <c r="E1437" s="1">
        <v>1.0</v>
      </c>
      <c r="I1437" s="1">
        <v>1.0</v>
      </c>
      <c r="J1437" s="1">
        <v>457.0</v>
      </c>
      <c r="L1437" s="1">
        <v>9268608.0</v>
      </c>
      <c r="Q1437" s="1" t="s">
        <v>5136</v>
      </c>
      <c r="R1437" s="1" t="s">
        <v>4697</v>
      </c>
      <c r="S1437" s="1">
        <v>0.0</v>
      </c>
      <c r="T1437" s="1">
        <v>0.0</v>
      </c>
      <c r="X1437" s="1" t="s">
        <v>29</v>
      </c>
    </row>
    <row r="1438">
      <c r="A1438" s="3" t="str">
        <f>HYPERLINK("https://stackoverflow.com/q/48950826", "48950826")</f>
        <v>48950826</v>
      </c>
      <c r="B1438" s="1" t="s">
        <v>4681</v>
      </c>
      <c r="C1438" s="1" t="s">
        <v>5138</v>
      </c>
      <c r="D1438" s="2" t="s">
        <v>5139</v>
      </c>
      <c r="E1438" s="1">
        <v>1.0</v>
      </c>
      <c r="F1438" s="1">
        <v>4.9372953E7</v>
      </c>
      <c r="I1438" s="1">
        <v>0.0</v>
      </c>
      <c r="J1438" s="1">
        <v>377.0</v>
      </c>
      <c r="L1438" s="1">
        <v>9402203.0</v>
      </c>
      <c r="N1438" s="1">
        <v>5094664.0</v>
      </c>
      <c r="P1438" s="1" t="s">
        <v>5140</v>
      </c>
      <c r="Q1438" s="1" t="s">
        <v>5141</v>
      </c>
      <c r="R1438" s="1" t="s">
        <v>5142</v>
      </c>
      <c r="S1438" s="1">
        <v>1.0</v>
      </c>
      <c r="T1438" s="1">
        <v>0.0</v>
      </c>
      <c r="X1438" s="1" t="s">
        <v>29</v>
      </c>
      <c r="Z1438" s="1" t="s">
        <v>5141</v>
      </c>
    </row>
    <row r="1439">
      <c r="A1439" s="3" t="str">
        <f>HYPERLINK("https://stackoverflow.com/q/49006215", "49006215")</f>
        <v>49006215</v>
      </c>
      <c r="B1439" s="1" t="s">
        <v>4681</v>
      </c>
      <c r="C1439" s="1" t="s">
        <v>5143</v>
      </c>
      <c r="D1439" s="2" t="s">
        <v>5144</v>
      </c>
      <c r="E1439" s="1">
        <v>1.0</v>
      </c>
      <c r="F1439" s="1">
        <v>4.9010071E7</v>
      </c>
      <c r="I1439" s="1">
        <v>1.0</v>
      </c>
      <c r="J1439" s="1">
        <v>5959.0</v>
      </c>
      <c r="L1439" s="1">
        <v>1361525.0</v>
      </c>
      <c r="Q1439" s="1" t="s">
        <v>5145</v>
      </c>
      <c r="R1439" s="1" t="s">
        <v>5065</v>
      </c>
      <c r="S1439" s="1">
        <v>1.0</v>
      </c>
      <c r="T1439" s="1">
        <v>3.0</v>
      </c>
      <c r="X1439" s="1" t="s">
        <v>29</v>
      </c>
      <c r="Z1439" s="1" t="s">
        <v>5146</v>
      </c>
    </row>
    <row r="1440">
      <c r="A1440" s="3" t="str">
        <f>HYPERLINK("https://stackoverflow.com/q/49033921", "49033921")</f>
        <v>49033921</v>
      </c>
      <c r="B1440" s="1" t="s">
        <v>4681</v>
      </c>
      <c r="C1440" s="1" t="s">
        <v>5147</v>
      </c>
      <c r="D1440" s="2" t="s">
        <v>5148</v>
      </c>
      <c r="E1440" s="1">
        <v>1.0</v>
      </c>
      <c r="I1440" s="1">
        <v>3.0</v>
      </c>
      <c r="J1440" s="1">
        <v>6949.0</v>
      </c>
      <c r="L1440" s="1">
        <v>6812673.0</v>
      </c>
      <c r="Q1440" s="1" t="s">
        <v>5149</v>
      </c>
      <c r="R1440" s="1" t="s">
        <v>4697</v>
      </c>
      <c r="S1440" s="1">
        <v>1.0</v>
      </c>
      <c r="T1440" s="1">
        <v>0.0</v>
      </c>
      <c r="X1440" s="1" t="s">
        <v>29</v>
      </c>
    </row>
    <row r="1441">
      <c r="A1441" s="3" t="str">
        <f>HYPERLINK("https://stackoverflow.com/q/49192135", "49192135")</f>
        <v>49192135</v>
      </c>
      <c r="B1441" s="1" t="s">
        <v>4681</v>
      </c>
      <c r="C1441" s="1" t="s">
        <v>5150</v>
      </c>
      <c r="D1441" s="2" t="s">
        <v>5151</v>
      </c>
      <c r="E1441" s="1">
        <v>1.0</v>
      </c>
      <c r="I1441" s="1">
        <v>2.0</v>
      </c>
      <c r="J1441" s="1">
        <v>61.0</v>
      </c>
      <c r="L1441" s="1">
        <v>9466480.0</v>
      </c>
      <c r="N1441" s="1">
        <v>9466480.0</v>
      </c>
      <c r="P1441" s="1" t="s">
        <v>5152</v>
      </c>
      <c r="Q1441" s="1" t="s">
        <v>5152</v>
      </c>
      <c r="R1441" s="1" t="s">
        <v>5153</v>
      </c>
      <c r="S1441" s="1">
        <v>0.0</v>
      </c>
      <c r="T1441" s="1">
        <v>1.0</v>
      </c>
      <c r="X1441" s="1" t="s">
        <v>29</v>
      </c>
    </row>
    <row r="1442">
      <c r="A1442" s="3" t="str">
        <f>HYPERLINK("https://stackoverflow.com/q/49320948", "49320948")</f>
        <v>49320948</v>
      </c>
      <c r="B1442" s="1" t="s">
        <v>4681</v>
      </c>
      <c r="C1442" s="1" t="s">
        <v>5154</v>
      </c>
      <c r="D1442" s="2" t="s">
        <v>5155</v>
      </c>
      <c r="E1442" s="1">
        <v>1.0</v>
      </c>
      <c r="I1442" s="1">
        <v>0.0</v>
      </c>
      <c r="J1442" s="1">
        <v>107.0</v>
      </c>
      <c r="L1442" s="1">
        <v>9464218.0</v>
      </c>
      <c r="Q1442" s="1" t="s">
        <v>5156</v>
      </c>
      <c r="R1442" s="1" t="s">
        <v>5157</v>
      </c>
      <c r="S1442" s="1">
        <v>1.0</v>
      </c>
      <c r="T1442" s="1">
        <v>0.0</v>
      </c>
      <c r="X1442" s="1" t="s">
        <v>29</v>
      </c>
    </row>
    <row r="1443">
      <c r="A1443" s="3" t="str">
        <f>HYPERLINK("https://stackoverflow.com/q/49372027", "49372027")</f>
        <v>49372027</v>
      </c>
      <c r="B1443" s="1" t="s">
        <v>4681</v>
      </c>
      <c r="C1443" s="1" t="s">
        <v>5158</v>
      </c>
      <c r="D1443" s="2" t="s">
        <v>5159</v>
      </c>
      <c r="E1443" s="1">
        <v>1.0</v>
      </c>
      <c r="I1443" s="1">
        <v>1.0</v>
      </c>
      <c r="J1443" s="1">
        <v>386.0</v>
      </c>
      <c r="L1443" s="1">
        <v>5655486.0</v>
      </c>
      <c r="Q1443" s="1" t="s">
        <v>5158</v>
      </c>
      <c r="R1443" s="1" t="s">
        <v>5160</v>
      </c>
      <c r="S1443" s="1">
        <v>0.0</v>
      </c>
      <c r="T1443" s="1">
        <v>1.0</v>
      </c>
      <c r="X1443" s="1" t="s">
        <v>29</v>
      </c>
    </row>
    <row r="1444">
      <c r="A1444" s="3" t="str">
        <f>HYPERLINK("https://stackoverflow.com/q/49379459", "49379459")</f>
        <v>49379459</v>
      </c>
      <c r="B1444" s="1" t="s">
        <v>4681</v>
      </c>
      <c r="C1444" s="1" t="s">
        <v>5161</v>
      </c>
      <c r="D1444" s="2" t="s">
        <v>5162</v>
      </c>
      <c r="E1444" s="1">
        <v>1.0</v>
      </c>
      <c r="F1444" s="1">
        <v>4.9423754E7</v>
      </c>
      <c r="I1444" s="1">
        <v>0.0</v>
      </c>
      <c r="J1444" s="1">
        <v>253.0</v>
      </c>
      <c r="L1444" s="1">
        <v>1807877.0</v>
      </c>
      <c r="Q1444" s="1" t="s">
        <v>5163</v>
      </c>
      <c r="R1444" s="1" t="s">
        <v>4697</v>
      </c>
      <c r="S1444" s="1">
        <v>2.0</v>
      </c>
      <c r="T1444" s="1">
        <v>3.0</v>
      </c>
      <c r="X1444" s="1" t="s">
        <v>29</v>
      </c>
      <c r="Z1444" s="1" t="s">
        <v>5163</v>
      </c>
    </row>
    <row r="1445">
      <c r="A1445" s="3" t="str">
        <f>HYPERLINK("https://stackoverflow.com/q/49424033", "49424033")</f>
        <v>49424033</v>
      </c>
      <c r="B1445" s="1" t="s">
        <v>4681</v>
      </c>
      <c r="C1445" s="1" t="s">
        <v>5164</v>
      </c>
      <c r="D1445" s="2" t="s">
        <v>5165</v>
      </c>
      <c r="E1445" s="1">
        <v>1.0</v>
      </c>
      <c r="F1445" s="1">
        <v>4.9424237E7</v>
      </c>
      <c r="I1445" s="1">
        <v>2.0</v>
      </c>
      <c r="J1445" s="1">
        <v>595.0</v>
      </c>
      <c r="L1445" s="1">
        <v>1807877.0</v>
      </c>
      <c r="Q1445" s="1" t="s">
        <v>5166</v>
      </c>
      <c r="R1445" s="1" t="s">
        <v>4697</v>
      </c>
      <c r="S1445" s="1">
        <v>1.0</v>
      </c>
      <c r="T1445" s="1">
        <v>5.0</v>
      </c>
      <c r="X1445" s="1" t="s">
        <v>29</v>
      </c>
      <c r="Z1445" s="1" t="s">
        <v>5167</v>
      </c>
    </row>
    <row r="1446">
      <c r="A1446" s="3" t="str">
        <f>HYPERLINK("https://stackoverflow.com/q/49428459", "49428459")</f>
        <v>49428459</v>
      </c>
      <c r="B1446" s="1" t="s">
        <v>4681</v>
      </c>
      <c r="C1446" s="1" t="s">
        <v>5168</v>
      </c>
      <c r="D1446" s="2" t="s">
        <v>5169</v>
      </c>
      <c r="E1446" s="1">
        <v>1.0</v>
      </c>
      <c r="F1446" s="1">
        <v>4.9435872E7</v>
      </c>
      <c r="I1446" s="1">
        <v>2.0</v>
      </c>
      <c r="J1446" s="1">
        <v>256.0</v>
      </c>
      <c r="L1446" s="1">
        <v>5375390.0</v>
      </c>
      <c r="Q1446" s="1" t="s">
        <v>5170</v>
      </c>
      <c r="R1446" s="1" t="s">
        <v>5171</v>
      </c>
      <c r="S1446" s="1">
        <v>1.0</v>
      </c>
      <c r="T1446" s="1">
        <v>0.0</v>
      </c>
      <c r="X1446" s="1" t="s">
        <v>29</v>
      </c>
      <c r="Z1446" s="1" t="s">
        <v>5170</v>
      </c>
    </row>
    <row r="1447">
      <c r="A1447" s="3" t="str">
        <f>HYPERLINK("https://stackoverflow.com/q/49444662", "49444662")</f>
        <v>49444662</v>
      </c>
      <c r="B1447" s="1" t="s">
        <v>4681</v>
      </c>
      <c r="C1447" s="1" t="s">
        <v>5172</v>
      </c>
      <c r="D1447" s="2" t="s">
        <v>5173</v>
      </c>
      <c r="E1447" s="1">
        <v>1.0</v>
      </c>
      <c r="I1447" s="1">
        <v>0.0</v>
      </c>
      <c r="J1447" s="1">
        <v>1310.0</v>
      </c>
      <c r="L1447" s="1">
        <v>1807877.0</v>
      </c>
      <c r="N1447" s="1">
        <v>1807877.0</v>
      </c>
      <c r="P1447" s="1" t="s">
        <v>5174</v>
      </c>
      <c r="Q1447" s="1" t="s">
        <v>5174</v>
      </c>
      <c r="R1447" s="1" t="s">
        <v>4697</v>
      </c>
      <c r="S1447" s="1">
        <v>0.0</v>
      </c>
      <c r="T1447" s="1">
        <v>11.0</v>
      </c>
      <c r="X1447" s="1" t="s">
        <v>29</v>
      </c>
    </row>
    <row r="1448">
      <c r="A1448" s="3" t="str">
        <f>HYPERLINK("https://stackoverflow.com/q/49488781", "49488781")</f>
        <v>49488781</v>
      </c>
      <c r="B1448" s="1" t="s">
        <v>4681</v>
      </c>
      <c r="C1448" s="1" t="s">
        <v>5175</v>
      </c>
      <c r="D1448" s="2" t="s">
        <v>5176</v>
      </c>
      <c r="E1448" s="1">
        <v>1.0</v>
      </c>
      <c r="F1448" s="1">
        <v>4.948991E7</v>
      </c>
      <c r="I1448" s="1">
        <v>0.0</v>
      </c>
      <c r="J1448" s="1">
        <v>660.0</v>
      </c>
      <c r="L1448" s="1">
        <v>5700213.0</v>
      </c>
      <c r="N1448" s="1">
        <v>5700213.0</v>
      </c>
      <c r="P1448" s="1" t="s">
        <v>5177</v>
      </c>
      <c r="Q1448" s="1" t="s">
        <v>5178</v>
      </c>
      <c r="R1448" s="1" t="s">
        <v>4863</v>
      </c>
      <c r="S1448" s="1">
        <v>1.0</v>
      </c>
      <c r="T1448" s="1">
        <v>0.0</v>
      </c>
      <c r="X1448" s="1" t="s">
        <v>29</v>
      </c>
      <c r="Z1448" s="1" t="s">
        <v>5178</v>
      </c>
    </row>
    <row r="1449">
      <c r="A1449" s="3" t="str">
        <f>HYPERLINK("https://stackoverflow.com/q/49496987", "49496987")</f>
        <v>49496987</v>
      </c>
      <c r="B1449" s="1" t="s">
        <v>4681</v>
      </c>
      <c r="C1449" s="1" t="s">
        <v>5179</v>
      </c>
      <c r="D1449" s="2" t="s">
        <v>5180</v>
      </c>
      <c r="E1449" s="1">
        <v>1.0</v>
      </c>
      <c r="F1449" s="1">
        <v>4.9548285E7</v>
      </c>
      <c r="I1449" s="1">
        <v>0.0</v>
      </c>
      <c r="J1449" s="1">
        <v>202.0</v>
      </c>
      <c r="L1449" s="1">
        <v>5375390.0</v>
      </c>
      <c r="Q1449" s="1" t="s">
        <v>5181</v>
      </c>
      <c r="R1449" s="1" t="s">
        <v>5171</v>
      </c>
      <c r="S1449" s="1">
        <v>1.0</v>
      </c>
      <c r="T1449" s="1">
        <v>0.0</v>
      </c>
      <c r="X1449" s="1" t="s">
        <v>29</v>
      </c>
      <c r="Z1449" s="1" t="s">
        <v>5181</v>
      </c>
    </row>
    <row r="1450">
      <c r="A1450" s="3" t="str">
        <f>HYPERLINK("https://stackoverflow.com/q/49517238", "49517238")</f>
        <v>49517238</v>
      </c>
      <c r="B1450" s="1" t="s">
        <v>4681</v>
      </c>
      <c r="C1450" s="1" t="s">
        <v>5182</v>
      </c>
      <c r="D1450" s="2" t="s">
        <v>5183</v>
      </c>
      <c r="E1450" s="1">
        <v>1.0</v>
      </c>
      <c r="I1450" s="1">
        <v>1.0</v>
      </c>
      <c r="J1450" s="1">
        <v>180.0</v>
      </c>
      <c r="L1450" s="1">
        <v>9559198.0</v>
      </c>
      <c r="N1450" s="1">
        <v>9559198.0</v>
      </c>
      <c r="P1450" s="1" t="s">
        <v>5184</v>
      </c>
      <c r="Q1450" s="1" t="s">
        <v>5184</v>
      </c>
      <c r="R1450" s="1" t="s">
        <v>4962</v>
      </c>
      <c r="S1450" s="1">
        <v>0.0</v>
      </c>
      <c r="T1450" s="1">
        <v>0.0</v>
      </c>
      <c r="X1450" s="1" t="s">
        <v>29</v>
      </c>
    </row>
    <row r="1451">
      <c r="A1451" s="3" t="str">
        <f>HYPERLINK("https://stackoverflow.com/q/49659166", "49659166")</f>
        <v>49659166</v>
      </c>
      <c r="B1451" s="1" t="s">
        <v>4681</v>
      </c>
      <c r="C1451" s="1" t="s">
        <v>5185</v>
      </c>
      <c r="D1451" s="2" t="s">
        <v>5186</v>
      </c>
      <c r="E1451" s="1">
        <v>1.0</v>
      </c>
      <c r="F1451" s="1">
        <v>4.9662123E7</v>
      </c>
      <c r="I1451" s="1">
        <v>1.0</v>
      </c>
      <c r="J1451" s="1">
        <v>2116.0</v>
      </c>
      <c r="L1451" s="1">
        <v>7228738.0</v>
      </c>
      <c r="Q1451" s="1" t="s">
        <v>5187</v>
      </c>
      <c r="R1451" s="1" t="s">
        <v>4697</v>
      </c>
      <c r="S1451" s="1">
        <v>2.0</v>
      </c>
      <c r="T1451" s="1">
        <v>4.0</v>
      </c>
      <c r="X1451" s="1" t="s">
        <v>29</v>
      </c>
      <c r="Z1451" s="1" t="s">
        <v>5187</v>
      </c>
    </row>
    <row r="1452">
      <c r="A1452" s="3" t="str">
        <f>HYPERLINK("https://stackoverflow.com/q/49660802", "49660802")</f>
        <v>49660802</v>
      </c>
      <c r="B1452" s="1" t="s">
        <v>4681</v>
      </c>
      <c r="C1452" s="1" t="s">
        <v>5188</v>
      </c>
      <c r="D1452" s="2" t="s">
        <v>5189</v>
      </c>
      <c r="E1452" s="1">
        <v>1.0</v>
      </c>
      <c r="I1452" s="1">
        <v>0.0</v>
      </c>
      <c r="J1452" s="1">
        <v>34.0</v>
      </c>
      <c r="L1452" s="1">
        <v>9210168.0</v>
      </c>
      <c r="Q1452" s="1" t="s">
        <v>5188</v>
      </c>
      <c r="R1452" s="1" t="s">
        <v>5190</v>
      </c>
      <c r="S1452" s="1">
        <v>0.0</v>
      </c>
      <c r="T1452" s="1">
        <v>2.0</v>
      </c>
      <c r="X1452" s="1" t="s">
        <v>29</v>
      </c>
    </row>
    <row r="1453">
      <c r="A1453" s="3" t="str">
        <f>HYPERLINK("https://stackoverflow.com/q/49669653", "49669653")</f>
        <v>49669653</v>
      </c>
      <c r="B1453" s="1" t="s">
        <v>4681</v>
      </c>
      <c r="C1453" s="1" t="s">
        <v>5191</v>
      </c>
      <c r="D1453" s="2" t="s">
        <v>5192</v>
      </c>
      <c r="E1453" s="1">
        <v>1.0</v>
      </c>
      <c r="F1453" s="1">
        <v>4.967716E7</v>
      </c>
      <c r="I1453" s="1">
        <v>1.0</v>
      </c>
      <c r="J1453" s="1">
        <v>2534.0</v>
      </c>
      <c r="L1453" s="1">
        <v>6812673.0</v>
      </c>
      <c r="N1453" s="1">
        <v>6812673.0</v>
      </c>
      <c r="P1453" s="1" t="s">
        <v>5193</v>
      </c>
      <c r="Q1453" s="1" t="s">
        <v>5194</v>
      </c>
      <c r="R1453" s="1" t="s">
        <v>5195</v>
      </c>
      <c r="S1453" s="1">
        <v>1.0</v>
      </c>
      <c r="T1453" s="1">
        <v>4.0</v>
      </c>
      <c r="U1453" s="1">
        <v>1.0</v>
      </c>
      <c r="X1453" s="1" t="s">
        <v>29</v>
      </c>
      <c r="Z1453" s="1" t="s">
        <v>5194</v>
      </c>
    </row>
    <row r="1454">
      <c r="A1454" s="3" t="str">
        <f>HYPERLINK("https://stackoverflow.com/q/49675462", "49675462")</f>
        <v>49675462</v>
      </c>
      <c r="B1454" s="1" t="s">
        <v>4681</v>
      </c>
      <c r="C1454" s="1" t="s">
        <v>5196</v>
      </c>
      <c r="D1454" s="2" t="s">
        <v>5197</v>
      </c>
      <c r="E1454" s="1">
        <v>1.0</v>
      </c>
      <c r="I1454" s="1">
        <v>3.0</v>
      </c>
      <c r="J1454" s="1">
        <v>2123.0</v>
      </c>
      <c r="L1454" s="1">
        <v>890822.0</v>
      </c>
      <c r="N1454" s="1">
        <v>890822.0</v>
      </c>
      <c r="P1454" s="1" t="s">
        <v>5198</v>
      </c>
      <c r="Q1454" s="1" t="s">
        <v>5199</v>
      </c>
      <c r="R1454" s="1" t="s">
        <v>5200</v>
      </c>
      <c r="S1454" s="1">
        <v>1.0</v>
      </c>
      <c r="T1454" s="1">
        <v>3.0</v>
      </c>
      <c r="X1454" s="1" t="s">
        <v>29</v>
      </c>
    </row>
    <row r="1455">
      <c r="A1455" s="3" t="str">
        <f>HYPERLINK("https://stackoverflow.com/q/49692206", "49692206")</f>
        <v>49692206</v>
      </c>
      <c r="B1455" s="1" t="s">
        <v>4681</v>
      </c>
      <c r="C1455" s="1" t="s">
        <v>5201</v>
      </c>
      <c r="D1455" s="2" t="s">
        <v>5202</v>
      </c>
      <c r="E1455" s="1">
        <v>1.0</v>
      </c>
      <c r="F1455" s="1">
        <v>4.9693077E7</v>
      </c>
      <c r="I1455" s="1">
        <v>2.0</v>
      </c>
      <c r="J1455" s="1">
        <v>2752.0</v>
      </c>
      <c r="L1455" s="1">
        <v>5700213.0</v>
      </c>
      <c r="N1455" s="1">
        <v>5700213.0</v>
      </c>
      <c r="P1455" s="1" t="s">
        <v>5203</v>
      </c>
      <c r="Q1455" s="1" t="s">
        <v>5204</v>
      </c>
      <c r="R1455" s="1" t="s">
        <v>4836</v>
      </c>
      <c r="S1455" s="1">
        <v>1.0</v>
      </c>
      <c r="T1455" s="1">
        <v>0.0</v>
      </c>
      <c r="X1455" s="1" t="s">
        <v>29</v>
      </c>
      <c r="Z1455" s="1" t="s">
        <v>5205</v>
      </c>
    </row>
    <row r="1456">
      <c r="A1456" s="3" t="str">
        <f>HYPERLINK("https://stackoverflow.com/q/49718975", "49718975")</f>
        <v>49718975</v>
      </c>
      <c r="B1456" s="1" t="s">
        <v>4681</v>
      </c>
      <c r="C1456" s="1" t="s">
        <v>5206</v>
      </c>
      <c r="D1456" s="2" t="s">
        <v>5207</v>
      </c>
      <c r="E1456" s="1">
        <v>1.0</v>
      </c>
      <c r="I1456" s="1">
        <v>0.0</v>
      </c>
      <c r="J1456" s="1">
        <v>362.0</v>
      </c>
      <c r="L1456" s="1">
        <v>1102550.0</v>
      </c>
      <c r="Q1456" s="1" t="s">
        <v>5208</v>
      </c>
      <c r="R1456" s="1" t="s">
        <v>5209</v>
      </c>
      <c r="S1456" s="1">
        <v>1.0</v>
      </c>
      <c r="T1456" s="1">
        <v>0.0</v>
      </c>
      <c r="X1456" s="1" t="s">
        <v>29</v>
      </c>
    </row>
    <row r="1457">
      <c r="A1457" s="3" t="str">
        <f>HYPERLINK("https://stackoverflow.com/q/49747691", "49747691")</f>
        <v>49747691</v>
      </c>
      <c r="B1457" s="1" t="s">
        <v>4681</v>
      </c>
      <c r="C1457" s="1" t="s">
        <v>5210</v>
      </c>
      <c r="D1457" s="2" t="s">
        <v>5211</v>
      </c>
      <c r="E1457" s="1">
        <v>1.0</v>
      </c>
      <c r="F1457" s="1">
        <v>4.9805174E7</v>
      </c>
      <c r="I1457" s="1">
        <v>0.0</v>
      </c>
      <c r="J1457" s="1">
        <v>959.0</v>
      </c>
      <c r="L1457" s="1">
        <v>4584791.0</v>
      </c>
      <c r="Q1457" s="1" t="s">
        <v>5212</v>
      </c>
      <c r="R1457" s="1" t="s">
        <v>5213</v>
      </c>
      <c r="S1457" s="1">
        <v>1.0</v>
      </c>
      <c r="T1457" s="1">
        <v>0.0</v>
      </c>
      <c r="X1457" s="1" t="s">
        <v>29</v>
      </c>
      <c r="Z1457" s="1" t="s">
        <v>5212</v>
      </c>
    </row>
    <row r="1458">
      <c r="A1458" s="3" t="str">
        <f>HYPERLINK("https://stackoverflow.com/q/49803583", "49803583")</f>
        <v>49803583</v>
      </c>
      <c r="B1458" s="1" t="s">
        <v>4681</v>
      </c>
      <c r="C1458" s="1" t="s">
        <v>5214</v>
      </c>
      <c r="D1458" s="2" t="s">
        <v>5215</v>
      </c>
      <c r="E1458" s="1">
        <v>1.0</v>
      </c>
      <c r="I1458" s="1">
        <v>0.0</v>
      </c>
      <c r="J1458" s="1">
        <v>264.0</v>
      </c>
      <c r="L1458" s="1">
        <v>9637871.0</v>
      </c>
      <c r="N1458" s="1">
        <v>1392490.0</v>
      </c>
      <c r="P1458" s="1" t="s">
        <v>5216</v>
      </c>
      <c r="Q1458" s="1" t="s">
        <v>5216</v>
      </c>
      <c r="R1458" s="1" t="s">
        <v>5217</v>
      </c>
      <c r="S1458" s="1">
        <v>0.0</v>
      </c>
      <c r="T1458" s="1">
        <v>7.0</v>
      </c>
      <c r="U1458" s="1">
        <v>2.0</v>
      </c>
      <c r="X1458" s="1" t="s">
        <v>29</v>
      </c>
    </row>
    <row r="1459">
      <c r="A1459" s="3" t="str">
        <f>HYPERLINK("https://stackoverflow.com/q/49865996", "49865996")</f>
        <v>49865996</v>
      </c>
      <c r="B1459" s="1" t="s">
        <v>4681</v>
      </c>
      <c r="C1459" s="1" t="s">
        <v>5218</v>
      </c>
      <c r="D1459" s="2" t="s">
        <v>5219</v>
      </c>
      <c r="E1459" s="1">
        <v>1.0</v>
      </c>
      <c r="I1459" s="1">
        <v>1.0</v>
      </c>
      <c r="J1459" s="1">
        <v>350.0</v>
      </c>
      <c r="L1459" s="1">
        <v>4555033.0</v>
      </c>
      <c r="Q1459" s="1" t="s">
        <v>5220</v>
      </c>
      <c r="R1459" s="1" t="s">
        <v>5221</v>
      </c>
      <c r="S1459" s="1">
        <v>1.0</v>
      </c>
      <c r="T1459" s="1">
        <v>0.0</v>
      </c>
      <c r="X1459" s="1" t="s">
        <v>29</v>
      </c>
    </row>
    <row r="1460">
      <c r="A1460" s="3" t="str">
        <f>HYPERLINK("https://stackoverflow.com/q/49954489", "49954489")</f>
        <v>49954489</v>
      </c>
      <c r="B1460" s="1" t="s">
        <v>4681</v>
      </c>
      <c r="C1460" s="1" t="s">
        <v>5222</v>
      </c>
      <c r="D1460" s="2" t="s">
        <v>5223</v>
      </c>
      <c r="E1460" s="1">
        <v>1.0</v>
      </c>
      <c r="I1460" s="1">
        <v>0.0</v>
      </c>
      <c r="J1460" s="1">
        <v>544.0</v>
      </c>
      <c r="L1460" s="1">
        <v>8260850.0</v>
      </c>
      <c r="Q1460" s="1" t="s">
        <v>5224</v>
      </c>
      <c r="R1460" s="1" t="s">
        <v>5225</v>
      </c>
      <c r="S1460" s="1">
        <v>1.0</v>
      </c>
      <c r="T1460" s="1">
        <v>0.0</v>
      </c>
      <c r="X1460" s="1" t="s">
        <v>29</v>
      </c>
    </row>
    <row r="1461">
      <c r="A1461" s="3" t="str">
        <f>HYPERLINK("https://stackoverflow.com/q/49969127", "49969127")</f>
        <v>49969127</v>
      </c>
      <c r="B1461" s="1" t="s">
        <v>4681</v>
      </c>
      <c r="C1461" s="1" t="s">
        <v>5226</v>
      </c>
      <c r="D1461" s="2" t="s">
        <v>5227</v>
      </c>
      <c r="E1461" s="1">
        <v>1.0</v>
      </c>
      <c r="I1461" s="1">
        <v>1.0</v>
      </c>
      <c r="J1461" s="1">
        <v>282.0</v>
      </c>
      <c r="L1461" s="1">
        <v>9682614.0</v>
      </c>
      <c r="N1461" s="1">
        <v>9682614.0</v>
      </c>
      <c r="P1461" s="1" t="s">
        <v>5228</v>
      </c>
      <c r="Q1461" s="1" t="s">
        <v>5229</v>
      </c>
      <c r="R1461" s="1" t="s">
        <v>4697</v>
      </c>
      <c r="S1461" s="1">
        <v>1.0</v>
      </c>
      <c r="T1461" s="1">
        <v>0.0</v>
      </c>
      <c r="X1461" s="1" t="s">
        <v>29</v>
      </c>
    </row>
    <row r="1462">
      <c r="A1462" s="3" t="str">
        <f>HYPERLINK("https://stackoverflow.com/q/50005890", "50005890")</f>
        <v>50005890</v>
      </c>
      <c r="B1462" s="1" t="s">
        <v>4681</v>
      </c>
      <c r="C1462" s="1" t="s">
        <v>5230</v>
      </c>
      <c r="D1462" s="2" t="s">
        <v>5231</v>
      </c>
      <c r="E1462" s="1">
        <v>1.0</v>
      </c>
      <c r="I1462" s="1">
        <v>1.0</v>
      </c>
      <c r="J1462" s="1">
        <v>965.0</v>
      </c>
      <c r="L1462" s="1">
        <v>1959753.0</v>
      </c>
      <c r="N1462" s="1">
        <v>1959753.0</v>
      </c>
      <c r="P1462" s="1" t="s">
        <v>5232</v>
      </c>
      <c r="Q1462" s="1" t="s">
        <v>5233</v>
      </c>
      <c r="R1462" s="1" t="s">
        <v>4966</v>
      </c>
      <c r="S1462" s="1">
        <v>1.0</v>
      </c>
      <c r="T1462" s="1">
        <v>0.0</v>
      </c>
      <c r="X1462" s="1" t="s">
        <v>29</v>
      </c>
    </row>
    <row r="1463">
      <c r="A1463" s="3" t="str">
        <f>HYPERLINK("https://stackoverflow.com/q/50018204", "50018204")</f>
        <v>50018204</v>
      </c>
      <c r="B1463" s="1" t="s">
        <v>4681</v>
      </c>
      <c r="C1463" s="1" t="s">
        <v>5234</v>
      </c>
      <c r="D1463" s="2" t="s">
        <v>5235</v>
      </c>
      <c r="E1463" s="1">
        <v>1.0</v>
      </c>
      <c r="I1463" s="1">
        <v>0.0</v>
      </c>
      <c r="J1463" s="1">
        <v>24.0</v>
      </c>
      <c r="L1463" s="1">
        <v>9696252.0</v>
      </c>
      <c r="Q1463" s="1" t="s">
        <v>5236</v>
      </c>
      <c r="R1463" s="1" t="s">
        <v>5237</v>
      </c>
      <c r="S1463" s="1">
        <v>1.0</v>
      </c>
      <c r="T1463" s="1">
        <v>0.0</v>
      </c>
      <c r="X1463" s="1" t="s">
        <v>29</v>
      </c>
    </row>
    <row r="1464">
      <c r="A1464" s="3" t="str">
        <f>HYPERLINK("https://stackoverflow.com/q/50031163", "50031163")</f>
        <v>50031163</v>
      </c>
      <c r="B1464" s="1" t="s">
        <v>4681</v>
      </c>
      <c r="C1464" s="1" t="s">
        <v>5238</v>
      </c>
      <c r="D1464" s="2" t="s">
        <v>5239</v>
      </c>
      <c r="E1464" s="1">
        <v>1.0</v>
      </c>
      <c r="I1464" s="1">
        <v>1.0</v>
      </c>
      <c r="J1464" s="1">
        <v>37.0</v>
      </c>
      <c r="L1464" s="1">
        <v>9700277.0</v>
      </c>
      <c r="Q1464" s="1" t="s">
        <v>5240</v>
      </c>
      <c r="R1464" s="1" t="s">
        <v>5241</v>
      </c>
      <c r="S1464" s="1">
        <v>1.0</v>
      </c>
      <c r="T1464" s="1">
        <v>0.0</v>
      </c>
      <c r="X1464" s="1" t="s">
        <v>29</v>
      </c>
    </row>
    <row r="1465">
      <c r="A1465" s="3" t="str">
        <f>HYPERLINK("https://stackoverflow.com/q/50156366", "50156366")</f>
        <v>50156366</v>
      </c>
      <c r="B1465" s="1" t="s">
        <v>4681</v>
      </c>
      <c r="C1465" s="1" t="s">
        <v>5242</v>
      </c>
      <c r="D1465" s="2" t="s">
        <v>5243</v>
      </c>
      <c r="E1465" s="1">
        <v>1.0</v>
      </c>
      <c r="F1465" s="1">
        <v>5.0158454E7</v>
      </c>
      <c r="I1465" s="1">
        <v>2.0</v>
      </c>
      <c r="J1465" s="1">
        <v>309.0</v>
      </c>
      <c r="L1465" s="1">
        <v>2505567.0</v>
      </c>
      <c r="Q1465" s="1" t="s">
        <v>5244</v>
      </c>
      <c r="R1465" s="1" t="s">
        <v>5245</v>
      </c>
      <c r="S1465" s="1">
        <v>1.0</v>
      </c>
      <c r="T1465" s="1">
        <v>0.0</v>
      </c>
      <c r="X1465" s="1" t="s">
        <v>56</v>
      </c>
      <c r="Z1465" s="1" t="s">
        <v>5244</v>
      </c>
    </row>
    <row r="1466">
      <c r="A1466" s="3" t="str">
        <f>HYPERLINK("https://stackoverflow.com/q/50170184", "50170184")</f>
        <v>50170184</v>
      </c>
      <c r="B1466" s="1" t="s">
        <v>4681</v>
      </c>
      <c r="C1466" s="1" t="s">
        <v>5246</v>
      </c>
      <c r="D1466" s="2" t="s">
        <v>5247</v>
      </c>
      <c r="E1466" s="1">
        <v>1.0</v>
      </c>
      <c r="I1466" s="1">
        <v>0.0</v>
      </c>
      <c r="J1466" s="1">
        <v>58.0</v>
      </c>
      <c r="L1466" s="1">
        <v>651827.0</v>
      </c>
      <c r="Q1466" s="1" t="s">
        <v>5248</v>
      </c>
      <c r="R1466" s="1" t="s">
        <v>5249</v>
      </c>
      <c r="S1466" s="1">
        <v>1.0</v>
      </c>
      <c r="T1466" s="1">
        <v>0.0</v>
      </c>
      <c r="X1466" s="1" t="s">
        <v>56</v>
      </c>
    </row>
    <row r="1467">
      <c r="A1467" s="3" t="str">
        <f>HYPERLINK("https://stackoverflow.com/q/50211166", "50211166")</f>
        <v>50211166</v>
      </c>
      <c r="B1467" s="1" t="s">
        <v>4681</v>
      </c>
      <c r="C1467" s="1" t="s">
        <v>5250</v>
      </c>
      <c r="D1467" s="2" t="s">
        <v>5251</v>
      </c>
      <c r="E1467" s="1">
        <v>1.0</v>
      </c>
      <c r="F1467" s="1">
        <v>5.0348796E7</v>
      </c>
      <c r="I1467" s="1">
        <v>0.0</v>
      </c>
      <c r="J1467" s="1">
        <v>1229.0</v>
      </c>
      <c r="L1467" s="1">
        <v>5700213.0</v>
      </c>
      <c r="N1467" s="1">
        <v>5700213.0</v>
      </c>
      <c r="P1467" s="1" t="s">
        <v>5252</v>
      </c>
      <c r="Q1467" s="1" t="s">
        <v>5253</v>
      </c>
      <c r="R1467" s="1" t="s">
        <v>5254</v>
      </c>
      <c r="S1467" s="1">
        <v>1.0</v>
      </c>
      <c r="T1467" s="1">
        <v>1.0</v>
      </c>
      <c r="X1467" s="1" t="s">
        <v>56</v>
      </c>
      <c r="Z1467" s="1" t="s">
        <v>5255</v>
      </c>
    </row>
    <row r="1468">
      <c r="A1468" s="3" t="str">
        <f>HYPERLINK("https://stackoverflow.com/q/50216642", "50216642")</f>
        <v>50216642</v>
      </c>
      <c r="B1468" s="1" t="s">
        <v>4681</v>
      </c>
      <c r="C1468" s="1" t="s">
        <v>5256</v>
      </c>
      <c r="D1468" s="2" t="s">
        <v>5257</v>
      </c>
      <c r="E1468" s="1">
        <v>1.0</v>
      </c>
      <c r="I1468" s="1">
        <v>1.0</v>
      </c>
      <c r="J1468" s="1">
        <v>612.0</v>
      </c>
      <c r="L1468" s="1">
        <v>6661532.0</v>
      </c>
      <c r="Q1468" s="1" t="s">
        <v>5258</v>
      </c>
      <c r="R1468" s="1" t="s">
        <v>4805</v>
      </c>
      <c r="S1468" s="1">
        <v>1.0</v>
      </c>
      <c r="T1468" s="1">
        <v>0.0</v>
      </c>
      <c r="X1468" s="1" t="s">
        <v>56</v>
      </c>
    </row>
    <row r="1469">
      <c r="A1469" s="3" t="str">
        <f>HYPERLINK("https://stackoverflow.com/q/50247642", "50247642")</f>
        <v>50247642</v>
      </c>
      <c r="B1469" s="1" t="s">
        <v>4681</v>
      </c>
      <c r="C1469" s="1" t="s">
        <v>5259</v>
      </c>
      <c r="D1469" s="2" t="s">
        <v>5260</v>
      </c>
      <c r="E1469" s="1">
        <v>1.0</v>
      </c>
      <c r="I1469" s="1">
        <v>1.0</v>
      </c>
      <c r="J1469" s="1">
        <v>740.0</v>
      </c>
      <c r="L1469" s="1">
        <v>9763108.0</v>
      </c>
      <c r="Q1469" s="1" t="s">
        <v>5261</v>
      </c>
      <c r="R1469" s="1" t="s">
        <v>4697</v>
      </c>
      <c r="S1469" s="1">
        <v>1.0</v>
      </c>
      <c r="T1469" s="1">
        <v>0.0</v>
      </c>
      <c r="X1469" s="1" t="s">
        <v>56</v>
      </c>
    </row>
    <row r="1470">
      <c r="A1470" s="3" t="str">
        <f>HYPERLINK("https://stackoverflow.com/q/50316386", "50316386")</f>
        <v>50316386</v>
      </c>
      <c r="B1470" s="1" t="s">
        <v>4681</v>
      </c>
      <c r="C1470" s="1" t="s">
        <v>5262</v>
      </c>
      <c r="D1470" s="2" t="s">
        <v>5263</v>
      </c>
      <c r="E1470" s="1">
        <v>1.0</v>
      </c>
      <c r="I1470" s="1">
        <v>0.0</v>
      </c>
      <c r="J1470" s="1">
        <v>447.0</v>
      </c>
      <c r="L1470" s="1">
        <v>9783979.0</v>
      </c>
      <c r="N1470" s="1">
        <v>3982755.0</v>
      </c>
      <c r="P1470" s="1" t="s">
        <v>5264</v>
      </c>
      <c r="Q1470" s="1" t="s">
        <v>5265</v>
      </c>
      <c r="R1470" s="1" t="s">
        <v>5266</v>
      </c>
      <c r="S1470" s="1">
        <v>1.0</v>
      </c>
      <c r="T1470" s="1">
        <v>0.0</v>
      </c>
      <c r="X1470" s="1" t="s">
        <v>56</v>
      </c>
    </row>
    <row r="1471">
      <c r="A1471" s="3" t="str">
        <f>HYPERLINK("https://stackoverflow.com/q/50322178", "50322178")</f>
        <v>50322178</v>
      </c>
      <c r="B1471" s="1" t="s">
        <v>4681</v>
      </c>
      <c r="C1471" s="1" t="s">
        <v>5267</v>
      </c>
      <c r="D1471" s="2" t="s">
        <v>5268</v>
      </c>
      <c r="E1471" s="1">
        <v>1.0</v>
      </c>
      <c r="F1471" s="1">
        <v>5.032335E7</v>
      </c>
      <c r="I1471" s="1">
        <v>0.0</v>
      </c>
      <c r="J1471" s="1">
        <v>1352.0</v>
      </c>
      <c r="L1471" s="1">
        <v>7504009.0</v>
      </c>
      <c r="Q1471" s="1" t="s">
        <v>5269</v>
      </c>
      <c r="R1471" s="1" t="s">
        <v>4697</v>
      </c>
      <c r="S1471" s="1">
        <v>1.0</v>
      </c>
      <c r="T1471" s="1">
        <v>0.0</v>
      </c>
      <c r="X1471" s="1" t="s">
        <v>56</v>
      </c>
      <c r="Z1471" s="1" t="s">
        <v>5269</v>
      </c>
    </row>
    <row r="1472">
      <c r="A1472" s="3" t="str">
        <f>HYPERLINK("https://stackoverflow.com/q/50339838", "50339838")</f>
        <v>50339838</v>
      </c>
      <c r="B1472" s="1" t="s">
        <v>4681</v>
      </c>
      <c r="C1472" s="1" t="s">
        <v>5270</v>
      </c>
      <c r="D1472" s="2" t="s">
        <v>5271</v>
      </c>
      <c r="E1472" s="1">
        <v>1.0</v>
      </c>
      <c r="I1472" s="1">
        <v>2.0</v>
      </c>
      <c r="J1472" s="1">
        <v>1173.0</v>
      </c>
      <c r="L1472" s="1">
        <v>901048.0</v>
      </c>
      <c r="N1472" s="1">
        <v>901048.0</v>
      </c>
      <c r="P1472" s="1" t="s">
        <v>5272</v>
      </c>
      <c r="Q1472" s="1" t="s">
        <v>5272</v>
      </c>
      <c r="R1472" s="1" t="s">
        <v>5273</v>
      </c>
      <c r="S1472" s="1">
        <v>0.0</v>
      </c>
      <c r="T1472" s="1">
        <v>1.0</v>
      </c>
      <c r="X1472" s="1" t="s">
        <v>56</v>
      </c>
    </row>
    <row r="1473">
      <c r="A1473" s="3" t="str">
        <f>HYPERLINK("https://stackoverflow.com/q/50405394", "50405394")</f>
        <v>50405394</v>
      </c>
      <c r="B1473" s="1" t="s">
        <v>4681</v>
      </c>
      <c r="C1473" s="1" t="s">
        <v>5274</v>
      </c>
      <c r="D1473" s="2" t="s">
        <v>5275</v>
      </c>
      <c r="E1473" s="1">
        <v>1.0</v>
      </c>
      <c r="I1473" s="1">
        <v>1.0</v>
      </c>
      <c r="J1473" s="1">
        <v>224.0</v>
      </c>
      <c r="L1473" s="1">
        <v>9810029.0</v>
      </c>
      <c r="N1473" s="1">
        <v>4528159.0</v>
      </c>
      <c r="P1473" s="1" t="s">
        <v>5276</v>
      </c>
      <c r="Q1473" s="1" t="s">
        <v>5276</v>
      </c>
      <c r="R1473" s="1" t="s">
        <v>5277</v>
      </c>
      <c r="S1473" s="1">
        <v>0.0</v>
      </c>
      <c r="T1473" s="1">
        <v>0.0</v>
      </c>
      <c r="X1473" s="1" t="s">
        <v>56</v>
      </c>
    </row>
    <row r="1474">
      <c r="A1474" s="3" t="str">
        <f>HYPERLINK("https://stackoverflow.com/q/50415065", "50415065")</f>
        <v>50415065</v>
      </c>
      <c r="B1474" s="1" t="s">
        <v>4681</v>
      </c>
      <c r="C1474" s="1" t="s">
        <v>5278</v>
      </c>
      <c r="D1474" s="2" t="s">
        <v>5279</v>
      </c>
      <c r="E1474" s="1">
        <v>1.0</v>
      </c>
      <c r="I1474" s="1">
        <v>0.0</v>
      </c>
      <c r="J1474" s="1">
        <v>4481.0</v>
      </c>
      <c r="L1474" s="1">
        <v>3165854.0</v>
      </c>
      <c r="N1474" s="1">
        <v>3165854.0</v>
      </c>
      <c r="P1474" s="1" t="s">
        <v>5280</v>
      </c>
      <c r="Q1474" s="1" t="s">
        <v>5281</v>
      </c>
      <c r="R1474" s="1" t="s">
        <v>5282</v>
      </c>
      <c r="S1474" s="1">
        <v>1.0</v>
      </c>
      <c r="T1474" s="1">
        <v>5.0</v>
      </c>
      <c r="X1474" s="1" t="s">
        <v>56</v>
      </c>
    </row>
    <row r="1475">
      <c r="A1475" s="3" t="str">
        <f>HYPERLINK("https://stackoverflow.com/q/50420941", "50420941")</f>
        <v>50420941</v>
      </c>
      <c r="B1475" s="1" t="s">
        <v>4681</v>
      </c>
      <c r="C1475" s="1" t="s">
        <v>5283</v>
      </c>
      <c r="D1475" s="2" t="s">
        <v>5284</v>
      </c>
      <c r="E1475" s="1">
        <v>1.0</v>
      </c>
      <c r="I1475" s="1">
        <v>0.0</v>
      </c>
      <c r="J1475" s="1">
        <v>144.0</v>
      </c>
      <c r="L1475" s="1">
        <v>9814200.0</v>
      </c>
      <c r="Q1475" s="1" t="s">
        <v>5285</v>
      </c>
      <c r="R1475" s="1" t="s">
        <v>5286</v>
      </c>
      <c r="S1475" s="1">
        <v>1.0</v>
      </c>
      <c r="T1475" s="1">
        <v>0.0</v>
      </c>
      <c r="X1475" s="1" t="s">
        <v>56</v>
      </c>
    </row>
    <row r="1476">
      <c r="A1476" s="3" t="str">
        <f>HYPERLINK("https://stackoverflow.com/q/50444796", "50444796")</f>
        <v>50444796</v>
      </c>
      <c r="B1476" s="1" t="s">
        <v>4681</v>
      </c>
      <c r="C1476" s="1" t="s">
        <v>5287</v>
      </c>
      <c r="D1476" s="2" t="s">
        <v>5288</v>
      </c>
      <c r="E1476" s="1">
        <v>1.0</v>
      </c>
      <c r="F1476" s="1">
        <v>5.0455026E7</v>
      </c>
      <c r="I1476" s="1">
        <v>3.0</v>
      </c>
      <c r="J1476" s="1">
        <v>6876.0</v>
      </c>
      <c r="L1476" s="1">
        <v>4571447.0</v>
      </c>
      <c r="Q1476" s="1" t="s">
        <v>5289</v>
      </c>
      <c r="R1476" s="1" t="s">
        <v>4697</v>
      </c>
      <c r="S1476" s="1">
        <v>1.0</v>
      </c>
      <c r="T1476" s="1">
        <v>0.0</v>
      </c>
      <c r="X1476" s="1" t="s">
        <v>56</v>
      </c>
      <c r="Z1476" s="1" t="s">
        <v>5290</v>
      </c>
    </row>
    <row r="1477">
      <c r="A1477" s="3" t="str">
        <f>HYPERLINK("https://stackoverflow.com/q/50447594", "50447594")</f>
        <v>50447594</v>
      </c>
      <c r="B1477" s="1" t="s">
        <v>4681</v>
      </c>
      <c r="C1477" s="1" t="s">
        <v>5291</v>
      </c>
      <c r="D1477" s="2" t="s">
        <v>5292</v>
      </c>
      <c r="E1477" s="1">
        <v>1.0</v>
      </c>
      <c r="I1477" s="1">
        <v>3.0</v>
      </c>
      <c r="J1477" s="1">
        <v>9211.0</v>
      </c>
      <c r="L1477" s="1">
        <v>3165854.0</v>
      </c>
      <c r="Q1477" s="1" t="s">
        <v>5293</v>
      </c>
      <c r="R1477" s="1" t="s">
        <v>5294</v>
      </c>
      <c r="S1477" s="1">
        <v>1.0</v>
      </c>
      <c r="T1477" s="1">
        <v>2.0</v>
      </c>
      <c r="U1477" s="1">
        <v>1.0</v>
      </c>
      <c r="X1477" s="1" t="s">
        <v>56</v>
      </c>
    </row>
    <row r="1478">
      <c r="A1478" s="3" t="str">
        <f>HYPERLINK("https://stackoverflow.com/q/50466511", "50466511")</f>
        <v>50466511</v>
      </c>
      <c r="B1478" s="1" t="s">
        <v>4681</v>
      </c>
      <c r="C1478" s="1" t="s">
        <v>5295</v>
      </c>
      <c r="D1478" s="2" t="s">
        <v>5296</v>
      </c>
      <c r="E1478" s="1">
        <v>1.0</v>
      </c>
      <c r="I1478" s="1">
        <v>4.0</v>
      </c>
      <c r="J1478" s="1">
        <v>1006.0</v>
      </c>
      <c r="L1478" s="1">
        <v>4571447.0</v>
      </c>
      <c r="Q1478" s="1" t="s">
        <v>5297</v>
      </c>
      <c r="R1478" s="1" t="s">
        <v>4697</v>
      </c>
      <c r="S1478" s="1">
        <v>1.0</v>
      </c>
      <c r="T1478" s="1">
        <v>1.0</v>
      </c>
      <c r="U1478" s="1">
        <v>1.0</v>
      </c>
      <c r="X1478" s="1" t="s">
        <v>56</v>
      </c>
    </row>
    <row r="1479">
      <c r="A1479" s="3" t="str">
        <f>HYPERLINK("https://stackoverflow.com/q/50487617", "50487617")</f>
        <v>50487617</v>
      </c>
      <c r="B1479" s="1" t="s">
        <v>4681</v>
      </c>
      <c r="C1479" s="1" t="s">
        <v>5298</v>
      </c>
      <c r="D1479" s="2" t="s">
        <v>5299</v>
      </c>
      <c r="E1479" s="1">
        <v>1.0</v>
      </c>
      <c r="I1479" s="1">
        <v>1.0</v>
      </c>
      <c r="J1479" s="1">
        <v>639.0</v>
      </c>
      <c r="L1479" s="1">
        <v>3398141.0</v>
      </c>
      <c r="N1479" s="1">
        <v>751090.0</v>
      </c>
      <c r="P1479" s="1" t="s">
        <v>5300</v>
      </c>
      <c r="Q1479" s="1" t="s">
        <v>5301</v>
      </c>
      <c r="R1479" s="1" t="s">
        <v>4697</v>
      </c>
      <c r="S1479" s="1">
        <v>1.0</v>
      </c>
      <c r="T1479" s="1">
        <v>0.0</v>
      </c>
      <c r="X1479" s="1" t="s">
        <v>56</v>
      </c>
    </row>
    <row r="1480">
      <c r="A1480" s="3" t="str">
        <f>HYPERLINK("https://stackoverflow.com/q/50502923", "50502923")</f>
        <v>50502923</v>
      </c>
      <c r="B1480" s="1" t="s">
        <v>4681</v>
      </c>
      <c r="C1480" s="1" t="s">
        <v>5302</v>
      </c>
      <c r="D1480" s="2" t="s">
        <v>5303</v>
      </c>
      <c r="E1480" s="1">
        <v>1.0</v>
      </c>
      <c r="F1480" s="1">
        <v>5.0510228E7</v>
      </c>
      <c r="I1480" s="1">
        <v>1.0</v>
      </c>
      <c r="J1480" s="1">
        <v>1543.0</v>
      </c>
      <c r="L1480" s="1">
        <v>1406168.0</v>
      </c>
      <c r="Q1480" s="1" t="s">
        <v>5304</v>
      </c>
      <c r="R1480" s="1" t="s">
        <v>4697</v>
      </c>
      <c r="S1480" s="1">
        <v>1.0</v>
      </c>
      <c r="T1480" s="1">
        <v>0.0</v>
      </c>
      <c r="U1480" s="1">
        <v>1.0</v>
      </c>
      <c r="X1480" s="1" t="s">
        <v>56</v>
      </c>
      <c r="Z1480" s="1" t="s">
        <v>5304</v>
      </c>
    </row>
    <row r="1481">
      <c r="A1481" s="3" t="str">
        <f>HYPERLINK("https://stackoverflow.com/q/50584100", "50584100")</f>
        <v>50584100</v>
      </c>
      <c r="B1481" s="1" t="s">
        <v>4681</v>
      </c>
      <c r="C1481" s="1" t="s">
        <v>5305</v>
      </c>
      <c r="D1481" s="2" t="s">
        <v>5306</v>
      </c>
      <c r="E1481" s="1">
        <v>1.0</v>
      </c>
      <c r="I1481" s="1">
        <v>8.0</v>
      </c>
      <c r="J1481" s="1">
        <v>229.0</v>
      </c>
      <c r="L1481" s="1">
        <v>1215594.0</v>
      </c>
      <c r="Q1481" s="1" t="s">
        <v>5307</v>
      </c>
      <c r="R1481" s="1" t="s">
        <v>5308</v>
      </c>
      <c r="S1481" s="1">
        <v>2.0</v>
      </c>
      <c r="T1481" s="1">
        <v>6.0</v>
      </c>
      <c r="X1481" s="1" t="s">
        <v>56</v>
      </c>
    </row>
    <row r="1482">
      <c r="A1482" s="3" t="str">
        <f>HYPERLINK("https://stackoverflow.com/q/50597271", "50597271")</f>
        <v>50597271</v>
      </c>
      <c r="B1482" s="1" t="s">
        <v>4681</v>
      </c>
      <c r="C1482" s="1" t="s">
        <v>5309</v>
      </c>
      <c r="D1482" s="2" t="s">
        <v>5310</v>
      </c>
      <c r="E1482" s="1">
        <v>1.0</v>
      </c>
      <c r="F1482" s="1">
        <v>5.2933766E7</v>
      </c>
      <c r="I1482" s="1">
        <v>0.0</v>
      </c>
      <c r="J1482" s="1">
        <v>461.0</v>
      </c>
      <c r="L1482" s="1">
        <v>8910101.0</v>
      </c>
      <c r="Q1482" s="1" t="s">
        <v>5311</v>
      </c>
      <c r="R1482" s="1" t="s">
        <v>5312</v>
      </c>
      <c r="S1482" s="1">
        <v>1.0</v>
      </c>
      <c r="T1482" s="1">
        <v>5.0</v>
      </c>
      <c r="U1482" s="1">
        <v>0.0</v>
      </c>
      <c r="X1482" s="1" t="s">
        <v>56</v>
      </c>
      <c r="Z1482" s="1" t="s">
        <v>5311</v>
      </c>
    </row>
    <row r="1483">
      <c r="A1483" s="3" t="str">
        <f>HYPERLINK("https://stackoverflow.com/q/50611776", "50611776")</f>
        <v>50611776</v>
      </c>
      <c r="B1483" s="1" t="s">
        <v>4681</v>
      </c>
      <c r="C1483" s="1" t="s">
        <v>5313</v>
      </c>
      <c r="D1483" s="2" t="s">
        <v>5314</v>
      </c>
      <c r="E1483" s="1">
        <v>1.0</v>
      </c>
      <c r="I1483" s="1">
        <v>1.0</v>
      </c>
      <c r="J1483" s="1">
        <v>322.0</v>
      </c>
      <c r="L1483" s="1">
        <v>9872154.0</v>
      </c>
      <c r="Q1483" s="1" t="s">
        <v>5315</v>
      </c>
      <c r="R1483" s="1" t="s">
        <v>4697</v>
      </c>
      <c r="S1483" s="1">
        <v>1.0</v>
      </c>
      <c r="T1483" s="1">
        <v>0.0</v>
      </c>
      <c r="X1483" s="1" t="s">
        <v>56</v>
      </c>
    </row>
    <row r="1484">
      <c r="A1484" s="3" t="str">
        <f>HYPERLINK("https://stackoverflow.com/q/50628776", "50628776")</f>
        <v>50628776</v>
      </c>
      <c r="B1484" s="1" t="s">
        <v>4681</v>
      </c>
      <c r="C1484" s="1" t="s">
        <v>5316</v>
      </c>
      <c r="D1484" s="2" t="s">
        <v>5317</v>
      </c>
      <c r="E1484" s="1">
        <v>1.0</v>
      </c>
      <c r="F1484" s="1">
        <v>5.0633816E7</v>
      </c>
      <c r="I1484" s="1">
        <v>1.0</v>
      </c>
      <c r="J1484" s="1">
        <v>2768.0</v>
      </c>
      <c r="L1484" s="1">
        <v>9877036.0</v>
      </c>
      <c r="N1484" s="1">
        <v>751090.0</v>
      </c>
      <c r="P1484" s="1" t="s">
        <v>5318</v>
      </c>
      <c r="Q1484" s="1" t="s">
        <v>5319</v>
      </c>
      <c r="R1484" s="1" t="s">
        <v>5320</v>
      </c>
      <c r="S1484" s="1">
        <v>1.0</v>
      </c>
      <c r="T1484" s="1">
        <v>0.0</v>
      </c>
      <c r="X1484" s="1" t="s">
        <v>56</v>
      </c>
      <c r="Z1484" s="1" t="s">
        <v>5319</v>
      </c>
    </row>
    <row r="1485">
      <c r="A1485" s="3" t="str">
        <f>HYPERLINK("https://stackoverflow.com/q/50633830", "50633830")</f>
        <v>50633830</v>
      </c>
      <c r="B1485" s="1" t="s">
        <v>4681</v>
      </c>
      <c r="C1485" s="1" t="s">
        <v>5321</v>
      </c>
      <c r="D1485" s="2" t="s">
        <v>5322</v>
      </c>
      <c r="E1485" s="1">
        <v>1.0</v>
      </c>
      <c r="I1485" s="1">
        <v>1.0</v>
      </c>
      <c r="J1485" s="1">
        <v>1154.0</v>
      </c>
      <c r="L1485" s="1">
        <v>2521957.0</v>
      </c>
      <c r="Q1485" s="1" t="s">
        <v>5323</v>
      </c>
      <c r="R1485" s="1" t="s">
        <v>5324</v>
      </c>
      <c r="S1485" s="1">
        <v>1.0</v>
      </c>
      <c r="T1485" s="1">
        <v>0.0</v>
      </c>
      <c r="X1485" s="1" t="s">
        <v>56</v>
      </c>
    </row>
    <row r="1486">
      <c r="A1486" s="3" t="str">
        <f>HYPERLINK("https://stackoverflow.com/q/50637765", "50637765")</f>
        <v>50637765</v>
      </c>
      <c r="B1486" s="1" t="s">
        <v>4681</v>
      </c>
      <c r="C1486" s="1" t="s">
        <v>5325</v>
      </c>
      <c r="D1486" s="2" t="s">
        <v>5326</v>
      </c>
      <c r="E1486" s="1">
        <v>1.0</v>
      </c>
      <c r="I1486" s="1">
        <v>0.0</v>
      </c>
      <c r="J1486" s="1">
        <v>218.0</v>
      </c>
      <c r="L1486" s="1">
        <v>9879737.0</v>
      </c>
      <c r="Q1486" s="1" t="s">
        <v>5327</v>
      </c>
      <c r="R1486" s="1" t="s">
        <v>5328</v>
      </c>
      <c r="S1486" s="1">
        <v>1.0</v>
      </c>
      <c r="T1486" s="1">
        <v>2.0</v>
      </c>
      <c r="X1486" s="1" t="s">
        <v>56</v>
      </c>
    </row>
    <row r="1487">
      <c r="A1487" s="3" t="str">
        <f>HYPERLINK("https://stackoverflow.com/q/50775621", "50775621")</f>
        <v>50775621</v>
      </c>
      <c r="B1487" s="1" t="s">
        <v>4681</v>
      </c>
      <c r="C1487" s="1" t="s">
        <v>5329</v>
      </c>
      <c r="D1487" s="2" t="s">
        <v>5330</v>
      </c>
      <c r="E1487" s="1">
        <v>1.0</v>
      </c>
      <c r="I1487" s="1">
        <v>2.0</v>
      </c>
      <c r="J1487" s="1">
        <v>4863.0</v>
      </c>
      <c r="L1487" s="1">
        <v>9818061.0</v>
      </c>
      <c r="Q1487" s="1" t="s">
        <v>5331</v>
      </c>
      <c r="R1487" s="1" t="s">
        <v>4836</v>
      </c>
      <c r="S1487" s="1">
        <v>1.0</v>
      </c>
      <c r="T1487" s="1">
        <v>0.0</v>
      </c>
      <c r="U1487" s="1">
        <v>1.0</v>
      </c>
      <c r="X1487" s="1" t="s">
        <v>56</v>
      </c>
    </row>
    <row r="1488">
      <c r="A1488" s="3" t="str">
        <f>HYPERLINK("https://stackoverflow.com/q/50819321", "50819321")</f>
        <v>50819321</v>
      </c>
      <c r="B1488" s="1" t="s">
        <v>4681</v>
      </c>
      <c r="C1488" s="1" t="s">
        <v>5332</v>
      </c>
      <c r="D1488" s="2" t="s">
        <v>5333</v>
      </c>
      <c r="E1488" s="1">
        <v>1.0</v>
      </c>
      <c r="I1488" s="1">
        <v>2.0</v>
      </c>
      <c r="J1488" s="1">
        <v>777.0</v>
      </c>
      <c r="L1488" s="1">
        <v>2270404.0</v>
      </c>
      <c r="Q1488" s="1" t="s">
        <v>5334</v>
      </c>
      <c r="R1488" s="1" t="s">
        <v>4697</v>
      </c>
      <c r="S1488" s="1">
        <v>2.0</v>
      </c>
      <c r="T1488" s="1">
        <v>0.0</v>
      </c>
      <c r="X1488" s="1" t="s">
        <v>56</v>
      </c>
    </row>
    <row r="1489">
      <c r="A1489" s="3" t="str">
        <f>HYPERLINK("https://stackoverflow.com/q/51056684", "51056684")</f>
        <v>51056684</v>
      </c>
      <c r="B1489" s="1" t="s">
        <v>4681</v>
      </c>
      <c r="C1489" s="1" t="s">
        <v>5335</v>
      </c>
      <c r="D1489" s="2" t="s">
        <v>5336</v>
      </c>
      <c r="E1489" s="1">
        <v>1.0</v>
      </c>
      <c r="F1489" s="1">
        <v>5.1064069E7</v>
      </c>
      <c r="I1489" s="1">
        <v>0.0</v>
      </c>
      <c r="J1489" s="1">
        <v>94.0</v>
      </c>
      <c r="L1489" s="1">
        <v>1406168.0</v>
      </c>
      <c r="Q1489" s="1" t="s">
        <v>5337</v>
      </c>
      <c r="R1489" s="1" t="s">
        <v>5338</v>
      </c>
      <c r="S1489" s="1">
        <v>1.0</v>
      </c>
      <c r="T1489" s="1">
        <v>0.0</v>
      </c>
      <c r="X1489" s="1" t="s">
        <v>56</v>
      </c>
      <c r="Z1489" s="1" t="s">
        <v>5337</v>
      </c>
    </row>
    <row r="1490">
      <c r="A1490" s="3" t="str">
        <f>HYPERLINK("https://stackoverflow.com/q/51069295", "51069295")</f>
        <v>51069295</v>
      </c>
      <c r="B1490" s="1" t="s">
        <v>4681</v>
      </c>
      <c r="C1490" s="1" t="s">
        <v>5339</v>
      </c>
      <c r="D1490" s="2" t="s">
        <v>5340</v>
      </c>
      <c r="E1490" s="1">
        <v>1.0</v>
      </c>
      <c r="F1490" s="1">
        <v>5.1127805E7</v>
      </c>
      <c r="I1490" s="1">
        <v>0.0</v>
      </c>
      <c r="J1490" s="1">
        <v>499.0</v>
      </c>
      <c r="L1490" s="1">
        <v>1406168.0</v>
      </c>
      <c r="Q1490" s="1" t="s">
        <v>5341</v>
      </c>
      <c r="R1490" s="1" t="s">
        <v>4697</v>
      </c>
      <c r="S1490" s="1">
        <v>1.0</v>
      </c>
      <c r="T1490" s="1">
        <v>0.0</v>
      </c>
      <c r="X1490" s="1" t="s">
        <v>56</v>
      </c>
      <c r="Z1490" s="1" t="s">
        <v>5341</v>
      </c>
    </row>
    <row r="1491">
      <c r="A1491" s="3" t="str">
        <f>HYPERLINK("https://stackoverflow.com/q/51076243", "51076243")</f>
        <v>51076243</v>
      </c>
      <c r="B1491" s="1" t="s">
        <v>4681</v>
      </c>
      <c r="C1491" s="1" t="s">
        <v>5342</v>
      </c>
      <c r="D1491" s="2" t="s">
        <v>5343</v>
      </c>
      <c r="E1491" s="1">
        <v>1.0</v>
      </c>
      <c r="F1491" s="1">
        <v>5.1083854E7</v>
      </c>
      <c r="I1491" s="1">
        <v>2.0</v>
      </c>
      <c r="J1491" s="1">
        <v>2245.0</v>
      </c>
      <c r="L1491" s="1">
        <v>1406168.0</v>
      </c>
      <c r="Q1491" s="1" t="s">
        <v>5344</v>
      </c>
      <c r="R1491" s="1" t="s">
        <v>4697</v>
      </c>
      <c r="S1491" s="1">
        <v>1.0</v>
      </c>
      <c r="T1491" s="1">
        <v>0.0</v>
      </c>
      <c r="X1491" s="1" t="s">
        <v>56</v>
      </c>
      <c r="Z1491" s="1" t="s">
        <v>5344</v>
      </c>
    </row>
    <row r="1492">
      <c r="A1492" s="3" t="str">
        <f>HYPERLINK("https://stackoverflow.com/q/51104084", "51104084")</f>
        <v>51104084</v>
      </c>
      <c r="B1492" s="1" t="s">
        <v>4681</v>
      </c>
      <c r="C1492" s="1" t="s">
        <v>5345</v>
      </c>
      <c r="D1492" s="2" t="s">
        <v>5346</v>
      </c>
      <c r="E1492" s="1">
        <v>1.0</v>
      </c>
      <c r="I1492" s="1">
        <v>1.0</v>
      </c>
      <c r="J1492" s="1">
        <v>2039.0</v>
      </c>
      <c r="L1492" s="1">
        <v>1.0011383E7</v>
      </c>
      <c r="Q1492" s="1" t="s">
        <v>5347</v>
      </c>
      <c r="R1492" s="1" t="s">
        <v>4697</v>
      </c>
      <c r="S1492" s="1">
        <v>1.0</v>
      </c>
      <c r="T1492" s="1">
        <v>0.0</v>
      </c>
      <c r="X1492" s="1" t="s">
        <v>56</v>
      </c>
    </row>
    <row r="1493">
      <c r="A1493" s="3" t="str">
        <f>HYPERLINK("https://stackoverflow.com/q/51133592", "51133592")</f>
        <v>51133592</v>
      </c>
      <c r="B1493" s="1" t="s">
        <v>4681</v>
      </c>
      <c r="C1493" s="1" t="s">
        <v>5348</v>
      </c>
      <c r="D1493" s="2" t="s">
        <v>5349</v>
      </c>
      <c r="E1493" s="1">
        <v>1.0</v>
      </c>
      <c r="I1493" s="1">
        <v>0.0</v>
      </c>
      <c r="J1493" s="1">
        <v>453.0</v>
      </c>
      <c r="L1493" s="1">
        <v>2323240.0</v>
      </c>
      <c r="Q1493" s="1" t="s">
        <v>5350</v>
      </c>
      <c r="R1493" s="1" t="s">
        <v>4836</v>
      </c>
      <c r="S1493" s="1">
        <v>1.0</v>
      </c>
      <c r="T1493" s="1">
        <v>0.0</v>
      </c>
      <c r="X1493" s="1" t="s">
        <v>56</v>
      </c>
    </row>
    <row r="1494">
      <c r="A1494" s="3" t="str">
        <f>HYPERLINK("https://stackoverflow.com/q/51157760", "51157760")</f>
        <v>51157760</v>
      </c>
      <c r="B1494" s="1" t="s">
        <v>4681</v>
      </c>
      <c r="C1494" s="1" t="s">
        <v>5351</v>
      </c>
      <c r="D1494" s="2" t="s">
        <v>5352</v>
      </c>
      <c r="E1494" s="1">
        <v>1.0</v>
      </c>
      <c r="I1494" s="1">
        <v>1.0</v>
      </c>
      <c r="J1494" s="1">
        <v>1224.0</v>
      </c>
      <c r="L1494" s="1">
        <v>1.0027427E7</v>
      </c>
      <c r="N1494" s="1">
        <v>717822.0</v>
      </c>
      <c r="P1494" s="1" t="s">
        <v>5353</v>
      </c>
      <c r="Q1494" s="1" t="s">
        <v>5354</v>
      </c>
      <c r="R1494" s="1" t="s">
        <v>5355</v>
      </c>
      <c r="S1494" s="1">
        <v>2.0</v>
      </c>
      <c r="T1494" s="1">
        <v>1.0</v>
      </c>
      <c r="X1494" s="1" t="s">
        <v>56</v>
      </c>
    </row>
    <row r="1495">
      <c r="A1495" s="3" t="str">
        <f>HYPERLINK("https://stackoverflow.com/q/51168207", "51168207")</f>
        <v>51168207</v>
      </c>
      <c r="B1495" s="1" t="s">
        <v>4681</v>
      </c>
      <c r="C1495" s="1" t="s">
        <v>5356</v>
      </c>
      <c r="D1495" s="2" t="s">
        <v>5357</v>
      </c>
      <c r="E1495" s="1">
        <v>1.0</v>
      </c>
      <c r="I1495" s="1">
        <v>0.0</v>
      </c>
      <c r="J1495" s="1">
        <v>930.0</v>
      </c>
      <c r="L1495" s="1">
        <v>8897860.0</v>
      </c>
      <c r="Q1495" s="1" t="s">
        <v>5358</v>
      </c>
      <c r="R1495" s="1" t="s">
        <v>5359</v>
      </c>
      <c r="S1495" s="1">
        <v>1.0</v>
      </c>
      <c r="T1495" s="1">
        <v>0.0</v>
      </c>
      <c r="X1495" s="1" t="s">
        <v>56</v>
      </c>
    </row>
    <row r="1496">
      <c r="A1496" s="3" t="str">
        <f>HYPERLINK("https://stackoverflow.com/q/51206764", "51206764")</f>
        <v>51206764</v>
      </c>
      <c r="B1496" s="1" t="s">
        <v>4681</v>
      </c>
      <c r="C1496" s="1" t="s">
        <v>5360</v>
      </c>
      <c r="D1496" s="2" t="s">
        <v>5361</v>
      </c>
      <c r="E1496" s="1">
        <v>1.0</v>
      </c>
      <c r="I1496" s="1">
        <v>0.0</v>
      </c>
      <c r="J1496" s="1">
        <v>187.0</v>
      </c>
      <c r="L1496" s="1">
        <v>3792885.0</v>
      </c>
      <c r="Q1496" s="1" t="s">
        <v>5360</v>
      </c>
      <c r="R1496" s="1" t="s">
        <v>5362</v>
      </c>
      <c r="S1496" s="1">
        <v>0.0</v>
      </c>
      <c r="T1496" s="1">
        <v>2.0</v>
      </c>
      <c r="X1496" s="1" t="s">
        <v>56</v>
      </c>
    </row>
    <row r="1497">
      <c r="A1497" s="3" t="str">
        <f>HYPERLINK("https://stackoverflow.com/q/51324328", "51324328")</f>
        <v>51324328</v>
      </c>
      <c r="B1497" s="1" t="s">
        <v>4681</v>
      </c>
      <c r="C1497" s="1" t="s">
        <v>5363</v>
      </c>
      <c r="D1497" s="2" t="s">
        <v>5364</v>
      </c>
      <c r="E1497" s="1">
        <v>1.0</v>
      </c>
      <c r="I1497" s="1">
        <v>0.0</v>
      </c>
      <c r="J1497" s="1">
        <v>330.0</v>
      </c>
      <c r="L1497" s="1">
        <v>3516106.0</v>
      </c>
      <c r="N1497" s="1">
        <v>3516106.0</v>
      </c>
      <c r="P1497" s="1" t="s">
        <v>5365</v>
      </c>
      <c r="Q1497" s="1" t="s">
        <v>5366</v>
      </c>
      <c r="R1497" s="1" t="s">
        <v>5367</v>
      </c>
      <c r="S1497" s="1">
        <v>1.0</v>
      </c>
      <c r="T1497" s="1">
        <v>0.0</v>
      </c>
      <c r="X1497" s="1" t="s">
        <v>56</v>
      </c>
    </row>
    <row r="1498">
      <c r="A1498" s="3" t="str">
        <f>HYPERLINK("https://stackoverflow.com/q/51381243", "51381243")</f>
        <v>51381243</v>
      </c>
      <c r="B1498" s="1" t="s">
        <v>4681</v>
      </c>
      <c r="C1498" s="1" t="s">
        <v>5368</v>
      </c>
      <c r="D1498" s="2" t="s">
        <v>5369</v>
      </c>
      <c r="E1498" s="1">
        <v>1.0</v>
      </c>
      <c r="F1498" s="1">
        <v>5.1407905E7</v>
      </c>
      <c r="I1498" s="1">
        <v>0.0</v>
      </c>
      <c r="J1498" s="1">
        <v>462.0</v>
      </c>
      <c r="L1498" s="1">
        <v>3516106.0</v>
      </c>
      <c r="Q1498" s="1" t="s">
        <v>5370</v>
      </c>
      <c r="R1498" s="1" t="s">
        <v>5367</v>
      </c>
      <c r="S1498" s="1">
        <v>1.0</v>
      </c>
      <c r="T1498" s="1">
        <v>0.0</v>
      </c>
      <c r="X1498" s="1" t="s">
        <v>56</v>
      </c>
      <c r="Z1498" s="1" t="s">
        <v>5370</v>
      </c>
    </row>
    <row r="1499">
      <c r="A1499" s="3" t="str">
        <f>HYPERLINK("https://stackoverflow.com/q/51394376", "51394376")</f>
        <v>51394376</v>
      </c>
      <c r="B1499" s="1" t="s">
        <v>4681</v>
      </c>
      <c r="C1499" s="1" t="s">
        <v>5371</v>
      </c>
      <c r="D1499" s="2" t="s">
        <v>5372</v>
      </c>
      <c r="E1499" s="1">
        <v>1.0</v>
      </c>
      <c r="I1499" s="1">
        <v>1.0</v>
      </c>
      <c r="J1499" s="1">
        <v>366.0</v>
      </c>
      <c r="L1499" s="1">
        <v>9514254.0</v>
      </c>
      <c r="Q1499" s="1" t="s">
        <v>5373</v>
      </c>
      <c r="R1499" s="1" t="s">
        <v>5374</v>
      </c>
      <c r="S1499" s="1">
        <v>1.0</v>
      </c>
      <c r="T1499" s="1">
        <v>4.0</v>
      </c>
      <c r="U1499" s="1">
        <v>1.0</v>
      </c>
      <c r="X1499" s="1" t="s">
        <v>56</v>
      </c>
    </row>
    <row r="1500">
      <c r="A1500" s="3" t="str">
        <f>HYPERLINK("https://stackoverflow.com/q/51493460", "51493460")</f>
        <v>51493460</v>
      </c>
      <c r="B1500" s="1" t="s">
        <v>4681</v>
      </c>
      <c r="C1500" s="1" t="s">
        <v>5375</v>
      </c>
      <c r="D1500" s="2" t="s">
        <v>5376</v>
      </c>
      <c r="E1500" s="1">
        <v>1.0</v>
      </c>
      <c r="I1500" s="1">
        <v>1.0</v>
      </c>
      <c r="J1500" s="1">
        <v>1039.0</v>
      </c>
      <c r="L1500" s="1">
        <v>3792885.0</v>
      </c>
      <c r="Q1500" s="1" t="s">
        <v>5377</v>
      </c>
      <c r="R1500" s="1" t="s">
        <v>4697</v>
      </c>
      <c r="S1500" s="1">
        <v>1.0</v>
      </c>
      <c r="T1500" s="1">
        <v>1.0</v>
      </c>
      <c r="X1500" s="1" t="s">
        <v>56</v>
      </c>
    </row>
    <row r="1501">
      <c r="A1501" s="3" t="str">
        <f>HYPERLINK("https://stackoverflow.com/q/51499885", "51499885")</f>
        <v>51499885</v>
      </c>
      <c r="B1501" s="1" t="s">
        <v>4681</v>
      </c>
      <c r="C1501" s="1" t="s">
        <v>5378</v>
      </c>
      <c r="D1501" s="2" t="s">
        <v>5379</v>
      </c>
      <c r="E1501" s="1">
        <v>1.0</v>
      </c>
      <c r="F1501" s="1">
        <v>5.1605125E7</v>
      </c>
      <c r="I1501" s="1">
        <v>2.0</v>
      </c>
      <c r="J1501" s="1">
        <v>2869.0</v>
      </c>
      <c r="L1501" s="1">
        <v>9897424.0</v>
      </c>
      <c r="N1501" s="1">
        <v>5448475.0</v>
      </c>
      <c r="P1501" s="1" t="s">
        <v>5380</v>
      </c>
      <c r="Q1501" s="1" t="s">
        <v>5380</v>
      </c>
      <c r="R1501" s="1" t="s">
        <v>4721</v>
      </c>
      <c r="S1501" s="1">
        <v>1.0</v>
      </c>
      <c r="T1501" s="1">
        <v>0.0</v>
      </c>
      <c r="X1501" s="1" t="s">
        <v>56</v>
      </c>
      <c r="Z1501" s="1" t="s">
        <v>5381</v>
      </c>
    </row>
    <row r="1502">
      <c r="A1502" s="3" t="str">
        <f>HYPERLINK("https://stackoverflow.com/q/51523396", "51523396")</f>
        <v>51523396</v>
      </c>
      <c r="B1502" s="1" t="s">
        <v>4681</v>
      </c>
      <c r="C1502" s="1" t="s">
        <v>5382</v>
      </c>
      <c r="D1502" s="2" t="s">
        <v>5383</v>
      </c>
      <c r="E1502" s="1">
        <v>1.0</v>
      </c>
      <c r="I1502" s="1">
        <v>0.0</v>
      </c>
      <c r="J1502" s="1">
        <v>93.0</v>
      </c>
      <c r="L1502" s="1">
        <v>882670.0</v>
      </c>
      <c r="N1502" s="1">
        <v>882670.0</v>
      </c>
      <c r="P1502" s="1" t="s">
        <v>5384</v>
      </c>
      <c r="Q1502" s="1" t="s">
        <v>5384</v>
      </c>
      <c r="R1502" s="1" t="s">
        <v>4697</v>
      </c>
      <c r="S1502" s="1">
        <v>1.0</v>
      </c>
      <c r="T1502" s="1">
        <v>0.0</v>
      </c>
      <c r="X1502" s="1" t="s">
        <v>56</v>
      </c>
    </row>
    <row r="1503">
      <c r="A1503" s="3" t="str">
        <f>HYPERLINK("https://stackoverflow.com/q/51525766", "51525766")</f>
        <v>51525766</v>
      </c>
      <c r="B1503" s="1" t="s">
        <v>4681</v>
      </c>
      <c r="C1503" s="1" t="s">
        <v>5385</v>
      </c>
      <c r="D1503" s="2" t="s">
        <v>5386</v>
      </c>
      <c r="E1503" s="1">
        <v>1.0</v>
      </c>
      <c r="F1503" s="1">
        <v>5.1533086E7</v>
      </c>
      <c r="I1503" s="1">
        <v>1.0</v>
      </c>
      <c r="J1503" s="1">
        <v>34.0</v>
      </c>
      <c r="L1503" s="1">
        <v>5601086.0</v>
      </c>
      <c r="Q1503" s="1" t="s">
        <v>5387</v>
      </c>
      <c r="R1503" s="1" t="s">
        <v>5388</v>
      </c>
      <c r="S1503" s="1">
        <v>1.0</v>
      </c>
      <c r="T1503" s="1">
        <v>0.0</v>
      </c>
      <c r="X1503" s="1" t="s">
        <v>56</v>
      </c>
      <c r="Z1503" s="1" t="s">
        <v>5387</v>
      </c>
    </row>
    <row r="1504">
      <c r="A1504" s="3" t="str">
        <f>HYPERLINK("https://stackoverflow.com/q/51535030", "51535030")</f>
        <v>51535030</v>
      </c>
      <c r="B1504" s="1" t="s">
        <v>4681</v>
      </c>
      <c r="C1504" s="1" t="s">
        <v>5389</v>
      </c>
      <c r="D1504" s="2" t="s">
        <v>5390</v>
      </c>
      <c r="E1504" s="1">
        <v>1.0</v>
      </c>
      <c r="F1504" s="1">
        <v>5.1636767E7</v>
      </c>
      <c r="I1504" s="1">
        <v>0.0</v>
      </c>
      <c r="J1504" s="1">
        <v>38.0</v>
      </c>
      <c r="L1504" s="1">
        <v>1.0138001E7</v>
      </c>
      <c r="N1504" s="1">
        <v>1.0138001E7</v>
      </c>
      <c r="P1504" s="1" t="s">
        <v>5391</v>
      </c>
      <c r="Q1504" s="1" t="s">
        <v>5392</v>
      </c>
      <c r="R1504" s="1" t="s">
        <v>4697</v>
      </c>
      <c r="S1504" s="1">
        <v>1.0</v>
      </c>
      <c r="T1504" s="1">
        <v>0.0</v>
      </c>
      <c r="X1504" s="1" t="s">
        <v>56</v>
      </c>
      <c r="Z1504" s="1" t="s">
        <v>5392</v>
      </c>
    </row>
    <row r="1505">
      <c r="A1505" s="3" t="str">
        <f>HYPERLINK("https://stackoverflow.com/q/51626328", "51626328")</f>
        <v>51626328</v>
      </c>
      <c r="B1505" s="1" t="s">
        <v>4681</v>
      </c>
      <c r="C1505" s="1" t="s">
        <v>5393</v>
      </c>
      <c r="D1505" s="2" t="s">
        <v>5394</v>
      </c>
      <c r="E1505" s="1">
        <v>1.0</v>
      </c>
      <c r="F1505" s="1">
        <v>5.163408E7</v>
      </c>
      <c r="I1505" s="1">
        <v>1.0</v>
      </c>
      <c r="J1505" s="1">
        <v>203.0</v>
      </c>
      <c r="L1505" s="1">
        <v>1.0138001E7</v>
      </c>
      <c r="Q1505" s="1" t="s">
        <v>5395</v>
      </c>
      <c r="R1505" s="1" t="s">
        <v>4697</v>
      </c>
      <c r="S1505" s="1">
        <v>1.0</v>
      </c>
      <c r="T1505" s="1">
        <v>0.0</v>
      </c>
      <c r="X1505" s="1" t="s">
        <v>56</v>
      </c>
      <c r="Z1505" s="1" t="s">
        <v>5395</v>
      </c>
    </row>
    <row r="1506">
      <c r="A1506" s="3" t="str">
        <f>HYPERLINK("https://stackoverflow.com/q/51652025", "51652025")</f>
        <v>51652025</v>
      </c>
      <c r="B1506" s="1" t="s">
        <v>4681</v>
      </c>
      <c r="C1506" s="1" t="s">
        <v>5396</v>
      </c>
      <c r="D1506" s="2" t="s">
        <v>5397</v>
      </c>
      <c r="E1506" s="1">
        <v>1.0</v>
      </c>
      <c r="I1506" s="1">
        <v>0.0</v>
      </c>
      <c r="J1506" s="1">
        <v>1199.0</v>
      </c>
      <c r="L1506" s="1">
        <v>8014468.0</v>
      </c>
      <c r="Q1506" s="1" t="s">
        <v>5398</v>
      </c>
      <c r="R1506" s="1" t="s">
        <v>4697</v>
      </c>
      <c r="S1506" s="1">
        <v>1.0</v>
      </c>
      <c r="T1506" s="1">
        <v>0.0</v>
      </c>
      <c r="X1506" s="1" t="s">
        <v>56</v>
      </c>
    </row>
    <row r="1507">
      <c r="A1507" s="3" t="str">
        <f>HYPERLINK("https://stackoverflow.com/q/51653586", "51653586")</f>
        <v>51653586</v>
      </c>
      <c r="B1507" s="1" t="s">
        <v>4681</v>
      </c>
      <c r="C1507" s="1" t="s">
        <v>5399</v>
      </c>
      <c r="D1507" s="2" t="s">
        <v>5400</v>
      </c>
      <c r="E1507" s="1">
        <v>1.0</v>
      </c>
      <c r="F1507" s="1">
        <v>5.1686136E7</v>
      </c>
      <c r="I1507" s="1">
        <v>2.0</v>
      </c>
      <c r="J1507" s="1">
        <v>784.0</v>
      </c>
      <c r="L1507" s="1">
        <v>9224218.0</v>
      </c>
      <c r="N1507" s="1">
        <v>751090.0</v>
      </c>
      <c r="P1507" s="1" t="s">
        <v>5401</v>
      </c>
      <c r="Q1507" s="1" t="s">
        <v>5402</v>
      </c>
      <c r="R1507" s="1" t="s">
        <v>4836</v>
      </c>
      <c r="S1507" s="1">
        <v>1.0</v>
      </c>
      <c r="T1507" s="1">
        <v>0.0</v>
      </c>
      <c r="X1507" s="1" t="s">
        <v>56</v>
      </c>
      <c r="Z1507" s="1" t="s">
        <v>5402</v>
      </c>
    </row>
    <row r="1508">
      <c r="A1508" s="3" t="str">
        <f>HYPERLINK("https://stackoverflow.com/q/51666283", "51666283")</f>
        <v>51666283</v>
      </c>
      <c r="B1508" s="1" t="s">
        <v>4681</v>
      </c>
      <c r="C1508" s="1" t="s">
        <v>5403</v>
      </c>
      <c r="D1508" s="2" t="s">
        <v>5404</v>
      </c>
      <c r="E1508" s="1">
        <v>1.0</v>
      </c>
      <c r="I1508" s="1">
        <v>1.0</v>
      </c>
      <c r="J1508" s="1">
        <v>1621.0</v>
      </c>
      <c r="L1508" s="1">
        <v>3419357.0</v>
      </c>
      <c r="Q1508" s="1" t="s">
        <v>5405</v>
      </c>
      <c r="R1508" s="1" t="s">
        <v>4697</v>
      </c>
      <c r="S1508" s="1">
        <v>1.0</v>
      </c>
      <c r="T1508" s="1">
        <v>0.0</v>
      </c>
      <c r="X1508" s="1" t="s">
        <v>56</v>
      </c>
    </row>
    <row r="1509">
      <c r="A1509" s="3" t="str">
        <f>HYPERLINK("https://stackoverflow.com/q/51674308", "51674308")</f>
        <v>51674308</v>
      </c>
      <c r="B1509" s="1" t="s">
        <v>4681</v>
      </c>
      <c r="C1509" s="1" t="s">
        <v>5406</v>
      </c>
      <c r="D1509" s="2" t="s">
        <v>5407</v>
      </c>
      <c r="E1509" s="1">
        <v>1.0</v>
      </c>
      <c r="I1509" s="1">
        <v>0.0</v>
      </c>
      <c r="J1509" s="1">
        <v>2293.0</v>
      </c>
      <c r="L1509" s="1">
        <v>6811879.0</v>
      </c>
      <c r="Q1509" s="1" t="s">
        <v>5408</v>
      </c>
      <c r="R1509" s="1" t="s">
        <v>4697</v>
      </c>
      <c r="S1509" s="1">
        <v>1.0</v>
      </c>
      <c r="T1509" s="1">
        <v>0.0</v>
      </c>
      <c r="X1509" s="1" t="s">
        <v>56</v>
      </c>
    </row>
    <row r="1510">
      <c r="A1510" s="3" t="str">
        <f>HYPERLINK("https://stackoverflow.com/q/51675435", "51675435")</f>
        <v>51675435</v>
      </c>
      <c r="B1510" s="1" t="s">
        <v>4681</v>
      </c>
      <c r="C1510" s="1" t="s">
        <v>5409</v>
      </c>
      <c r="D1510" s="2" t="s">
        <v>5410</v>
      </c>
      <c r="E1510" s="1">
        <v>1.0</v>
      </c>
      <c r="F1510" s="1">
        <v>5.1686116E7</v>
      </c>
      <c r="I1510" s="1">
        <v>1.0</v>
      </c>
      <c r="J1510" s="1">
        <v>211.0</v>
      </c>
      <c r="L1510" s="1">
        <v>239240.0</v>
      </c>
      <c r="Q1510" s="1" t="s">
        <v>5411</v>
      </c>
      <c r="R1510" s="1" t="s">
        <v>5412</v>
      </c>
      <c r="S1510" s="1">
        <v>1.0</v>
      </c>
      <c r="T1510" s="1">
        <v>0.0</v>
      </c>
      <c r="X1510" s="1" t="s">
        <v>56</v>
      </c>
      <c r="Z1510" s="1" t="s">
        <v>5411</v>
      </c>
    </row>
    <row r="1511">
      <c r="A1511" s="3" t="str">
        <f>HYPERLINK("https://stackoverflow.com/q/51739637", "51739637")</f>
        <v>51739637</v>
      </c>
      <c r="B1511" s="1" t="s">
        <v>4681</v>
      </c>
      <c r="C1511" s="1" t="s">
        <v>5413</v>
      </c>
      <c r="D1511" s="2" t="s">
        <v>5414</v>
      </c>
      <c r="E1511" s="1">
        <v>1.0</v>
      </c>
      <c r="I1511" s="1">
        <v>1.0</v>
      </c>
      <c r="J1511" s="1">
        <v>268.0</v>
      </c>
      <c r="L1511" s="1">
        <v>1406168.0</v>
      </c>
      <c r="Q1511" s="1" t="s">
        <v>5413</v>
      </c>
      <c r="R1511" s="1" t="s">
        <v>4697</v>
      </c>
      <c r="S1511" s="1">
        <v>0.0</v>
      </c>
      <c r="T1511" s="1">
        <v>0.0</v>
      </c>
      <c r="X1511" s="1" t="s">
        <v>56</v>
      </c>
    </row>
    <row r="1512">
      <c r="A1512" s="3" t="str">
        <f>HYPERLINK("https://stackoverflow.com/q/51744626", "51744626")</f>
        <v>51744626</v>
      </c>
      <c r="B1512" s="1" t="s">
        <v>4681</v>
      </c>
      <c r="C1512" s="1" t="s">
        <v>5415</v>
      </c>
      <c r="D1512" s="2" t="s">
        <v>5416</v>
      </c>
      <c r="E1512" s="1">
        <v>1.0</v>
      </c>
      <c r="F1512" s="1">
        <v>5.1841918E7</v>
      </c>
      <c r="I1512" s="1">
        <v>1.0</v>
      </c>
      <c r="J1512" s="1">
        <v>225.0</v>
      </c>
      <c r="L1512" s="1">
        <v>7915175.0</v>
      </c>
      <c r="N1512" s="1">
        <v>7915175.0</v>
      </c>
      <c r="P1512" s="1" t="s">
        <v>5417</v>
      </c>
      <c r="Q1512" s="1" t="s">
        <v>5418</v>
      </c>
      <c r="R1512" s="1" t="s">
        <v>4697</v>
      </c>
      <c r="S1512" s="1">
        <v>2.0</v>
      </c>
      <c r="T1512" s="1">
        <v>5.0</v>
      </c>
      <c r="X1512" s="1" t="s">
        <v>56</v>
      </c>
      <c r="Z1512" s="1" t="s">
        <v>5418</v>
      </c>
    </row>
    <row r="1513">
      <c r="A1513" s="3" t="str">
        <f>HYPERLINK("https://stackoverflow.com/q/51764889", "51764889")</f>
        <v>51764889</v>
      </c>
      <c r="B1513" s="1" t="s">
        <v>4681</v>
      </c>
      <c r="C1513" s="1" t="s">
        <v>5419</v>
      </c>
      <c r="D1513" s="2" t="s">
        <v>5420</v>
      </c>
      <c r="E1513" s="1">
        <v>1.0</v>
      </c>
      <c r="F1513" s="1">
        <v>5.1773498E7</v>
      </c>
      <c r="I1513" s="1">
        <v>1.0</v>
      </c>
      <c r="J1513" s="1">
        <v>2297.0</v>
      </c>
      <c r="L1513" s="1">
        <v>7267079.0</v>
      </c>
      <c r="Q1513" s="1" t="s">
        <v>5421</v>
      </c>
      <c r="R1513" s="1" t="s">
        <v>5422</v>
      </c>
      <c r="S1513" s="1">
        <v>1.0</v>
      </c>
      <c r="T1513" s="1">
        <v>0.0</v>
      </c>
      <c r="U1513" s="1">
        <v>0.0</v>
      </c>
      <c r="X1513" s="1" t="s">
        <v>56</v>
      </c>
      <c r="Z1513" s="1" t="s">
        <v>5423</v>
      </c>
    </row>
    <row r="1514">
      <c r="A1514" s="3" t="str">
        <f>HYPERLINK("https://stackoverflow.com/q/51779833", "51779833")</f>
        <v>51779833</v>
      </c>
      <c r="B1514" s="1" t="s">
        <v>4681</v>
      </c>
      <c r="C1514" s="1" t="s">
        <v>5424</v>
      </c>
      <c r="D1514" s="2" t="s">
        <v>5425</v>
      </c>
      <c r="E1514" s="1">
        <v>1.0</v>
      </c>
      <c r="F1514" s="1">
        <v>5.1781609E7</v>
      </c>
      <c r="I1514" s="1">
        <v>0.0</v>
      </c>
      <c r="J1514" s="1">
        <v>320.0</v>
      </c>
      <c r="L1514" s="1">
        <v>2802576.0</v>
      </c>
      <c r="Q1514" s="1" t="s">
        <v>5426</v>
      </c>
      <c r="R1514" s="1" t="s">
        <v>5427</v>
      </c>
      <c r="S1514" s="1">
        <v>1.0</v>
      </c>
      <c r="T1514" s="1">
        <v>0.0</v>
      </c>
      <c r="X1514" s="1" t="s">
        <v>56</v>
      </c>
      <c r="Z1514" s="1" t="s">
        <v>5426</v>
      </c>
    </row>
    <row r="1515">
      <c r="A1515" s="3" t="str">
        <f>HYPERLINK("https://stackoverflow.com/q/51820368", "51820368")</f>
        <v>51820368</v>
      </c>
      <c r="B1515" s="1" t="s">
        <v>4681</v>
      </c>
      <c r="C1515" s="1" t="s">
        <v>5428</v>
      </c>
      <c r="D1515" s="2" t="s">
        <v>5429</v>
      </c>
      <c r="E1515" s="1">
        <v>1.0</v>
      </c>
      <c r="F1515" s="1">
        <v>5.1833646E7</v>
      </c>
      <c r="I1515" s="1">
        <v>1.0</v>
      </c>
      <c r="J1515" s="1">
        <v>2510.0</v>
      </c>
      <c r="L1515" s="1">
        <v>9232947.0</v>
      </c>
      <c r="N1515" s="1">
        <v>9232947.0</v>
      </c>
      <c r="P1515" s="1" t="s">
        <v>5430</v>
      </c>
      <c r="Q1515" s="1" t="s">
        <v>5431</v>
      </c>
      <c r="R1515" s="1" t="s">
        <v>4697</v>
      </c>
      <c r="S1515" s="1">
        <v>2.0</v>
      </c>
      <c r="T1515" s="1">
        <v>0.0</v>
      </c>
      <c r="X1515" s="1" t="s">
        <v>56</v>
      </c>
      <c r="Z1515" s="1" t="s">
        <v>5432</v>
      </c>
    </row>
    <row r="1516">
      <c r="A1516" s="3" t="str">
        <f>HYPERLINK("https://stackoverflow.com/q/51840153", "51840153")</f>
        <v>51840153</v>
      </c>
      <c r="B1516" s="1" t="s">
        <v>4681</v>
      </c>
      <c r="C1516" s="1" t="s">
        <v>5433</v>
      </c>
      <c r="D1516" s="2" t="s">
        <v>5434</v>
      </c>
      <c r="E1516" s="1">
        <v>1.0</v>
      </c>
      <c r="F1516" s="1">
        <v>5.1840887E7</v>
      </c>
      <c r="I1516" s="1">
        <v>0.0</v>
      </c>
      <c r="J1516" s="1">
        <v>75.0</v>
      </c>
      <c r="L1516" s="1">
        <v>7267079.0</v>
      </c>
      <c r="Q1516" s="1" t="s">
        <v>5435</v>
      </c>
      <c r="R1516" s="1" t="s">
        <v>5436</v>
      </c>
      <c r="S1516" s="1">
        <v>1.0</v>
      </c>
      <c r="T1516" s="1">
        <v>0.0</v>
      </c>
      <c r="X1516" s="1" t="s">
        <v>56</v>
      </c>
      <c r="Z1516" s="1" t="s">
        <v>5435</v>
      </c>
    </row>
    <row r="1517">
      <c r="A1517" s="3" t="str">
        <f>HYPERLINK("https://stackoverflow.com/q/51847975", "51847975")</f>
        <v>51847975</v>
      </c>
      <c r="B1517" s="1" t="s">
        <v>4681</v>
      </c>
      <c r="C1517" s="1" t="s">
        <v>5437</v>
      </c>
      <c r="D1517" s="2" t="s">
        <v>5438</v>
      </c>
      <c r="E1517" s="1">
        <v>1.0</v>
      </c>
      <c r="I1517" s="1">
        <v>1.0</v>
      </c>
      <c r="J1517" s="1">
        <v>282.0</v>
      </c>
      <c r="L1517" s="1">
        <v>9802592.0</v>
      </c>
      <c r="N1517" s="1">
        <v>13302.0</v>
      </c>
      <c r="P1517" s="1" t="s">
        <v>5439</v>
      </c>
      <c r="Q1517" s="1" t="s">
        <v>5440</v>
      </c>
      <c r="R1517" s="1" t="s">
        <v>5441</v>
      </c>
      <c r="S1517" s="1">
        <v>1.0</v>
      </c>
      <c r="T1517" s="1">
        <v>4.0</v>
      </c>
      <c r="X1517" s="1" t="s">
        <v>56</v>
      </c>
    </row>
    <row r="1518">
      <c r="A1518" s="3" t="str">
        <f>HYPERLINK("https://stackoverflow.com/q/51875348", "51875348")</f>
        <v>51875348</v>
      </c>
      <c r="B1518" s="1" t="s">
        <v>4681</v>
      </c>
      <c r="C1518" s="1" t="s">
        <v>5442</v>
      </c>
      <c r="D1518" s="2" t="s">
        <v>5443</v>
      </c>
      <c r="E1518" s="1">
        <v>1.0</v>
      </c>
      <c r="F1518" s="1">
        <v>5.1902421E7</v>
      </c>
      <c r="I1518" s="1">
        <v>1.0</v>
      </c>
      <c r="J1518" s="1">
        <v>441.0</v>
      </c>
      <c r="L1518" s="1">
        <v>4774960.0</v>
      </c>
      <c r="N1518" s="1">
        <v>4774960.0</v>
      </c>
      <c r="P1518" s="1" t="s">
        <v>5444</v>
      </c>
      <c r="Q1518" s="1" t="s">
        <v>5444</v>
      </c>
      <c r="R1518" s="1" t="s">
        <v>4697</v>
      </c>
      <c r="S1518" s="1">
        <v>1.0</v>
      </c>
      <c r="T1518" s="1">
        <v>1.0</v>
      </c>
      <c r="X1518" s="1" t="s">
        <v>56</v>
      </c>
      <c r="Z1518" s="1" t="s">
        <v>5445</v>
      </c>
    </row>
    <row r="1519">
      <c r="A1519" s="3" t="str">
        <f>HYPERLINK("https://stackoverflow.com/q/51885130", "51885130")</f>
        <v>51885130</v>
      </c>
      <c r="B1519" s="1" t="s">
        <v>4681</v>
      </c>
      <c r="C1519" s="1" t="s">
        <v>5446</v>
      </c>
      <c r="D1519" s="2" t="s">
        <v>5447</v>
      </c>
      <c r="E1519" s="1">
        <v>1.0</v>
      </c>
      <c r="F1519" s="1">
        <v>5.1995839E7</v>
      </c>
      <c r="I1519" s="1">
        <v>0.0</v>
      </c>
      <c r="J1519" s="1">
        <v>882.0</v>
      </c>
      <c r="L1519" s="1">
        <v>7176046.0</v>
      </c>
      <c r="N1519" s="1">
        <v>13302.0</v>
      </c>
      <c r="P1519" s="1" t="s">
        <v>5448</v>
      </c>
      <c r="Q1519" s="1" t="s">
        <v>5449</v>
      </c>
      <c r="R1519" s="1" t="s">
        <v>5282</v>
      </c>
      <c r="S1519" s="1">
        <v>1.0</v>
      </c>
      <c r="T1519" s="1">
        <v>0.0</v>
      </c>
      <c r="X1519" s="1" t="s">
        <v>56</v>
      </c>
      <c r="Z1519" s="1" t="s">
        <v>5449</v>
      </c>
    </row>
    <row r="1520">
      <c r="A1520" s="3" t="str">
        <f>HYPERLINK("https://stackoverflow.com/q/51927332", "51927332")</f>
        <v>51927332</v>
      </c>
      <c r="B1520" s="1" t="s">
        <v>4681</v>
      </c>
      <c r="C1520" s="1" t="s">
        <v>5450</v>
      </c>
      <c r="D1520" s="2" t="s">
        <v>5451</v>
      </c>
      <c r="E1520" s="1">
        <v>1.0</v>
      </c>
      <c r="I1520" s="1">
        <v>0.0</v>
      </c>
      <c r="J1520" s="1">
        <v>160.0</v>
      </c>
      <c r="L1520" s="1">
        <v>9232947.0</v>
      </c>
      <c r="Q1520" s="1" t="s">
        <v>5452</v>
      </c>
      <c r="R1520" s="1" t="s">
        <v>4697</v>
      </c>
      <c r="S1520" s="1">
        <v>1.0</v>
      </c>
      <c r="T1520" s="1">
        <v>0.0</v>
      </c>
      <c r="X1520" s="1" t="s">
        <v>56</v>
      </c>
    </row>
    <row r="1521">
      <c r="A1521" s="3" t="str">
        <f>HYPERLINK("https://stackoverflow.com/q/51950209", "51950209")</f>
        <v>51950209</v>
      </c>
      <c r="B1521" s="1" t="s">
        <v>4681</v>
      </c>
      <c r="C1521" s="1" t="s">
        <v>5453</v>
      </c>
      <c r="D1521" s="2" t="s">
        <v>5454</v>
      </c>
      <c r="E1521" s="1">
        <v>1.0</v>
      </c>
      <c r="F1521" s="1">
        <v>5.2175396E7</v>
      </c>
      <c r="I1521" s="1">
        <v>0.0</v>
      </c>
      <c r="J1521" s="1">
        <v>506.0</v>
      </c>
      <c r="L1521" s="1">
        <v>9897424.0</v>
      </c>
      <c r="N1521" s="1">
        <v>9897424.0</v>
      </c>
      <c r="P1521" s="1" t="s">
        <v>5455</v>
      </c>
      <c r="Q1521" s="1" t="s">
        <v>5455</v>
      </c>
      <c r="R1521" s="1" t="s">
        <v>5456</v>
      </c>
      <c r="S1521" s="1">
        <v>1.0</v>
      </c>
      <c r="T1521" s="1">
        <v>0.0</v>
      </c>
      <c r="X1521" s="1" t="s">
        <v>56</v>
      </c>
      <c r="Z1521" s="1" t="s">
        <v>5457</v>
      </c>
    </row>
    <row r="1522">
      <c r="A1522" s="3" t="str">
        <f>HYPERLINK("https://stackoverflow.com/q/51977946", "51977946")</f>
        <v>51977946</v>
      </c>
      <c r="B1522" s="1" t="s">
        <v>4681</v>
      </c>
      <c r="C1522" s="1" t="s">
        <v>5458</v>
      </c>
      <c r="D1522" s="2" t="s">
        <v>5459</v>
      </c>
      <c r="E1522" s="1">
        <v>1.0</v>
      </c>
      <c r="I1522" s="1">
        <v>0.0</v>
      </c>
      <c r="J1522" s="1">
        <v>116.0</v>
      </c>
      <c r="L1522" s="1">
        <v>1.0262626E7</v>
      </c>
      <c r="Q1522" s="1" t="s">
        <v>5460</v>
      </c>
      <c r="R1522" s="1" t="s">
        <v>4697</v>
      </c>
      <c r="S1522" s="1">
        <v>1.0</v>
      </c>
      <c r="T1522" s="1">
        <v>0.0</v>
      </c>
      <c r="X1522" s="1" t="s">
        <v>56</v>
      </c>
    </row>
    <row r="1523">
      <c r="A1523" s="3" t="str">
        <f>HYPERLINK("https://stackoverflow.com/q/52052148", "52052148")</f>
        <v>52052148</v>
      </c>
      <c r="B1523" s="1" t="s">
        <v>4681</v>
      </c>
      <c r="C1523" s="1" t="s">
        <v>5461</v>
      </c>
      <c r="D1523" s="2" t="s">
        <v>5462</v>
      </c>
      <c r="E1523" s="1">
        <v>1.0</v>
      </c>
      <c r="F1523" s="1">
        <v>5.2059484E7</v>
      </c>
      <c r="I1523" s="1">
        <v>1.0</v>
      </c>
      <c r="J1523" s="1">
        <v>2385.0</v>
      </c>
      <c r="L1523" s="1">
        <v>8070252.0</v>
      </c>
      <c r="Q1523" s="1" t="s">
        <v>5463</v>
      </c>
      <c r="R1523" s="1" t="s">
        <v>4697</v>
      </c>
      <c r="S1523" s="1">
        <v>2.0</v>
      </c>
      <c r="T1523" s="1">
        <v>0.0</v>
      </c>
      <c r="U1523" s="1">
        <v>1.0</v>
      </c>
      <c r="X1523" s="1" t="s">
        <v>56</v>
      </c>
      <c r="Z1523" s="1" t="s">
        <v>5464</v>
      </c>
    </row>
    <row r="1524">
      <c r="A1524" s="3" t="str">
        <f>HYPERLINK("https://stackoverflow.com/q/52058813", "52058813")</f>
        <v>52058813</v>
      </c>
      <c r="B1524" s="1" t="s">
        <v>4681</v>
      </c>
      <c r="C1524" s="1" t="s">
        <v>5465</v>
      </c>
      <c r="D1524" s="2" t="s">
        <v>5466</v>
      </c>
      <c r="E1524" s="1">
        <v>1.0</v>
      </c>
      <c r="F1524" s="1">
        <v>5.2071906E7</v>
      </c>
      <c r="I1524" s="1">
        <v>1.0</v>
      </c>
      <c r="J1524" s="1">
        <v>2460.0</v>
      </c>
      <c r="L1524" s="1">
        <v>1.0138001E7</v>
      </c>
      <c r="Q1524" s="1" t="s">
        <v>5467</v>
      </c>
      <c r="R1524" s="1" t="s">
        <v>4697</v>
      </c>
      <c r="S1524" s="1">
        <v>2.0</v>
      </c>
      <c r="T1524" s="1">
        <v>2.0</v>
      </c>
      <c r="X1524" s="1" t="s">
        <v>56</v>
      </c>
      <c r="Z1524" s="1" t="s">
        <v>5468</v>
      </c>
    </row>
    <row r="1525">
      <c r="A1525" s="3" t="str">
        <f>HYPERLINK("https://stackoverflow.com/q/52078776", "52078776")</f>
        <v>52078776</v>
      </c>
      <c r="B1525" s="1" t="s">
        <v>4681</v>
      </c>
      <c r="C1525" s="1" t="s">
        <v>5469</v>
      </c>
      <c r="D1525" s="2" t="s">
        <v>5470</v>
      </c>
      <c r="E1525" s="1">
        <v>1.0</v>
      </c>
      <c r="I1525" s="1">
        <v>2.0</v>
      </c>
      <c r="J1525" s="1">
        <v>530.0</v>
      </c>
      <c r="L1525" s="1">
        <v>1.0138001E7</v>
      </c>
      <c r="N1525" s="1">
        <v>1.0138001E7</v>
      </c>
      <c r="P1525" s="1" t="s">
        <v>5471</v>
      </c>
      <c r="Q1525" s="1" t="s">
        <v>5472</v>
      </c>
      <c r="R1525" s="1" t="s">
        <v>4697</v>
      </c>
      <c r="S1525" s="1">
        <v>1.0</v>
      </c>
      <c r="T1525" s="1">
        <v>2.0</v>
      </c>
      <c r="X1525" s="1" t="s">
        <v>56</v>
      </c>
    </row>
    <row r="1526">
      <c r="A1526" s="3" t="str">
        <f>HYPERLINK("https://stackoverflow.com/q/52143938", "52143938")</f>
        <v>52143938</v>
      </c>
      <c r="B1526" s="1" t="s">
        <v>4681</v>
      </c>
      <c r="C1526" s="1" t="s">
        <v>5473</v>
      </c>
      <c r="D1526" s="2" t="s">
        <v>5474</v>
      </c>
      <c r="E1526" s="1">
        <v>1.0</v>
      </c>
      <c r="F1526" s="1">
        <v>5.2175343E7</v>
      </c>
      <c r="I1526" s="1">
        <v>1.0</v>
      </c>
      <c r="J1526" s="1">
        <v>157.0</v>
      </c>
      <c r="L1526" s="1">
        <v>8443624.0</v>
      </c>
      <c r="Q1526" s="1" t="s">
        <v>5475</v>
      </c>
      <c r="R1526" s="1" t="s">
        <v>5476</v>
      </c>
      <c r="S1526" s="1">
        <v>1.0</v>
      </c>
      <c r="T1526" s="1">
        <v>0.0</v>
      </c>
      <c r="X1526" s="1" t="s">
        <v>56</v>
      </c>
      <c r="Z1526" s="1" t="s">
        <v>5475</v>
      </c>
    </row>
    <row r="1527">
      <c r="A1527" s="3" t="str">
        <f>HYPERLINK("https://stackoverflow.com/q/52191591", "52191591")</f>
        <v>52191591</v>
      </c>
      <c r="B1527" s="1" t="s">
        <v>4681</v>
      </c>
      <c r="C1527" s="1" t="s">
        <v>5477</v>
      </c>
      <c r="D1527" s="2" t="s">
        <v>5478</v>
      </c>
      <c r="E1527" s="1">
        <v>1.0</v>
      </c>
      <c r="F1527" s="1">
        <v>5.2192156E7</v>
      </c>
      <c r="I1527" s="1">
        <v>1.0</v>
      </c>
      <c r="J1527" s="1">
        <v>85.0</v>
      </c>
      <c r="L1527" s="1">
        <v>2868374.0</v>
      </c>
      <c r="Q1527" s="1" t="s">
        <v>5479</v>
      </c>
      <c r="R1527" s="1" t="s">
        <v>5480</v>
      </c>
      <c r="S1527" s="1">
        <v>1.0</v>
      </c>
      <c r="T1527" s="1">
        <v>0.0</v>
      </c>
      <c r="X1527" s="1" t="s">
        <v>56</v>
      </c>
      <c r="Z1527" s="1" t="s">
        <v>5479</v>
      </c>
    </row>
    <row r="1528">
      <c r="A1528" s="3" t="str">
        <f>HYPERLINK("https://stackoverflow.com/q/52205477", "52205477")</f>
        <v>52205477</v>
      </c>
      <c r="B1528" s="1" t="s">
        <v>4681</v>
      </c>
      <c r="C1528" s="1" t="s">
        <v>5481</v>
      </c>
      <c r="D1528" s="2" t="s">
        <v>5482</v>
      </c>
      <c r="E1528" s="1">
        <v>1.0</v>
      </c>
      <c r="F1528" s="1">
        <v>5.2215751E7</v>
      </c>
      <c r="I1528" s="1">
        <v>1.0</v>
      </c>
      <c r="J1528" s="1">
        <v>218.0</v>
      </c>
      <c r="L1528" s="1">
        <v>1.0138001E7</v>
      </c>
      <c r="Q1528" s="1" t="s">
        <v>5483</v>
      </c>
      <c r="R1528" s="1" t="s">
        <v>4697</v>
      </c>
      <c r="S1528" s="1">
        <v>1.0</v>
      </c>
      <c r="T1528" s="1">
        <v>0.0</v>
      </c>
      <c r="X1528" s="1" t="s">
        <v>56</v>
      </c>
      <c r="Z1528" s="1" t="s">
        <v>5483</v>
      </c>
    </row>
    <row r="1529">
      <c r="A1529" s="3" t="str">
        <f>HYPERLINK("https://stackoverflow.com/q/52215703", "52215703")</f>
        <v>52215703</v>
      </c>
      <c r="B1529" s="1" t="s">
        <v>4681</v>
      </c>
      <c r="C1529" s="1" t="s">
        <v>5484</v>
      </c>
      <c r="D1529" s="2" t="s">
        <v>5485</v>
      </c>
      <c r="E1529" s="1">
        <v>1.0</v>
      </c>
      <c r="I1529" s="1">
        <v>0.0</v>
      </c>
      <c r="J1529" s="1">
        <v>295.0</v>
      </c>
      <c r="L1529" s="1">
        <v>1140876.0</v>
      </c>
      <c r="Q1529" s="1" t="s">
        <v>5486</v>
      </c>
      <c r="R1529" s="1" t="s">
        <v>4697</v>
      </c>
      <c r="S1529" s="1">
        <v>1.0</v>
      </c>
      <c r="T1529" s="1">
        <v>1.0</v>
      </c>
      <c r="X1529" s="1" t="s">
        <v>56</v>
      </c>
    </row>
    <row r="1530">
      <c r="A1530" s="3" t="str">
        <f>HYPERLINK("https://stackoverflow.com/q/52217414", "52217414")</f>
        <v>52217414</v>
      </c>
      <c r="B1530" s="1" t="s">
        <v>4681</v>
      </c>
      <c r="C1530" s="1" t="s">
        <v>5487</v>
      </c>
      <c r="D1530" s="2" t="s">
        <v>5488</v>
      </c>
      <c r="E1530" s="1">
        <v>1.0</v>
      </c>
      <c r="F1530" s="1">
        <v>5.2252084E7</v>
      </c>
      <c r="I1530" s="1">
        <v>0.0</v>
      </c>
      <c r="J1530" s="1">
        <v>584.0</v>
      </c>
      <c r="L1530" s="1">
        <v>7290461.0</v>
      </c>
      <c r="Q1530" s="1" t="s">
        <v>5489</v>
      </c>
      <c r="R1530" s="1" t="s">
        <v>4836</v>
      </c>
      <c r="S1530" s="1">
        <v>1.0</v>
      </c>
      <c r="T1530" s="1">
        <v>0.0</v>
      </c>
      <c r="X1530" s="1" t="s">
        <v>56</v>
      </c>
      <c r="Z1530" s="1" t="s">
        <v>5489</v>
      </c>
    </row>
    <row r="1531">
      <c r="A1531" s="3" t="str">
        <f>HYPERLINK("https://stackoverflow.com/q/52223085", "52223085")</f>
        <v>52223085</v>
      </c>
      <c r="B1531" s="1" t="s">
        <v>4681</v>
      </c>
      <c r="C1531" s="1" t="s">
        <v>5490</v>
      </c>
      <c r="D1531" s="2" t="s">
        <v>5491</v>
      </c>
      <c r="E1531" s="1">
        <v>1.0</v>
      </c>
      <c r="I1531" s="1">
        <v>1.0</v>
      </c>
      <c r="J1531" s="1">
        <v>427.0</v>
      </c>
      <c r="L1531" s="1">
        <v>9400180.0</v>
      </c>
      <c r="Q1531" s="1" t="s">
        <v>5492</v>
      </c>
      <c r="R1531" s="1" t="s">
        <v>4697</v>
      </c>
      <c r="S1531" s="1">
        <v>1.0</v>
      </c>
      <c r="T1531" s="1">
        <v>0.0</v>
      </c>
      <c r="X1531" s="1" t="s">
        <v>56</v>
      </c>
    </row>
    <row r="1532">
      <c r="A1532" s="3" t="str">
        <f>HYPERLINK("https://stackoverflow.com/q/52224883", "52224883")</f>
        <v>52224883</v>
      </c>
      <c r="B1532" s="1" t="s">
        <v>4681</v>
      </c>
      <c r="C1532" s="1" t="s">
        <v>5493</v>
      </c>
      <c r="D1532" s="2" t="s">
        <v>5494</v>
      </c>
      <c r="E1532" s="1">
        <v>1.0</v>
      </c>
      <c r="F1532" s="1">
        <v>5.2257722E7</v>
      </c>
      <c r="I1532" s="1">
        <v>3.0</v>
      </c>
      <c r="J1532" s="1">
        <v>425.0</v>
      </c>
      <c r="L1532" s="1">
        <v>2107722.0</v>
      </c>
      <c r="Q1532" s="1" t="s">
        <v>5495</v>
      </c>
      <c r="R1532" s="1" t="s">
        <v>5496</v>
      </c>
      <c r="S1532" s="1">
        <v>1.0</v>
      </c>
      <c r="T1532" s="1">
        <v>0.0</v>
      </c>
      <c r="X1532" s="1" t="s">
        <v>56</v>
      </c>
      <c r="Z1532" s="1" t="s">
        <v>5495</v>
      </c>
    </row>
    <row r="1533">
      <c r="A1533" s="3" t="str">
        <f>HYPERLINK("https://stackoverflow.com/q/52260506", "52260506")</f>
        <v>52260506</v>
      </c>
      <c r="B1533" s="1" t="s">
        <v>4681</v>
      </c>
      <c r="C1533" s="1" t="s">
        <v>5497</v>
      </c>
      <c r="D1533" s="2" t="s">
        <v>5498</v>
      </c>
      <c r="E1533" s="1">
        <v>1.0</v>
      </c>
      <c r="I1533" s="1">
        <v>1.0</v>
      </c>
      <c r="J1533" s="1">
        <v>475.0</v>
      </c>
      <c r="L1533" s="1">
        <v>1.0061136E7</v>
      </c>
      <c r="Q1533" s="1" t="s">
        <v>5497</v>
      </c>
      <c r="R1533" s="1" t="s">
        <v>5499</v>
      </c>
      <c r="S1533" s="1">
        <v>0.0</v>
      </c>
      <c r="T1533" s="1">
        <v>6.0</v>
      </c>
      <c r="X1533" s="1" t="s">
        <v>56</v>
      </c>
    </row>
    <row r="1534">
      <c r="A1534" s="3" t="str">
        <f>HYPERLINK("https://stackoverflow.com/q/52287773", "52287773")</f>
        <v>52287773</v>
      </c>
      <c r="B1534" s="1" t="s">
        <v>4681</v>
      </c>
      <c r="C1534" s="1" t="s">
        <v>5500</v>
      </c>
      <c r="D1534" s="2" t="s">
        <v>5501</v>
      </c>
      <c r="E1534" s="1">
        <v>1.0</v>
      </c>
      <c r="F1534" s="1">
        <v>5.2294707E7</v>
      </c>
      <c r="I1534" s="1">
        <v>0.0</v>
      </c>
      <c r="J1534" s="1">
        <v>45.0</v>
      </c>
      <c r="L1534" s="1">
        <v>9050428.0</v>
      </c>
      <c r="Q1534" s="1" t="s">
        <v>5502</v>
      </c>
      <c r="R1534" s="1" t="s">
        <v>5503</v>
      </c>
      <c r="S1534" s="1">
        <v>1.0</v>
      </c>
      <c r="T1534" s="1">
        <v>0.0</v>
      </c>
      <c r="X1534" s="1" t="s">
        <v>56</v>
      </c>
      <c r="Z1534" s="1" t="s">
        <v>5502</v>
      </c>
    </row>
    <row r="1535">
      <c r="A1535" s="3" t="str">
        <f>HYPERLINK("https://stackoverflow.com/q/52288990", "52288990")</f>
        <v>52288990</v>
      </c>
      <c r="B1535" s="1" t="s">
        <v>4681</v>
      </c>
      <c r="C1535" s="1" t="s">
        <v>5504</v>
      </c>
      <c r="D1535" s="2" t="s">
        <v>5505</v>
      </c>
      <c r="E1535" s="1">
        <v>1.0</v>
      </c>
      <c r="F1535" s="1">
        <v>5.2296201E7</v>
      </c>
      <c r="I1535" s="1">
        <v>1.0</v>
      </c>
      <c r="J1535" s="1">
        <v>2795.0</v>
      </c>
      <c r="L1535" s="1">
        <v>9050428.0</v>
      </c>
      <c r="Q1535" s="1" t="s">
        <v>5506</v>
      </c>
      <c r="R1535" s="1" t="s">
        <v>4697</v>
      </c>
      <c r="S1535" s="1">
        <v>2.0</v>
      </c>
      <c r="T1535" s="1">
        <v>0.0</v>
      </c>
      <c r="X1535" s="1" t="s">
        <v>56</v>
      </c>
      <c r="Z1535" s="1" t="s">
        <v>5507</v>
      </c>
    </row>
    <row r="1536">
      <c r="A1536" s="3" t="str">
        <f>HYPERLINK("https://stackoverflow.com/q/52290270", "52290270")</f>
        <v>52290270</v>
      </c>
      <c r="B1536" s="1" t="s">
        <v>4681</v>
      </c>
      <c r="C1536" s="1" t="s">
        <v>5508</v>
      </c>
      <c r="D1536" s="2" t="s">
        <v>5509</v>
      </c>
      <c r="E1536" s="1">
        <v>1.0</v>
      </c>
      <c r="I1536" s="1">
        <v>0.0</v>
      </c>
      <c r="J1536" s="1">
        <v>26.0</v>
      </c>
      <c r="L1536" s="1">
        <v>1.0138001E7</v>
      </c>
      <c r="Q1536" s="1" t="s">
        <v>5508</v>
      </c>
      <c r="R1536" s="1" t="s">
        <v>4697</v>
      </c>
      <c r="S1536" s="1">
        <v>0.0</v>
      </c>
      <c r="T1536" s="1">
        <v>2.0</v>
      </c>
      <c r="X1536" s="1" t="s">
        <v>56</v>
      </c>
    </row>
    <row r="1537">
      <c r="A1537" s="3" t="str">
        <f>HYPERLINK("https://stackoverflow.com/q/52294548", "52294548")</f>
        <v>52294548</v>
      </c>
      <c r="B1537" s="1" t="s">
        <v>4681</v>
      </c>
      <c r="C1537" s="1" t="s">
        <v>5510</v>
      </c>
      <c r="D1537" s="2" t="s">
        <v>5511</v>
      </c>
      <c r="E1537" s="1">
        <v>1.0</v>
      </c>
      <c r="F1537" s="1">
        <v>5.2295066E7</v>
      </c>
      <c r="I1537" s="1">
        <v>0.0</v>
      </c>
      <c r="J1537" s="1">
        <v>44.0</v>
      </c>
      <c r="L1537" s="1">
        <v>1.0138001E7</v>
      </c>
      <c r="Q1537" s="1" t="s">
        <v>5512</v>
      </c>
      <c r="R1537" s="1" t="s">
        <v>4697</v>
      </c>
      <c r="S1537" s="1">
        <v>1.0</v>
      </c>
      <c r="T1537" s="1">
        <v>0.0</v>
      </c>
      <c r="X1537" s="1" t="s">
        <v>56</v>
      </c>
      <c r="Z1537" s="1" t="s">
        <v>5512</v>
      </c>
    </row>
    <row r="1538">
      <c r="A1538" s="3" t="str">
        <f>HYPERLINK("https://stackoverflow.com/q/52294863", "52294863")</f>
        <v>52294863</v>
      </c>
      <c r="B1538" s="1" t="s">
        <v>4681</v>
      </c>
      <c r="C1538" s="1" t="s">
        <v>5513</v>
      </c>
      <c r="D1538" s="2" t="s">
        <v>5514</v>
      </c>
      <c r="E1538" s="1">
        <v>1.0</v>
      </c>
      <c r="I1538" s="1">
        <v>0.0</v>
      </c>
      <c r="J1538" s="1">
        <v>220.0</v>
      </c>
      <c r="L1538" s="1">
        <v>5647571.0</v>
      </c>
      <c r="Q1538" s="1" t="s">
        <v>5515</v>
      </c>
      <c r="R1538" s="1" t="s">
        <v>5516</v>
      </c>
      <c r="S1538" s="1">
        <v>1.0</v>
      </c>
      <c r="T1538" s="1">
        <v>2.0</v>
      </c>
      <c r="X1538" s="1" t="s">
        <v>56</v>
      </c>
    </row>
    <row r="1539">
      <c r="A1539" s="3" t="str">
        <f>HYPERLINK("https://stackoverflow.com/q/52325612", "52325612")</f>
        <v>52325612</v>
      </c>
      <c r="B1539" s="1" t="s">
        <v>4681</v>
      </c>
      <c r="C1539" s="1" t="s">
        <v>5517</v>
      </c>
      <c r="D1539" s="2" t="s">
        <v>5518</v>
      </c>
      <c r="E1539" s="1">
        <v>1.0</v>
      </c>
      <c r="F1539" s="1">
        <v>5.2333177E7</v>
      </c>
      <c r="I1539" s="1">
        <v>1.0</v>
      </c>
      <c r="J1539" s="1">
        <v>357.0</v>
      </c>
      <c r="L1539" s="1">
        <v>9050428.0</v>
      </c>
      <c r="N1539" s="1">
        <v>751090.0</v>
      </c>
      <c r="P1539" s="1" t="s">
        <v>5519</v>
      </c>
      <c r="Q1539" s="1" t="s">
        <v>5520</v>
      </c>
      <c r="R1539" s="1" t="s">
        <v>4697</v>
      </c>
      <c r="S1539" s="1">
        <v>1.0</v>
      </c>
      <c r="T1539" s="1">
        <v>0.0</v>
      </c>
      <c r="X1539" s="1" t="s">
        <v>56</v>
      </c>
      <c r="Z1539" s="1" t="s">
        <v>5520</v>
      </c>
    </row>
    <row r="1540">
      <c r="A1540" s="3" t="str">
        <f>HYPERLINK("https://stackoverflow.com/q/52332025", "52332025")</f>
        <v>52332025</v>
      </c>
      <c r="B1540" s="1" t="s">
        <v>4681</v>
      </c>
      <c r="C1540" s="1" t="s">
        <v>5521</v>
      </c>
      <c r="D1540" s="2" t="s">
        <v>5522</v>
      </c>
      <c r="E1540" s="1">
        <v>1.0</v>
      </c>
      <c r="F1540" s="1">
        <v>5.233335E7</v>
      </c>
      <c r="I1540" s="1">
        <v>0.0</v>
      </c>
      <c r="J1540" s="1">
        <v>37.0</v>
      </c>
      <c r="L1540" s="1">
        <v>1.0138001E7</v>
      </c>
      <c r="Q1540" s="1" t="s">
        <v>5523</v>
      </c>
      <c r="R1540" s="1" t="s">
        <v>4697</v>
      </c>
      <c r="S1540" s="1">
        <v>1.0</v>
      </c>
      <c r="T1540" s="1">
        <v>0.0</v>
      </c>
      <c r="X1540" s="1" t="s">
        <v>56</v>
      </c>
      <c r="Z1540" s="1" t="s">
        <v>5523</v>
      </c>
    </row>
    <row r="1541">
      <c r="A1541" s="3" t="str">
        <f>HYPERLINK("https://stackoverflow.com/q/52363765", "52363765")</f>
        <v>52363765</v>
      </c>
      <c r="B1541" s="1" t="s">
        <v>4681</v>
      </c>
      <c r="C1541" s="1" t="s">
        <v>5524</v>
      </c>
      <c r="D1541" s="2" t="s">
        <v>5525</v>
      </c>
      <c r="E1541" s="1">
        <v>1.0</v>
      </c>
      <c r="I1541" s="1">
        <v>1.0</v>
      </c>
      <c r="J1541" s="1">
        <v>71.0</v>
      </c>
      <c r="L1541" s="1">
        <v>5647571.0</v>
      </c>
      <c r="N1541" s="1">
        <v>1.0309476E7</v>
      </c>
      <c r="P1541" s="1" t="s">
        <v>5526</v>
      </c>
      <c r="Q1541" s="1" t="s">
        <v>5526</v>
      </c>
      <c r="R1541" s="1" t="s">
        <v>5527</v>
      </c>
      <c r="S1541" s="1">
        <v>0.0</v>
      </c>
      <c r="T1541" s="1">
        <v>1.0</v>
      </c>
      <c r="X1541" s="1" t="s">
        <v>56</v>
      </c>
    </row>
    <row r="1542">
      <c r="A1542" s="3" t="str">
        <f>HYPERLINK("https://stackoverflow.com/q/52406269", "52406269")</f>
        <v>52406269</v>
      </c>
      <c r="B1542" s="1" t="s">
        <v>4681</v>
      </c>
      <c r="C1542" s="1" t="s">
        <v>5528</v>
      </c>
      <c r="D1542" s="2" t="s">
        <v>5529</v>
      </c>
      <c r="E1542" s="1">
        <v>1.0</v>
      </c>
      <c r="I1542" s="1">
        <v>2.0</v>
      </c>
      <c r="J1542" s="1">
        <v>1284.0</v>
      </c>
      <c r="L1542" s="1">
        <v>6735935.0</v>
      </c>
      <c r="Q1542" s="1" t="s">
        <v>5530</v>
      </c>
      <c r="R1542" s="1" t="s">
        <v>5531</v>
      </c>
      <c r="S1542" s="1">
        <v>2.0</v>
      </c>
      <c r="T1542" s="1">
        <v>1.0</v>
      </c>
      <c r="X1542" s="1" t="s">
        <v>56</v>
      </c>
    </row>
    <row r="1543">
      <c r="A1543" s="3" t="str">
        <f>HYPERLINK("https://stackoverflow.com/q/52424944", "52424944")</f>
        <v>52424944</v>
      </c>
      <c r="B1543" s="1" t="s">
        <v>4681</v>
      </c>
      <c r="C1543" s="1" t="s">
        <v>5532</v>
      </c>
      <c r="D1543" s="2" t="s">
        <v>5533</v>
      </c>
      <c r="E1543" s="1">
        <v>1.0</v>
      </c>
      <c r="I1543" s="1">
        <v>0.0</v>
      </c>
      <c r="J1543" s="1">
        <v>1699.0</v>
      </c>
      <c r="L1543" s="1">
        <v>1.0391182E7</v>
      </c>
      <c r="N1543" s="1">
        <v>1.0391182E7</v>
      </c>
      <c r="P1543" s="1" t="s">
        <v>5534</v>
      </c>
      <c r="Q1543" s="1" t="s">
        <v>5535</v>
      </c>
      <c r="R1543" s="1" t="s">
        <v>5536</v>
      </c>
      <c r="S1543" s="1">
        <v>1.0</v>
      </c>
      <c r="T1543" s="1">
        <v>0.0</v>
      </c>
      <c r="X1543" s="1" t="s">
        <v>56</v>
      </c>
    </row>
    <row r="1544">
      <c r="A1544" s="3" t="str">
        <f>HYPERLINK("https://stackoverflow.com/q/52436007", "52436007")</f>
        <v>52436007</v>
      </c>
      <c r="B1544" s="1" t="s">
        <v>4681</v>
      </c>
      <c r="C1544" s="1" t="s">
        <v>5537</v>
      </c>
      <c r="D1544" s="2" t="s">
        <v>5538</v>
      </c>
      <c r="E1544" s="1">
        <v>1.0</v>
      </c>
      <c r="I1544" s="1">
        <v>0.0</v>
      </c>
      <c r="J1544" s="1">
        <v>259.0</v>
      </c>
      <c r="L1544" s="1">
        <v>7782844.0</v>
      </c>
      <c r="Q1544" s="1" t="s">
        <v>5539</v>
      </c>
      <c r="R1544" s="1" t="s">
        <v>5540</v>
      </c>
      <c r="S1544" s="1">
        <v>1.0</v>
      </c>
      <c r="T1544" s="1">
        <v>0.0</v>
      </c>
      <c r="X1544" s="1" t="s">
        <v>56</v>
      </c>
    </row>
    <row r="1545">
      <c r="A1545" s="3" t="str">
        <f>HYPERLINK("https://stackoverflow.com/q/52443062", "52443062")</f>
        <v>52443062</v>
      </c>
      <c r="B1545" s="1" t="s">
        <v>4681</v>
      </c>
      <c r="C1545" s="1" t="s">
        <v>5541</v>
      </c>
      <c r="D1545" s="2" t="s">
        <v>5542</v>
      </c>
      <c r="E1545" s="1">
        <v>1.0</v>
      </c>
      <c r="F1545" s="1">
        <v>5.2443878E7</v>
      </c>
      <c r="I1545" s="1">
        <v>0.0</v>
      </c>
      <c r="J1545" s="1">
        <v>1701.0</v>
      </c>
      <c r="L1545" s="1">
        <v>2107722.0</v>
      </c>
      <c r="Q1545" s="1" t="s">
        <v>5543</v>
      </c>
      <c r="R1545" s="1" t="s">
        <v>5544</v>
      </c>
      <c r="S1545" s="1">
        <v>1.0</v>
      </c>
      <c r="T1545" s="1">
        <v>0.0</v>
      </c>
      <c r="X1545" s="1" t="s">
        <v>56</v>
      </c>
      <c r="Z1545" s="1" t="s">
        <v>5543</v>
      </c>
    </row>
    <row r="1546">
      <c r="A1546" s="3" t="str">
        <f>HYPERLINK("https://stackoverflow.com/q/52529279", "52529279")</f>
        <v>52529279</v>
      </c>
      <c r="B1546" s="1" t="s">
        <v>4681</v>
      </c>
      <c r="C1546" s="1" t="s">
        <v>5545</v>
      </c>
      <c r="D1546" s="2" t="s">
        <v>5546</v>
      </c>
      <c r="E1546" s="1">
        <v>1.0</v>
      </c>
      <c r="I1546" s="1">
        <v>8.0</v>
      </c>
      <c r="J1546" s="1">
        <v>3324.0</v>
      </c>
      <c r="L1546" s="1">
        <v>8390889.0</v>
      </c>
      <c r="N1546" s="1">
        <v>8390889.0</v>
      </c>
      <c r="P1546" s="1" t="s">
        <v>5547</v>
      </c>
      <c r="Q1546" s="1" t="s">
        <v>5547</v>
      </c>
      <c r="R1546" s="1" t="s">
        <v>4767</v>
      </c>
      <c r="S1546" s="1">
        <v>1.0</v>
      </c>
      <c r="T1546" s="1">
        <v>0.0</v>
      </c>
      <c r="X1546" s="1" t="s">
        <v>56</v>
      </c>
    </row>
    <row r="1547">
      <c r="A1547" s="3" t="str">
        <f>HYPERLINK("https://stackoverflow.com/q/52563232", "52563232")</f>
        <v>52563232</v>
      </c>
      <c r="B1547" s="1" t="s">
        <v>4681</v>
      </c>
      <c r="C1547" s="1" t="s">
        <v>5548</v>
      </c>
      <c r="D1547" s="2" t="s">
        <v>5549</v>
      </c>
      <c r="E1547" s="1">
        <v>1.0</v>
      </c>
      <c r="I1547" s="1">
        <v>0.0</v>
      </c>
      <c r="J1547" s="1">
        <v>563.0</v>
      </c>
      <c r="L1547" s="1">
        <v>163534.0</v>
      </c>
      <c r="Q1547" s="1" t="s">
        <v>5550</v>
      </c>
      <c r="R1547" s="1" t="s">
        <v>4697</v>
      </c>
      <c r="S1547" s="1">
        <v>2.0</v>
      </c>
      <c r="T1547" s="1">
        <v>0.0</v>
      </c>
      <c r="X1547" s="1" t="s">
        <v>56</v>
      </c>
    </row>
    <row r="1548">
      <c r="A1548" s="3" t="str">
        <f>HYPERLINK("https://stackoverflow.com/q/52585467", "52585467")</f>
        <v>52585467</v>
      </c>
      <c r="B1548" s="1" t="s">
        <v>4681</v>
      </c>
      <c r="C1548" s="1" t="s">
        <v>5551</v>
      </c>
      <c r="D1548" s="2" t="s">
        <v>5552</v>
      </c>
      <c r="E1548" s="1">
        <v>1.0</v>
      </c>
      <c r="I1548" s="1">
        <v>0.0</v>
      </c>
      <c r="J1548" s="1">
        <v>558.0</v>
      </c>
      <c r="L1548" s="1">
        <v>1.0439463E7</v>
      </c>
      <c r="Q1548" s="1" t="s">
        <v>5553</v>
      </c>
      <c r="R1548" s="1" t="s">
        <v>5554</v>
      </c>
      <c r="S1548" s="1">
        <v>1.0</v>
      </c>
      <c r="T1548" s="1">
        <v>2.0</v>
      </c>
      <c r="X1548" s="1" t="s">
        <v>56</v>
      </c>
    </row>
    <row r="1549">
      <c r="A1549" s="3" t="str">
        <f>HYPERLINK("https://stackoverflow.com/q/52600010", "52600010")</f>
        <v>52600010</v>
      </c>
      <c r="B1549" s="1" t="s">
        <v>4681</v>
      </c>
      <c r="C1549" s="1" t="s">
        <v>5555</v>
      </c>
      <c r="D1549" s="2" t="s">
        <v>5556</v>
      </c>
      <c r="E1549" s="1">
        <v>1.0</v>
      </c>
      <c r="F1549" s="1">
        <v>5.3547224E7</v>
      </c>
      <c r="I1549" s="1">
        <v>1.0</v>
      </c>
      <c r="J1549" s="1">
        <v>991.0</v>
      </c>
      <c r="L1549" s="1">
        <v>169886.0</v>
      </c>
      <c r="N1549" s="1">
        <v>169886.0</v>
      </c>
      <c r="P1549" s="1" t="s">
        <v>5557</v>
      </c>
      <c r="Q1549" s="1" t="s">
        <v>5558</v>
      </c>
      <c r="R1549" s="1" t="s">
        <v>5559</v>
      </c>
      <c r="S1549" s="1">
        <v>3.0</v>
      </c>
      <c r="T1549" s="1">
        <v>0.0</v>
      </c>
      <c r="U1549" s="1">
        <v>1.0</v>
      </c>
      <c r="X1549" s="1" t="s">
        <v>56</v>
      </c>
      <c r="Z1549" s="1" t="s">
        <v>5558</v>
      </c>
    </row>
    <row r="1550">
      <c r="A1550" s="3" t="str">
        <f>HYPERLINK("https://stackoverflow.com/q/52626952", "52626952")</f>
        <v>52626952</v>
      </c>
      <c r="B1550" s="1" t="s">
        <v>4681</v>
      </c>
      <c r="C1550" s="1" t="s">
        <v>5560</v>
      </c>
      <c r="D1550" s="2" t="s">
        <v>5561</v>
      </c>
      <c r="E1550" s="1">
        <v>1.0</v>
      </c>
      <c r="I1550" s="1">
        <v>1.0</v>
      </c>
      <c r="J1550" s="1">
        <v>73.0</v>
      </c>
      <c r="L1550" s="1">
        <v>4245678.0</v>
      </c>
      <c r="Q1550" s="1" t="s">
        <v>5562</v>
      </c>
      <c r="R1550" s="1" t="s">
        <v>4771</v>
      </c>
      <c r="S1550" s="1">
        <v>0.0</v>
      </c>
      <c r="T1550" s="1">
        <v>0.0</v>
      </c>
      <c r="X1550" s="1" t="s">
        <v>56</v>
      </c>
    </row>
    <row r="1551">
      <c r="A1551" s="3" t="str">
        <f>HYPERLINK("https://stackoverflow.com/q/52673505", "52673505")</f>
        <v>52673505</v>
      </c>
      <c r="B1551" s="1" t="s">
        <v>4681</v>
      </c>
      <c r="C1551" s="1" t="s">
        <v>5563</v>
      </c>
      <c r="D1551" s="2" t="s">
        <v>5564</v>
      </c>
      <c r="E1551" s="1">
        <v>1.0</v>
      </c>
      <c r="I1551" s="1">
        <v>0.0</v>
      </c>
      <c r="J1551" s="1">
        <v>1293.0</v>
      </c>
      <c r="L1551" s="1">
        <v>7428196.0</v>
      </c>
      <c r="Q1551" s="1" t="s">
        <v>5563</v>
      </c>
      <c r="R1551" s="1" t="s">
        <v>5565</v>
      </c>
      <c r="S1551" s="1">
        <v>0.0</v>
      </c>
      <c r="T1551" s="1">
        <v>0.0</v>
      </c>
      <c r="X1551" s="1" t="s">
        <v>56</v>
      </c>
    </row>
    <row r="1552">
      <c r="A1552" s="3" t="str">
        <f>HYPERLINK("https://stackoverflow.com/q/52715914", "52715914")</f>
        <v>52715914</v>
      </c>
      <c r="B1552" s="1" t="s">
        <v>4681</v>
      </c>
      <c r="C1552" s="1" t="s">
        <v>5566</v>
      </c>
      <c r="D1552" s="2" t="s">
        <v>5567</v>
      </c>
      <c r="E1552" s="1">
        <v>1.0</v>
      </c>
      <c r="I1552" s="1">
        <v>1.0</v>
      </c>
      <c r="J1552" s="1">
        <v>52.0</v>
      </c>
      <c r="L1552" s="1">
        <v>9783235.0</v>
      </c>
      <c r="Q1552" s="1" t="s">
        <v>5568</v>
      </c>
      <c r="R1552" s="1" t="s">
        <v>4805</v>
      </c>
      <c r="S1552" s="1">
        <v>2.0</v>
      </c>
      <c r="T1552" s="1">
        <v>1.0</v>
      </c>
      <c r="X1552" s="1" t="s">
        <v>56</v>
      </c>
    </row>
    <row r="1553">
      <c r="A1553" s="3" t="str">
        <f>HYPERLINK("https://stackoverflow.com/q/52736363", "52736363")</f>
        <v>52736363</v>
      </c>
      <c r="B1553" s="1" t="s">
        <v>4681</v>
      </c>
      <c r="C1553" s="1" t="s">
        <v>5569</v>
      </c>
      <c r="D1553" s="2" t="s">
        <v>5570</v>
      </c>
      <c r="E1553" s="1">
        <v>1.0</v>
      </c>
      <c r="F1553" s="1">
        <v>5.292331E7</v>
      </c>
      <c r="I1553" s="1">
        <v>0.0</v>
      </c>
      <c r="J1553" s="1">
        <v>879.0</v>
      </c>
      <c r="L1553" s="1">
        <v>4670532.0</v>
      </c>
      <c r="N1553" s="1">
        <v>4670532.0</v>
      </c>
      <c r="P1553" s="1" t="s">
        <v>5571</v>
      </c>
      <c r="Q1553" s="1" t="s">
        <v>5572</v>
      </c>
      <c r="R1553" s="1" t="s">
        <v>5573</v>
      </c>
      <c r="S1553" s="1">
        <v>2.0</v>
      </c>
      <c r="T1553" s="1">
        <v>0.0</v>
      </c>
      <c r="X1553" s="1" t="s">
        <v>56</v>
      </c>
      <c r="Z1553" s="1" t="s">
        <v>5574</v>
      </c>
    </row>
    <row r="1554">
      <c r="A1554" s="3" t="str">
        <f>HYPERLINK("https://stackoverflow.com/q/52762374", "52762374")</f>
        <v>52762374</v>
      </c>
      <c r="B1554" s="1" t="s">
        <v>4681</v>
      </c>
      <c r="C1554" s="1" t="s">
        <v>5575</v>
      </c>
      <c r="D1554" s="2" t="s">
        <v>5576</v>
      </c>
      <c r="E1554" s="1">
        <v>1.0</v>
      </c>
      <c r="F1554" s="1">
        <v>5.2993349E7</v>
      </c>
      <c r="I1554" s="1">
        <v>0.0</v>
      </c>
      <c r="J1554" s="1">
        <v>2471.0</v>
      </c>
      <c r="L1554" s="1">
        <v>9320152.0</v>
      </c>
      <c r="Q1554" s="1" t="s">
        <v>5577</v>
      </c>
      <c r="R1554" s="1" t="s">
        <v>4697</v>
      </c>
      <c r="S1554" s="1">
        <v>2.0</v>
      </c>
      <c r="T1554" s="1">
        <v>1.0</v>
      </c>
      <c r="X1554" s="1" t="s">
        <v>56</v>
      </c>
      <c r="Z1554" s="1" t="s">
        <v>5577</v>
      </c>
    </row>
    <row r="1555">
      <c r="A1555" s="3" t="str">
        <f>HYPERLINK("https://stackoverflow.com/q/52772128", "52772128")</f>
        <v>52772128</v>
      </c>
      <c r="B1555" s="1" t="s">
        <v>4681</v>
      </c>
      <c r="C1555" s="1" t="s">
        <v>5578</v>
      </c>
      <c r="D1555" s="2" t="s">
        <v>5579</v>
      </c>
      <c r="E1555" s="1">
        <v>1.0</v>
      </c>
      <c r="F1555" s="1">
        <v>5.2780172E7</v>
      </c>
      <c r="I1555" s="1">
        <v>2.0</v>
      </c>
      <c r="J1555" s="1">
        <v>1242.0</v>
      </c>
      <c r="L1555" s="1">
        <v>5976033.0</v>
      </c>
      <c r="Q1555" s="1" t="s">
        <v>5580</v>
      </c>
      <c r="R1555" s="1" t="s">
        <v>5581</v>
      </c>
      <c r="S1555" s="1">
        <v>2.0</v>
      </c>
      <c r="T1555" s="1">
        <v>0.0</v>
      </c>
      <c r="X1555" s="1" t="s">
        <v>56</v>
      </c>
      <c r="Z1555" s="1" t="s">
        <v>5580</v>
      </c>
    </row>
    <row r="1556">
      <c r="A1556" s="3" t="str">
        <f>HYPERLINK("https://stackoverflow.com/q/52854298", "52854298")</f>
        <v>52854298</v>
      </c>
      <c r="B1556" s="1" t="s">
        <v>4681</v>
      </c>
      <c r="C1556" s="1" t="s">
        <v>5582</v>
      </c>
      <c r="D1556" s="2" t="s">
        <v>5583</v>
      </c>
      <c r="E1556" s="1">
        <v>1.0</v>
      </c>
      <c r="I1556" s="1">
        <v>1.0</v>
      </c>
      <c r="J1556" s="1">
        <v>53.0</v>
      </c>
      <c r="L1556" s="1">
        <v>1.0138001E7</v>
      </c>
      <c r="Q1556" s="1" t="s">
        <v>5582</v>
      </c>
      <c r="R1556" s="1" t="s">
        <v>4697</v>
      </c>
      <c r="S1556" s="1">
        <v>0.0</v>
      </c>
      <c r="T1556" s="1">
        <v>2.0</v>
      </c>
      <c r="X1556" s="1" t="s">
        <v>56</v>
      </c>
    </row>
    <row r="1557">
      <c r="A1557" s="3" t="str">
        <f>HYPERLINK("https://stackoverflow.com/q/52872674", "52872674")</f>
        <v>52872674</v>
      </c>
      <c r="B1557" s="1" t="s">
        <v>4681</v>
      </c>
      <c r="C1557" s="1" t="s">
        <v>5584</v>
      </c>
      <c r="D1557" s="2" t="s">
        <v>5585</v>
      </c>
      <c r="E1557" s="1">
        <v>1.0</v>
      </c>
      <c r="I1557" s="1">
        <v>0.0</v>
      </c>
      <c r="J1557" s="1">
        <v>381.0</v>
      </c>
      <c r="L1557" s="1">
        <v>1.0523582E7</v>
      </c>
      <c r="N1557" s="1">
        <v>4727132.0</v>
      </c>
      <c r="P1557" s="1" t="s">
        <v>5586</v>
      </c>
      <c r="Q1557" s="1" t="s">
        <v>5586</v>
      </c>
      <c r="R1557" s="1" t="s">
        <v>5587</v>
      </c>
      <c r="S1557" s="1">
        <v>0.0</v>
      </c>
      <c r="T1557" s="1">
        <v>7.0</v>
      </c>
      <c r="U1557" s="1">
        <v>1.0</v>
      </c>
      <c r="X1557" s="1" t="s">
        <v>56</v>
      </c>
    </row>
    <row r="1558">
      <c r="A1558" s="3" t="str">
        <f>HYPERLINK("https://stackoverflow.com/q/52894062", "52894062")</f>
        <v>52894062</v>
      </c>
      <c r="B1558" s="1" t="s">
        <v>4681</v>
      </c>
      <c r="C1558" s="1" t="s">
        <v>5588</v>
      </c>
      <c r="D1558" s="2" t="s">
        <v>5589</v>
      </c>
      <c r="E1558" s="1">
        <v>1.0</v>
      </c>
      <c r="F1558" s="1">
        <v>5.2896159E7</v>
      </c>
      <c r="I1558" s="1">
        <v>1.0</v>
      </c>
      <c r="J1558" s="1">
        <v>49.0</v>
      </c>
      <c r="L1558" s="1">
        <v>1.0138001E7</v>
      </c>
      <c r="Q1558" s="1" t="s">
        <v>5590</v>
      </c>
      <c r="R1558" s="1" t="s">
        <v>4697</v>
      </c>
      <c r="S1558" s="1">
        <v>1.0</v>
      </c>
      <c r="T1558" s="1">
        <v>0.0</v>
      </c>
      <c r="X1558" s="1" t="s">
        <v>56</v>
      </c>
      <c r="Z1558" s="1" t="s">
        <v>5590</v>
      </c>
    </row>
    <row r="1559">
      <c r="A1559" s="3" t="str">
        <f>HYPERLINK("https://stackoverflow.com/q/52904363", "52904363")</f>
        <v>52904363</v>
      </c>
      <c r="B1559" s="1" t="s">
        <v>4681</v>
      </c>
      <c r="C1559" s="1" t="s">
        <v>5591</v>
      </c>
      <c r="D1559" s="2" t="s">
        <v>5592</v>
      </c>
      <c r="E1559" s="1">
        <v>1.0</v>
      </c>
      <c r="I1559" s="1">
        <v>0.0</v>
      </c>
      <c r="J1559" s="1">
        <v>339.0</v>
      </c>
      <c r="L1559" s="1">
        <v>253423.0</v>
      </c>
      <c r="N1559" s="1">
        <v>7920473.0</v>
      </c>
      <c r="P1559" s="1" t="s">
        <v>5593</v>
      </c>
      <c r="Q1559" s="1" t="s">
        <v>5593</v>
      </c>
      <c r="R1559" s="1" t="s">
        <v>5594</v>
      </c>
      <c r="S1559" s="1">
        <v>2.0</v>
      </c>
      <c r="T1559" s="1">
        <v>1.0</v>
      </c>
      <c r="X1559" s="1" t="s">
        <v>56</v>
      </c>
    </row>
    <row r="1560">
      <c r="A1560" s="3" t="str">
        <f>HYPERLINK("https://stackoverflow.com/q/52954065", "52954065")</f>
        <v>52954065</v>
      </c>
      <c r="B1560" s="1" t="s">
        <v>4681</v>
      </c>
      <c r="C1560" s="1" t="s">
        <v>5595</v>
      </c>
      <c r="D1560" s="2" t="s">
        <v>5596</v>
      </c>
      <c r="E1560" s="1">
        <v>1.0</v>
      </c>
      <c r="I1560" s="1">
        <v>1.0</v>
      </c>
      <c r="J1560" s="1">
        <v>1123.0</v>
      </c>
      <c r="L1560" s="1">
        <v>1.0532864E7</v>
      </c>
      <c r="N1560" s="1">
        <v>2413201.0</v>
      </c>
      <c r="P1560" s="1" t="s">
        <v>5597</v>
      </c>
      <c r="Q1560" s="1" t="s">
        <v>5597</v>
      </c>
      <c r="R1560" s="1" t="s">
        <v>4697</v>
      </c>
      <c r="S1560" s="1">
        <v>1.0</v>
      </c>
      <c r="T1560" s="1">
        <v>0.0</v>
      </c>
      <c r="X1560" s="1" t="s">
        <v>56</v>
      </c>
    </row>
    <row r="1561">
      <c r="A1561" s="3" t="str">
        <f>HYPERLINK("https://stackoverflow.com/q/53108026", "53108026")</f>
        <v>53108026</v>
      </c>
      <c r="B1561" s="1" t="s">
        <v>4681</v>
      </c>
      <c r="C1561" s="1" t="s">
        <v>5598</v>
      </c>
      <c r="D1561" s="2" t="s">
        <v>5599</v>
      </c>
      <c r="E1561" s="1">
        <v>1.0</v>
      </c>
      <c r="I1561" s="1">
        <v>2.0</v>
      </c>
      <c r="J1561" s="1">
        <v>1355.0</v>
      </c>
      <c r="L1561" s="1">
        <v>5807262.0</v>
      </c>
      <c r="N1561" s="1">
        <v>5807262.0</v>
      </c>
      <c r="P1561" s="1" t="s">
        <v>5600</v>
      </c>
      <c r="Q1561" s="1" t="s">
        <v>5600</v>
      </c>
      <c r="R1561" s="1" t="s">
        <v>4697</v>
      </c>
      <c r="S1561" s="1">
        <v>1.0</v>
      </c>
      <c r="T1561" s="1">
        <v>0.0</v>
      </c>
      <c r="X1561" s="1" t="s">
        <v>56</v>
      </c>
    </row>
    <row r="1562">
      <c r="A1562" s="3" t="str">
        <f>HYPERLINK("https://stackoverflow.com/q/53170292", "53170292")</f>
        <v>53170292</v>
      </c>
      <c r="B1562" s="1" t="s">
        <v>4681</v>
      </c>
      <c r="C1562" s="1" t="s">
        <v>5601</v>
      </c>
      <c r="D1562" s="2" t="s">
        <v>5602</v>
      </c>
      <c r="E1562" s="1">
        <v>1.0</v>
      </c>
      <c r="F1562" s="1">
        <v>5.3170342E7</v>
      </c>
      <c r="I1562" s="1">
        <v>1.0</v>
      </c>
      <c r="J1562" s="1">
        <v>58.0</v>
      </c>
      <c r="L1562" s="1">
        <v>5310084.0</v>
      </c>
      <c r="Q1562" s="1" t="s">
        <v>5603</v>
      </c>
      <c r="R1562" s="1" t="s">
        <v>4697</v>
      </c>
      <c r="S1562" s="1">
        <v>1.0</v>
      </c>
      <c r="T1562" s="1">
        <v>0.0</v>
      </c>
      <c r="X1562" s="1" t="s">
        <v>56</v>
      </c>
      <c r="Z1562" s="1" t="s">
        <v>5603</v>
      </c>
    </row>
    <row r="1563">
      <c r="A1563" s="3" t="str">
        <f>HYPERLINK("https://stackoverflow.com/q/53175144", "53175144")</f>
        <v>53175144</v>
      </c>
      <c r="B1563" s="1" t="s">
        <v>4681</v>
      </c>
      <c r="C1563" s="1" t="s">
        <v>5604</v>
      </c>
      <c r="D1563" s="2" t="s">
        <v>5605</v>
      </c>
      <c r="E1563" s="1">
        <v>1.0</v>
      </c>
      <c r="F1563" s="1">
        <v>5.3175413E7</v>
      </c>
      <c r="I1563" s="1">
        <v>1.0</v>
      </c>
      <c r="J1563" s="1">
        <v>1098.0</v>
      </c>
      <c r="L1563" s="1">
        <v>5310084.0</v>
      </c>
      <c r="Q1563" s="1" t="s">
        <v>5606</v>
      </c>
      <c r="R1563" s="1" t="s">
        <v>4697</v>
      </c>
      <c r="S1563" s="1">
        <v>1.0</v>
      </c>
      <c r="T1563" s="1">
        <v>0.0</v>
      </c>
      <c r="X1563" s="1" t="s">
        <v>56</v>
      </c>
      <c r="Z1563" s="1" t="s">
        <v>5606</v>
      </c>
    </row>
    <row r="1564">
      <c r="A1564" s="3" t="str">
        <f>HYPERLINK("https://stackoverflow.com/q/53192185", "53192185")</f>
        <v>53192185</v>
      </c>
      <c r="B1564" s="1" t="s">
        <v>4681</v>
      </c>
      <c r="C1564" s="1" t="s">
        <v>5607</v>
      </c>
      <c r="D1564" s="2" t="s">
        <v>5608</v>
      </c>
      <c r="E1564" s="1">
        <v>1.0</v>
      </c>
      <c r="I1564" s="1">
        <v>0.0</v>
      </c>
      <c r="J1564" s="1">
        <v>67.0</v>
      </c>
      <c r="L1564" s="1">
        <v>2022241.0</v>
      </c>
      <c r="N1564" s="1">
        <v>2022241.0</v>
      </c>
      <c r="P1564" s="1" t="s">
        <v>5609</v>
      </c>
      <c r="Q1564" s="1" t="s">
        <v>5610</v>
      </c>
      <c r="R1564" s="1" t="s">
        <v>5093</v>
      </c>
      <c r="S1564" s="1">
        <v>1.0</v>
      </c>
      <c r="T1564" s="1">
        <v>0.0</v>
      </c>
      <c r="X1564" s="1" t="s">
        <v>56</v>
      </c>
    </row>
    <row r="1565">
      <c r="A1565" s="3" t="str">
        <f>HYPERLINK("https://stackoverflow.com/q/53192332", "53192332")</f>
        <v>53192332</v>
      </c>
      <c r="B1565" s="1" t="s">
        <v>4681</v>
      </c>
      <c r="C1565" s="1" t="s">
        <v>5611</v>
      </c>
      <c r="D1565" s="2" t="s">
        <v>5612</v>
      </c>
      <c r="E1565" s="1">
        <v>1.0</v>
      </c>
      <c r="I1565" s="1">
        <v>1.0</v>
      </c>
      <c r="J1565" s="1">
        <v>186.0</v>
      </c>
      <c r="L1565" s="1">
        <v>1772759.0</v>
      </c>
      <c r="Q1565" s="1" t="s">
        <v>5611</v>
      </c>
      <c r="R1565" s="1" t="s">
        <v>4805</v>
      </c>
      <c r="S1565" s="1">
        <v>0.0</v>
      </c>
      <c r="T1565" s="1">
        <v>0.0</v>
      </c>
      <c r="X1565" s="1" t="s">
        <v>56</v>
      </c>
    </row>
    <row r="1566">
      <c r="A1566" s="3" t="str">
        <f>HYPERLINK("https://stackoverflow.com/q/53197839", "53197839")</f>
        <v>53197839</v>
      </c>
      <c r="B1566" s="1" t="s">
        <v>4681</v>
      </c>
      <c r="C1566" s="1" t="s">
        <v>5613</v>
      </c>
      <c r="D1566" s="2" t="s">
        <v>5614</v>
      </c>
      <c r="E1566" s="1">
        <v>1.0</v>
      </c>
      <c r="I1566" s="1">
        <v>1.0</v>
      </c>
      <c r="J1566" s="1">
        <v>70.0</v>
      </c>
      <c r="L1566" s="1">
        <v>9715496.0</v>
      </c>
      <c r="Q1566" s="1" t="s">
        <v>5615</v>
      </c>
      <c r="R1566" s="1" t="s">
        <v>5616</v>
      </c>
      <c r="S1566" s="1">
        <v>1.0</v>
      </c>
      <c r="T1566" s="1">
        <v>0.0</v>
      </c>
      <c r="X1566" s="1" t="s">
        <v>56</v>
      </c>
    </row>
    <row r="1567">
      <c r="A1567" s="3" t="str">
        <f>HYPERLINK("https://stackoverflow.com/q/53218116", "53218116")</f>
        <v>53218116</v>
      </c>
      <c r="B1567" s="1" t="s">
        <v>4681</v>
      </c>
      <c r="C1567" s="1" t="s">
        <v>5617</v>
      </c>
      <c r="D1567" s="2" t="s">
        <v>5618</v>
      </c>
      <c r="E1567" s="1">
        <v>1.0</v>
      </c>
      <c r="I1567" s="1">
        <v>1.0</v>
      </c>
      <c r="J1567" s="1">
        <v>937.0</v>
      </c>
      <c r="L1567" s="1">
        <v>1.062651E7</v>
      </c>
      <c r="Q1567" s="1" t="s">
        <v>5617</v>
      </c>
      <c r="R1567" s="1" t="s">
        <v>4922</v>
      </c>
      <c r="S1567" s="1">
        <v>0.0</v>
      </c>
      <c r="T1567" s="1">
        <v>0.0</v>
      </c>
      <c r="X1567" s="1" t="s">
        <v>56</v>
      </c>
    </row>
    <row r="1568">
      <c r="A1568" s="3" t="str">
        <f>HYPERLINK("https://stackoverflow.com/q/53257076", "53257076")</f>
        <v>53257076</v>
      </c>
      <c r="B1568" s="1" t="s">
        <v>4681</v>
      </c>
      <c r="C1568" s="1" t="s">
        <v>5619</v>
      </c>
      <c r="D1568" s="2" t="s">
        <v>5620</v>
      </c>
      <c r="E1568" s="1">
        <v>1.0</v>
      </c>
      <c r="I1568" s="1">
        <v>0.0</v>
      </c>
      <c r="J1568" s="1">
        <v>348.0</v>
      </c>
      <c r="L1568" s="1">
        <v>1329052.0</v>
      </c>
      <c r="Q1568" s="1" t="s">
        <v>5621</v>
      </c>
      <c r="R1568" s="1" t="s">
        <v>4771</v>
      </c>
      <c r="S1568" s="1">
        <v>3.0</v>
      </c>
      <c r="T1568" s="1">
        <v>0.0</v>
      </c>
      <c r="X1568" s="1" t="s">
        <v>56</v>
      </c>
    </row>
    <row r="1569">
      <c r="A1569" s="3" t="str">
        <f>HYPERLINK("https://stackoverflow.com/q/53260499", "53260499")</f>
        <v>53260499</v>
      </c>
      <c r="B1569" s="1" t="s">
        <v>4681</v>
      </c>
      <c r="C1569" s="1" t="s">
        <v>5622</v>
      </c>
      <c r="D1569" s="2" t="s">
        <v>5623</v>
      </c>
      <c r="E1569" s="1">
        <v>1.0</v>
      </c>
      <c r="F1569" s="1">
        <v>5.32644E7</v>
      </c>
      <c r="I1569" s="1">
        <v>1.0</v>
      </c>
      <c r="J1569" s="1">
        <v>67.0</v>
      </c>
      <c r="L1569" s="1">
        <v>5310084.0</v>
      </c>
      <c r="Q1569" s="1" t="s">
        <v>5624</v>
      </c>
      <c r="R1569" s="1" t="s">
        <v>4697</v>
      </c>
      <c r="S1569" s="1">
        <v>1.0</v>
      </c>
      <c r="T1569" s="1">
        <v>0.0</v>
      </c>
      <c r="X1569" s="1" t="s">
        <v>56</v>
      </c>
      <c r="Z1569" s="1" t="s">
        <v>5624</v>
      </c>
    </row>
    <row r="1570">
      <c r="A1570" s="3" t="str">
        <f>HYPERLINK("https://stackoverflow.com/q/53262784", "53262784")</f>
        <v>53262784</v>
      </c>
      <c r="B1570" s="1" t="s">
        <v>4681</v>
      </c>
      <c r="C1570" s="1" t="s">
        <v>5625</v>
      </c>
      <c r="D1570" s="2" t="s">
        <v>5626</v>
      </c>
      <c r="E1570" s="1">
        <v>1.0</v>
      </c>
      <c r="I1570" s="1">
        <v>1.0</v>
      </c>
      <c r="J1570" s="1">
        <v>281.0</v>
      </c>
      <c r="L1570" s="1">
        <v>1.0640457E7</v>
      </c>
      <c r="N1570" s="1">
        <v>7920473.0</v>
      </c>
      <c r="P1570" s="1" t="s">
        <v>5627</v>
      </c>
      <c r="Q1570" s="1" t="s">
        <v>5627</v>
      </c>
      <c r="R1570" s="1" t="s">
        <v>5628</v>
      </c>
      <c r="S1570" s="1">
        <v>1.0</v>
      </c>
      <c r="T1570" s="1">
        <v>1.0</v>
      </c>
      <c r="X1570" s="1" t="s">
        <v>56</v>
      </c>
    </row>
    <row r="1571">
      <c r="A1571" s="3" t="str">
        <f>HYPERLINK("https://stackoverflow.com/q/53264791", "53264791")</f>
        <v>53264791</v>
      </c>
      <c r="B1571" s="1" t="s">
        <v>4681</v>
      </c>
      <c r="C1571" s="1" t="s">
        <v>5629</v>
      </c>
      <c r="D1571" s="2" t="s">
        <v>5630</v>
      </c>
      <c r="E1571" s="1">
        <v>1.0</v>
      </c>
      <c r="I1571" s="1">
        <v>0.0</v>
      </c>
      <c r="J1571" s="1">
        <v>46.0</v>
      </c>
      <c r="L1571" s="1">
        <v>1.0640457E7</v>
      </c>
      <c r="N1571" s="1">
        <v>7920473.0</v>
      </c>
      <c r="P1571" s="1" t="s">
        <v>5631</v>
      </c>
      <c r="Q1571" s="1" t="s">
        <v>5631</v>
      </c>
      <c r="R1571" s="1" t="s">
        <v>5632</v>
      </c>
      <c r="S1571" s="1">
        <v>1.0</v>
      </c>
      <c r="T1571" s="1">
        <v>1.0</v>
      </c>
      <c r="X1571" s="1" t="s">
        <v>56</v>
      </c>
    </row>
    <row r="1572">
      <c r="A1572" s="3" t="str">
        <f>HYPERLINK("https://stackoverflow.com/q/53286917", "53286917")</f>
        <v>53286917</v>
      </c>
      <c r="B1572" s="1" t="s">
        <v>4681</v>
      </c>
      <c r="C1572" s="1" t="s">
        <v>5633</v>
      </c>
      <c r="D1572" s="2" t="s">
        <v>5634</v>
      </c>
      <c r="E1572" s="1">
        <v>1.0</v>
      </c>
      <c r="I1572" s="1">
        <v>1.0</v>
      </c>
      <c r="J1572" s="1">
        <v>4174.0</v>
      </c>
      <c r="L1572" s="1">
        <v>3655752.0</v>
      </c>
      <c r="N1572" s="1">
        <v>2107722.0</v>
      </c>
      <c r="P1572" s="1" t="s">
        <v>5635</v>
      </c>
      <c r="Q1572" s="1" t="s">
        <v>5636</v>
      </c>
      <c r="R1572" s="1" t="s">
        <v>5637</v>
      </c>
      <c r="S1572" s="1">
        <v>2.0</v>
      </c>
      <c r="T1572" s="1">
        <v>0.0</v>
      </c>
      <c r="X1572" s="1" t="s">
        <v>56</v>
      </c>
    </row>
    <row r="1573">
      <c r="A1573" s="3" t="str">
        <f>HYPERLINK("https://stackoverflow.com/q/53319236", "53319236")</f>
        <v>53319236</v>
      </c>
      <c r="B1573" s="1" t="s">
        <v>4681</v>
      </c>
      <c r="C1573" s="1" t="s">
        <v>5638</v>
      </c>
      <c r="D1573" s="2" t="s">
        <v>5639</v>
      </c>
      <c r="E1573" s="1">
        <v>1.0</v>
      </c>
      <c r="I1573" s="1">
        <v>1.0</v>
      </c>
      <c r="J1573" s="1">
        <v>986.0</v>
      </c>
      <c r="L1573" s="1">
        <v>1.0365731E7</v>
      </c>
      <c r="Q1573" s="1" t="s">
        <v>5640</v>
      </c>
      <c r="R1573" s="1" t="s">
        <v>5641</v>
      </c>
      <c r="S1573" s="1">
        <v>1.0</v>
      </c>
      <c r="T1573" s="1">
        <v>0.0</v>
      </c>
      <c r="X1573" s="1" t="s">
        <v>56</v>
      </c>
    </row>
    <row r="1574">
      <c r="A1574" s="3" t="str">
        <f>HYPERLINK("https://stackoverflow.com/q/53388231", "53388231")</f>
        <v>53388231</v>
      </c>
      <c r="B1574" s="1" t="s">
        <v>4681</v>
      </c>
      <c r="C1574" s="1" t="s">
        <v>5642</v>
      </c>
      <c r="D1574" s="2" t="s">
        <v>5643</v>
      </c>
      <c r="E1574" s="1">
        <v>1.0</v>
      </c>
      <c r="I1574" s="1">
        <v>1.0</v>
      </c>
      <c r="J1574" s="1">
        <v>26.0</v>
      </c>
      <c r="L1574" s="1">
        <v>5310084.0</v>
      </c>
      <c r="Q1574" s="1" t="s">
        <v>5642</v>
      </c>
      <c r="R1574" s="1" t="s">
        <v>4697</v>
      </c>
      <c r="S1574" s="1">
        <v>0.0</v>
      </c>
      <c r="T1574" s="1">
        <v>0.0</v>
      </c>
      <c r="X1574" s="1" t="s">
        <v>56</v>
      </c>
    </row>
    <row r="1575">
      <c r="A1575" s="3" t="str">
        <f>HYPERLINK("https://stackoverflow.com/q/53410290", "53410290")</f>
        <v>53410290</v>
      </c>
      <c r="B1575" s="1" t="s">
        <v>4681</v>
      </c>
      <c r="C1575" s="1" t="s">
        <v>5644</v>
      </c>
      <c r="D1575" s="2" t="s">
        <v>5645</v>
      </c>
      <c r="E1575" s="1">
        <v>1.0</v>
      </c>
      <c r="I1575" s="1">
        <v>2.0</v>
      </c>
      <c r="J1575" s="1">
        <v>969.0</v>
      </c>
      <c r="L1575" s="1">
        <v>1949181.0</v>
      </c>
      <c r="N1575" s="1">
        <v>7920473.0</v>
      </c>
      <c r="P1575" s="1" t="s">
        <v>5646</v>
      </c>
      <c r="Q1575" s="1" t="s">
        <v>5647</v>
      </c>
      <c r="R1575" s="1" t="s">
        <v>5648</v>
      </c>
      <c r="S1575" s="1">
        <v>1.0</v>
      </c>
      <c r="T1575" s="1">
        <v>3.0</v>
      </c>
      <c r="U1575" s="1">
        <v>1.0</v>
      </c>
      <c r="X1575" s="1" t="s">
        <v>56</v>
      </c>
    </row>
    <row r="1576">
      <c r="A1576" s="3" t="str">
        <f>HYPERLINK("https://stackoverflow.com/q/53412187", "53412187")</f>
        <v>53412187</v>
      </c>
      <c r="B1576" s="1" t="s">
        <v>4681</v>
      </c>
      <c r="C1576" s="1" t="s">
        <v>5649</v>
      </c>
      <c r="D1576" s="2" t="s">
        <v>5650</v>
      </c>
      <c r="E1576" s="1">
        <v>1.0</v>
      </c>
      <c r="F1576" s="1">
        <v>5.3813742E7</v>
      </c>
      <c r="I1576" s="1">
        <v>0.0</v>
      </c>
      <c r="J1576" s="1">
        <v>36.0</v>
      </c>
      <c r="L1576" s="1">
        <v>9956156.0</v>
      </c>
      <c r="Q1576" s="1" t="s">
        <v>5651</v>
      </c>
      <c r="R1576" s="1" t="s">
        <v>5652</v>
      </c>
      <c r="S1576" s="1">
        <v>1.0</v>
      </c>
      <c r="T1576" s="1">
        <v>5.0</v>
      </c>
      <c r="X1576" s="1" t="s">
        <v>56</v>
      </c>
      <c r="Z1576" s="1" t="s">
        <v>5651</v>
      </c>
    </row>
    <row r="1577">
      <c r="A1577" s="3" t="str">
        <f>HYPERLINK("https://stackoverflow.com/q/53449627", "53449627")</f>
        <v>53449627</v>
      </c>
      <c r="B1577" s="1" t="s">
        <v>4681</v>
      </c>
      <c r="C1577" s="1" t="s">
        <v>5653</v>
      </c>
      <c r="D1577" s="2" t="s">
        <v>5654</v>
      </c>
      <c r="E1577" s="1">
        <v>1.0</v>
      </c>
      <c r="F1577" s="1">
        <v>5.345159E7</v>
      </c>
      <c r="I1577" s="1">
        <v>0.0</v>
      </c>
      <c r="J1577" s="1">
        <v>168.0</v>
      </c>
      <c r="L1577" s="1">
        <v>2119587.0</v>
      </c>
      <c r="N1577" s="1">
        <v>325697.0</v>
      </c>
      <c r="P1577" s="1" t="s">
        <v>5655</v>
      </c>
      <c r="Q1577" s="1" t="s">
        <v>5656</v>
      </c>
      <c r="R1577" s="1" t="s">
        <v>5355</v>
      </c>
      <c r="S1577" s="1">
        <v>1.0</v>
      </c>
      <c r="T1577" s="1">
        <v>7.0</v>
      </c>
      <c r="X1577" s="1" t="s">
        <v>56</v>
      </c>
      <c r="Z1577" s="1" t="s">
        <v>5656</v>
      </c>
    </row>
    <row r="1578">
      <c r="A1578" s="3" t="str">
        <f>HYPERLINK("https://stackoverflow.com/q/53506323", "53506323")</f>
        <v>53506323</v>
      </c>
      <c r="B1578" s="1" t="s">
        <v>4681</v>
      </c>
      <c r="C1578" s="1" t="s">
        <v>5657</v>
      </c>
      <c r="D1578" s="2" t="s">
        <v>5658</v>
      </c>
      <c r="E1578" s="1">
        <v>1.0</v>
      </c>
      <c r="I1578" s="1">
        <v>0.0</v>
      </c>
      <c r="J1578" s="1">
        <v>2395.0</v>
      </c>
      <c r="L1578" s="1">
        <v>1.0712838E7</v>
      </c>
      <c r="N1578" s="1">
        <v>1.0095817E7</v>
      </c>
      <c r="P1578" s="1" t="s">
        <v>5659</v>
      </c>
      <c r="Q1578" s="1" t="s">
        <v>5660</v>
      </c>
      <c r="R1578" s="1" t="s">
        <v>5661</v>
      </c>
      <c r="S1578" s="1">
        <v>1.0</v>
      </c>
      <c r="T1578" s="1">
        <v>0.0</v>
      </c>
      <c r="X1578" s="1" t="s">
        <v>56</v>
      </c>
    </row>
    <row r="1579">
      <c r="A1579" s="3" t="str">
        <f>HYPERLINK("https://stackoverflow.com/q/53518737", "53518737")</f>
        <v>53518737</v>
      </c>
      <c r="B1579" s="1" t="s">
        <v>4681</v>
      </c>
      <c r="C1579" s="1" t="s">
        <v>5662</v>
      </c>
      <c r="D1579" s="2" t="s">
        <v>5663</v>
      </c>
      <c r="E1579" s="1">
        <v>1.0</v>
      </c>
      <c r="F1579" s="1">
        <v>5.3521294E7</v>
      </c>
      <c r="I1579" s="1">
        <v>0.0</v>
      </c>
      <c r="J1579" s="1">
        <v>725.0</v>
      </c>
      <c r="L1579" s="1">
        <v>4899556.0</v>
      </c>
      <c r="N1579" s="1">
        <v>4899556.0</v>
      </c>
      <c r="P1579" s="1" t="s">
        <v>5664</v>
      </c>
      <c r="Q1579" s="1" t="s">
        <v>5665</v>
      </c>
      <c r="R1579" s="1" t="s">
        <v>5666</v>
      </c>
      <c r="S1579" s="1">
        <v>1.0</v>
      </c>
      <c r="T1579" s="1">
        <v>0.0</v>
      </c>
      <c r="X1579" s="1" t="s">
        <v>56</v>
      </c>
      <c r="Z1579" s="1" t="s">
        <v>5665</v>
      </c>
    </row>
    <row r="1580">
      <c r="A1580" s="3" t="str">
        <f>HYPERLINK("https://stackoverflow.com/q/53539159", "53539159")</f>
        <v>53539159</v>
      </c>
      <c r="B1580" s="1" t="s">
        <v>4681</v>
      </c>
      <c r="C1580" s="1" t="s">
        <v>5667</v>
      </c>
      <c r="D1580" s="2" t="s">
        <v>5668</v>
      </c>
      <c r="E1580" s="1">
        <v>1.0</v>
      </c>
      <c r="I1580" s="1">
        <v>0.0</v>
      </c>
      <c r="J1580" s="1">
        <v>229.0</v>
      </c>
      <c r="L1580" s="1">
        <v>5310084.0</v>
      </c>
      <c r="Q1580" s="1" t="s">
        <v>5669</v>
      </c>
      <c r="R1580" s="1" t="s">
        <v>5670</v>
      </c>
      <c r="S1580" s="1">
        <v>1.0</v>
      </c>
      <c r="T1580" s="1">
        <v>0.0</v>
      </c>
      <c r="X1580" s="1" t="s">
        <v>56</v>
      </c>
    </row>
    <row r="1581">
      <c r="A1581" s="3" t="str">
        <f>HYPERLINK("https://stackoverflow.com/q/53580445", "53580445")</f>
        <v>53580445</v>
      </c>
      <c r="B1581" s="1" t="s">
        <v>4681</v>
      </c>
      <c r="C1581" s="1" t="s">
        <v>5671</v>
      </c>
      <c r="D1581" s="2" t="s">
        <v>5672</v>
      </c>
      <c r="E1581" s="1">
        <v>1.0</v>
      </c>
      <c r="I1581" s="1">
        <v>1.0</v>
      </c>
      <c r="J1581" s="1">
        <v>85.0</v>
      </c>
      <c r="L1581" s="1">
        <v>1.065059E7</v>
      </c>
      <c r="Q1581" s="1" t="s">
        <v>5673</v>
      </c>
      <c r="R1581" s="1" t="s">
        <v>4880</v>
      </c>
      <c r="S1581" s="1">
        <v>1.0</v>
      </c>
      <c r="T1581" s="1">
        <v>0.0</v>
      </c>
      <c r="X1581" s="1" t="s">
        <v>56</v>
      </c>
    </row>
    <row r="1582">
      <c r="A1582" s="3" t="str">
        <f>HYPERLINK("https://stackoverflow.com/q/53586428", "53586428")</f>
        <v>53586428</v>
      </c>
      <c r="B1582" s="1" t="s">
        <v>4681</v>
      </c>
      <c r="C1582" s="1" t="s">
        <v>5674</v>
      </c>
      <c r="D1582" s="2" t="s">
        <v>5675</v>
      </c>
      <c r="E1582" s="1">
        <v>1.0</v>
      </c>
      <c r="F1582" s="1">
        <v>5.3595769E7</v>
      </c>
      <c r="I1582" s="1">
        <v>2.0</v>
      </c>
      <c r="J1582" s="1">
        <v>2192.0</v>
      </c>
      <c r="L1582" s="1">
        <v>7446363.0</v>
      </c>
      <c r="N1582" s="1">
        <v>751090.0</v>
      </c>
      <c r="P1582" s="1" t="s">
        <v>5676</v>
      </c>
      <c r="Q1582" s="1" t="s">
        <v>5677</v>
      </c>
      <c r="R1582" s="1" t="s">
        <v>5093</v>
      </c>
      <c r="S1582" s="1">
        <v>1.0</v>
      </c>
      <c r="T1582" s="1">
        <v>0.0</v>
      </c>
      <c r="X1582" s="1" t="s">
        <v>56</v>
      </c>
      <c r="Z1582" s="1" t="s">
        <v>5677</v>
      </c>
    </row>
    <row r="1583">
      <c r="A1583" s="3" t="str">
        <f>HYPERLINK("https://stackoverflow.com/q/53590054", "53590054")</f>
        <v>53590054</v>
      </c>
      <c r="B1583" s="1" t="s">
        <v>4681</v>
      </c>
      <c r="C1583" s="1" t="s">
        <v>5678</v>
      </c>
      <c r="D1583" s="2" t="s">
        <v>5679</v>
      </c>
      <c r="E1583" s="1">
        <v>1.0</v>
      </c>
      <c r="I1583" s="1">
        <v>0.0</v>
      </c>
      <c r="J1583" s="1">
        <v>53.0</v>
      </c>
      <c r="L1583" s="1">
        <v>7446363.0</v>
      </c>
      <c r="N1583" s="1">
        <v>7446363.0</v>
      </c>
      <c r="P1583" s="1" t="s">
        <v>5680</v>
      </c>
      <c r="Q1583" s="1" t="s">
        <v>5681</v>
      </c>
      <c r="R1583" s="1" t="s">
        <v>5093</v>
      </c>
      <c r="S1583" s="1">
        <v>1.0</v>
      </c>
      <c r="T1583" s="1">
        <v>1.0</v>
      </c>
      <c r="X1583" s="1" t="s">
        <v>56</v>
      </c>
    </row>
    <row r="1584">
      <c r="A1584" s="3" t="str">
        <f>HYPERLINK("https://stackoverflow.com/q/53604501", "53604501")</f>
        <v>53604501</v>
      </c>
      <c r="B1584" s="1" t="s">
        <v>4681</v>
      </c>
      <c r="C1584" s="1" t="s">
        <v>5682</v>
      </c>
      <c r="D1584" s="2" t="s">
        <v>5683</v>
      </c>
      <c r="E1584" s="1">
        <v>1.0</v>
      </c>
      <c r="I1584" s="1">
        <v>0.0</v>
      </c>
      <c r="J1584" s="1">
        <v>113.0</v>
      </c>
      <c r="L1584" s="1">
        <v>7446363.0</v>
      </c>
      <c r="Q1584" s="1" t="s">
        <v>5684</v>
      </c>
      <c r="R1584" s="1" t="s">
        <v>5093</v>
      </c>
      <c r="S1584" s="1">
        <v>1.0</v>
      </c>
      <c r="T1584" s="1">
        <v>0.0</v>
      </c>
      <c r="X1584" s="1" t="s">
        <v>56</v>
      </c>
    </row>
    <row r="1585">
      <c r="A1585" s="3" t="str">
        <f>HYPERLINK("https://stackoverflow.com/q/53606563", "53606563")</f>
        <v>53606563</v>
      </c>
      <c r="B1585" s="1" t="s">
        <v>4681</v>
      </c>
      <c r="C1585" s="1" t="s">
        <v>5685</v>
      </c>
      <c r="D1585" s="2" t="s">
        <v>5686</v>
      </c>
      <c r="E1585" s="1">
        <v>1.0</v>
      </c>
      <c r="F1585" s="1">
        <v>5.3619146E7</v>
      </c>
      <c r="I1585" s="1">
        <v>0.0</v>
      </c>
      <c r="J1585" s="1">
        <v>2484.0</v>
      </c>
      <c r="L1585" s="1">
        <v>7446363.0</v>
      </c>
      <c r="N1585" s="1">
        <v>7446363.0</v>
      </c>
      <c r="P1585" s="1" t="s">
        <v>5687</v>
      </c>
      <c r="Q1585" s="1" t="s">
        <v>5687</v>
      </c>
      <c r="R1585" s="1" t="s">
        <v>5093</v>
      </c>
      <c r="S1585" s="1">
        <v>1.0</v>
      </c>
      <c r="T1585" s="1">
        <v>0.0</v>
      </c>
      <c r="X1585" s="1" t="s">
        <v>56</v>
      </c>
      <c r="Z1585" s="1" t="s">
        <v>5688</v>
      </c>
    </row>
    <row r="1586">
      <c r="A1586" s="3" t="str">
        <f>HYPERLINK("https://stackoverflow.com/q/53644174", "53644174")</f>
        <v>53644174</v>
      </c>
      <c r="B1586" s="1" t="s">
        <v>4681</v>
      </c>
      <c r="C1586" s="1" t="s">
        <v>5689</v>
      </c>
      <c r="D1586" s="2" t="s">
        <v>5690</v>
      </c>
      <c r="E1586" s="1">
        <v>1.0</v>
      </c>
      <c r="F1586" s="1">
        <v>5.3644282E7</v>
      </c>
      <c r="I1586" s="1">
        <v>0.0</v>
      </c>
      <c r="J1586" s="1">
        <v>110.0</v>
      </c>
      <c r="L1586" s="1">
        <v>7446363.0</v>
      </c>
      <c r="Q1586" s="1" t="s">
        <v>5691</v>
      </c>
      <c r="R1586" s="1" t="s">
        <v>5093</v>
      </c>
      <c r="S1586" s="1">
        <v>1.0</v>
      </c>
      <c r="T1586" s="1">
        <v>0.0</v>
      </c>
      <c r="X1586" s="1" t="s">
        <v>56</v>
      </c>
      <c r="Z1586" s="1" t="s">
        <v>5691</v>
      </c>
    </row>
    <row r="1587">
      <c r="A1587" s="3" t="str">
        <f>HYPERLINK("https://stackoverflow.com/q/53648077", "53648077")</f>
        <v>53648077</v>
      </c>
      <c r="B1587" s="1" t="s">
        <v>4681</v>
      </c>
      <c r="C1587" s="1" t="s">
        <v>5692</v>
      </c>
      <c r="D1587" s="2" t="s">
        <v>5693</v>
      </c>
      <c r="E1587" s="1">
        <v>1.0</v>
      </c>
      <c r="I1587" s="1">
        <v>0.0</v>
      </c>
      <c r="J1587" s="1">
        <v>552.0</v>
      </c>
      <c r="L1587" s="1">
        <v>7446363.0</v>
      </c>
      <c r="Q1587" s="1" t="s">
        <v>5694</v>
      </c>
      <c r="R1587" s="1" t="s">
        <v>5695</v>
      </c>
      <c r="S1587" s="1">
        <v>1.0</v>
      </c>
      <c r="T1587" s="1">
        <v>0.0</v>
      </c>
      <c r="X1587" s="1" t="s">
        <v>56</v>
      </c>
    </row>
    <row r="1588">
      <c r="A1588" s="3" t="str">
        <f>HYPERLINK("https://stackoverflow.com/q/53649899", "53649899")</f>
        <v>53649899</v>
      </c>
      <c r="B1588" s="1" t="s">
        <v>4681</v>
      </c>
      <c r="C1588" s="1" t="s">
        <v>5696</v>
      </c>
      <c r="D1588" s="2" t="s">
        <v>5697</v>
      </c>
      <c r="E1588" s="1">
        <v>1.0</v>
      </c>
      <c r="F1588" s="1">
        <v>5.3662139E7</v>
      </c>
      <c r="I1588" s="1">
        <v>1.0</v>
      </c>
      <c r="J1588" s="1">
        <v>1126.0</v>
      </c>
      <c r="L1588" s="1">
        <v>2107722.0</v>
      </c>
      <c r="Q1588" s="1" t="s">
        <v>5698</v>
      </c>
      <c r="R1588" s="1" t="s">
        <v>5699</v>
      </c>
      <c r="S1588" s="1">
        <v>1.0</v>
      </c>
      <c r="T1588" s="1">
        <v>0.0</v>
      </c>
      <c r="U1588" s="1">
        <v>1.0</v>
      </c>
      <c r="X1588" s="1" t="s">
        <v>56</v>
      </c>
      <c r="Z1588" s="1" t="s">
        <v>5698</v>
      </c>
    </row>
    <row r="1589">
      <c r="A1589" s="3" t="str">
        <f>HYPERLINK("https://stackoverflow.com/q/53666484", "53666484")</f>
        <v>53666484</v>
      </c>
      <c r="B1589" s="1" t="s">
        <v>4681</v>
      </c>
      <c r="C1589" s="1" t="s">
        <v>5700</v>
      </c>
      <c r="D1589" s="2" t="s">
        <v>5701</v>
      </c>
      <c r="E1589" s="1">
        <v>1.0</v>
      </c>
      <c r="I1589" s="1">
        <v>0.0</v>
      </c>
      <c r="J1589" s="1">
        <v>554.0</v>
      </c>
      <c r="L1589" s="1">
        <v>7446363.0</v>
      </c>
      <c r="Q1589" s="1" t="s">
        <v>5702</v>
      </c>
      <c r="R1589" s="1" t="s">
        <v>5695</v>
      </c>
      <c r="S1589" s="1">
        <v>1.0</v>
      </c>
      <c r="T1589" s="1">
        <v>0.0</v>
      </c>
      <c r="X1589" s="1" t="s">
        <v>56</v>
      </c>
    </row>
    <row r="1590">
      <c r="A1590" s="3" t="str">
        <f>HYPERLINK("https://stackoverflow.com/q/53670395", "53670395")</f>
        <v>53670395</v>
      </c>
      <c r="B1590" s="1" t="s">
        <v>4681</v>
      </c>
      <c r="C1590" s="1" t="s">
        <v>5703</v>
      </c>
      <c r="D1590" s="2" t="s">
        <v>5704</v>
      </c>
      <c r="E1590" s="1">
        <v>1.0</v>
      </c>
      <c r="I1590" s="1">
        <v>0.0</v>
      </c>
      <c r="J1590" s="1">
        <v>82.0</v>
      </c>
      <c r="L1590" s="1">
        <v>1.0759882E7</v>
      </c>
      <c r="N1590" s="1">
        <v>751090.0</v>
      </c>
      <c r="P1590" s="1" t="s">
        <v>5705</v>
      </c>
      <c r="Q1590" s="1" t="s">
        <v>5706</v>
      </c>
      <c r="R1590" s="1" t="s">
        <v>5093</v>
      </c>
      <c r="S1590" s="1">
        <v>1.0</v>
      </c>
      <c r="T1590" s="1">
        <v>2.0</v>
      </c>
      <c r="X1590" s="1" t="s">
        <v>56</v>
      </c>
    </row>
    <row r="1591">
      <c r="A1591" s="3" t="str">
        <f>HYPERLINK("https://stackoverflow.com/q/53690242", "53690242")</f>
        <v>53690242</v>
      </c>
      <c r="B1591" s="1" t="s">
        <v>4681</v>
      </c>
      <c r="C1591" s="1" t="s">
        <v>5707</v>
      </c>
      <c r="D1591" s="2" t="s">
        <v>5708</v>
      </c>
      <c r="E1591" s="1">
        <v>1.0</v>
      </c>
      <c r="I1591" s="1">
        <v>0.0</v>
      </c>
      <c r="J1591" s="1">
        <v>82.0</v>
      </c>
      <c r="L1591" s="1">
        <v>3836317.0</v>
      </c>
      <c r="N1591" s="1">
        <v>472495.0</v>
      </c>
      <c r="P1591" s="1" t="s">
        <v>5709</v>
      </c>
      <c r="Q1591" s="1" t="s">
        <v>5710</v>
      </c>
      <c r="R1591" s="1" t="s">
        <v>5711</v>
      </c>
      <c r="S1591" s="1">
        <v>3.0</v>
      </c>
      <c r="T1591" s="1">
        <v>0.0</v>
      </c>
      <c r="X1591" s="1" t="s">
        <v>56</v>
      </c>
    </row>
    <row r="1592">
      <c r="A1592" s="3" t="str">
        <f>HYPERLINK("https://stackoverflow.com/q/53698558", "53698558")</f>
        <v>53698558</v>
      </c>
      <c r="B1592" s="1" t="s">
        <v>4681</v>
      </c>
      <c r="C1592" s="1" t="s">
        <v>5712</v>
      </c>
      <c r="D1592" s="2" t="s">
        <v>5713</v>
      </c>
      <c r="E1592" s="1">
        <v>1.0</v>
      </c>
      <c r="I1592" s="1">
        <v>0.0</v>
      </c>
      <c r="J1592" s="1">
        <v>23.0</v>
      </c>
      <c r="L1592" s="1">
        <v>7446363.0</v>
      </c>
      <c r="Q1592" s="1" t="s">
        <v>5714</v>
      </c>
      <c r="R1592" s="1" t="s">
        <v>5093</v>
      </c>
      <c r="S1592" s="1">
        <v>1.0</v>
      </c>
      <c r="T1592" s="1">
        <v>0.0</v>
      </c>
      <c r="X1592" s="1" t="s">
        <v>56</v>
      </c>
    </row>
    <row r="1593">
      <c r="A1593" s="3" t="str">
        <f>HYPERLINK("https://stackoverflow.com/q/53701218", "53701218")</f>
        <v>53701218</v>
      </c>
      <c r="B1593" s="1" t="s">
        <v>4681</v>
      </c>
      <c r="C1593" s="1" t="s">
        <v>5715</v>
      </c>
      <c r="D1593" s="2" t="s">
        <v>5716</v>
      </c>
      <c r="E1593" s="1">
        <v>1.0</v>
      </c>
      <c r="I1593" s="1">
        <v>0.0</v>
      </c>
      <c r="J1593" s="1">
        <v>398.0</v>
      </c>
      <c r="L1593" s="1">
        <v>2049353.0</v>
      </c>
      <c r="Q1593" s="1" t="s">
        <v>5717</v>
      </c>
      <c r="R1593" s="1" t="s">
        <v>5718</v>
      </c>
      <c r="S1593" s="1">
        <v>1.0</v>
      </c>
      <c r="T1593" s="1">
        <v>1.0</v>
      </c>
      <c r="X1593" s="1" t="s">
        <v>56</v>
      </c>
    </row>
    <row r="1594">
      <c r="A1594" s="3" t="str">
        <f>HYPERLINK("https://stackoverflow.com/q/53702258", "53702258")</f>
        <v>53702258</v>
      </c>
      <c r="B1594" s="1" t="s">
        <v>4681</v>
      </c>
      <c r="C1594" s="1" t="s">
        <v>5719</v>
      </c>
      <c r="D1594" s="2" t="s">
        <v>5720</v>
      </c>
      <c r="E1594" s="1">
        <v>1.0</v>
      </c>
      <c r="I1594" s="1">
        <v>0.0</v>
      </c>
      <c r="J1594" s="1">
        <v>120.0</v>
      </c>
      <c r="L1594" s="1">
        <v>1321167.0</v>
      </c>
      <c r="Q1594" s="1" t="s">
        <v>5721</v>
      </c>
      <c r="R1594" s="1" t="s">
        <v>5135</v>
      </c>
      <c r="S1594" s="1">
        <v>1.0</v>
      </c>
      <c r="T1594" s="1">
        <v>0.0</v>
      </c>
      <c r="X1594" s="1" t="s">
        <v>56</v>
      </c>
    </row>
    <row r="1595">
      <c r="A1595" s="3" t="str">
        <f>HYPERLINK("https://stackoverflow.com/q/53708352", "53708352")</f>
        <v>53708352</v>
      </c>
      <c r="B1595" s="1" t="s">
        <v>4681</v>
      </c>
      <c r="C1595" s="1" t="s">
        <v>5722</v>
      </c>
      <c r="D1595" s="2" t="s">
        <v>5723</v>
      </c>
      <c r="E1595" s="1">
        <v>1.0</v>
      </c>
      <c r="I1595" s="1">
        <v>0.0</v>
      </c>
      <c r="J1595" s="1">
        <v>41.0</v>
      </c>
      <c r="L1595" s="1">
        <v>7446363.0</v>
      </c>
      <c r="Q1595" s="1" t="s">
        <v>5724</v>
      </c>
      <c r="R1595" s="1" t="s">
        <v>5093</v>
      </c>
      <c r="S1595" s="1">
        <v>1.0</v>
      </c>
      <c r="T1595" s="1">
        <v>0.0</v>
      </c>
      <c r="X1595" s="1" t="s">
        <v>56</v>
      </c>
    </row>
    <row r="1596">
      <c r="A1596" s="3" t="str">
        <f>HYPERLINK("https://stackoverflow.com/q/53728623", "53728623")</f>
        <v>53728623</v>
      </c>
      <c r="B1596" s="1" t="s">
        <v>4681</v>
      </c>
      <c r="C1596" s="1" t="s">
        <v>5725</v>
      </c>
      <c r="D1596" s="2" t="s">
        <v>5726</v>
      </c>
      <c r="E1596" s="1">
        <v>1.0</v>
      </c>
      <c r="I1596" s="1">
        <v>1.0</v>
      </c>
      <c r="J1596" s="1">
        <v>354.0</v>
      </c>
      <c r="L1596" s="1">
        <v>3692414.0</v>
      </c>
      <c r="Q1596" s="1" t="s">
        <v>5725</v>
      </c>
      <c r="R1596" s="1" t="s">
        <v>5031</v>
      </c>
      <c r="S1596" s="1">
        <v>0.0</v>
      </c>
      <c r="T1596" s="1">
        <v>2.0</v>
      </c>
      <c r="X1596" s="1" t="s">
        <v>56</v>
      </c>
    </row>
    <row r="1597">
      <c r="A1597" s="3" t="str">
        <f>HYPERLINK("https://stackoverflow.com/q/53729079", "53729079")</f>
        <v>53729079</v>
      </c>
      <c r="B1597" s="1" t="s">
        <v>4681</v>
      </c>
      <c r="C1597" s="1" t="s">
        <v>5727</v>
      </c>
      <c r="D1597" s="2" t="s">
        <v>5728</v>
      </c>
      <c r="E1597" s="1">
        <v>1.0</v>
      </c>
      <c r="I1597" s="1">
        <v>1.0</v>
      </c>
      <c r="J1597" s="1">
        <v>92.0</v>
      </c>
      <c r="L1597" s="1">
        <v>7076477.0</v>
      </c>
      <c r="Q1597" s="1" t="s">
        <v>5729</v>
      </c>
      <c r="R1597" s="1" t="s">
        <v>5730</v>
      </c>
      <c r="S1597" s="1">
        <v>1.0</v>
      </c>
      <c r="T1597" s="1">
        <v>0.0</v>
      </c>
      <c r="U1597" s="1">
        <v>1.0</v>
      </c>
      <c r="X1597" s="1" t="s">
        <v>56</v>
      </c>
    </row>
    <row r="1598">
      <c r="A1598" s="3" t="str">
        <f>HYPERLINK("https://stackoverflow.com/q/53734879", "53734879")</f>
        <v>53734879</v>
      </c>
      <c r="B1598" s="1" t="s">
        <v>4681</v>
      </c>
      <c r="C1598" s="1" t="s">
        <v>5731</v>
      </c>
      <c r="D1598" s="2" t="s">
        <v>5732</v>
      </c>
      <c r="E1598" s="1">
        <v>1.0</v>
      </c>
      <c r="I1598" s="1">
        <v>0.0</v>
      </c>
      <c r="J1598" s="1">
        <v>46.0</v>
      </c>
      <c r="L1598" s="1">
        <v>7446363.0</v>
      </c>
      <c r="N1598" s="1">
        <v>751090.0</v>
      </c>
      <c r="P1598" s="1" t="s">
        <v>5733</v>
      </c>
      <c r="Q1598" s="1" t="s">
        <v>5734</v>
      </c>
      <c r="R1598" s="1" t="s">
        <v>5093</v>
      </c>
      <c r="S1598" s="1">
        <v>1.0</v>
      </c>
      <c r="T1598" s="1">
        <v>2.0</v>
      </c>
      <c r="X1598" s="1" t="s">
        <v>56</v>
      </c>
    </row>
    <row r="1599">
      <c r="A1599" s="3" t="str">
        <f>HYPERLINK("https://stackoverflow.com/q/53737720", "53737720")</f>
        <v>53737720</v>
      </c>
      <c r="B1599" s="1" t="s">
        <v>4681</v>
      </c>
      <c r="C1599" s="1" t="s">
        <v>5735</v>
      </c>
      <c r="D1599" s="2" t="s">
        <v>5736</v>
      </c>
      <c r="E1599" s="1">
        <v>1.0</v>
      </c>
      <c r="I1599" s="1">
        <v>1.0</v>
      </c>
      <c r="J1599" s="1">
        <v>2202.0</v>
      </c>
      <c r="L1599" s="1">
        <v>1.0769335E7</v>
      </c>
      <c r="N1599" s="1">
        <v>751090.0</v>
      </c>
      <c r="P1599" s="1" t="s">
        <v>5737</v>
      </c>
      <c r="Q1599" s="1" t="s">
        <v>5738</v>
      </c>
      <c r="R1599" s="1" t="s">
        <v>5739</v>
      </c>
      <c r="S1599" s="1">
        <v>2.0</v>
      </c>
      <c r="T1599" s="1">
        <v>0.0</v>
      </c>
      <c r="X1599" s="1" t="s">
        <v>56</v>
      </c>
    </row>
    <row r="1600">
      <c r="A1600" s="3" t="str">
        <f>HYPERLINK("https://stackoverflow.com/q/53739089", "53739089")</f>
        <v>53739089</v>
      </c>
      <c r="B1600" s="1" t="s">
        <v>4681</v>
      </c>
      <c r="C1600" s="1" t="s">
        <v>5740</v>
      </c>
      <c r="D1600" s="2" t="s">
        <v>5741</v>
      </c>
      <c r="E1600" s="1">
        <v>1.0</v>
      </c>
      <c r="F1600" s="1">
        <v>5.3754036E7</v>
      </c>
      <c r="I1600" s="1">
        <v>0.0</v>
      </c>
      <c r="J1600" s="1">
        <v>43.0</v>
      </c>
      <c r="L1600" s="1">
        <v>7915175.0</v>
      </c>
      <c r="Q1600" s="1" t="s">
        <v>5742</v>
      </c>
      <c r="R1600" s="1" t="s">
        <v>4836</v>
      </c>
      <c r="S1600" s="1">
        <v>1.0</v>
      </c>
      <c r="T1600" s="1">
        <v>0.0</v>
      </c>
      <c r="X1600" s="1" t="s">
        <v>56</v>
      </c>
      <c r="Z1600" s="1" t="s">
        <v>5742</v>
      </c>
    </row>
    <row r="1601">
      <c r="A1601" s="3" t="str">
        <f>HYPERLINK("https://stackoverflow.com/q/53750539", "53750539")</f>
        <v>53750539</v>
      </c>
      <c r="B1601" s="1" t="s">
        <v>4681</v>
      </c>
      <c r="C1601" s="1" t="s">
        <v>5743</v>
      </c>
      <c r="D1601" s="2" t="s">
        <v>5744</v>
      </c>
      <c r="E1601" s="1">
        <v>1.0</v>
      </c>
      <c r="I1601" s="1">
        <v>0.0</v>
      </c>
      <c r="J1601" s="1">
        <v>3360.0</v>
      </c>
      <c r="L1601" s="1">
        <v>1.0261101E7</v>
      </c>
      <c r="Q1601" s="1" t="s">
        <v>5745</v>
      </c>
      <c r="R1601" s="1" t="s">
        <v>4988</v>
      </c>
      <c r="S1601" s="1">
        <v>1.0</v>
      </c>
      <c r="T1601" s="1">
        <v>0.0</v>
      </c>
      <c r="X1601" s="1" t="s">
        <v>56</v>
      </c>
    </row>
    <row r="1602">
      <c r="A1602" s="3" t="str">
        <f>HYPERLINK("https://stackoverflow.com/q/53763970", "53763970")</f>
        <v>53763970</v>
      </c>
      <c r="B1602" s="1" t="s">
        <v>4681</v>
      </c>
      <c r="C1602" s="1" t="s">
        <v>5746</v>
      </c>
      <c r="D1602" s="2" t="s">
        <v>5747</v>
      </c>
      <c r="E1602" s="1">
        <v>1.0</v>
      </c>
      <c r="I1602" s="1">
        <v>0.0</v>
      </c>
      <c r="J1602" s="1">
        <v>363.0</v>
      </c>
      <c r="L1602" s="1">
        <v>1.0739106E7</v>
      </c>
      <c r="Q1602" s="1" t="s">
        <v>5748</v>
      </c>
      <c r="R1602" s="1" t="s">
        <v>5749</v>
      </c>
      <c r="S1602" s="1">
        <v>1.0</v>
      </c>
      <c r="T1602" s="1">
        <v>0.0</v>
      </c>
      <c r="X1602" s="1" t="s">
        <v>56</v>
      </c>
    </row>
    <row r="1603">
      <c r="A1603" s="3" t="str">
        <f>HYPERLINK("https://stackoverflow.com/q/53784092", "53784092")</f>
        <v>53784092</v>
      </c>
      <c r="B1603" s="1" t="s">
        <v>4681</v>
      </c>
      <c r="C1603" s="1" t="s">
        <v>5750</v>
      </c>
      <c r="D1603" s="2" t="s">
        <v>5751</v>
      </c>
      <c r="E1603" s="1">
        <v>1.0</v>
      </c>
      <c r="I1603" s="1">
        <v>1.0</v>
      </c>
      <c r="J1603" s="1">
        <v>74.0</v>
      </c>
      <c r="L1603" s="1">
        <v>5310084.0</v>
      </c>
      <c r="Q1603" s="1" t="s">
        <v>5750</v>
      </c>
      <c r="R1603" s="1" t="s">
        <v>5670</v>
      </c>
      <c r="S1603" s="1">
        <v>0.0</v>
      </c>
      <c r="T1603" s="1">
        <v>0.0</v>
      </c>
      <c r="X1603" s="1" t="s">
        <v>56</v>
      </c>
    </row>
    <row r="1604">
      <c r="A1604" s="3" t="str">
        <f>HYPERLINK("https://stackoverflow.com/q/53843335", "53843335")</f>
        <v>53843335</v>
      </c>
      <c r="B1604" s="1" t="s">
        <v>4681</v>
      </c>
      <c r="C1604" s="1" t="s">
        <v>5752</v>
      </c>
      <c r="D1604" s="2" t="s">
        <v>5753</v>
      </c>
      <c r="E1604" s="1">
        <v>1.0</v>
      </c>
      <c r="I1604" s="1">
        <v>1.0</v>
      </c>
      <c r="J1604" s="1">
        <v>119.0</v>
      </c>
      <c r="L1604" s="1">
        <v>1.0124147E7</v>
      </c>
      <c r="N1604" s="1">
        <v>9473764.0</v>
      </c>
      <c r="P1604" s="1" t="s">
        <v>5754</v>
      </c>
      <c r="Q1604" s="1" t="s">
        <v>5754</v>
      </c>
      <c r="R1604" s="1" t="s">
        <v>5755</v>
      </c>
      <c r="S1604" s="1">
        <v>0.0</v>
      </c>
      <c r="T1604" s="1">
        <v>0.0</v>
      </c>
      <c r="X1604" s="1" t="s">
        <v>56</v>
      </c>
    </row>
    <row r="1605">
      <c r="A1605" s="3" t="str">
        <f>HYPERLINK("https://stackoverflow.com/q/53843585", "53843585")</f>
        <v>53843585</v>
      </c>
      <c r="B1605" s="1" t="s">
        <v>4681</v>
      </c>
      <c r="C1605" s="1" t="s">
        <v>5756</v>
      </c>
      <c r="D1605" s="2" t="s">
        <v>5757</v>
      </c>
      <c r="E1605" s="1">
        <v>1.0</v>
      </c>
      <c r="I1605" s="1">
        <v>0.0</v>
      </c>
      <c r="J1605" s="1">
        <v>1639.0</v>
      </c>
      <c r="L1605" s="1">
        <v>7446363.0</v>
      </c>
      <c r="Q1605" s="1" t="s">
        <v>5758</v>
      </c>
      <c r="R1605" s="1" t="s">
        <v>5759</v>
      </c>
      <c r="S1605" s="1">
        <v>1.0</v>
      </c>
      <c r="T1605" s="1">
        <v>0.0</v>
      </c>
      <c r="X1605" s="1" t="s">
        <v>56</v>
      </c>
    </row>
    <row r="1606">
      <c r="A1606" s="3" t="str">
        <f>HYPERLINK("https://stackoverflow.com/q/53887719", "53887719")</f>
        <v>53887719</v>
      </c>
      <c r="B1606" s="1" t="s">
        <v>4681</v>
      </c>
      <c r="C1606" s="1" t="s">
        <v>5760</v>
      </c>
      <c r="D1606" s="2" t="s">
        <v>5761</v>
      </c>
      <c r="E1606" s="1">
        <v>1.0</v>
      </c>
      <c r="I1606" s="1">
        <v>0.0</v>
      </c>
      <c r="J1606" s="1">
        <v>102.0</v>
      </c>
      <c r="L1606" s="1">
        <v>4807469.0</v>
      </c>
      <c r="N1606" s="1">
        <v>4807469.0</v>
      </c>
      <c r="P1606" s="1" t="s">
        <v>5762</v>
      </c>
      <c r="Q1606" s="1" t="s">
        <v>5763</v>
      </c>
      <c r="R1606" s="1" t="s">
        <v>5764</v>
      </c>
      <c r="S1606" s="1">
        <v>1.0</v>
      </c>
      <c r="T1606" s="1">
        <v>0.0</v>
      </c>
      <c r="X1606" s="1" t="s">
        <v>56</v>
      </c>
    </row>
    <row r="1607">
      <c r="A1607" s="3" t="str">
        <f>HYPERLINK("https://stackoverflow.com/q/53970869", "53970869")</f>
        <v>53970869</v>
      </c>
      <c r="B1607" s="1" t="s">
        <v>4681</v>
      </c>
      <c r="C1607" s="1" t="s">
        <v>5765</v>
      </c>
      <c r="D1607" s="2" t="s">
        <v>5766</v>
      </c>
      <c r="E1607" s="1">
        <v>1.0</v>
      </c>
      <c r="I1607" s="1">
        <v>0.0</v>
      </c>
      <c r="J1607" s="1">
        <v>892.0</v>
      </c>
      <c r="L1607" s="1">
        <v>902012.0</v>
      </c>
      <c r="Q1607" s="1" t="s">
        <v>5767</v>
      </c>
      <c r="R1607" s="1" t="s">
        <v>4697</v>
      </c>
      <c r="S1607" s="1">
        <v>2.0</v>
      </c>
      <c r="T1607" s="1">
        <v>1.0</v>
      </c>
      <c r="X1607" s="1" t="s">
        <v>56</v>
      </c>
    </row>
    <row r="1608">
      <c r="A1608" s="3" t="str">
        <f>HYPERLINK("https://stackoverflow.com/q/54066925", "54066925")</f>
        <v>54066925</v>
      </c>
      <c r="B1608" s="1" t="s">
        <v>4681</v>
      </c>
      <c r="C1608" s="1" t="s">
        <v>5768</v>
      </c>
      <c r="D1608" s="2" t="s">
        <v>5769</v>
      </c>
      <c r="E1608" s="1">
        <v>1.0</v>
      </c>
      <c r="I1608" s="1">
        <v>0.0</v>
      </c>
      <c r="J1608" s="1">
        <v>989.0</v>
      </c>
      <c r="L1608" s="1">
        <v>9655606.0</v>
      </c>
      <c r="Q1608" s="1" t="s">
        <v>5770</v>
      </c>
      <c r="R1608" s="1" t="s">
        <v>5771</v>
      </c>
      <c r="S1608" s="1">
        <v>0.0</v>
      </c>
      <c r="T1608" s="1">
        <v>0.0</v>
      </c>
      <c r="X1608" s="1" t="s">
        <v>56</v>
      </c>
    </row>
    <row r="1609">
      <c r="A1609" s="3" t="str">
        <f>HYPERLINK("https://stackoverflow.com/q/54069553", "54069553")</f>
        <v>54069553</v>
      </c>
      <c r="B1609" s="1" t="s">
        <v>4681</v>
      </c>
      <c r="C1609" s="1" t="s">
        <v>5772</v>
      </c>
      <c r="D1609" s="2" t="s">
        <v>5773</v>
      </c>
      <c r="E1609" s="1">
        <v>1.0</v>
      </c>
      <c r="I1609" s="1">
        <v>0.0</v>
      </c>
      <c r="J1609" s="1">
        <v>60.0</v>
      </c>
      <c r="L1609" s="1">
        <v>982646.0</v>
      </c>
      <c r="N1609" s="1">
        <v>982646.0</v>
      </c>
      <c r="P1609" s="1" t="s">
        <v>5774</v>
      </c>
      <c r="Q1609" s="1" t="s">
        <v>5774</v>
      </c>
      <c r="R1609" s="1" t="s">
        <v>4697</v>
      </c>
      <c r="S1609" s="1">
        <v>0.0</v>
      </c>
      <c r="T1609" s="1">
        <v>2.0</v>
      </c>
      <c r="X1609" s="1" t="s">
        <v>56</v>
      </c>
    </row>
    <row r="1610">
      <c r="A1610" s="3" t="str">
        <f>HYPERLINK("https://stackoverflow.com/q/54105367", "54105367")</f>
        <v>54105367</v>
      </c>
      <c r="B1610" s="1" t="s">
        <v>4681</v>
      </c>
      <c r="C1610" s="1" t="s">
        <v>5775</v>
      </c>
      <c r="D1610" s="2" t="s">
        <v>5776</v>
      </c>
      <c r="E1610" s="1">
        <v>1.0</v>
      </c>
      <c r="F1610" s="1">
        <v>5.4118323E7</v>
      </c>
      <c r="I1610" s="1">
        <v>0.0</v>
      </c>
      <c r="J1610" s="1">
        <v>821.0</v>
      </c>
      <c r="L1610" s="1">
        <v>6735935.0</v>
      </c>
      <c r="N1610" s="1">
        <v>13302.0</v>
      </c>
      <c r="P1610" s="1" t="s">
        <v>5777</v>
      </c>
      <c r="Q1610" s="1" t="s">
        <v>5777</v>
      </c>
      <c r="R1610" s="1" t="s">
        <v>5778</v>
      </c>
      <c r="S1610" s="1">
        <v>1.0</v>
      </c>
      <c r="T1610" s="1">
        <v>0.0</v>
      </c>
      <c r="X1610" s="1" t="s">
        <v>56</v>
      </c>
      <c r="Z1610" s="1" t="s">
        <v>5779</v>
      </c>
    </row>
    <row r="1611">
      <c r="A1611" s="3" t="str">
        <f>HYPERLINK("https://stackoverflow.com/q/54143408", "54143408")</f>
        <v>54143408</v>
      </c>
      <c r="B1611" s="1" t="s">
        <v>4681</v>
      </c>
      <c r="C1611" s="1" t="s">
        <v>5780</v>
      </c>
      <c r="D1611" s="2" t="s">
        <v>5781</v>
      </c>
      <c r="E1611" s="1">
        <v>1.0</v>
      </c>
      <c r="I1611" s="1">
        <v>0.0</v>
      </c>
      <c r="J1611" s="1">
        <v>1659.0</v>
      </c>
      <c r="L1611" s="1">
        <v>6468519.0</v>
      </c>
      <c r="N1611" s="1">
        <v>6468519.0</v>
      </c>
      <c r="P1611" s="1" t="s">
        <v>5782</v>
      </c>
      <c r="Q1611" s="1" t="s">
        <v>5783</v>
      </c>
      <c r="R1611" s="1" t="s">
        <v>5784</v>
      </c>
      <c r="S1611" s="1">
        <v>1.0</v>
      </c>
      <c r="T1611" s="1">
        <v>1.0</v>
      </c>
      <c r="X1611" s="1" t="s">
        <v>56</v>
      </c>
    </row>
    <row r="1612">
      <c r="A1612" s="3" t="str">
        <f>HYPERLINK("https://stackoverflow.com/q/54174575", "54174575")</f>
        <v>54174575</v>
      </c>
      <c r="B1612" s="1" t="s">
        <v>4681</v>
      </c>
      <c r="C1612" s="1" t="s">
        <v>5785</v>
      </c>
      <c r="D1612" s="2" t="s">
        <v>5786</v>
      </c>
      <c r="E1612" s="1">
        <v>1.0</v>
      </c>
      <c r="I1612" s="1">
        <v>1.0</v>
      </c>
      <c r="J1612" s="1">
        <v>399.0</v>
      </c>
      <c r="L1612" s="1">
        <v>6776436.0</v>
      </c>
      <c r="Q1612" s="1" t="s">
        <v>5785</v>
      </c>
      <c r="R1612" s="1" t="s">
        <v>5711</v>
      </c>
      <c r="S1612" s="1">
        <v>0.0</v>
      </c>
      <c r="T1612" s="1">
        <v>0.0</v>
      </c>
      <c r="X1612" s="1" t="s">
        <v>56</v>
      </c>
    </row>
    <row r="1613">
      <c r="A1613" s="3" t="str">
        <f>HYPERLINK("https://stackoverflow.com/q/54175015", "54175015")</f>
        <v>54175015</v>
      </c>
      <c r="B1613" s="1" t="s">
        <v>4681</v>
      </c>
      <c r="C1613" s="1" t="s">
        <v>5787</v>
      </c>
      <c r="D1613" s="2" t="s">
        <v>5788</v>
      </c>
      <c r="E1613" s="1">
        <v>1.0</v>
      </c>
      <c r="F1613" s="1">
        <v>5.423319E7</v>
      </c>
      <c r="I1613" s="1">
        <v>0.0</v>
      </c>
      <c r="J1613" s="1">
        <v>509.0</v>
      </c>
      <c r="L1613" s="1">
        <v>7446363.0</v>
      </c>
      <c r="Q1613" s="1" t="s">
        <v>5789</v>
      </c>
      <c r="R1613" s="1" t="s">
        <v>5093</v>
      </c>
      <c r="S1613" s="1">
        <v>1.0</v>
      </c>
      <c r="T1613" s="1">
        <v>0.0</v>
      </c>
      <c r="X1613" s="1" t="s">
        <v>56</v>
      </c>
      <c r="Z1613" s="1" t="s">
        <v>5789</v>
      </c>
    </row>
    <row r="1614">
      <c r="A1614" s="3" t="str">
        <f>HYPERLINK("https://stackoverflow.com/q/54241538", "54241538")</f>
        <v>54241538</v>
      </c>
      <c r="B1614" s="1" t="s">
        <v>4681</v>
      </c>
      <c r="C1614" s="1" t="s">
        <v>5790</v>
      </c>
      <c r="D1614" s="2" t="s">
        <v>5791</v>
      </c>
      <c r="E1614" s="1">
        <v>1.0</v>
      </c>
      <c r="I1614" s="1">
        <v>0.0</v>
      </c>
      <c r="J1614" s="1">
        <v>303.0</v>
      </c>
      <c r="L1614" s="1">
        <v>7548248.0</v>
      </c>
      <c r="Q1614" s="1" t="s">
        <v>5792</v>
      </c>
      <c r="R1614" s="1" t="s">
        <v>4966</v>
      </c>
      <c r="S1614" s="1">
        <v>1.0</v>
      </c>
      <c r="T1614" s="1">
        <v>0.0</v>
      </c>
      <c r="X1614" s="1" t="s">
        <v>56</v>
      </c>
    </row>
    <row r="1615">
      <c r="A1615" s="3" t="str">
        <f>HYPERLINK("https://stackoverflow.com/q/54270158", "54270158")</f>
        <v>54270158</v>
      </c>
      <c r="B1615" s="1" t="s">
        <v>4681</v>
      </c>
      <c r="C1615" s="1" t="s">
        <v>5793</v>
      </c>
      <c r="D1615" s="2" t="s">
        <v>5794</v>
      </c>
      <c r="E1615" s="1">
        <v>1.0</v>
      </c>
      <c r="F1615" s="1">
        <v>5.4272301E7</v>
      </c>
      <c r="I1615" s="1">
        <v>2.0</v>
      </c>
      <c r="J1615" s="1">
        <v>752.0</v>
      </c>
      <c r="L1615" s="1">
        <v>1045988.0</v>
      </c>
      <c r="N1615" s="1">
        <v>7920473.0</v>
      </c>
      <c r="P1615" s="1" t="s">
        <v>5795</v>
      </c>
      <c r="Q1615" s="1" t="s">
        <v>5795</v>
      </c>
      <c r="R1615" s="1" t="s">
        <v>5796</v>
      </c>
      <c r="S1615" s="1">
        <v>1.0</v>
      </c>
      <c r="T1615" s="1">
        <v>0.0</v>
      </c>
      <c r="X1615" s="1" t="s">
        <v>56</v>
      </c>
      <c r="Z1615" s="1" t="s">
        <v>5797</v>
      </c>
    </row>
    <row r="1616">
      <c r="A1616" s="3" t="str">
        <f>HYPERLINK("https://stackoverflow.com/q/54291354", "54291354")</f>
        <v>54291354</v>
      </c>
      <c r="B1616" s="1" t="s">
        <v>4681</v>
      </c>
      <c r="C1616" s="1" t="s">
        <v>5798</v>
      </c>
      <c r="D1616" s="2" t="s">
        <v>5799</v>
      </c>
      <c r="E1616" s="1">
        <v>1.0</v>
      </c>
      <c r="I1616" s="1">
        <v>0.0</v>
      </c>
      <c r="J1616" s="1">
        <v>636.0</v>
      </c>
      <c r="L1616" s="1">
        <v>7548248.0</v>
      </c>
      <c r="N1616" s="1">
        <v>7548248.0</v>
      </c>
      <c r="P1616" s="1" t="s">
        <v>5800</v>
      </c>
      <c r="Q1616" s="1" t="s">
        <v>5801</v>
      </c>
      <c r="R1616" s="1" t="s">
        <v>5802</v>
      </c>
      <c r="S1616" s="1">
        <v>2.0</v>
      </c>
      <c r="T1616" s="1">
        <v>9.0</v>
      </c>
      <c r="X1616" s="1" t="s">
        <v>56</v>
      </c>
    </row>
    <row r="1617">
      <c r="A1617" s="3" t="str">
        <f>HYPERLINK("https://stackoverflow.com/q/54352320", "54352320")</f>
        <v>54352320</v>
      </c>
      <c r="B1617" s="1" t="s">
        <v>4681</v>
      </c>
      <c r="C1617" s="1" t="s">
        <v>5803</v>
      </c>
      <c r="D1617" s="2" t="s">
        <v>5804</v>
      </c>
      <c r="E1617" s="1">
        <v>1.0</v>
      </c>
      <c r="F1617" s="1">
        <v>5.7062058E7</v>
      </c>
      <c r="I1617" s="1">
        <v>0.0</v>
      </c>
      <c r="J1617" s="1">
        <v>149.0</v>
      </c>
      <c r="L1617" s="1">
        <v>9732518.0</v>
      </c>
      <c r="Q1617" s="1" t="s">
        <v>5805</v>
      </c>
      <c r="R1617" s="1" t="s">
        <v>5806</v>
      </c>
      <c r="S1617" s="1">
        <v>1.0</v>
      </c>
      <c r="T1617" s="1">
        <v>0.0</v>
      </c>
      <c r="X1617" s="1" t="s">
        <v>56</v>
      </c>
      <c r="Z1617" s="1" t="s">
        <v>5805</v>
      </c>
    </row>
    <row r="1618">
      <c r="A1618" s="3" t="str">
        <f>HYPERLINK("https://stackoverflow.com/q/54363950", "54363950")</f>
        <v>54363950</v>
      </c>
      <c r="B1618" s="1" t="s">
        <v>4681</v>
      </c>
      <c r="C1618" s="1" t="s">
        <v>5807</v>
      </c>
      <c r="D1618" s="2" t="s">
        <v>5808</v>
      </c>
      <c r="E1618" s="1">
        <v>1.0</v>
      </c>
      <c r="I1618" s="1">
        <v>1.0</v>
      </c>
      <c r="J1618" s="1">
        <v>181.0</v>
      </c>
      <c r="L1618" s="1">
        <v>1083067.0</v>
      </c>
      <c r="Q1618" s="1" t="s">
        <v>5807</v>
      </c>
      <c r="R1618" s="1" t="s">
        <v>4767</v>
      </c>
      <c r="S1618" s="1">
        <v>0.0</v>
      </c>
      <c r="T1618" s="1">
        <v>0.0</v>
      </c>
      <c r="X1618" s="1" t="s">
        <v>56</v>
      </c>
    </row>
    <row r="1619">
      <c r="A1619" s="3" t="str">
        <f>HYPERLINK("https://stackoverflow.com/q/54403490", "54403490")</f>
        <v>54403490</v>
      </c>
      <c r="B1619" s="1" t="s">
        <v>4681</v>
      </c>
      <c r="C1619" s="1" t="s">
        <v>5809</v>
      </c>
      <c r="D1619" s="2" t="s">
        <v>5810</v>
      </c>
      <c r="E1619" s="1">
        <v>1.0</v>
      </c>
      <c r="I1619" s="1">
        <v>0.0</v>
      </c>
      <c r="J1619" s="1">
        <v>744.0</v>
      </c>
      <c r="L1619" s="1">
        <v>1.0284862E7</v>
      </c>
      <c r="Q1619" s="1" t="s">
        <v>5811</v>
      </c>
      <c r="R1619" s="1" t="s">
        <v>4697</v>
      </c>
      <c r="S1619" s="1">
        <v>1.0</v>
      </c>
      <c r="T1619" s="1">
        <v>4.0</v>
      </c>
      <c r="X1619" s="1" t="s">
        <v>56</v>
      </c>
    </row>
    <row r="1620">
      <c r="A1620" s="3" t="str">
        <f>HYPERLINK("https://stackoverflow.com/q/54468229", "54468229")</f>
        <v>54468229</v>
      </c>
      <c r="B1620" s="1" t="s">
        <v>4681</v>
      </c>
      <c r="C1620" s="1" t="s">
        <v>5812</v>
      </c>
      <c r="D1620" s="2" t="s">
        <v>5813</v>
      </c>
      <c r="E1620" s="1">
        <v>1.0</v>
      </c>
      <c r="I1620" s="1">
        <v>0.0</v>
      </c>
      <c r="J1620" s="1">
        <v>333.0</v>
      </c>
      <c r="L1620" s="1">
        <v>5270145.0</v>
      </c>
      <c r="Q1620" s="1" t="s">
        <v>5814</v>
      </c>
      <c r="R1620" s="1" t="s">
        <v>5815</v>
      </c>
      <c r="S1620" s="1">
        <v>2.0</v>
      </c>
      <c r="T1620" s="1">
        <v>0.0</v>
      </c>
      <c r="X1620" s="1" t="s">
        <v>56</v>
      </c>
    </row>
    <row r="1621">
      <c r="A1621" s="3" t="str">
        <f>HYPERLINK("https://stackoverflow.com/q/54474013", "54474013")</f>
        <v>54474013</v>
      </c>
      <c r="B1621" s="1" t="s">
        <v>4681</v>
      </c>
      <c r="C1621" s="1" t="s">
        <v>5816</v>
      </c>
      <c r="D1621" s="2" t="s">
        <v>5817</v>
      </c>
      <c r="E1621" s="1">
        <v>1.0</v>
      </c>
      <c r="I1621" s="1">
        <v>0.0</v>
      </c>
      <c r="J1621" s="1">
        <v>294.0</v>
      </c>
      <c r="L1621" s="1">
        <v>8602603.0</v>
      </c>
      <c r="Q1621" s="1" t="s">
        <v>5818</v>
      </c>
      <c r="R1621" s="1" t="s">
        <v>5819</v>
      </c>
      <c r="S1621" s="1">
        <v>1.0</v>
      </c>
      <c r="T1621" s="1">
        <v>0.0</v>
      </c>
      <c r="X1621" s="1" t="s">
        <v>56</v>
      </c>
    </row>
    <row r="1622">
      <c r="A1622" s="3" t="str">
        <f>HYPERLINK("https://stackoverflow.com/q/54522800", "54522800")</f>
        <v>54522800</v>
      </c>
      <c r="B1622" s="1" t="s">
        <v>4681</v>
      </c>
      <c r="C1622" s="1" t="s">
        <v>5820</v>
      </c>
      <c r="D1622" s="2" t="s">
        <v>5821</v>
      </c>
      <c r="E1622" s="1">
        <v>1.0</v>
      </c>
      <c r="F1622" s="1">
        <v>5.4523549E7</v>
      </c>
      <c r="I1622" s="1">
        <v>1.0</v>
      </c>
      <c r="J1622" s="1">
        <v>497.0</v>
      </c>
      <c r="L1622" s="1">
        <v>2067941.0</v>
      </c>
      <c r="N1622" s="1">
        <v>2067941.0</v>
      </c>
      <c r="P1622" s="1" t="s">
        <v>5822</v>
      </c>
      <c r="Q1622" s="1" t="s">
        <v>5823</v>
      </c>
      <c r="R1622" s="1" t="s">
        <v>4911</v>
      </c>
      <c r="S1622" s="1">
        <v>1.0</v>
      </c>
      <c r="T1622" s="1">
        <v>0.0</v>
      </c>
      <c r="X1622" s="1" t="s">
        <v>56</v>
      </c>
      <c r="Z1622" s="1" t="s">
        <v>5823</v>
      </c>
    </row>
    <row r="1623">
      <c r="A1623" s="3" t="str">
        <f>HYPERLINK("https://stackoverflow.com/q/54548490", "54548490")</f>
        <v>54548490</v>
      </c>
      <c r="B1623" s="1" t="s">
        <v>4681</v>
      </c>
      <c r="C1623" s="1" t="s">
        <v>5824</v>
      </c>
      <c r="D1623" s="2" t="s">
        <v>5825</v>
      </c>
      <c r="E1623" s="1">
        <v>1.0</v>
      </c>
      <c r="F1623" s="1">
        <v>5.493786E7</v>
      </c>
      <c r="I1623" s="1">
        <v>0.0</v>
      </c>
      <c r="J1623" s="1">
        <v>164.0</v>
      </c>
      <c r="L1623" s="1">
        <v>3267339.0</v>
      </c>
      <c r="N1623" s="1">
        <v>7920473.0</v>
      </c>
      <c r="P1623" s="1" t="s">
        <v>5826</v>
      </c>
      <c r="Q1623" s="1" t="s">
        <v>5826</v>
      </c>
      <c r="R1623" s="1" t="s">
        <v>5827</v>
      </c>
      <c r="S1623" s="1">
        <v>1.0</v>
      </c>
      <c r="T1623" s="1">
        <v>0.0</v>
      </c>
      <c r="X1623" s="1" t="s">
        <v>56</v>
      </c>
      <c r="Z1623" s="1" t="s">
        <v>5828</v>
      </c>
    </row>
    <row r="1624">
      <c r="A1624" s="3" t="str">
        <f>HYPERLINK("https://stackoverflow.com/q/54577461", "54577461")</f>
        <v>54577461</v>
      </c>
      <c r="B1624" s="1" t="s">
        <v>4681</v>
      </c>
      <c r="C1624" s="1" t="s">
        <v>5829</v>
      </c>
      <c r="D1624" s="2" t="s">
        <v>5830</v>
      </c>
      <c r="E1624" s="1">
        <v>1.0</v>
      </c>
      <c r="I1624" s="1">
        <v>1.0</v>
      </c>
      <c r="J1624" s="1">
        <v>75.0</v>
      </c>
      <c r="L1624" s="1">
        <v>1526507.0</v>
      </c>
      <c r="Q1624" s="1" t="s">
        <v>5831</v>
      </c>
      <c r="R1624" s="1" t="s">
        <v>5759</v>
      </c>
      <c r="S1624" s="1">
        <v>1.0</v>
      </c>
      <c r="T1624" s="1">
        <v>0.0</v>
      </c>
      <c r="X1624" s="1" t="s">
        <v>56</v>
      </c>
    </row>
    <row r="1625">
      <c r="A1625" s="3" t="str">
        <f>HYPERLINK("https://stackoverflow.com/q/54603982", "54603982")</f>
        <v>54603982</v>
      </c>
      <c r="B1625" s="1" t="s">
        <v>4681</v>
      </c>
      <c r="C1625" s="1" t="s">
        <v>5832</v>
      </c>
      <c r="D1625" s="2" t="s">
        <v>5833</v>
      </c>
      <c r="E1625" s="1">
        <v>1.0</v>
      </c>
      <c r="I1625" s="1">
        <v>0.0</v>
      </c>
      <c r="J1625" s="1">
        <v>289.0</v>
      </c>
      <c r="L1625" s="1">
        <v>7446363.0</v>
      </c>
      <c r="N1625" s="1">
        <v>7920473.0</v>
      </c>
      <c r="P1625" s="1" t="s">
        <v>5834</v>
      </c>
      <c r="Q1625" s="1" t="s">
        <v>5834</v>
      </c>
      <c r="R1625" s="1" t="s">
        <v>5835</v>
      </c>
      <c r="S1625" s="1">
        <v>1.0</v>
      </c>
      <c r="T1625" s="1">
        <v>0.0</v>
      </c>
      <c r="X1625" s="1" t="s">
        <v>56</v>
      </c>
    </row>
    <row r="1626">
      <c r="A1626" s="3" t="str">
        <f>HYPERLINK("https://stackoverflow.com/q/54618164", "54618164")</f>
        <v>54618164</v>
      </c>
      <c r="B1626" s="1" t="s">
        <v>4681</v>
      </c>
      <c r="C1626" s="1" t="s">
        <v>5836</v>
      </c>
      <c r="D1626" s="2" t="s">
        <v>5837</v>
      </c>
      <c r="E1626" s="1">
        <v>1.0</v>
      </c>
      <c r="I1626" s="1">
        <v>0.0</v>
      </c>
      <c r="J1626" s="1">
        <v>75.0</v>
      </c>
      <c r="L1626" s="1">
        <v>4727792.0</v>
      </c>
      <c r="Q1626" s="1" t="s">
        <v>5836</v>
      </c>
      <c r="R1626" s="1" t="s">
        <v>5838</v>
      </c>
      <c r="S1626" s="1">
        <v>0.0</v>
      </c>
      <c r="T1626" s="1">
        <v>3.0</v>
      </c>
      <c r="X1626" s="1" t="s">
        <v>56</v>
      </c>
    </row>
    <row r="1627">
      <c r="A1627" s="3" t="str">
        <f>HYPERLINK("https://stackoverflow.com/q/54678756", "54678756")</f>
        <v>54678756</v>
      </c>
      <c r="B1627" s="1" t="s">
        <v>4681</v>
      </c>
      <c r="C1627" s="1" t="s">
        <v>5839</v>
      </c>
      <c r="D1627" s="2" t="s">
        <v>5840</v>
      </c>
      <c r="E1627" s="1">
        <v>1.0</v>
      </c>
      <c r="F1627" s="1">
        <v>5.4695293E7</v>
      </c>
      <c r="I1627" s="1">
        <v>0.0</v>
      </c>
      <c r="J1627" s="1">
        <v>38.0</v>
      </c>
      <c r="L1627" s="1">
        <v>7389096.0</v>
      </c>
      <c r="Q1627" s="1" t="s">
        <v>5841</v>
      </c>
      <c r="R1627" s="1" t="s">
        <v>4836</v>
      </c>
      <c r="S1627" s="1">
        <v>1.0</v>
      </c>
      <c r="T1627" s="1">
        <v>0.0</v>
      </c>
      <c r="X1627" s="1" t="s">
        <v>56</v>
      </c>
      <c r="Z1627" s="1" t="s">
        <v>5841</v>
      </c>
    </row>
    <row r="1628">
      <c r="A1628" s="3" t="str">
        <f>HYPERLINK("https://stackoverflow.com/q/54688078", "54688078")</f>
        <v>54688078</v>
      </c>
      <c r="B1628" s="1" t="s">
        <v>4681</v>
      </c>
      <c r="C1628" s="1" t="s">
        <v>5842</v>
      </c>
      <c r="D1628" s="2" t="s">
        <v>5843</v>
      </c>
      <c r="E1628" s="1">
        <v>1.0</v>
      </c>
      <c r="F1628" s="1">
        <v>5.4937965E7</v>
      </c>
      <c r="I1628" s="1">
        <v>0.0</v>
      </c>
      <c r="J1628" s="1">
        <v>128.0</v>
      </c>
      <c r="L1628" s="1">
        <v>1805652.0</v>
      </c>
      <c r="N1628" s="1">
        <v>7920473.0</v>
      </c>
      <c r="P1628" s="1" t="s">
        <v>5844</v>
      </c>
      <c r="Q1628" s="1" t="s">
        <v>5844</v>
      </c>
      <c r="R1628" s="1" t="s">
        <v>5845</v>
      </c>
      <c r="S1628" s="1">
        <v>1.0</v>
      </c>
      <c r="T1628" s="1">
        <v>0.0</v>
      </c>
      <c r="X1628" s="1" t="s">
        <v>56</v>
      </c>
      <c r="Z1628" s="1" t="s">
        <v>5846</v>
      </c>
    </row>
    <row r="1629">
      <c r="A1629" s="3" t="str">
        <f>HYPERLINK("https://stackoverflow.com/q/54700894", "54700894")</f>
        <v>54700894</v>
      </c>
      <c r="B1629" s="1" t="s">
        <v>4681</v>
      </c>
      <c r="C1629" s="1" t="s">
        <v>5847</v>
      </c>
      <c r="D1629" s="2" t="s">
        <v>5848</v>
      </c>
      <c r="E1629" s="1">
        <v>1.0</v>
      </c>
      <c r="I1629" s="1">
        <v>1.0</v>
      </c>
      <c r="J1629" s="1">
        <v>354.0</v>
      </c>
      <c r="L1629" s="1">
        <v>1.1064706E7</v>
      </c>
      <c r="N1629" s="1">
        <v>1.1064706E7</v>
      </c>
      <c r="P1629" s="1" t="s">
        <v>5849</v>
      </c>
      <c r="Q1629" s="1" t="s">
        <v>5849</v>
      </c>
      <c r="R1629" s="1" t="s">
        <v>5850</v>
      </c>
      <c r="S1629" s="1">
        <v>0.0</v>
      </c>
      <c r="T1629" s="1">
        <v>0.0</v>
      </c>
      <c r="X1629" s="1" t="s">
        <v>56</v>
      </c>
    </row>
    <row r="1630">
      <c r="A1630" s="3" t="str">
        <f>HYPERLINK("https://stackoverflow.com/q/54714252", "54714252")</f>
        <v>54714252</v>
      </c>
      <c r="B1630" s="1" t="s">
        <v>4681</v>
      </c>
      <c r="C1630" s="1" t="s">
        <v>5851</v>
      </c>
      <c r="D1630" s="2" t="s">
        <v>5852</v>
      </c>
      <c r="E1630" s="1">
        <v>1.0</v>
      </c>
      <c r="F1630" s="1">
        <v>5.4733399E7</v>
      </c>
      <c r="I1630" s="1">
        <v>0.0</v>
      </c>
      <c r="J1630" s="1">
        <v>904.0</v>
      </c>
      <c r="L1630" s="1">
        <v>7389096.0</v>
      </c>
      <c r="Q1630" s="1" t="s">
        <v>5853</v>
      </c>
      <c r="R1630" s="1" t="s">
        <v>5854</v>
      </c>
      <c r="S1630" s="1">
        <v>1.0</v>
      </c>
      <c r="T1630" s="1">
        <v>0.0</v>
      </c>
      <c r="X1630" s="1" t="s">
        <v>56</v>
      </c>
      <c r="Z1630" s="1" t="s">
        <v>5853</v>
      </c>
    </row>
    <row r="1631">
      <c r="A1631" s="3" t="str">
        <f>HYPERLINK("https://stackoverflow.com/q/54751381", "54751381")</f>
        <v>54751381</v>
      </c>
      <c r="B1631" s="1" t="s">
        <v>4681</v>
      </c>
      <c r="C1631" s="1" t="s">
        <v>5855</v>
      </c>
      <c r="D1631" s="2" t="s">
        <v>5856</v>
      </c>
      <c r="E1631" s="1">
        <v>1.0</v>
      </c>
      <c r="F1631" s="1">
        <v>5.4752208E7</v>
      </c>
      <c r="I1631" s="1">
        <v>2.0</v>
      </c>
      <c r="J1631" s="1">
        <v>1543.0</v>
      </c>
      <c r="L1631" s="1">
        <v>1.1080019E7</v>
      </c>
      <c r="Q1631" s="1" t="s">
        <v>5857</v>
      </c>
      <c r="R1631" s="1" t="s">
        <v>5858</v>
      </c>
      <c r="S1631" s="1">
        <v>1.0</v>
      </c>
      <c r="T1631" s="1">
        <v>0.0</v>
      </c>
      <c r="X1631" s="1" t="s">
        <v>56</v>
      </c>
      <c r="Z1631" s="1" t="s">
        <v>5859</v>
      </c>
    </row>
    <row r="1632">
      <c r="A1632" s="3" t="str">
        <f>HYPERLINK("https://stackoverflow.com/q/54822913", "54822913")</f>
        <v>54822913</v>
      </c>
      <c r="B1632" s="1" t="s">
        <v>4681</v>
      </c>
      <c r="C1632" s="1" t="s">
        <v>5860</v>
      </c>
      <c r="D1632" s="2" t="s">
        <v>5861</v>
      </c>
      <c r="E1632" s="1">
        <v>1.0</v>
      </c>
      <c r="F1632" s="1">
        <v>5.4836641E7</v>
      </c>
      <c r="I1632" s="1">
        <v>1.0</v>
      </c>
      <c r="J1632" s="1">
        <v>402.0</v>
      </c>
      <c r="L1632" s="1">
        <v>9039184.0</v>
      </c>
      <c r="N1632" s="1">
        <v>751090.0</v>
      </c>
      <c r="P1632" s="1" t="s">
        <v>5862</v>
      </c>
      <c r="Q1632" s="1" t="s">
        <v>5863</v>
      </c>
      <c r="R1632" s="1" t="s">
        <v>5864</v>
      </c>
      <c r="S1632" s="1">
        <v>1.0</v>
      </c>
      <c r="T1632" s="1">
        <v>0.0</v>
      </c>
      <c r="X1632" s="1" t="s">
        <v>56</v>
      </c>
      <c r="Z1632" s="1" t="s">
        <v>5863</v>
      </c>
    </row>
    <row r="1633">
      <c r="A1633" s="3" t="str">
        <f>HYPERLINK("https://stackoverflow.com/q/54857737", "54857737")</f>
        <v>54857737</v>
      </c>
      <c r="B1633" s="1" t="s">
        <v>4681</v>
      </c>
      <c r="C1633" s="1" t="s">
        <v>5865</v>
      </c>
      <c r="D1633" s="2" t="s">
        <v>5866</v>
      </c>
      <c r="E1633" s="1">
        <v>1.0</v>
      </c>
      <c r="I1633" s="1">
        <v>1.0</v>
      </c>
      <c r="J1633" s="1">
        <v>77.0</v>
      </c>
      <c r="L1633" s="1">
        <v>1.1110985E7</v>
      </c>
      <c r="N1633" s="1">
        <v>7920473.0</v>
      </c>
      <c r="P1633" s="1" t="s">
        <v>5867</v>
      </c>
      <c r="Q1633" s="1" t="s">
        <v>5867</v>
      </c>
      <c r="R1633" s="1" t="s">
        <v>5868</v>
      </c>
      <c r="S1633" s="1">
        <v>1.0</v>
      </c>
      <c r="T1633" s="1">
        <v>3.0</v>
      </c>
      <c r="U1633" s="1">
        <v>1.0</v>
      </c>
      <c r="X1633" s="1" t="s">
        <v>56</v>
      </c>
    </row>
    <row r="1634">
      <c r="A1634" s="3" t="str">
        <f>HYPERLINK("https://stackoverflow.com/q/54868399", "54868399")</f>
        <v>54868399</v>
      </c>
      <c r="B1634" s="1" t="s">
        <v>4681</v>
      </c>
      <c r="C1634" s="1" t="s">
        <v>5869</v>
      </c>
      <c r="D1634" s="2" t="s">
        <v>5870</v>
      </c>
      <c r="E1634" s="1">
        <v>1.0</v>
      </c>
      <c r="F1634" s="1">
        <v>5.4884377E7</v>
      </c>
      <c r="I1634" s="1">
        <v>1.0</v>
      </c>
      <c r="J1634" s="1">
        <v>1796.0</v>
      </c>
      <c r="L1634" s="1">
        <v>1.1114004E7</v>
      </c>
      <c r="Q1634" s="1" t="s">
        <v>5871</v>
      </c>
      <c r="R1634" s="1" t="s">
        <v>5872</v>
      </c>
      <c r="S1634" s="1">
        <v>1.0</v>
      </c>
      <c r="T1634" s="1">
        <v>2.0</v>
      </c>
      <c r="U1634" s="1">
        <v>0.0</v>
      </c>
      <c r="X1634" s="1" t="s">
        <v>56</v>
      </c>
      <c r="Z1634" s="1" t="s">
        <v>5873</v>
      </c>
    </row>
    <row r="1635">
      <c r="A1635" s="3" t="str">
        <f>HYPERLINK("https://stackoverflow.com/q/54884332", "54884332")</f>
        <v>54884332</v>
      </c>
      <c r="B1635" s="1" t="s">
        <v>4681</v>
      </c>
      <c r="C1635" s="1" t="s">
        <v>5874</v>
      </c>
      <c r="D1635" s="2" t="s">
        <v>5875</v>
      </c>
      <c r="E1635" s="1">
        <v>1.0</v>
      </c>
      <c r="I1635" s="1">
        <v>0.0</v>
      </c>
      <c r="J1635" s="1">
        <v>252.0</v>
      </c>
      <c r="L1635" s="1">
        <v>4464268.0</v>
      </c>
      <c r="Q1635" s="1" t="s">
        <v>5876</v>
      </c>
      <c r="R1635" s="1" t="s">
        <v>5695</v>
      </c>
      <c r="S1635" s="1">
        <v>1.0</v>
      </c>
      <c r="T1635" s="1">
        <v>0.0</v>
      </c>
      <c r="X1635" s="1" t="s">
        <v>56</v>
      </c>
    </row>
    <row r="1636">
      <c r="A1636" s="3" t="str">
        <f>HYPERLINK("https://stackoverflow.com/q/54902191", "54902191")</f>
        <v>54902191</v>
      </c>
      <c r="B1636" s="1" t="s">
        <v>4681</v>
      </c>
      <c r="C1636" s="1" t="s">
        <v>5877</v>
      </c>
      <c r="D1636" s="2" t="s">
        <v>5878</v>
      </c>
      <c r="E1636" s="1">
        <v>1.0</v>
      </c>
      <c r="I1636" s="1">
        <v>0.0</v>
      </c>
      <c r="J1636" s="1">
        <v>439.0</v>
      </c>
      <c r="L1636" s="1">
        <v>8990695.0</v>
      </c>
      <c r="Q1636" s="1" t="s">
        <v>5879</v>
      </c>
      <c r="R1636" s="1" t="s">
        <v>5367</v>
      </c>
      <c r="S1636" s="1">
        <v>1.0</v>
      </c>
      <c r="T1636" s="1">
        <v>0.0</v>
      </c>
      <c r="X1636" s="1" t="s">
        <v>56</v>
      </c>
    </row>
    <row r="1637">
      <c r="A1637" s="3" t="str">
        <f>HYPERLINK("https://stackoverflow.com/q/54920348", "54920348")</f>
        <v>54920348</v>
      </c>
      <c r="B1637" s="1" t="s">
        <v>4681</v>
      </c>
      <c r="C1637" s="1" t="s">
        <v>5880</v>
      </c>
      <c r="D1637" s="2" t="s">
        <v>5881</v>
      </c>
      <c r="E1637" s="1">
        <v>1.0</v>
      </c>
      <c r="F1637" s="1">
        <v>5.4936671E7</v>
      </c>
      <c r="I1637" s="1">
        <v>0.0</v>
      </c>
      <c r="J1637" s="1">
        <v>191.0</v>
      </c>
      <c r="L1637" s="1">
        <v>9066449.0</v>
      </c>
      <c r="Q1637" s="1" t="s">
        <v>5882</v>
      </c>
      <c r="R1637" s="1" t="s">
        <v>5883</v>
      </c>
      <c r="S1637" s="1">
        <v>2.0</v>
      </c>
      <c r="T1637" s="1">
        <v>1.0</v>
      </c>
      <c r="X1637" s="1" t="s">
        <v>56</v>
      </c>
      <c r="Z1637" s="1" t="s">
        <v>5882</v>
      </c>
    </row>
    <row r="1638">
      <c r="A1638" s="3" t="str">
        <f>HYPERLINK("https://stackoverflow.com/q/54935102", "54935102")</f>
        <v>54935102</v>
      </c>
      <c r="B1638" s="1" t="s">
        <v>4681</v>
      </c>
      <c r="C1638" s="1" t="s">
        <v>5884</v>
      </c>
      <c r="D1638" s="2" t="s">
        <v>5885</v>
      </c>
      <c r="E1638" s="1">
        <v>1.0</v>
      </c>
      <c r="F1638" s="1">
        <v>5.51533E7</v>
      </c>
      <c r="I1638" s="1">
        <v>0.0</v>
      </c>
      <c r="J1638" s="1">
        <v>219.0</v>
      </c>
      <c r="L1638" s="1">
        <v>3430507.0</v>
      </c>
      <c r="N1638" s="1">
        <v>6389562.0</v>
      </c>
      <c r="P1638" s="1" t="s">
        <v>5886</v>
      </c>
      <c r="Q1638" s="1" t="s">
        <v>5887</v>
      </c>
      <c r="R1638" s="1" t="s">
        <v>5888</v>
      </c>
      <c r="S1638" s="1">
        <v>2.0</v>
      </c>
      <c r="T1638" s="1">
        <v>0.0</v>
      </c>
      <c r="X1638" s="1" t="s">
        <v>56</v>
      </c>
      <c r="Z1638" s="1" t="s">
        <v>5887</v>
      </c>
    </row>
    <row r="1639">
      <c r="A1639" s="3" t="str">
        <f>HYPERLINK("https://stackoverflow.com/q/54937175", "54937175")</f>
        <v>54937175</v>
      </c>
      <c r="B1639" s="1" t="s">
        <v>4681</v>
      </c>
      <c r="C1639" s="1" t="s">
        <v>5889</v>
      </c>
      <c r="D1639" s="2" t="s">
        <v>5890</v>
      </c>
      <c r="E1639" s="1">
        <v>1.0</v>
      </c>
      <c r="F1639" s="1">
        <v>5.4937639E7</v>
      </c>
      <c r="I1639" s="1">
        <v>1.0</v>
      </c>
      <c r="J1639" s="1">
        <v>470.0</v>
      </c>
      <c r="L1639" s="1">
        <v>123213.0</v>
      </c>
      <c r="N1639" s="1">
        <v>7920473.0</v>
      </c>
      <c r="P1639" s="1" t="s">
        <v>5891</v>
      </c>
      <c r="Q1639" s="1" t="s">
        <v>5891</v>
      </c>
      <c r="R1639" s="1" t="s">
        <v>5892</v>
      </c>
      <c r="S1639" s="1">
        <v>1.0</v>
      </c>
      <c r="T1639" s="1">
        <v>0.0</v>
      </c>
      <c r="X1639" s="1" t="s">
        <v>56</v>
      </c>
      <c r="Z1639" s="1" t="s">
        <v>5893</v>
      </c>
    </row>
    <row r="1640">
      <c r="A1640" s="3" t="str">
        <f>HYPERLINK("https://stackoverflow.com/q/55024778", "55024778")</f>
        <v>55024778</v>
      </c>
      <c r="B1640" s="1" t="s">
        <v>4681</v>
      </c>
      <c r="C1640" s="1" t="s">
        <v>5894</v>
      </c>
      <c r="D1640" s="2" t="s">
        <v>5895</v>
      </c>
      <c r="E1640" s="1">
        <v>1.0</v>
      </c>
      <c r="I1640" s="1">
        <v>0.0</v>
      </c>
      <c r="J1640" s="1">
        <v>139.0</v>
      </c>
      <c r="L1640" s="1">
        <v>9728563.0</v>
      </c>
      <c r="Q1640" s="1" t="s">
        <v>5896</v>
      </c>
      <c r="R1640" s="1" t="s">
        <v>5897</v>
      </c>
      <c r="S1640" s="1">
        <v>1.0</v>
      </c>
      <c r="T1640" s="1">
        <v>0.0</v>
      </c>
      <c r="U1640" s="1">
        <v>1.0</v>
      </c>
      <c r="X1640" s="1" t="s">
        <v>56</v>
      </c>
    </row>
    <row r="1641">
      <c r="A1641" s="3" t="str">
        <f>HYPERLINK("https://stackoverflow.com/q/55050411", "55050411")</f>
        <v>55050411</v>
      </c>
      <c r="B1641" s="1" t="s">
        <v>4681</v>
      </c>
      <c r="C1641" s="1" t="s">
        <v>5898</v>
      </c>
      <c r="D1641" s="2" t="s">
        <v>5899</v>
      </c>
      <c r="E1641" s="1">
        <v>1.0</v>
      </c>
      <c r="I1641" s="1">
        <v>1.0</v>
      </c>
      <c r="J1641" s="1">
        <v>44.0</v>
      </c>
      <c r="L1641" s="1">
        <v>1491951.0</v>
      </c>
      <c r="Q1641" s="1" t="s">
        <v>5900</v>
      </c>
      <c r="R1641" s="1" t="s">
        <v>5093</v>
      </c>
      <c r="S1641" s="1">
        <v>1.0</v>
      </c>
      <c r="T1641" s="1">
        <v>1.0</v>
      </c>
      <c r="X1641" s="1" t="s">
        <v>56</v>
      </c>
    </row>
    <row r="1642">
      <c r="A1642" s="3" t="str">
        <f>HYPERLINK("https://stackoverflow.com/q/55164994", "55164994")</f>
        <v>55164994</v>
      </c>
      <c r="B1642" s="1" t="s">
        <v>4681</v>
      </c>
      <c r="C1642" s="1" t="s">
        <v>5901</v>
      </c>
      <c r="D1642" s="2" t="s">
        <v>5902</v>
      </c>
      <c r="E1642" s="1">
        <v>1.0</v>
      </c>
      <c r="I1642" s="1">
        <v>1.0</v>
      </c>
      <c r="J1642" s="1">
        <v>79.0</v>
      </c>
      <c r="L1642" s="1">
        <v>3535725.0</v>
      </c>
      <c r="Q1642" s="1" t="s">
        <v>5901</v>
      </c>
      <c r="R1642" s="1" t="s">
        <v>5903</v>
      </c>
      <c r="S1642" s="1">
        <v>0.0</v>
      </c>
      <c r="T1642" s="1">
        <v>0.0</v>
      </c>
      <c r="X1642" s="1" t="s">
        <v>56</v>
      </c>
    </row>
    <row r="1643">
      <c r="A1643" s="3" t="str">
        <f>HYPERLINK("https://stackoverflow.com/q/55168898", "55168898")</f>
        <v>55168898</v>
      </c>
      <c r="B1643" s="1" t="s">
        <v>4681</v>
      </c>
      <c r="C1643" s="1" t="s">
        <v>5904</v>
      </c>
      <c r="D1643" s="2" t="s">
        <v>5905</v>
      </c>
      <c r="E1643" s="1">
        <v>1.0</v>
      </c>
      <c r="F1643" s="1">
        <v>5.531845E7</v>
      </c>
      <c r="I1643" s="1">
        <v>0.0</v>
      </c>
      <c r="J1643" s="1">
        <v>2097.0</v>
      </c>
      <c r="L1643" s="1">
        <v>7638174.0</v>
      </c>
      <c r="N1643" s="1">
        <v>7638174.0</v>
      </c>
      <c r="P1643" s="1" t="s">
        <v>5906</v>
      </c>
      <c r="Q1643" s="1" t="s">
        <v>5907</v>
      </c>
      <c r="R1643" s="1" t="s">
        <v>5759</v>
      </c>
      <c r="S1643" s="1">
        <v>1.0</v>
      </c>
      <c r="T1643" s="1">
        <v>0.0</v>
      </c>
      <c r="X1643" s="1" t="s">
        <v>56</v>
      </c>
      <c r="Z1643" s="1" t="s">
        <v>5908</v>
      </c>
    </row>
    <row r="1644">
      <c r="A1644" s="3" t="str">
        <f>HYPERLINK("https://stackoverflow.com/q/55179755", "55179755")</f>
        <v>55179755</v>
      </c>
      <c r="B1644" s="1" t="s">
        <v>4681</v>
      </c>
      <c r="C1644" s="1" t="s">
        <v>5909</v>
      </c>
      <c r="D1644" s="2" t="s">
        <v>5910</v>
      </c>
      <c r="E1644" s="1">
        <v>1.0</v>
      </c>
      <c r="I1644" s="1">
        <v>1.0</v>
      </c>
      <c r="J1644" s="1">
        <v>77.0</v>
      </c>
      <c r="L1644" s="1">
        <v>1.1207802E7</v>
      </c>
      <c r="N1644" s="1">
        <v>1136371.0</v>
      </c>
      <c r="P1644" s="1" t="s">
        <v>5911</v>
      </c>
      <c r="Q1644" s="1" t="s">
        <v>5912</v>
      </c>
      <c r="R1644" s="1" t="s">
        <v>5913</v>
      </c>
      <c r="S1644" s="1">
        <v>1.0</v>
      </c>
      <c r="T1644" s="1">
        <v>0.0</v>
      </c>
      <c r="X1644" s="1" t="s">
        <v>56</v>
      </c>
    </row>
    <row r="1645">
      <c r="A1645" s="3" t="str">
        <f>HYPERLINK("https://stackoverflow.com/q/55219295", "55219295")</f>
        <v>55219295</v>
      </c>
      <c r="B1645" s="1" t="s">
        <v>4681</v>
      </c>
      <c r="C1645" s="1" t="s">
        <v>5914</v>
      </c>
      <c r="D1645" s="2" t="s">
        <v>5915</v>
      </c>
      <c r="E1645" s="1">
        <v>1.0</v>
      </c>
      <c r="I1645" s="1">
        <v>1.0</v>
      </c>
      <c r="J1645" s="1">
        <v>31.0</v>
      </c>
      <c r="L1645" s="1">
        <v>5907467.0</v>
      </c>
      <c r="N1645" s="1">
        <v>8194089.0</v>
      </c>
      <c r="P1645" s="1" t="s">
        <v>5916</v>
      </c>
      <c r="Q1645" s="1" t="s">
        <v>5917</v>
      </c>
      <c r="R1645" s="1" t="s">
        <v>5918</v>
      </c>
      <c r="S1645" s="1">
        <v>1.0</v>
      </c>
      <c r="T1645" s="1">
        <v>0.0</v>
      </c>
      <c r="U1645" s="1">
        <v>1.0</v>
      </c>
      <c r="X1645" s="1" t="s">
        <v>56</v>
      </c>
    </row>
    <row r="1646">
      <c r="A1646" s="3" t="str">
        <f>HYPERLINK("https://stackoverflow.com/q/55242183", "55242183")</f>
        <v>55242183</v>
      </c>
      <c r="B1646" s="1" t="s">
        <v>4681</v>
      </c>
      <c r="C1646" s="1" t="s">
        <v>5919</v>
      </c>
      <c r="D1646" s="2" t="s">
        <v>5920</v>
      </c>
      <c r="E1646" s="1">
        <v>1.0</v>
      </c>
      <c r="I1646" s="1">
        <v>0.0</v>
      </c>
      <c r="J1646" s="1">
        <v>616.0</v>
      </c>
      <c r="L1646" s="1">
        <v>9575884.0</v>
      </c>
      <c r="N1646" s="1">
        <v>8098322.0</v>
      </c>
      <c r="P1646" s="1" t="s">
        <v>5921</v>
      </c>
      <c r="Q1646" s="1" t="s">
        <v>5922</v>
      </c>
      <c r="R1646" s="1" t="s">
        <v>5923</v>
      </c>
      <c r="S1646" s="1">
        <v>1.0</v>
      </c>
      <c r="T1646" s="1">
        <v>0.0</v>
      </c>
      <c r="X1646" s="1" t="s">
        <v>56</v>
      </c>
    </row>
    <row r="1647">
      <c r="A1647" s="3" t="str">
        <f>HYPERLINK("https://stackoverflow.com/q/55244842", "55244842")</f>
        <v>55244842</v>
      </c>
      <c r="B1647" s="1" t="s">
        <v>4681</v>
      </c>
      <c r="C1647" s="1" t="s">
        <v>5924</v>
      </c>
      <c r="D1647" s="2" t="s">
        <v>5925</v>
      </c>
      <c r="E1647" s="1">
        <v>1.0</v>
      </c>
      <c r="I1647" s="1">
        <v>0.0</v>
      </c>
      <c r="J1647" s="1">
        <v>51.0</v>
      </c>
      <c r="L1647" s="1">
        <v>8467180.0</v>
      </c>
      <c r="Q1647" s="1" t="s">
        <v>5926</v>
      </c>
      <c r="R1647" s="1" t="s">
        <v>5927</v>
      </c>
      <c r="S1647" s="1">
        <v>1.0</v>
      </c>
      <c r="T1647" s="1">
        <v>0.0</v>
      </c>
      <c r="X1647" s="1" t="s">
        <v>56</v>
      </c>
    </row>
    <row r="1648">
      <c r="A1648" s="3" t="str">
        <f>HYPERLINK("https://stackoverflow.com/q/55312355", "55312355")</f>
        <v>55312355</v>
      </c>
      <c r="B1648" s="1" t="s">
        <v>4681</v>
      </c>
      <c r="C1648" s="1" t="s">
        <v>5928</v>
      </c>
      <c r="D1648" s="2" t="s">
        <v>5929</v>
      </c>
      <c r="E1648" s="1">
        <v>1.0</v>
      </c>
      <c r="F1648" s="1">
        <v>5.5837498E7</v>
      </c>
      <c r="I1648" s="1">
        <v>1.0</v>
      </c>
      <c r="J1648" s="1">
        <v>154.0</v>
      </c>
      <c r="L1648" s="1">
        <v>1.1246421E7</v>
      </c>
      <c r="N1648" s="1">
        <v>751090.0</v>
      </c>
      <c r="P1648" s="1" t="s">
        <v>5930</v>
      </c>
      <c r="Q1648" s="1" t="s">
        <v>5931</v>
      </c>
      <c r="R1648" s="1" t="s">
        <v>5932</v>
      </c>
      <c r="S1648" s="1">
        <v>1.0</v>
      </c>
      <c r="T1648" s="1">
        <v>0.0</v>
      </c>
      <c r="U1648" s="1">
        <v>1.0</v>
      </c>
      <c r="X1648" s="1" t="s">
        <v>56</v>
      </c>
      <c r="Z1648" s="1" t="s">
        <v>5931</v>
      </c>
    </row>
    <row r="1649">
      <c r="A1649" s="3" t="str">
        <f>HYPERLINK("https://stackoverflow.com/q/55384701", "55384701")</f>
        <v>55384701</v>
      </c>
      <c r="B1649" s="1" t="s">
        <v>4681</v>
      </c>
      <c r="C1649" s="1" t="s">
        <v>5933</v>
      </c>
      <c r="D1649" s="2" t="s">
        <v>5934</v>
      </c>
      <c r="E1649" s="1">
        <v>1.0</v>
      </c>
      <c r="F1649" s="1">
        <v>5.5405249E7</v>
      </c>
      <c r="I1649" s="1">
        <v>0.0</v>
      </c>
      <c r="J1649" s="1">
        <v>745.0</v>
      </c>
      <c r="L1649" s="1">
        <v>798539.0</v>
      </c>
      <c r="N1649" s="1">
        <v>798539.0</v>
      </c>
      <c r="P1649" s="1" t="s">
        <v>5935</v>
      </c>
      <c r="Q1649" s="1" t="s">
        <v>5936</v>
      </c>
      <c r="R1649" s="1" t="s">
        <v>5937</v>
      </c>
      <c r="S1649" s="1">
        <v>1.0</v>
      </c>
      <c r="T1649" s="1">
        <v>1.0</v>
      </c>
      <c r="X1649" s="1" t="s">
        <v>56</v>
      </c>
      <c r="Z1649" s="1" t="s">
        <v>5936</v>
      </c>
    </row>
    <row r="1650">
      <c r="A1650" s="3" t="str">
        <f>HYPERLINK("https://stackoverflow.com/q/55491667", "55491667")</f>
        <v>55491667</v>
      </c>
      <c r="B1650" s="1" t="s">
        <v>4681</v>
      </c>
      <c r="C1650" s="1" t="s">
        <v>5938</v>
      </c>
      <c r="D1650" s="2" t="s">
        <v>5939</v>
      </c>
      <c r="E1650" s="1">
        <v>1.0</v>
      </c>
      <c r="I1650" s="1">
        <v>1.0</v>
      </c>
      <c r="J1650" s="1">
        <v>166.0</v>
      </c>
      <c r="L1650" s="1">
        <v>438853.0</v>
      </c>
      <c r="N1650" s="1">
        <v>1.0504999E7</v>
      </c>
      <c r="P1650" s="1" t="s">
        <v>5940</v>
      </c>
      <c r="Q1650" s="1" t="s">
        <v>5940</v>
      </c>
      <c r="R1650" s="1" t="s">
        <v>4779</v>
      </c>
      <c r="S1650" s="1">
        <v>0.0</v>
      </c>
      <c r="T1650" s="1">
        <v>0.0</v>
      </c>
      <c r="X1650" s="1" t="s">
        <v>56</v>
      </c>
    </row>
    <row r="1651">
      <c r="A1651" s="3" t="str">
        <f>HYPERLINK("https://stackoverflow.com/q/55511963", "55511963")</f>
        <v>55511963</v>
      </c>
      <c r="B1651" s="1" t="s">
        <v>4681</v>
      </c>
      <c r="C1651" s="1" t="s">
        <v>5941</v>
      </c>
      <c r="D1651" s="2" t="s">
        <v>5942</v>
      </c>
      <c r="E1651" s="1">
        <v>1.0</v>
      </c>
      <c r="I1651" s="1">
        <v>0.0</v>
      </c>
      <c r="J1651" s="1">
        <v>412.0</v>
      </c>
      <c r="L1651" s="1">
        <v>6028863.0</v>
      </c>
      <c r="N1651" s="1">
        <v>6028863.0</v>
      </c>
      <c r="P1651" s="1" t="s">
        <v>5943</v>
      </c>
      <c r="Q1651" s="1" t="s">
        <v>5944</v>
      </c>
      <c r="R1651" s="1" t="s">
        <v>5093</v>
      </c>
      <c r="S1651" s="1">
        <v>1.0</v>
      </c>
      <c r="T1651" s="1">
        <v>0.0</v>
      </c>
      <c r="X1651" s="1" t="s">
        <v>56</v>
      </c>
    </row>
    <row r="1652">
      <c r="A1652" s="3" t="str">
        <f>HYPERLINK("https://stackoverflow.com/q/55525227", "55525227")</f>
        <v>55525227</v>
      </c>
      <c r="B1652" s="1" t="s">
        <v>4681</v>
      </c>
      <c r="C1652" s="1" t="s">
        <v>5945</v>
      </c>
      <c r="D1652" s="2" t="s">
        <v>5946</v>
      </c>
      <c r="E1652" s="1">
        <v>1.0</v>
      </c>
      <c r="I1652" s="1">
        <v>1.0</v>
      </c>
      <c r="J1652" s="1">
        <v>404.0</v>
      </c>
      <c r="L1652" s="1">
        <v>1.0465213E7</v>
      </c>
      <c r="N1652" s="1">
        <v>7920473.0</v>
      </c>
      <c r="P1652" s="1" t="s">
        <v>5947</v>
      </c>
      <c r="Q1652" s="1" t="s">
        <v>5948</v>
      </c>
      <c r="R1652" s="1" t="s">
        <v>5949</v>
      </c>
      <c r="S1652" s="1">
        <v>1.0</v>
      </c>
      <c r="T1652" s="1">
        <v>7.0</v>
      </c>
      <c r="U1652" s="1">
        <v>1.0</v>
      </c>
      <c r="X1652" s="1" t="s">
        <v>56</v>
      </c>
    </row>
    <row r="1653">
      <c r="A1653" s="3" t="str">
        <f>HYPERLINK("https://stackoverflow.com/q/55574590", "55574590")</f>
        <v>55574590</v>
      </c>
      <c r="B1653" s="1" t="s">
        <v>4681</v>
      </c>
      <c r="C1653" s="1" t="s">
        <v>5950</v>
      </c>
      <c r="D1653" s="2" t="s">
        <v>5951</v>
      </c>
      <c r="E1653" s="1">
        <v>1.0</v>
      </c>
      <c r="I1653" s="1">
        <v>1.0</v>
      </c>
      <c r="J1653" s="1">
        <v>164.0</v>
      </c>
      <c r="L1653" s="1">
        <v>1491951.0</v>
      </c>
      <c r="Q1653" s="1" t="s">
        <v>5952</v>
      </c>
      <c r="R1653" s="1" t="s">
        <v>5093</v>
      </c>
      <c r="S1653" s="1">
        <v>1.0</v>
      </c>
      <c r="T1653" s="1">
        <v>3.0</v>
      </c>
      <c r="X1653" s="1" t="s">
        <v>56</v>
      </c>
    </row>
    <row r="1654">
      <c r="A1654" s="3" t="str">
        <f>HYPERLINK("https://stackoverflow.com/q/55628468", "55628468")</f>
        <v>55628468</v>
      </c>
      <c r="B1654" s="1" t="s">
        <v>4681</v>
      </c>
      <c r="C1654" s="1" t="s">
        <v>5953</v>
      </c>
      <c r="D1654" s="2" t="s">
        <v>5954</v>
      </c>
      <c r="E1654" s="1">
        <v>1.0</v>
      </c>
      <c r="I1654" s="1">
        <v>0.0</v>
      </c>
      <c r="J1654" s="1">
        <v>397.0</v>
      </c>
      <c r="L1654" s="1">
        <v>3985645.0</v>
      </c>
      <c r="Q1654" s="1" t="s">
        <v>5955</v>
      </c>
      <c r="R1654" s="1" t="s">
        <v>5559</v>
      </c>
      <c r="S1654" s="1">
        <v>1.0</v>
      </c>
      <c r="T1654" s="1">
        <v>0.0</v>
      </c>
      <c r="X1654" s="1" t="s">
        <v>56</v>
      </c>
    </row>
    <row r="1655">
      <c r="A1655" s="3" t="str">
        <f>HYPERLINK("https://stackoverflow.com/q/55710608", "55710608")</f>
        <v>55710608</v>
      </c>
      <c r="B1655" s="1" t="s">
        <v>4681</v>
      </c>
      <c r="C1655" s="1" t="s">
        <v>5956</v>
      </c>
      <c r="D1655" s="2" t="s">
        <v>5957</v>
      </c>
      <c r="E1655" s="1">
        <v>1.0</v>
      </c>
      <c r="I1655" s="1">
        <v>2.0</v>
      </c>
      <c r="J1655" s="1">
        <v>305.0</v>
      </c>
      <c r="L1655" s="1">
        <v>5310084.0</v>
      </c>
      <c r="Q1655" s="1" t="s">
        <v>5958</v>
      </c>
      <c r="R1655" s="1" t="s">
        <v>5959</v>
      </c>
      <c r="S1655" s="1">
        <v>1.0</v>
      </c>
      <c r="T1655" s="1">
        <v>0.0</v>
      </c>
      <c r="X1655" s="1" t="s">
        <v>56</v>
      </c>
    </row>
    <row r="1656">
      <c r="A1656" s="3" t="str">
        <f>HYPERLINK("https://stackoverflow.com/q/55714301", "55714301")</f>
        <v>55714301</v>
      </c>
      <c r="B1656" s="1" t="s">
        <v>4681</v>
      </c>
      <c r="C1656" s="1" t="s">
        <v>5960</v>
      </c>
      <c r="D1656" s="2" t="s">
        <v>5961</v>
      </c>
      <c r="E1656" s="1">
        <v>1.0</v>
      </c>
      <c r="I1656" s="1">
        <v>0.0</v>
      </c>
      <c r="J1656" s="1">
        <v>460.0</v>
      </c>
      <c r="L1656" s="1">
        <v>2014781.0</v>
      </c>
      <c r="Q1656" s="1" t="s">
        <v>5962</v>
      </c>
      <c r="R1656" s="1" t="s">
        <v>5730</v>
      </c>
      <c r="S1656" s="1">
        <v>1.0</v>
      </c>
      <c r="T1656" s="1">
        <v>0.0</v>
      </c>
      <c r="X1656" s="1" t="s">
        <v>56</v>
      </c>
    </row>
    <row r="1657">
      <c r="A1657" s="3" t="str">
        <f>HYPERLINK("https://stackoverflow.com/q/55726611", "55726611")</f>
        <v>55726611</v>
      </c>
      <c r="B1657" s="1" t="s">
        <v>4681</v>
      </c>
      <c r="C1657" s="1" t="s">
        <v>5963</v>
      </c>
      <c r="D1657" s="2" t="s">
        <v>5964</v>
      </c>
      <c r="E1657" s="1">
        <v>1.0</v>
      </c>
      <c r="I1657" s="1">
        <v>0.0</v>
      </c>
      <c r="J1657" s="1">
        <v>1440.0</v>
      </c>
      <c r="L1657" s="1">
        <v>7638174.0</v>
      </c>
      <c r="Q1657" s="1" t="s">
        <v>5965</v>
      </c>
      <c r="R1657" s="1" t="s">
        <v>5966</v>
      </c>
      <c r="S1657" s="1">
        <v>1.0</v>
      </c>
      <c r="T1657" s="1">
        <v>0.0</v>
      </c>
      <c r="X1657" s="1" t="s">
        <v>56</v>
      </c>
    </row>
    <row r="1658">
      <c r="A1658" s="3" t="str">
        <f>HYPERLINK("https://stackoverflow.com/q/55738130", "55738130")</f>
        <v>55738130</v>
      </c>
      <c r="B1658" s="1" t="s">
        <v>4681</v>
      </c>
      <c r="C1658" s="1" t="s">
        <v>5967</v>
      </c>
      <c r="D1658" s="2" t="s">
        <v>5968</v>
      </c>
      <c r="E1658" s="1">
        <v>1.0</v>
      </c>
      <c r="I1658" s="1">
        <v>0.0</v>
      </c>
      <c r="J1658" s="1">
        <v>87.0</v>
      </c>
      <c r="L1658" s="1">
        <v>2595610.0</v>
      </c>
      <c r="N1658" s="1">
        <v>2595610.0</v>
      </c>
      <c r="P1658" s="1" t="s">
        <v>5969</v>
      </c>
      <c r="Q1658" s="1" t="s">
        <v>5970</v>
      </c>
      <c r="R1658" s="1" t="s">
        <v>5971</v>
      </c>
      <c r="S1658" s="1">
        <v>1.0</v>
      </c>
      <c r="T1658" s="1">
        <v>2.0</v>
      </c>
      <c r="X1658" s="1" t="s">
        <v>56</v>
      </c>
    </row>
    <row r="1659">
      <c r="A1659" s="3" t="str">
        <f>HYPERLINK("https://stackoverflow.com/q/55801290", "55801290")</f>
        <v>55801290</v>
      </c>
      <c r="B1659" s="1" t="s">
        <v>4681</v>
      </c>
      <c r="C1659" s="1" t="s">
        <v>5972</v>
      </c>
      <c r="D1659" s="2" t="s">
        <v>5973</v>
      </c>
      <c r="E1659" s="1">
        <v>1.0</v>
      </c>
      <c r="I1659" s="1">
        <v>1.0</v>
      </c>
      <c r="J1659" s="1">
        <v>109.0</v>
      </c>
      <c r="L1659" s="1">
        <v>1491951.0</v>
      </c>
      <c r="Q1659" s="1" t="s">
        <v>5974</v>
      </c>
      <c r="R1659" s="1" t="s">
        <v>4697</v>
      </c>
      <c r="S1659" s="1">
        <v>0.0</v>
      </c>
      <c r="T1659" s="1">
        <v>1.0</v>
      </c>
      <c r="X1659" s="1" t="s">
        <v>56</v>
      </c>
    </row>
    <row r="1660">
      <c r="A1660" s="3" t="str">
        <f>HYPERLINK("https://stackoverflow.com/q/55807363", "55807363")</f>
        <v>55807363</v>
      </c>
      <c r="B1660" s="1" t="s">
        <v>4681</v>
      </c>
      <c r="C1660" s="1" t="s">
        <v>5975</v>
      </c>
      <c r="D1660" s="2" t="s">
        <v>5976</v>
      </c>
      <c r="E1660" s="1">
        <v>1.0</v>
      </c>
      <c r="I1660" s="1">
        <v>1.0</v>
      </c>
      <c r="J1660" s="1">
        <v>58.0</v>
      </c>
      <c r="L1660" s="1">
        <v>4748578.0</v>
      </c>
      <c r="Q1660" s="1" t="s">
        <v>5977</v>
      </c>
      <c r="R1660" s="1" t="s">
        <v>4697</v>
      </c>
      <c r="S1660" s="1">
        <v>1.0</v>
      </c>
      <c r="T1660" s="1">
        <v>0.0</v>
      </c>
      <c r="X1660" s="1" t="s">
        <v>56</v>
      </c>
    </row>
    <row r="1661">
      <c r="A1661" s="3" t="str">
        <f>HYPERLINK("https://stackoverflow.com/q/55827343", "55827343")</f>
        <v>55827343</v>
      </c>
      <c r="B1661" s="1" t="s">
        <v>4681</v>
      </c>
      <c r="C1661" s="1" t="s">
        <v>5978</v>
      </c>
      <c r="D1661" s="2" t="s">
        <v>5979</v>
      </c>
      <c r="E1661" s="1">
        <v>1.0</v>
      </c>
      <c r="I1661" s="1">
        <v>1.0</v>
      </c>
      <c r="J1661" s="1">
        <v>28.0</v>
      </c>
      <c r="L1661" s="1">
        <v>4748578.0</v>
      </c>
      <c r="Q1661" s="1" t="s">
        <v>5978</v>
      </c>
      <c r="R1661" s="1" t="s">
        <v>5980</v>
      </c>
      <c r="S1661" s="1">
        <v>0.0</v>
      </c>
      <c r="T1661" s="1">
        <v>0.0</v>
      </c>
      <c r="X1661" s="1" t="s">
        <v>56</v>
      </c>
    </row>
    <row r="1662">
      <c r="A1662" s="3" t="str">
        <f>HYPERLINK("https://stackoverflow.com/q/55832224", "55832224")</f>
        <v>55832224</v>
      </c>
      <c r="B1662" s="1" t="s">
        <v>4681</v>
      </c>
      <c r="C1662" s="1" t="s">
        <v>5981</v>
      </c>
      <c r="D1662" s="2" t="s">
        <v>5982</v>
      </c>
      <c r="E1662" s="1">
        <v>1.0</v>
      </c>
      <c r="I1662" s="1">
        <v>1.0</v>
      </c>
      <c r="J1662" s="1">
        <v>83.0</v>
      </c>
      <c r="L1662" s="1">
        <v>3835236.0</v>
      </c>
      <c r="N1662" s="1">
        <v>7920473.0</v>
      </c>
      <c r="P1662" s="1" t="s">
        <v>5983</v>
      </c>
      <c r="Q1662" s="1" t="s">
        <v>5983</v>
      </c>
      <c r="R1662" s="1" t="s">
        <v>5984</v>
      </c>
      <c r="S1662" s="1">
        <v>0.0</v>
      </c>
      <c r="T1662" s="1">
        <v>0.0</v>
      </c>
      <c r="X1662" s="1" t="s">
        <v>56</v>
      </c>
    </row>
    <row r="1663">
      <c r="A1663" s="3" t="str">
        <f>HYPERLINK("https://stackoverflow.com/q/55835107", "55835107")</f>
        <v>55835107</v>
      </c>
      <c r="B1663" s="1" t="s">
        <v>4681</v>
      </c>
      <c r="C1663" s="1" t="s">
        <v>5985</v>
      </c>
      <c r="D1663" s="2" t="s">
        <v>5986</v>
      </c>
      <c r="E1663" s="1">
        <v>1.0</v>
      </c>
      <c r="F1663" s="1">
        <v>5.5835283E7</v>
      </c>
      <c r="I1663" s="1">
        <v>2.0</v>
      </c>
      <c r="J1663" s="1">
        <v>148.0</v>
      </c>
      <c r="L1663" s="1">
        <v>7638174.0</v>
      </c>
      <c r="Q1663" s="1" t="s">
        <v>5987</v>
      </c>
      <c r="R1663" s="1" t="s">
        <v>5759</v>
      </c>
      <c r="S1663" s="1">
        <v>1.0</v>
      </c>
      <c r="T1663" s="1">
        <v>0.0</v>
      </c>
      <c r="X1663" s="1" t="s">
        <v>56</v>
      </c>
      <c r="Z1663" s="1" t="s">
        <v>5987</v>
      </c>
    </row>
    <row r="1664">
      <c r="A1664" s="3" t="str">
        <f>HYPERLINK("https://stackoverflow.com/q/55835640", "55835640")</f>
        <v>55835640</v>
      </c>
      <c r="B1664" s="1" t="s">
        <v>4681</v>
      </c>
      <c r="C1664" s="1" t="s">
        <v>5988</v>
      </c>
      <c r="D1664" s="2" t="s">
        <v>5989</v>
      </c>
      <c r="E1664" s="1">
        <v>1.0</v>
      </c>
      <c r="F1664" s="1">
        <v>5.5837217E7</v>
      </c>
      <c r="I1664" s="1">
        <v>1.0</v>
      </c>
      <c r="J1664" s="1">
        <v>654.0</v>
      </c>
      <c r="L1664" s="1">
        <v>7638174.0</v>
      </c>
      <c r="N1664" s="1">
        <v>7638174.0</v>
      </c>
      <c r="P1664" s="1" t="s">
        <v>5990</v>
      </c>
      <c r="Q1664" s="1" t="s">
        <v>5991</v>
      </c>
      <c r="R1664" s="1" t="s">
        <v>5992</v>
      </c>
      <c r="S1664" s="1">
        <v>1.0</v>
      </c>
      <c r="T1664" s="1">
        <v>0.0</v>
      </c>
      <c r="X1664" s="1" t="s">
        <v>56</v>
      </c>
      <c r="Z1664" s="1" t="s">
        <v>5993</v>
      </c>
    </row>
    <row r="1665">
      <c r="A1665" s="3" t="str">
        <f>HYPERLINK("https://stackoverflow.com/q/55864354", "55864354")</f>
        <v>55864354</v>
      </c>
      <c r="B1665" s="1" t="s">
        <v>4681</v>
      </c>
      <c r="C1665" s="1" t="s">
        <v>5994</v>
      </c>
      <c r="D1665" s="2" t="s">
        <v>5995</v>
      </c>
      <c r="E1665" s="1">
        <v>1.0</v>
      </c>
      <c r="F1665" s="1">
        <v>5.9239019E7</v>
      </c>
      <c r="I1665" s="1">
        <v>2.0</v>
      </c>
      <c r="J1665" s="1">
        <v>107.0</v>
      </c>
      <c r="L1665" s="1">
        <v>1.0775364E7</v>
      </c>
      <c r="N1665" s="1">
        <v>7920473.0</v>
      </c>
      <c r="P1665" s="1" t="s">
        <v>5996</v>
      </c>
      <c r="Q1665" s="1" t="s">
        <v>5996</v>
      </c>
      <c r="R1665" s="1" t="s">
        <v>5338</v>
      </c>
      <c r="S1665" s="1">
        <v>1.0</v>
      </c>
      <c r="T1665" s="1">
        <v>0.0</v>
      </c>
      <c r="U1665" s="1">
        <v>1.0</v>
      </c>
      <c r="X1665" s="1" t="s">
        <v>56</v>
      </c>
      <c r="Z1665" s="1" t="s">
        <v>5997</v>
      </c>
    </row>
    <row r="1666">
      <c r="A1666" s="3" t="str">
        <f>HYPERLINK("https://stackoverflow.com/q/55866393", "55866393")</f>
        <v>55866393</v>
      </c>
      <c r="B1666" s="1" t="s">
        <v>4681</v>
      </c>
      <c r="C1666" s="1" t="s">
        <v>5998</v>
      </c>
      <c r="D1666" s="2" t="s">
        <v>5999</v>
      </c>
      <c r="E1666" s="1">
        <v>1.0</v>
      </c>
      <c r="F1666" s="1">
        <v>5.6421806E7</v>
      </c>
      <c r="I1666" s="1">
        <v>1.0</v>
      </c>
      <c r="J1666" s="1">
        <v>192.0</v>
      </c>
      <c r="L1666" s="1">
        <v>1.1415445E7</v>
      </c>
      <c r="N1666" s="1">
        <v>9793532.0</v>
      </c>
      <c r="P1666" s="1" t="s">
        <v>6000</v>
      </c>
      <c r="Q1666" s="1" t="s">
        <v>6001</v>
      </c>
      <c r="R1666" s="1" t="s">
        <v>6002</v>
      </c>
      <c r="S1666" s="1">
        <v>1.0</v>
      </c>
      <c r="T1666" s="1">
        <v>0.0</v>
      </c>
      <c r="X1666" s="1" t="s">
        <v>56</v>
      </c>
      <c r="Z1666" s="1" t="s">
        <v>6001</v>
      </c>
    </row>
    <row r="1667">
      <c r="A1667" s="3" t="str">
        <f>HYPERLINK("https://stackoverflow.com/q/55905651", "55905651")</f>
        <v>55905651</v>
      </c>
      <c r="B1667" s="1" t="s">
        <v>4681</v>
      </c>
      <c r="C1667" s="1" t="s">
        <v>6003</v>
      </c>
      <c r="D1667" s="2" t="s">
        <v>6004</v>
      </c>
      <c r="E1667" s="1">
        <v>1.0</v>
      </c>
      <c r="F1667" s="1">
        <v>5.5905966E7</v>
      </c>
      <c r="I1667" s="1">
        <v>1.0</v>
      </c>
      <c r="J1667" s="1">
        <v>543.0</v>
      </c>
      <c r="L1667" s="1">
        <v>2909306.0</v>
      </c>
      <c r="Q1667" s="1" t="s">
        <v>6005</v>
      </c>
      <c r="R1667" s="1" t="s">
        <v>6006</v>
      </c>
      <c r="S1667" s="1">
        <v>1.0</v>
      </c>
      <c r="T1667" s="1">
        <v>0.0</v>
      </c>
      <c r="X1667" s="1" t="s">
        <v>56</v>
      </c>
      <c r="Z1667" s="1" t="s">
        <v>6005</v>
      </c>
    </row>
    <row r="1668">
      <c r="A1668" s="3" t="str">
        <f>HYPERLINK("https://stackoverflow.com/q/55991295", "55991295")</f>
        <v>55991295</v>
      </c>
      <c r="B1668" s="1" t="s">
        <v>4681</v>
      </c>
      <c r="C1668" s="1" t="s">
        <v>6007</v>
      </c>
      <c r="D1668" s="2" t="s">
        <v>6008</v>
      </c>
      <c r="E1668" s="1">
        <v>1.0</v>
      </c>
      <c r="I1668" s="1">
        <v>1.0</v>
      </c>
      <c r="J1668" s="1">
        <v>152.0</v>
      </c>
      <c r="L1668" s="1">
        <v>6593574.0</v>
      </c>
      <c r="Q1668" s="1" t="s">
        <v>6007</v>
      </c>
      <c r="R1668" s="1" t="s">
        <v>6009</v>
      </c>
      <c r="S1668" s="1">
        <v>0.0</v>
      </c>
      <c r="T1668" s="1">
        <v>0.0</v>
      </c>
      <c r="X1668" s="1" t="s">
        <v>56</v>
      </c>
    </row>
    <row r="1669">
      <c r="A1669" s="3" t="str">
        <f>HYPERLINK("https://stackoverflow.com/q/56001929", "56001929")</f>
        <v>56001929</v>
      </c>
      <c r="B1669" s="1" t="s">
        <v>4681</v>
      </c>
      <c r="C1669" s="1" t="s">
        <v>6010</v>
      </c>
      <c r="D1669" s="2" t="s">
        <v>6011</v>
      </c>
      <c r="E1669" s="1">
        <v>1.0</v>
      </c>
      <c r="I1669" s="1">
        <v>1.0</v>
      </c>
      <c r="J1669" s="1">
        <v>43.0</v>
      </c>
      <c r="L1669" s="1">
        <v>9905346.0</v>
      </c>
      <c r="N1669" s="1">
        <v>1.0103772E7</v>
      </c>
      <c r="P1669" s="1" t="s">
        <v>6012</v>
      </c>
      <c r="Q1669" s="1" t="s">
        <v>6013</v>
      </c>
      <c r="R1669" s="1" t="s">
        <v>6014</v>
      </c>
      <c r="S1669" s="1">
        <v>1.0</v>
      </c>
      <c r="T1669" s="1">
        <v>0.0</v>
      </c>
      <c r="X1669" s="1" t="s">
        <v>56</v>
      </c>
    </row>
    <row r="1670">
      <c r="A1670" s="3" t="str">
        <f>HYPERLINK("https://stackoverflow.com/q/56006287", "56006287")</f>
        <v>56006287</v>
      </c>
      <c r="B1670" s="1" t="s">
        <v>4681</v>
      </c>
      <c r="C1670" s="1" t="s">
        <v>6015</v>
      </c>
      <c r="D1670" s="2" t="s">
        <v>6016</v>
      </c>
      <c r="E1670" s="1">
        <v>1.0</v>
      </c>
      <c r="I1670" s="1">
        <v>1.0</v>
      </c>
      <c r="J1670" s="1">
        <v>46.0</v>
      </c>
      <c r="L1670" s="1">
        <v>8038721.0</v>
      </c>
      <c r="Q1670" s="1" t="s">
        <v>6017</v>
      </c>
      <c r="R1670" s="1" t="s">
        <v>6018</v>
      </c>
      <c r="S1670" s="1">
        <v>1.0</v>
      </c>
      <c r="T1670" s="1">
        <v>0.0</v>
      </c>
      <c r="X1670" s="1" t="s">
        <v>56</v>
      </c>
    </row>
    <row r="1671">
      <c r="A1671" s="3" t="str">
        <f>HYPERLINK("https://stackoverflow.com/q/56007280", "56007280")</f>
        <v>56007280</v>
      </c>
      <c r="B1671" s="1" t="s">
        <v>4681</v>
      </c>
      <c r="C1671" s="1" t="s">
        <v>6019</v>
      </c>
      <c r="D1671" s="2" t="s">
        <v>6020</v>
      </c>
      <c r="E1671" s="1">
        <v>1.0</v>
      </c>
      <c r="I1671" s="1">
        <v>1.0</v>
      </c>
      <c r="J1671" s="1">
        <v>58.0</v>
      </c>
      <c r="L1671" s="1">
        <v>9308906.0</v>
      </c>
      <c r="N1671" s="1">
        <v>7920473.0</v>
      </c>
      <c r="P1671" s="1" t="s">
        <v>6021</v>
      </c>
      <c r="Q1671" s="1" t="s">
        <v>6021</v>
      </c>
      <c r="R1671" s="1" t="s">
        <v>4697</v>
      </c>
      <c r="S1671" s="1">
        <v>0.0</v>
      </c>
      <c r="T1671" s="1">
        <v>0.0</v>
      </c>
      <c r="X1671" s="1" t="s">
        <v>56</v>
      </c>
    </row>
    <row r="1672">
      <c r="A1672" s="3" t="str">
        <f>HYPERLINK("https://stackoverflow.com/q/56024475", "56024475")</f>
        <v>56024475</v>
      </c>
      <c r="B1672" s="1" t="s">
        <v>4681</v>
      </c>
      <c r="C1672" s="1" t="s">
        <v>6022</v>
      </c>
      <c r="D1672" s="2" t="s">
        <v>6023</v>
      </c>
      <c r="E1672" s="1">
        <v>1.0</v>
      </c>
      <c r="F1672" s="1">
        <v>5.6031916E7</v>
      </c>
      <c r="I1672" s="1">
        <v>1.0</v>
      </c>
      <c r="J1672" s="1">
        <v>245.0</v>
      </c>
      <c r="L1672" s="1">
        <v>9905346.0</v>
      </c>
      <c r="N1672" s="1">
        <v>1.1462111E7</v>
      </c>
      <c r="P1672" s="1" t="s">
        <v>6024</v>
      </c>
      <c r="Q1672" s="1" t="s">
        <v>6024</v>
      </c>
      <c r="R1672" s="1" t="s">
        <v>6025</v>
      </c>
      <c r="S1672" s="1">
        <v>1.0</v>
      </c>
      <c r="T1672" s="1">
        <v>0.0</v>
      </c>
      <c r="X1672" s="1" t="s">
        <v>56</v>
      </c>
      <c r="Z1672" s="1" t="s">
        <v>6026</v>
      </c>
    </row>
    <row r="1673">
      <c r="A1673" s="3" t="str">
        <f>HYPERLINK("https://stackoverflow.com/q/56028910", "56028910")</f>
        <v>56028910</v>
      </c>
      <c r="B1673" s="1" t="s">
        <v>4681</v>
      </c>
      <c r="C1673" s="1" t="s">
        <v>6027</v>
      </c>
      <c r="D1673" s="2" t="s">
        <v>6028</v>
      </c>
      <c r="E1673" s="1">
        <v>1.0</v>
      </c>
      <c r="I1673" s="1">
        <v>2.0</v>
      </c>
      <c r="J1673" s="1">
        <v>2682.0</v>
      </c>
      <c r="L1673" s="1">
        <v>9435207.0</v>
      </c>
      <c r="Q1673" s="1" t="s">
        <v>6029</v>
      </c>
      <c r="R1673" s="1" t="s">
        <v>6030</v>
      </c>
      <c r="S1673" s="1">
        <v>4.0</v>
      </c>
      <c r="T1673" s="1">
        <v>2.0</v>
      </c>
      <c r="X1673" s="1" t="s">
        <v>56</v>
      </c>
    </row>
    <row r="1674">
      <c r="A1674" s="3" t="str">
        <f>HYPERLINK("https://stackoverflow.com/q/56042376", "56042376")</f>
        <v>56042376</v>
      </c>
      <c r="B1674" s="1" t="s">
        <v>4681</v>
      </c>
      <c r="C1674" s="1" t="s">
        <v>6031</v>
      </c>
      <c r="D1674" s="2" t="s">
        <v>6032</v>
      </c>
      <c r="E1674" s="1">
        <v>1.0</v>
      </c>
      <c r="I1674" s="1">
        <v>1.0</v>
      </c>
      <c r="J1674" s="1">
        <v>212.0</v>
      </c>
      <c r="L1674" s="1">
        <v>8038721.0</v>
      </c>
      <c r="Q1674" s="1" t="s">
        <v>6033</v>
      </c>
      <c r="R1674" s="1" t="s">
        <v>6034</v>
      </c>
      <c r="S1674" s="1">
        <v>2.0</v>
      </c>
      <c r="T1674" s="1">
        <v>0.0</v>
      </c>
      <c r="X1674" s="1" t="s">
        <v>56</v>
      </c>
    </row>
    <row r="1675">
      <c r="A1675" s="3" t="str">
        <f>HYPERLINK("https://stackoverflow.com/q/56055688", "56055688")</f>
        <v>56055688</v>
      </c>
      <c r="B1675" s="1" t="s">
        <v>4681</v>
      </c>
      <c r="C1675" s="1" t="s">
        <v>6035</v>
      </c>
      <c r="D1675" s="2" t="s">
        <v>6036</v>
      </c>
      <c r="E1675" s="1">
        <v>1.0</v>
      </c>
      <c r="I1675" s="1">
        <v>0.0</v>
      </c>
      <c r="J1675" s="1">
        <v>135.0</v>
      </c>
      <c r="L1675" s="1">
        <v>9905346.0</v>
      </c>
      <c r="Q1675" s="1" t="s">
        <v>6037</v>
      </c>
      <c r="R1675" s="1" t="s">
        <v>6038</v>
      </c>
      <c r="S1675" s="1">
        <v>1.0</v>
      </c>
      <c r="T1675" s="1">
        <v>0.0</v>
      </c>
      <c r="X1675" s="1" t="s">
        <v>56</v>
      </c>
    </row>
    <row r="1676">
      <c r="A1676" s="3" t="str">
        <f>HYPERLINK("https://stackoverflow.com/q/56074106", "56074106")</f>
        <v>56074106</v>
      </c>
      <c r="B1676" s="1" t="s">
        <v>4681</v>
      </c>
      <c r="C1676" s="1" t="s">
        <v>6039</v>
      </c>
      <c r="D1676" s="2" t="s">
        <v>6040</v>
      </c>
      <c r="E1676" s="1">
        <v>1.0</v>
      </c>
      <c r="I1676" s="1">
        <v>1.0</v>
      </c>
      <c r="J1676" s="1">
        <v>44.0</v>
      </c>
      <c r="L1676" s="1">
        <v>1.1480135E7</v>
      </c>
      <c r="Q1676" s="1" t="s">
        <v>6041</v>
      </c>
      <c r="R1676" s="1" t="s">
        <v>4697</v>
      </c>
      <c r="S1676" s="1">
        <v>1.0</v>
      </c>
      <c r="T1676" s="1">
        <v>0.0</v>
      </c>
      <c r="X1676" s="1" t="s">
        <v>56</v>
      </c>
    </row>
    <row r="1677">
      <c r="A1677" s="3" t="str">
        <f>HYPERLINK("https://stackoverflow.com/q/56084123", "56084123")</f>
        <v>56084123</v>
      </c>
      <c r="B1677" s="1" t="s">
        <v>4681</v>
      </c>
      <c r="C1677" s="1" t="s">
        <v>6042</v>
      </c>
      <c r="D1677" s="2" t="s">
        <v>6043</v>
      </c>
      <c r="E1677" s="1">
        <v>1.0</v>
      </c>
      <c r="F1677" s="1">
        <v>5.6085304E7</v>
      </c>
      <c r="I1677" s="1">
        <v>0.0</v>
      </c>
      <c r="J1677" s="1">
        <v>17.0</v>
      </c>
      <c r="L1677" s="1">
        <v>4140357.0</v>
      </c>
      <c r="Q1677" s="1" t="s">
        <v>6044</v>
      </c>
      <c r="R1677" s="1" t="s">
        <v>6045</v>
      </c>
      <c r="S1677" s="1">
        <v>1.0</v>
      </c>
      <c r="T1677" s="1">
        <v>0.0</v>
      </c>
      <c r="X1677" s="1" t="s">
        <v>56</v>
      </c>
      <c r="Z1677" s="1" t="s">
        <v>6044</v>
      </c>
    </row>
    <row r="1678">
      <c r="A1678" s="3" t="str">
        <f>HYPERLINK("https://stackoverflow.com/q/56116677", "56116677")</f>
        <v>56116677</v>
      </c>
      <c r="B1678" s="1" t="s">
        <v>4681</v>
      </c>
      <c r="C1678" s="1" t="s">
        <v>6046</v>
      </c>
      <c r="D1678" s="2" t="s">
        <v>6047</v>
      </c>
      <c r="E1678" s="1">
        <v>1.0</v>
      </c>
      <c r="I1678" s="1">
        <v>1.0</v>
      </c>
      <c r="J1678" s="1">
        <v>47.0</v>
      </c>
      <c r="L1678" s="1">
        <v>7638174.0</v>
      </c>
      <c r="N1678" s="1">
        <v>7638174.0</v>
      </c>
      <c r="P1678" s="1" t="s">
        <v>6048</v>
      </c>
      <c r="Q1678" s="1" t="s">
        <v>6048</v>
      </c>
      <c r="R1678" s="1" t="s">
        <v>5759</v>
      </c>
      <c r="S1678" s="1">
        <v>0.0</v>
      </c>
      <c r="T1678" s="1">
        <v>1.0</v>
      </c>
      <c r="X1678" s="1" t="s">
        <v>56</v>
      </c>
    </row>
    <row r="1679">
      <c r="A1679" s="3" t="str">
        <f>HYPERLINK("https://stackoverflow.com/q/56162698", "56162698")</f>
        <v>56162698</v>
      </c>
      <c r="B1679" s="1" t="s">
        <v>4681</v>
      </c>
      <c r="C1679" s="1" t="s">
        <v>6049</v>
      </c>
      <c r="D1679" s="2" t="s">
        <v>6050</v>
      </c>
      <c r="E1679" s="1">
        <v>1.0</v>
      </c>
      <c r="I1679" s="1">
        <v>0.0</v>
      </c>
      <c r="J1679" s="1">
        <v>144.0</v>
      </c>
      <c r="L1679" s="1">
        <v>6060429.0</v>
      </c>
      <c r="N1679" s="1">
        <v>6060429.0</v>
      </c>
      <c r="P1679" s="1" t="s">
        <v>6051</v>
      </c>
      <c r="Q1679" s="1" t="s">
        <v>6051</v>
      </c>
      <c r="R1679" s="1" t="s">
        <v>4697</v>
      </c>
      <c r="S1679" s="1">
        <v>2.0</v>
      </c>
      <c r="T1679" s="1">
        <v>0.0</v>
      </c>
      <c r="X1679" s="1" t="s">
        <v>56</v>
      </c>
    </row>
    <row r="1680">
      <c r="A1680" s="3" t="str">
        <f>HYPERLINK("https://stackoverflow.com/q/56166973", "56166973")</f>
        <v>56166973</v>
      </c>
      <c r="B1680" s="1" t="s">
        <v>4681</v>
      </c>
      <c r="C1680" s="1" t="s">
        <v>6052</v>
      </c>
      <c r="D1680" s="2" t="s">
        <v>6053</v>
      </c>
      <c r="E1680" s="1">
        <v>1.0</v>
      </c>
      <c r="F1680" s="1">
        <v>5.6181452E7</v>
      </c>
      <c r="I1680" s="1">
        <v>0.0</v>
      </c>
      <c r="J1680" s="1">
        <v>1603.0</v>
      </c>
      <c r="L1680" s="1">
        <v>7638174.0</v>
      </c>
      <c r="Q1680" s="1" t="s">
        <v>6054</v>
      </c>
      <c r="R1680" s="1" t="s">
        <v>6055</v>
      </c>
      <c r="S1680" s="1">
        <v>1.0</v>
      </c>
      <c r="T1680" s="1">
        <v>0.0</v>
      </c>
      <c r="X1680" s="1" t="s">
        <v>56</v>
      </c>
      <c r="Z1680" s="1" t="s">
        <v>6056</v>
      </c>
    </row>
    <row r="1681">
      <c r="A1681" s="3" t="str">
        <f>HYPERLINK("https://stackoverflow.com/q/56178580", "56178580")</f>
        <v>56178580</v>
      </c>
      <c r="B1681" s="1" t="s">
        <v>4681</v>
      </c>
      <c r="C1681" s="1" t="s">
        <v>6057</v>
      </c>
      <c r="D1681" s="2" t="s">
        <v>6058</v>
      </c>
      <c r="E1681" s="1">
        <v>1.0</v>
      </c>
      <c r="I1681" s="1">
        <v>0.0</v>
      </c>
      <c r="J1681" s="1">
        <v>70.0</v>
      </c>
      <c r="L1681" s="1">
        <v>1.1501061E7</v>
      </c>
      <c r="N1681" s="1">
        <v>13302.0</v>
      </c>
      <c r="P1681" s="1" t="s">
        <v>6059</v>
      </c>
      <c r="Q1681" s="1" t="s">
        <v>6060</v>
      </c>
      <c r="R1681" s="1" t="s">
        <v>5282</v>
      </c>
      <c r="S1681" s="1">
        <v>1.0</v>
      </c>
      <c r="T1681" s="1">
        <v>0.0</v>
      </c>
      <c r="X1681" s="1" t="s">
        <v>56</v>
      </c>
    </row>
    <row r="1682">
      <c r="A1682" s="3" t="str">
        <f>HYPERLINK("https://stackoverflow.com/q/56180340", "56180340")</f>
        <v>56180340</v>
      </c>
      <c r="B1682" s="1" t="s">
        <v>4681</v>
      </c>
      <c r="C1682" s="1" t="s">
        <v>6061</v>
      </c>
      <c r="D1682" s="2" t="s">
        <v>6062</v>
      </c>
      <c r="E1682" s="1">
        <v>1.0</v>
      </c>
      <c r="I1682" s="1">
        <v>0.0</v>
      </c>
      <c r="J1682" s="1">
        <v>56.0</v>
      </c>
      <c r="L1682" s="1">
        <v>1.1501061E7</v>
      </c>
      <c r="Q1682" s="1" t="s">
        <v>6063</v>
      </c>
      <c r="R1682" s="1" t="s">
        <v>6064</v>
      </c>
      <c r="S1682" s="1">
        <v>1.0</v>
      </c>
      <c r="T1682" s="1">
        <v>0.0</v>
      </c>
      <c r="X1682" s="1" t="s">
        <v>56</v>
      </c>
    </row>
    <row r="1683">
      <c r="A1683" s="3" t="str">
        <f>HYPERLINK("https://stackoverflow.com/q/56213578", "56213578")</f>
        <v>56213578</v>
      </c>
      <c r="B1683" s="1" t="s">
        <v>4681</v>
      </c>
      <c r="C1683" s="1" t="s">
        <v>6065</v>
      </c>
      <c r="D1683" s="2" t="s">
        <v>6066</v>
      </c>
      <c r="E1683" s="1">
        <v>1.0</v>
      </c>
      <c r="I1683" s="1">
        <v>0.0</v>
      </c>
      <c r="J1683" s="1">
        <v>41.0</v>
      </c>
      <c r="L1683" s="1">
        <v>1.1525768E7</v>
      </c>
      <c r="N1683" s="1">
        <v>5436880.0</v>
      </c>
      <c r="P1683" s="1" t="s">
        <v>6067</v>
      </c>
      <c r="Q1683" s="1" t="s">
        <v>6068</v>
      </c>
      <c r="R1683" s="1" t="s">
        <v>6069</v>
      </c>
      <c r="S1683" s="1">
        <v>1.0</v>
      </c>
      <c r="T1683" s="1">
        <v>1.0</v>
      </c>
      <c r="X1683" s="1" t="s">
        <v>56</v>
      </c>
    </row>
    <row r="1684">
      <c r="A1684" s="3" t="str">
        <f>HYPERLINK("https://stackoverflow.com/q/56229332", "56229332")</f>
        <v>56229332</v>
      </c>
      <c r="B1684" s="1" t="s">
        <v>4681</v>
      </c>
      <c r="C1684" s="1" t="s">
        <v>6070</v>
      </c>
      <c r="D1684" s="2" t="s">
        <v>6071</v>
      </c>
      <c r="E1684" s="1">
        <v>1.0</v>
      </c>
      <c r="F1684" s="1">
        <v>5.6242367E7</v>
      </c>
      <c r="I1684" s="1">
        <v>0.0</v>
      </c>
      <c r="J1684" s="1">
        <v>825.0</v>
      </c>
      <c r="L1684" s="1">
        <v>1.153079E7</v>
      </c>
      <c r="N1684" s="1">
        <v>1.1789497E7</v>
      </c>
      <c r="P1684" s="1" t="s">
        <v>6072</v>
      </c>
      <c r="Q1684" s="1" t="s">
        <v>6072</v>
      </c>
      <c r="R1684" s="1" t="s">
        <v>4697</v>
      </c>
      <c r="S1684" s="1">
        <v>2.0</v>
      </c>
      <c r="T1684" s="1">
        <v>0.0</v>
      </c>
      <c r="X1684" s="1" t="s">
        <v>56</v>
      </c>
      <c r="Z1684" s="1" t="s">
        <v>6073</v>
      </c>
    </row>
    <row r="1685">
      <c r="A1685" s="3" t="str">
        <f>HYPERLINK("https://stackoverflow.com/q/56235510", "56235510")</f>
        <v>56235510</v>
      </c>
      <c r="B1685" s="1" t="s">
        <v>4681</v>
      </c>
      <c r="C1685" s="1" t="s">
        <v>6074</v>
      </c>
      <c r="D1685" s="2" t="s">
        <v>6075</v>
      </c>
      <c r="E1685" s="1">
        <v>1.0</v>
      </c>
      <c r="I1685" s="1">
        <v>0.0</v>
      </c>
      <c r="J1685" s="1">
        <v>240.0</v>
      </c>
      <c r="L1685" s="1">
        <v>1.130969E7</v>
      </c>
      <c r="Q1685" s="1" t="s">
        <v>6074</v>
      </c>
      <c r="R1685" s="1" t="s">
        <v>6076</v>
      </c>
      <c r="S1685" s="1">
        <v>0.0</v>
      </c>
      <c r="T1685" s="1">
        <v>3.0</v>
      </c>
      <c r="X1685" s="1" t="s">
        <v>56</v>
      </c>
    </row>
    <row r="1686">
      <c r="A1686" s="3" t="str">
        <f>HYPERLINK("https://stackoverflow.com/q/56300833", "56300833")</f>
        <v>56300833</v>
      </c>
      <c r="B1686" s="1" t="s">
        <v>4681</v>
      </c>
      <c r="C1686" s="1" t="s">
        <v>6077</v>
      </c>
      <c r="D1686" s="2" t="s">
        <v>6078</v>
      </c>
      <c r="E1686" s="1">
        <v>1.0</v>
      </c>
      <c r="I1686" s="1">
        <v>0.0</v>
      </c>
      <c r="J1686" s="1">
        <v>365.0</v>
      </c>
      <c r="L1686" s="1">
        <v>1.1501061E7</v>
      </c>
      <c r="N1686" s="1">
        <v>5436880.0</v>
      </c>
      <c r="P1686" s="1" t="s">
        <v>6079</v>
      </c>
      <c r="Q1686" s="1" t="s">
        <v>6080</v>
      </c>
      <c r="R1686" s="1" t="s">
        <v>6081</v>
      </c>
      <c r="S1686" s="1">
        <v>1.0</v>
      </c>
      <c r="T1686" s="1">
        <v>1.0</v>
      </c>
      <c r="X1686" s="1" t="s">
        <v>56</v>
      </c>
    </row>
    <row r="1687">
      <c r="A1687" s="3" t="str">
        <f>HYPERLINK("https://stackoverflow.com/q/56380897", "56380897")</f>
        <v>56380897</v>
      </c>
      <c r="B1687" s="1" t="s">
        <v>4681</v>
      </c>
      <c r="C1687" s="1" t="s">
        <v>6082</v>
      </c>
      <c r="D1687" s="2" t="s">
        <v>6083</v>
      </c>
      <c r="E1687" s="1">
        <v>1.0</v>
      </c>
      <c r="F1687" s="1">
        <v>5.6403162E7</v>
      </c>
      <c r="I1687" s="1">
        <v>0.0</v>
      </c>
      <c r="J1687" s="1">
        <v>81.0</v>
      </c>
      <c r="L1687" s="1">
        <v>5635035.0</v>
      </c>
      <c r="Q1687" s="1" t="s">
        <v>6084</v>
      </c>
      <c r="R1687" s="1" t="s">
        <v>4836</v>
      </c>
      <c r="S1687" s="1">
        <v>2.0</v>
      </c>
      <c r="T1687" s="1">
        <v>0.0</v>
      </c>
      <c r="X1687" s="1" t="s">
        <v>56</v>
      </c>
      <c r="Z1687" s="1" t="s">
        <v>6085</v>
      </c>
    </row>
    <row r="1688">
      <c r="A1688" s="3" t="str">
        <f>HYPERLINK("https://stackoverflow.com/q/56389977", "56389977")</f>
        <v>56389977</v>
      </c>
      <c r="B1688" s="1" t="s">
        <v>4681</v>
      </c>
      <c r="C1688" s="1" t="s">
        <v>6086</v>
      </c>
      <c r="D1688" s="2" t="s">
        <v>6087</v>
      </c>
      <c r="E1688" s="1">
        <v>1.0</v>
      </c>
      <c r="I1688" s="1">
        <v>2.0</v>
      </c>
      <c r="J1688" s="1">
        <v>152.0</v>
      </c>
      <c r="L1688" s="1">
        <v>899578.0</v>
      </c>
      <c r="N1688" s="1">
        <v>899578.0</v>
      </c>
      <c r="P1688" s="1" t="s">
        <v>6088</v>
      </c>
      <c r="Q1688" s="1" t="s">
        <v>6088</v>
      </c>
      <c r="R1688" s="1" t="s">
        <v>6089</v>
      </c>
      <c r="S1688" s="1">
        <v>0.0</v>
      </c>
      <c r="T1688" s="1">
        <v>9.0</v>
      </c>
      <c r="X1688" s="1" t="s">
        <v>56</v>
      </c>
    </row>
    <row r="1689">
      <c r="A1689" s="3" t="str">
        <f>HYPERLINK("https://stackoverflow.com/q/56394710", "56394710")</f>
        <v>56394710</v>
      </c>
      <c r="B1689" s="1" t="s">
        <v>4681</v>
      </c>
      <c r="C1689" s="1" t="s">
        <v>6090</v>
      </c>
      <c r="D1689" s="2" t="s">
        <v>6091</v>
      </c>
      <c r="E1689" s="1">
        <v>1.0</v>
      </c>
      <c r="I1689" s="1">
        <v>1.0</v>
      </c>
      <c r="J1689" s="1">
        <v>158.0</v>
      </c>
      <c r="L1689" s="1">
        <v>1.0311199E7</v>
      </c>
      <c r="Q1689" s="1" t="s">
        <v>6092</v>
      </c>
      <c r="R1689" s="1" t="s">
        <v>4697</v>
      </c>
      <c r="S1689" s="1">
        <v>1.0</v>
      </c>
      <c r="T1689" s="1">
        <v>0.0</v>
      </c>
      <c r="X1689" s="1" t="s">
        <v>56</v>
      </c>
    </row>
    <row r="1690">
      <c r="A1690" s="3" t="str">
        <f>HYPERLINK("https://stackoverflow.com/q/56420263", "56420263")</f>
        <v>56420263</v>
      </c>
      <c r="B1690" s="1" t="s">
        <v>4681</v>
      </c>
      <c r="C1690" s="1" t="s">
        <v>6093</v>
      </c>
      <c r="D1690" s="2" t="s">
        <v>6094</v>
      </c>
      <c r="E1690" s="1">
        <v>1.0</v>
      </c>
      <c r="I1690" s="1">
        <v>0.0</v>
      </c>
      <c r="J1690" s="1">
        <v>260.0</v>
      </c>
      <c r="L1690" s="1">
        <v>1993744.0</v>
      </c>
      <c r="N1690" s="1">
        <v>735446.0</v>
      </c>
      <c r="P1690" s="1" t="s">
        <v>6095</v>
      </c>
      <c r="Q1690" s="1" t="s">
        <v>6096</v>
      </c>
      <c r="R1690" s="1" t="s">
        <v>4697</v>
      </c>
      <c r="S1690" s="1">
        <v>2.0</v>
      </c>
      <c r="T1690" s="1">
        <v>0.0</v>
      </c>
      <c r="X1690" s="1" t="s">
        <v>56</v>
      </c>
    </row>
    <row r="1691">
      <c r="A1691" s="3" t="str">
        <f>HYPERLINK("https://stackoverflow.com/q/56481283", "56481283")</f>
        <v>56481283</v>
      </c>
      <c r="B1691" s="1" t="s">
        <v>4681</v>
      </c>
      <c r="C1691" s="1" t="s">
        <v>6097</v>
      </c>
      <c r="D1691" s="2" t="s">
        <v>6098</v>
      </c>
      <c r="E1691" s="1">
        <v>1.0</v>
      </c>
      <c r="I1691" s="1">
        <v>0.0</v>
      </c>
      <c r="J1691" s="1">
        <v>82.0</v>
      </c>
      <c r="L1691" s="1">
        <v>1.1610042E7</v>
      </c>
      <c r="Q1691" s="1" t="s">
        <v>6097</v>
      </c>
      <c r="R1691" s="1" t="s">
        <v>4697</v>
      </c>
      <c r="S1691" s="1">
        <v>0.0</v>
      </c>
      <c r="T1691" s="1">
        <v>2.0</v>
      </c>
      <c r="X1691" s="1" t="s">
        <v>56</v>
      </c>
    </row>
    <row r="1692">
      <c r="A1692" s="3" t="str">
        <f>HYPERLINK("https://stackoverflow.com/q/56539668", "56539668")</f>
        <v>56539668</v>
      </c>
      <c r="B1692" s="1" t="s">
        <v>4681</v>
      </c>
      <c r="C1692" s="1" t="s">
        <v>6099</v>
      </c>
      <c r="D1692" s="2" t="s">
        <v>6100</v>
      </c>
      <c r="E1692" s="1">
        <v>1.0</v>
      </c>
      <c r="I1692" s="1">
        <v>0.0</v>
      </c>
      <c r="J1692" s="1">
        <v>70.0</v>
      </c>
      <c r="L1692" s="1">
        <v>2174780.0</v>
      </c>
      <c r="Q1692" s="1" t="s">
        <v>6101</v>
      </c>
      <c r="R1692" s="1" t="s">
        <v>6102</v>
      </c>
      <c r="S1692" s="1">
        <v>1.0</v>
      </c>
      <c r="T1692" s="1">
        <v>4.0</v>
      </c>
      <c r="X1692" s="1" t="s">
        <v>56</v>
      </c>
    </row>
    <row r="1693">
      <c r="A1693" s="3" t="str">
        <f>HYPERLINK("https://stackoverflow.com/q/56564515", "56564515")</f>
        <v>56564515</v>
      </c>
      <c r="B1693" s="1" t="s">
        <v>4681</v>
      </c>
      <c r="C1693" s="1" t="s">
        <v>6103</v>
      </c>
      <c r="D1693" s="2" t="s">
        <v>6104</v>
      </c>
      <c r="E1693" s="1">
        <v>1.0</v>
      </c>
      <c r="F1693" s="1">
        <v>5.6584682E7</v>
      </c>
      <c r="I1693" s="1">
        <v>0.0</v>
      </c>
      <c r="J1693" s="1">
        <v>71.0</v>
      </c>
      <c r="L1693" s="1">
        <v>1.0918032E7</v>
      </c>
      <c r="N1693" s="1">
        <v>751090.0</v>
      </c>
      <c r="P1693" s="1" t="s">
        <v>6105</v>
      </c>
      <c r="Q1693" s="1" t="s">
        <v>6106</v>
      </c>
      <c r="R1693" s="1" t="s">
        <v>6107</v>
      </c>
      <c r="S1693" s="1">
        <v>1.0</v>
      </c>
      <c r="T1693" s="1">
        <v>0.0</v>
      </c>
      <c r="X1693" s="1" t="s">
        <v>56</v>
      </c>
      <c r="Z1693" s="1" t="s">
        <v>6106</v>
      </c>
    </row>
    <row r="1694">
      <c r="A1694" s="3" t="str">
        <f>HYPERLINK("https://stackoverflow.com/q/56580338", "56580338")</f>
        <v>56580338</v>
      </c>
      <c r="B1694" s="1" t="s">
        <v>4681</v>
      </c>
      <c r="C1694" s="1" t="s">
        <v>6108</v>
      </c>
      <c r="D1694" s="2" t="s">
        <v>6109</v>
      </c>
      <c r="E1694" s="1">
        <v>1.0</v>
      </c>
      <c r="F1694" s="1">
        <v>5.6584236E7</v>
      </c>
      <c r="I1694" s="1">
        <v>0.0</v>
      </c>
      <c r="J1694" s="1">
        <v>1451.0</v>
      </c>
      <c r="L1694" s="1">
        <v>7256235.0</v>
      </c>
      <c r="Q1694" s="1" t="s">
        <v>6110</v>
      </c>
      <c r="R1694" s="1" t="s">
        <v>4697</v>
      </c>
      <c r="S1694" s="1">
        <v>2.0</v>
      </c>
      <c r="T1694" s="1">
        <v>0.0</v>
      </c>
      <c r="X1694" s="1" t="s">
        <v>56</v>
      </c>
      <c r="Z1694" s="1" t="s">
        <v>6110</v>
      </c>
    </row>
    <row r="1695">
      <c r="A1695" s="3" t="str">
        <f>HYPERLINK("https://stackoverflow.com/q/56596515", "56596515")</f>
        <v>56596515</v>
      </c>
      <c r="B1695" s="1" t="s">
        <v>4681</v>
      </c>
      <c r="C1695" s="1" t="s">
        <v>6111</v>
      </c>
      <c r="D1695" s="2" t="s">
        <v>6112</v>
      </c>
      <c r="E1695" s="1">
        <v>1.0</v>
      </c>
      <c r="I1695" s="1">
        <v>2.0</v>
      </c>
      <c r="J1695" s="1">
        <v>1021.0</v>
      </c>
      <c r="L1695" s="1">
        <v>7256235.0</v>
      </c>
      <c r="N1695" s="1">
        <v>7256235.0</v>
      </c>
      <c r="P1695" s="1" t="s">
        <v>6113</v>
      </c>
      <c r="Q1695" s="1" t="s">
        <v>6114</v>
      </c>
      <c r="R1695" s="1" t="s">
        <v>4697</v>
      </c>
      <c r="S1695" s="1">
        <v>1.0</v>
      </c>
      <c r="T1695" s="1">
        <v>0.0</v>
      </c>
      <c r="X1695" s="1" t="s">
        <v>56</v>
      </c>
    </row>
    <row r="1696">
      <c r="A1696" s="3" t="str">
        <f>HYPERLINK("https://stackoverflow.com/q/56612308", "56612308")</f>
        <v>56612308</v>
      </c>
      <c r="B1696" s="1" t="s">
        <v>4681</v>
      </c>
      <c r="C1696" s="1" t="s">
        <v>6115</v>
      </c>
      <c r="D1696" s="2" t="s">
        <v>6116</v>
      </c>
      <c r="E1696" s="1">
        <v>1.0</v>
      </c>
      <c r="I1696" s="1">
        <v>0.0</v>
      </c>
      <c r="J1696" s="1">
        <v>32.0</v>
      </c>
      <c r="L1696" s="1">
        <v>1022315.0</v>
      </c>
      <c r="Q1696" s="1" t="s">
        <v>6117</v>
      </c>
      <c r="R1696" s="1" t="s">
        <v>4697</v>
      </c>
      <c r="S1696" s="1">
        <v>1.0</v>
      </c>
      <c r="T1696" s="1">
        <v>0.0</v>
      </c>
      <c r="X1696" s="1" t="s">
        <v>56</v>
      </c>
    </row>
    <row r="1697">
      <c r="A1697" s="3" t="str">
        <f>HYPERLINK("https://stackoverflow.com/q/56625748", "56625748")</f>
        <v>56625748</v>
      </c>
      <c r="B1697" s="1" t="s">
        <v>4681</v>
      </c>
      <c r="C1697" s="1" t="s">
        <v>6118</v>
      </c>
      <c r="D1697" s="2" t="s">
        <v>6119</v>
      </c>
      <c r="E1697" s="1">
        <v>1.0</v>
      </c>
      <c r="I1697" s="1">
        <v>0.0</v>
      </c>
      <c r="J1697" s="1">
        <v>35.0</v>
      </c>
      <c r="L1697" s="1">
        <v>1.1216762E7</v>
      </c>
      <c r="Q1697" s="1" t="s">
        <v>6120</v>
      </c>
      <c r="R1697" s="1" t="s">
        <v>6121</v>
      </c>
      <c r="S1697" s="1">
        <v>1.0</v>
      </c>
      <c r="T1697" s="1">
        <v>0.0</v>
      </c>
      <c r="X1697" s="1" t="s">
        <v>56</v>
      </c>
    </row>
    <row r="1698">
      <c r="A1698" s="3" t="str">
        <f>HYPERLINK("https://stackoverflow.com/q/56650929", "56650929")</f>
        <v>56650929</v>
      </c>
      <c r="B1698" s="1" t="s">
        <v>4681</v>
      </c>
      <c r="C1698" s="1" t="s">
        <v>6122</v>
      </c>
      <c r="D1698" s="2" t="s">
        <v>6123</v>
      </c>
      <c r="E1698" s="1">
        <v>1.0</v>
      </c>
      <c r="I1698" s="1">
        <v>0.0</v>
      </c>
      <c r="J1698" s="1">
        <v>541.0</v>
      </c>
      <c r="L1698" s="1">
        <v>1.0918032E7</v>
      </c>
      <c r="N1698" s="1">
        <v>389616.0</v>
      </c>
      <c r="P1698" s="1" t="s">
        <v>6124</v>
      </c>
      <c r="Q1698" s="1" t="s">
        <v>6125</v>
      </c>
      <c r="R1698" s="1" t="s">
        <v>6126</v>
      </c>
      <c r="S1698" s="1">
        <v>1.0</v>
      </c>
      <c r="T1698" s="1">
        <v>1.0</v>
      </c>
      <c r="X1698" s="1" t="s">
        <v>56</v>
      </c>
    </row>
    <row r="1699">
      <c r="A1699" s="3" t="str">
        <f>HYPERLINK("https://stackoverflow.com/q/56654096", "56654096")</f>
        <v>56654096</v>
      </c>
      <c r="B1699" s="1" t="s">
        <v>4681</v>
      </c>
      <c r="C1699" s="1" t="s">
        <v>6127</v>
      </c>
      <c r="D1699" s="2" t="s">
        <v>6128</v>
      </c>
      <c r="E1699" s="1">
        <v>1.0</v>
      </c>
      <c r="I1699" s="1">
        <v>0.0</v>
      </c>
      <c r="J1699" s="1">
        <v>317.0</v>
      </c>
      <c r="L1699" s="1">
        <v>1.163814E7</v>
      </c>
      <c r="N1699" s="1">
        <v>141661.0</v>
      </c>
      <c r="P1699" s="1" t="s">
        <v>6129</v>
      </c>
      <c r="Q1699" s="1" t="s">
        <v>6130</v>
      </c>
      <c r="R1699" s="1" t="s">
        <v>4836</v>
      </c>
      <c r="S1699" s="1">
        <v>1.0</v>
      </c>
      <c r="T1699" s="1">
        <v>0.0</v>
      </c>
      <c r="X1699" s="1" t="s">
        <v>56</v>
      </c>
    </row>
    <row r="1700">
      <c r="A1700" s="3" t="str">
        <f>HYPERLINK("https://stackoverflow.com/q/56659832", "56659832")</f>
        <v>56659832</v>
      </c>
      <c r="B1700" s="1" t="s">
        <v>4681</v>
      </c>
      <c r="C1700" s="1" t="s">
        <v>6131</v>
      </c>
      <c r="D1700" s="2" t="s">
        <v>6132</v>
      </c>
      <c r="E1700" s="1">
        <v>1.0</v>
      </c>
      <c r="F1700" s="1">
        <v>5.6661145E7</v>
      </c>
      <c r="I1700" s="1">
        <v>1.0</v>
      </c>
      <c r="J1700" s="1">
        <v>2244.0</v>
      </c>
      <c r="L1700" s="1">
        <v>1.0045059E7</v>
      </c>
      <c r="N1700" s="1">
        <v>5759072.0</v>
      </c>
      <c r="P1700" s="1" t="s">
        <v>6133</v>
      </c>
      <c r="Q1700" s="1" t="s">
        <v>6133</v>
      </c>
      <c r="R1700" s="1" t="s">
        <v>4836</v>
      </c>
      <c r="S1700" s="1">
        <v>1.0</v>
      </c>
      <c r="T1700" s="1">
        <v>0.0</v>
      </c>
      <c r="X1700" s="1" t="s">
        <v>56</v>
      </c>
      <c r="Z1700" s="1" t="s">
        <v>6134</v>
      </c>
    </row>
    <row r="1701">
      <c r="A1701" s="3" t="str">
        <f>HYPERLINK("https://stackoverflow.com/q/56661461", "56661461")</f>
        <v>56661461</v>
      </c>
      <c r="B1701" s="1" t="s">
        <v>4681</v>
      </c>
      <c r="C1701" s="1" t="s">
        <v>6135</v>
      </c>
      <c r="D1701" s="2" t="s">
        <v>6136</v>
      </c>
      <c r="E1701" s="1">
        <v>1.0</v>
      </c>
      <c r="F1701" s="1">
        <v>5.66803E7</v>
      </c>
      <c r="I1701" s="1">
        <v>0.0</v>
      </c>
      <c r="J1701" s="1">
        <v>37.0</v>
      </c>
      <c r="L1701" s="1">
        <v>7018008.0</v>
      </c>
      <c r="Q1701" s="1" t="s">
        <v>6137</v>
      </c>
      <c r="R1701" s="1" t="s">
        <v>6138</v>
      </c>
      <c r="S1701" s="1">
        <v>1.0</v>
      </c>
      <c r="T1701" s="1">
        <v>1.0</v>
      </c>
      <c r="X1701" s="1" t="s">
        <v>56</v>
      </c>
      <c r="Z1701" s="1" t="s">
        <v>6137</v>
      </c>
    </row>
    <row r="1702">
      <c r="A1702" s="3" t="str">
        <f>HYPERLINK("https://stackoverflow.com/q/56679749", "56679749")</f>
        <v>56679749</v>
      </c>
      <c r="B1702" s="1" t="s">
        <v>4681</v>
      </c>
      <c r="C1702" s="1" t="s">
        <v>6139</v>
      </c>
      <c r="D1702" s="2" t="s">
        <v>6140</v>
      </c>
      <c r="E1702" s="1">
        <v>1.0</v>
      </c>
      <c r="I1702" s="1">
        <v>0.0</v>
      </c>
      <c r="J1702" s="1">
        <v>77.0</v>
      </c>
      <c r="L1702" s="1">
        <v>1.1501061E7</v>
      </c>
      <c r="Q1702" s="1" t="s">
        <v>6141</v>
      </c>
      <c r="R1702" s="1" t="s">
        <v>6142</v>
      </c>
      <c r="S1702" s="1">
        <v>2.0</v>
      </c>
      <c r="T1702" s="1">
        <v>0.0</v>
      </c>
      <c r="X1702" s="1" t="s">
        <v>56</v>
      </c>
    </row>
    <row r="1703">
      <c r="A1703" s="3" t="str">
        <f>HYPERLINK("https://stackoverflow.com/q/56690282", "56690282")</f>
        <v>56690282</v>
      </c>
      <c r="B1703" s="1" t="s">
        <v>4681</v>
      </c>
      <c r="C1703" s="1" t="s">
        <v>6143</v>
      </c>
      <c r="D1703" s="2" t="s">
        <v>6144</v>
      </c>
      <c r="E1703" s="1">
        <v>1.0</v>
      </c>
      <c r="I1703" s="1">
        <v>1.0</v>
      </c>
      <c r="J1703" s="1">
        <v>189.0</v>
      </c>
      <c r="L1703" s="1">
        <v>1.1573846E7</v>
      </c>
      <c r="N1703" s="1">
        <v>2441442.0</v>
      </c>
      <c r="P1703" s="1" t="s">
        <v>6145</v>
      </c>
      <c r="Q1703" s="1" t="s">
        <v>6146</v>
      </c>
      <c r="R1703" s="1" t="s">
        <v>4697</v>
      </c>
      <c r="S1703" s="1">
        <v>1.0</v>
      </c>
      <c r="T1703" s="1">
        <v>0.0</v>
      </c>
      <c r="U1703" s="1">
        <v>1.0</v>
      </c>
      <c r="X1703" s="1" t="s">
        <v>56</v>
      </c>
    </row>
    <row r="1704">
      <c r="A1704" s="3" t="str">
        <f>HYPERLINK("https://stackoverflow.com/q/56701895", "56701895")</f>
        <v>56701895</v>
      </c>
      <c r="B1704" s="1" t="s">
        <v>4681</v>
      </c>
      <c r="C1704" s="1" t="s">
        <v>6147</v>
      </c>
      <c r="D1704" s="2" t="s">
        <v>6148</v>
      </c>
      <c r="E1704" s="1">
        <v>1.0</v>
      </c>
      <c r="I1704" s="1">
        <v>0.0</v>
      </c>
      <c r="J1704" s="1">
        <v>23.0</v>
      </c>
      <c r="L1704" s="1">
        <v>3345547.0</v>
      </c>
      <c r="Q1704" s="1" t="s">
        <v>6149</v>
      </c>
      <c r="R1704" s="1" t="s">
        <v>4697</v>
      </c>
      <c r="S1704" s="1">
        <v>1.0</v>
      </c>
      <c r="T1704" s="1">
        <v>0.0</v>
      </c>
      <c r="X1704" s="1" t="s">
        <v>56</v>
      </c>
    </row>
    <row r="1705">
      <c r="A1705" s="3" t="str">
        <f>HYPERLINK("https://stackoverflow.com/q/56751486", "56751486")</f>
        <v>56751486</v>
      </c>
      <c r="B1705" s="1" t="s">
        <v>4681</v>
      </c>
      <c r="C1705" s="1" t="s">
        <v>6150</v>
      </c>
      <c r="D1705" s="2" t="s">
        <v>6151</v>
      </c>
      <c r="E1705" s="1">
        <v>1.0</v>
      </c>
      <c r="F1705" s="1">
        <v>5.7001027E7</v>
      </c>
      <c r="I1705" s="1">
        <v>0.0</v>
      </c>
      <c r="J1705" s="1">
        <v>622.0</v>
      </c>
      <c r="L1705" s="1">
        <v>9679198.0</v>
      </c>
      <c r="Q1705" s="1" t="s">
        <v>6152</v>
      </c>
      <c r="R1705" s="1" t="s">
        <v>6153</v>
      </c>
      <c r="S1705" s="1">
        <v>1.0</v>
      </c>
      <c r="T1705" s="1">
        <v>0.0</v>
      </c>
      <c r="X1705" s="1" t="s">
        <v>56</v>
      </c>
      <c r="Z1705" s="1" t="s">
        <v>6152</v>
      </c>
    </row>
    <row r="1706">
      <c r="A1706" s="3" t="str">
        <f>HYPERLINK("https://stackoverflow.com/q/56756414", "56756414")</f>
        <v>56756414</v>
      </c>
      <c r="B1706" s="1" t="s">
        <v>4681</v>
      </c>
      <c r="C1706" s="1" t="s">
        <v>6154</v>
      </c>
      <c r="D1706" s="2" t="s">
        <v>6155</v>
      </c>
      <c r="E1706" s="1">
        <v>1.0</v>
      </c>
      <c r="I1706" s="1">
        <v>0.0</v>
      </c>
      <c r="J1706" s="1">
        <v>196.0</v>
      </c>
      <c r="L1706" s="1">
        <v>9679198.0</v>
      </c>
      <c r="N1706" s="1">
        <v>9679198.0</v>
      </c>
      <c r="P1706" s="1" t="s">
        <v>6156</v>
      </c>
      <c r="Q1706" s="1" t="s">
        <v>6156</v>
      </c>
      <c r="R1706" s="1" t="s">
        <v>6157</v>
      </c>
      <c r="S1706" s="1">
        <v>1.0</v>
      </c>
      <c r="T1706" s="1">
        <v>5.0</v>
      </c>
      <c r="X1706" s="1" t="s">
        <v>56</v>
      </c>
    </row>
    <row r="1707">
      <c r="A1707" s="3" t="str">
        <f>HYPERLINK("https://stackoverflow.com/q/56772072", "56772072")</f>
        <v>56772072</v>
      </c>
      <c r="B1707" s="1" t="s">
        <v>4681</v>
      </c>
      <c r="C1707" s="1" t="s">
        <v>6158</v>
      </c>
      <c r="D1707" s="2" t="s">
        <v>6159</v>
      </c>
      <c r="E1707" s="1">
        <v>1.0</v>
      </c>
      <c r="I1707" s="1">
        <v>0.0</v>
      </c>
      <c r="J1707" s="1">
        <v>28.0</v>
      </c>
      <c r="L1707" s="1">
        <v>5310084.0</v>
      </c>
      <c r="Q1707" s="1" t="s">
        <v>6160</v>
      </c>
      <c r="R1707" s="1" t="s">
        <v>4767</v>
      </c>
      <c r="S1707" s="1">
        <v>1.0</v>
      </c>
      <c r="T1707" s="1">
        <v>0.0</v>
      </c>
      <c r="X1707" s="1" t="s">
        <v>56</v>
      </c>
    </row>
    <row r="1708">
      <c r="A1708" s="3" t="str">
        <f>HYPERLINK("https://stackoverflow.com/q/56774454", "56774454")</f>
        <v>56774454</v>
      </c>
      <c r="B1708" s="1" t="s">
        <v>4681</v>
      </c>
      <c r="C1708" s="1" t="s">
        <v>6161</v>
      </c>
      <c r="D1708" s="2" t="s">
        <v>6162</v>
      </c>
      <c r="E1708" s="1">
        <v>1.0</v>
      </c>
      <c r="I1708" s="1">
        <v>0.0</v>
      </c>
      <c r="J1708" s="1">
        <v>15.0</v>
      </c>
      <c r="L1708" s="1">
        <v>7956377.0</v>
      </c>
      <c r="Q1708" s="1" t="s">
        <v>6161</v>
      </c>
      <c r="R1708" s="1" t="s">
        <v>6163</v>
      </c>
      <c r="S1708" s="1">
        <v>0.0</v>
      </c>
      <c r="T1708" s="1">
        <v>0.0</v>
      </c>
      <c r="X1708" s="1" t="s">
        <v>56</v>
      </c>
    </row>
    <row r="1709">
      <c r="A1709" s="3" t="str">
        <f>HYPERLINK("https://stackoverflow.com/q/56789911", "56789911")</f>
        <v>56789911</v>
      </c>
      <c r="B1709" s="1" t="s">
        <v>4681</v>
      </c>
      <c r="C1709" s="1" t="s">
        <v>6164</v>
      </c>
      <c r="D1709" s="2" t="s">
        <v>6165</v>
      </c>
      <c r="E1709" s="1">
        <v>1.0</v>
      </c>
      <c r="I1709" s="1">
        <v>0.0</v>
      </c>
      <c r="J1709" s="1">
        <v>362.0</v>
      </c>
      <c r="L1709" s="1">
        <v>1.1707924E7</v>
      </c>
      <c r="N1709" s="1">
        <v>5582190.0</v>
      </c>
      <c r="P1709" s="1" t="s">
        <v>6166</v>
      </c>
      <c r="Q1709" s="1" t="s">
        <v>6167</v>
      </c>
      <c r="R1709" s="1" t="s">
        <v>6168</v>
      </c>
      <c r="S1709" s="1">
        <v>2.0</v>
      </c>
      <c r="T1709" s="1">
        <v>0.0</v>
      </c>
      <c r="X1709" s="1" t="s">
        <v>56</v>
      </c>
    </row>
    <row r="1710">
      <c r="A1710" s="3" t="str">
        <f>HYPERLINK("https://stackoverflow.com/q/56790149", "56790149")</f>
        <v>56790149</v>
      </c>
      <c r="B1710" s="1" t="s">
        <v>4681</v>
      </c>
      <c r="C1710" s="1" t="s">
        <v>6169</v>
      </c>
      <c r="D1710" s="2" t="s">
        <v>6170</v>
      </c>
      <c r="E1710" s="1">
        <v>1.0</v>
      </c>
      <c r="F1710" s="1">
        <v>5.6793466E7</v>
      </c>
      <c r="I1710" s="1">
        <v>1.0</v>
      </c>
      <c r="J1710" s="1">
        <v>39.0</v>
      </c>
      <c r="L1710" s="1">
        <v>444077.0</v>
      </c>
      <c r="Q1710" s="1" t="s">
        <v>6171</v>
      </c>
      <c r="R1710" s="1" t="s">
        <v>6172</v>
      </c>
      <c r="S1710" s="1">
        <v>1.0</v>
      </c>
      <c r="T1710" s="1">
        <v>0.0</v>
      </c>
      <c r="X1710" s="1" t="s">
        <v>56</v>
      </c>
      <c r="Z1710" s="1" t="s">
        <v>6171</v>
      </c>
    </row>
    <row r="1711">
      <c r="A1711" s="3" t="str">
        <f>HYPERLINK("https://stackoverflow.com/q/56794171", "56794171")</f>
        <v>56794171</v>
      </c>
      <c r="B1711" s="1" t="s">
        <v>4681</v>
      </c>
      <c r="C1711" s="1" t="s">
        <v>6173</v>
      </c>
      <c r="D1711" s="2" t="s">
        <v>6174</v>
      </c>
      <c r="E1711" s="1">
        <v>1.0</v>
      </c>
      <c r="I1711" s="1">
        <v>0.0</v>
      </c>
      <c r="J1711" s="1">
        <v>34.0</v>
      </c>
      <c r="L1711" s="1">
        <v>5228126.0</v>
      </c>
      <c r="Q1711" s="1" t="s">
        <v>6175</v>
      </c>
      <c r="R1711" s="1" t="s">
        <v>6138</v>
      </c>
      <c r="S1711" s="1">
        <v>1.0</v>
      </c>
      <c r="T1711" s="1">
        <v>0.0</v>
      </c>
      <c r="U1711" s="1">
        <v>1.0</v>
      </c>
      <c r="X1711" s="1" t="s">
        <v>56</v>
      </c>
    </row>
    <row r="1712">
      <c r="A1712" s="3" t="str">
        <f>HYPERLINK("https://stackoverflow.com/q/56797769", "56797769")</f>
        <v>56797769</v>
      </c>
      <c r="B1712" s="1" t="s">
        <v>4681</v>
      </c>
      <c r="C1712" s="1" t="s">
        <v>6176</v>
      </c>
      <c r="D1712" s="2" t="s">
        <v>6177</v>
      </c>
      <c r="E1712" s="1">
        <v>1.0</v>
      </c>
      <c r="I1712" s="1">
        <v>0.0</v>
      </c>
      <c r="J1712" s="1">
        <v>48.0</v>
      </c>
      <c r="L1712" s="1">
        <v>1.1710455E7</v>
      </c>
      <c r="Q1712" s="1" t="s">
        <v>6178</v>
      </c>
      <c r="R1712" s="1" t="s">
        <v>4697</v>
      </c>
      <c r="S1712" s="1">
        <v>1.0</v>
      </c>
      <c r="T1712" s="1">
        <v>0.0</v>
      </c>
      <c r="X1712" s="1" t="s">
        <v>56</v>
      </c>
    </row>
    <row r="1713">
      <c r="A1713" s="3" t="str">
        <f>HYPERLINK("https://stackoverflow.com/q/56815027", "56815027")</f>
        <v>56815027</v>
      </c>
      <c r="B1713" s="1" t="s">
        <v>4681</v>
      </c>
      <c r="C1713" s="1" t="s">
        <v>6179</v>
      </c>
      <c r="D1713" s="2" t="s">
        <v>6180</v>
      </c>
      <c r="E1713" s="1">
        <v>1.0</v>
      </c>
      <c r="I1713" s="1">
        <v>1.0</v>
      </c>
      <c r="J1713" s="1">
        <v>30.0</v>
      </c>
      <c r="L1713" s="1">
        <v>1.1621547E7</v>
      </c>
      <c r="Q1713" s="1" t="s">
        <v>6181</v>
      </c>
      <c r="R1713" s="1" t="s">
        <v>4836</v>
      </c>
      <c r="S1713" s="1">
        <v>1.0</v>
      </c>
      <c r="T1713" s="1">
        <v>0.0</v>
      </c>
      <c r="X1713" s="1" t="s">
        <v>56</v>
      </c>
    </row>
    <row r="1714">
      <c r="A1714" s="3" t="str">
        <f>HYPERLINK("https://stackoverflow.com/q/56816270", "56816270")</f>
        <v>56816270</v>
      </c>
      <c r="B1714" s="1" t="s">
        <v>4681</v>
      </c>
      <c r="C1714" s="1" t="s">
        <v>6182</v>
      </c>
      <c r="D1714" s="2" t="s">
        <v>6183</v>
      </c>
      <c r="E1714" s="1">
        <v>1.0</v>
      </c>
      <c r="I1714" s="1">
        <v>0.0</v>
      </c>
      <c r="J1714" s="1">
        <v>85.0</v>
      </c>
      <c r="L1714" s="1">
        <v>1.1716802E7</v>
      </c>
      <c r="N1714" s="1">
        <v>6053198.0</v>
      </c>
      <c r="P1714" s="1" t="s">
        <v>6184</v>
      </c>
      <c r="Q1714" s="1" t="s">
        <v>6185</v>
      </c>
      <c r="R1714" s="1" t="s">
        <v>4697</v>
      </c>
      <c r="S1714" s="1">
        <v>0.0</v>
      </c>
      <c r="T1714" s="1">
        <v>1.0</v>
      </c>
      <c r="X1714" s="1" t="s">
        <v>56</v>
      </c>
    </row>
    <row r="1715">
      <c r="A1715" s="3" t="str">
        <f>HYPERLINK("https://stackoverflow.com/q/56826366", "56826366")</f>
        <v>56826366</v>
      </c>
      <c r="B1715" s="1" t="s">
        <v>4681</v>
      </c>
      <c r="C1715" s="1" t="s">
        <v>6186</v>
      </c>
      <c r="D1715" s="2" t="s">
        <v>6187</v>
      </c>
      <c r="E1715" s="1">
        <v>1.0</v>
      </c>
      <c r="F1715" s="1">
        <v>5.6835478E7</v>
      </c>
      <c r="I1715" s="1">
        <v>0.0</v>
      </c>
      <c r="J1715" s="1">
        <v>734.0</v>
      </c>
      <c r="L1715" s="1">
        <v>1.1720606E7</v>
      </c>
      <c r="Q1715" s="1" t="s">
        <v>6188</v>
      </c>
      <c r="R1715" s="1" t="s">
        <v>6189</v>
      </c>
      <c r="S1715" s="1">
        <v>2.0</v>
      </c>
      <c r="T1715" s="1">
        <v>2.0</v>
      </c>
      <c r="X1715" s="1" t="s">
        <v>56</v>
      </c>
      <c r="Z1715" s="1" t="s">
        <v>6190</v>
      </c>
    </row>
    <row r="1716">
      <c r="A1716" s="3" t="str">
        <f>HYPERLINK("https://stackoverflow.com/q/56830039", "56830039")</f>
        <v>56830039</v>
      </c>
      <c r="B1716" s="1" t="s">
        <v>4681</v>
      </c>
      <c r="C1716" s="1" t="s">
        <v>6191</v>
      </c>
      <c r="D1716" s="2" t="s">
        <v>6192</v>
      </c>
      <c r="E1716" s="1">
        <v>1.0</v>
      </c>
      <c r="I1716" s="1">
        <v>0.0</v>
      </c>
      <c r="J1716" s="1">
        <v>384.0</v>
      </c>
      <c r="L1716" s="1">
        <v>1840952.0</v>
      </c>
      <c r="N1716" s="1">
        <v>13302.0</v>
      </c>
      <c r="P1716" s="1" t="s">
        <v>6193</v>
      </c>
      <c r="Q1716" s="1" t="s">
        <v>6194</v>
      </c>
      <c r="R1716" s="1" t="s">
        <v>5499</v>
      </c>
      <c r="S1716" s="1">
        <v>2.0</v>
      </c>
      <c r="T1716" s="1">
        <v>0.0</v>
      </c>
      <c r="X1716" s="1" t="s">
        <v>56</v>
      </c>
    </row>
    <row r="1717">
      <c r="A1717" s="3" t="str">
        <f>HYPERLINK("https://stackoverflow.com/q/56860662", "56860662")</f>
        <v>56860662</v>
      </c>
      <c r="B1717" s="1" t="s">
        <v>4681</v>
      </c>
      <c r="C1717" s="1" t="s">
        <v>6195</v>
      </c>
      <c r="D1717" s="2" t="s">
        <v>6196</v>
      </c>
      <c r="E1717" s="1">
        <v>1.0</v>
      </c>
      <c r="I1717" s="1">
        <v>0.0</v>
      </c>
      <c r="J1717" s="1">
        <v>22.0</v>
      </c>
      <c r="L1717" s="1">
        <v>1141174.0</v>
      </c>
      <c r="Q1717" s="1" t="s">
        <v>6197</v>
      </c>
      <c r="R1717" s="1" t="s">
        <v>4697</v>
      </c>
      <c r="S1717" s="1">
        <v>1.0</v>
      </c>
      <c r="T1717" s="1">
        <v>2.0</v>
      </c>
      <c r="X1717" s="1" t="s">
        <v>56</v>
      </c>
    </row>
    <row r="1718">
      <c r="A1718" s="3" t="str">
        <f>HYPERLINK("https://stackoverflow.com/q/56935694", "56935694")</f>
        <v>56935694</v>
      </c>
      <c r="B1718" s="1" t="s">
        <v>4681</v>
      </c>
      <c r="C1718" s="1" t="s">
        <v>6198</v>
      </c>
      <c r="D1718" s="2" t="s">
        <v>6199</v>
      </c>
      <c r="E1718" s="1">
        <v>1.0</v>
      </c>
      <c r="I1718" s="1">
        <v>0.0</v>
      </c>
      <c r="J1718" s="1">
        <v>929.0</v>
      </c>
      <c r="L1718" s="1">
        <v>1169059.0</v>
      </c>
      <c r="N1718" s="1">
        <v>1169059.0</v>
      </c>
      <c r="P1718" s="1" t="s">
        <v>6200</v>
      </c>
      <c r="Q1718" s="1" t="s">
        <v>6201</v>
      </c>
      <c r="R1718" s="1" t="s">
        <v>6202</v>
      </c>
      <c r="S1718" s="1">
        <v>1.0</v>
      </c>
      <c r="T1718" s="1">
        <v>2.0</v>
      </c>
      <c r="X1718" s="1" t="s">
        <v>56</v>
      </c>
    </row>
    <row r="1719">
      <c r="A1719" s="3" t="str">
        <f>HYPERLINK("https://stackoverflow.com/q/56941817", "56941817")</f>
        <v>56941817</v>
      </c>
      <c r="B1719" s="1" t="s">
        <v>4681</v>
      </c>
      <c r="C1719" s="1" t="s">
        <v>6203</v>
      </c>
      <c r="D1719" s="2" t="s">
        <v>6204</v>
      </c>
      <c r="E1719" s="1">
        <v>1.0</v>
      </c>
      <c r="I1719" s="1">
        <v>0.0</v>
      </c>
      <c r="J1719" s="1">
        <v>441.0</v>
      </c>
      <c r="L1719" s="1">
        <v>7229918.0</v>
      </c>
      <c r="Q1719" s="1" t="s">
        <v>6205</v>
      </c>
      <c r="R1719" s="1" t="s">
        <v>6206</v>
      </c>
      <c r="S1719" s="1">
        <v>2.0</v>
      </c>
      <c r="T1719" s="1">
        <v>1.0</v>
      </c>
      <c r="X1719" s="1" t="s">
        <v>56</v>
      </c>
    </row>
    <row r="1720">
      <c r="A1720" s="3" t="str">
        <f>HYPERLINK("https://stackoverflow.com/q/56962875", "56962875")</f>
        <v>56962875</v>
      </c>
      <c r="B1720" s="1" t="s">
        <v>4681</v>
      </c>
      <c r="C1720" s="1" t="s">
        <v>6207</v>
      </c>
      <c r="D1720" s="2" t="s">
        <v>6208</v>
      </c>
      <c r="E1720" s="1">
        <v>1.0</v>
      </c>
      <c r="I1720" s="1">
        <v>0.0</v>
      </c>
      <c r="J1720" s="1">
        <v>35.0</v>
      </c>
      <c r="L1720" s="1">
        <v>1.0045059E7</v>
      </c>
      <c r="Q1720" s="1" t="s">
        <v>6207</v>
      </c>
      <c r="R1720" s="1" t="s">
        <v>5093</v>
      </c>
      <c r="S1720" s="1">
        <v>0.0</v>
      </c>
      <c r="T1720" s="1">
        <v>0.0</v>
      </c>
      <c r="X1720" s="1" t="s">
        <v>56</v>
      </c>
    </row>
    <row r="1721">
      <c r="A1721" s="3" t="str">
        <f>HYPERLINK("https://stackoverflow.com/q/56988325", "56988325")</f>
        <v>56988325</v>
      </c>
      <c r="B1721" s="1" t="s">
        <v>4681</v>
      </c>
      <c r="C1721" s="1" t="s">
        <v>6209</v>
      </c>
      <c r="D1721" s="2" t="s">
        <v>6210</v>
      </c>
      <c r="E1721" s="1">
        <v>1.0</v>
      </c>
      <c r="I1721" s="1">
        <v>0.0</v>
      </c>
      <c r="J1721" s="1">
        <v>23.0</v>
      </c>
      <c r="L1721" s="1">
        <v>1.1573846E7</v>
      </c>
      <c r="Q1721" s="1" t="s">
        <v>6209</v>
      </c>
      <c r="R1721" s="1" t="s">
        <v>6211</v>
      </c>
      <c r="S1721" s="1">
        <v>0.0</v>
      </c>
      <c r="T1721" s="1">
        <v>1.0</v>
      </c>
      <c r="U1721" s="1">
        <v>1.0</v>
      </c>
      <c r="X1721" s="1" t="s">
        <v>56</v>
      </c>
    </row>
    <row r="1722">
      <c r="A1722" s="3" t="str">
        <f>HYPERLINK("https://stackoverflow.com/q/56990210", "56990210")</f>
        <v>56990210</v>
      </c>
      <c r="B1722" s="1" t="s">
        <v>4681</v>
      </c>
      <c r="C1722" s="1" t="s">
        <v>6212</v>
      </c>
      <c r="D1722" s="2" t="s">
        <v>6213</v>
      </c>
      <c r="E1722" s="1">
        <v>1.0</v>
      </c>
      <c r="F1722" s="1">
        <v>5.7000342E7</v>
      </c>
      <c r="I1722" s="1">
        <v>0.0</v>
      </c>
      <c r="J1722" s="1">
        <v>340.0</v>
      </c>
      <c r="L1722" s="1">
        <v>3529309.0</v>
      </c>
      <c r="Q1722" s="1" t="s">
        <v>6214</v>
      </c>
      <c r="R1722" s="1" t="s">
        <v>6138</v>
      </c>
      <c r="S1722" s="1">
        <v>1.0</v>
      </c>
      <c r="T1722" s="1">
        <v>0.0</v>
      </c>
      <c r="X1722" s="1" t="s">
        <v>56</v>
      </c>
      <c r="Z1722" s="1" t="s">
        <v>6214</v>
      </c>
    </row>
    <row r="1723">
      <c r="A1723" s="3" t="str">
        <f>HYPERLINK("https://stackoverflow.com/q/56995364", "56995364")</f>
        <v>56995364</v>
      </c>
      <c r="B1723" s="1" t="s">
        <v>4681</v>
      </c>
      <c r="C1723" s="1" t="s">
        <v>6215</v>
      </c>
      <c r="D1723" s="2" t="s">
        <v>6216</v>
      </c>
      <c r="E1723" s="1">
        <v>1.0</v>
      </c>
      <c r="F1723" s="1">
        <v>5.7000298E7</v>
      </c>
      <c r="I1723" s="1">
        <v>0.0</v>
      </c>
      <c r="J1723" s="1">
        <v>434.0</v>
      </c>
      <c r="L1723" s="1">
        <v>1.1771792E7</v>
      </c>
      <c r="N1723" s="1">
        <v>1.1771792E7</v>
      </c>
      <c r="P1723" s="1" t="s">
        <v>6217</v>
      </c>
      <c r="Q1723" s="1" t="s">
        <v>6217</v>
      </c>
      <c r="R1723" s="1" t="s">
        <v>6218</v>
      </c>
      <c r="S1723" s="1">
        <v>1.0</v>
      </c>
      <c r="T1723" s="1">
        <v>0.0</v>
      </c>
      <c r="U1723" s="1">
        <v>1.0</v>
      </c>
      <c r="X1723" s="1" t="s">
        <v>56</v>
      </c>
      <c r="Z1723" s="1" t="s">
        <v>6219</v>
      </c>
    </row>
    <row r="1724">
      <c r="A1724" s="3" t="str">
        <f>HYPERLINK("https://stackoverflow.com/q/57040864", "57040864")</f>
        <v>57040864</v>
      </c>
      <c r="B1724" s="1" t="s">
        <v>4681</v>
      </c>
      <c r="C1724" s="1" t="s">
        <v>6220</v>
      </c>
      <c r="D1724" s="2" t="s">
        <v>6221</v>
      </c>
      <c r="E1724" s="1">
        <v>1.0</v>
      </c>
      <c r="I1724" s="1">
        <v>0.0</v>
      </c>
      <c r="J1724" s="1">
        <v>29.0</v>
      </c>
      <c r="L1724" s="1">
        <v>1.1769678E7</v>
      </c>
      <c r="N1724" s="1">
        <v>1.1769678E7</v>
      </c>
      <c r="P1724" s="1" t="s">
        <v>6222</v>
      </c>
      <c r="Q1724" s="1" t="s">
        <v>6222</v>
      </c>
      <c r="R1724" s="1" t="s">
        <v>6223</v>
      </c>
      <c r="S1724" s="1">
        <v>0.0</v>
      </c>
      <c r="T1724" s="1">
        <v>0.0</v>
      </c>
      <c r="X1724" s="1" t="s">
        <v>56</v>
      </c>
    </row>
    <row r="1725">
      <c r="A1725" s="3" t="str">
        <f>HYPERLINK("https://stackoverflow.com/q/57115085", "57115085")</f>
        <v>57115085</v>
      </c>
      <c r="B1725" s="1" t="s">
        <v>4681</v>
      </c>
      <c r="C1725" s="1" t="s">
        <v>6224</v>
      </c>
      <c r="D1725" s="2" t="s">
        <v>6225</v>
      </c>
      <c r="E1725" s="1">
        <v>1.0</v>
      </c>
      <c r="I1725" s="1">
        <v>0.0</v>
      </c>
      <c r="J1725" s="1">
        <v>187.0</v>
      </c>
      <c r="L1725" s="1">
        <v>1.1089075E7</v>
      </c>
      <c r="N1725" s="1">
        <v>13302.0</v>
      </c>
      <c r="P1725" s="1" t="s">
        <v>6226</v>
      </c>
      <c r="Q1725" s="1" t="s">
        <v>6226</v>
      </c>
      <c r="R1725" s="1" t="s">
        <v>6227</v>
      </c>
      <c r="S1725" s="1">
        <v>2.0</v>
      </c>
      <c r="T1725" s="1">
        <v>0.0</v>
      </c>
      <c r="X1725" s="1" t="s">
        <v>56</v>
      </c>
    </row>
    <row r="1726">
      <c r="A1726" s="3" t="str">
        <f>HYPERLINK("https://stackoverflow.com/q/57146989", "57146989")</f>
        <v>57146989</v>
      </c>
      <c r="B1726" s="1" t="s">
        <v>4681</v>
      </c>
      <c r="C1726" s="1" t="s">
        <v>6228</v>
      </c>
      <c r="D1726" s="2" t="s">
        <v>6229</v>
      </c>
      <c r="E1726" s="1">
        <v>1.0</v>
      </c>
      <c r="I1726" s="1">
        <v>1.0</v>
      </c>
      <c r="J1726" s="1">
        <v>165.0</v>
      </c>
      <c r="L1726" s="1">
        <v>2353914.0</v>
      </c>
      <c r="Q1726" s="1" t="s">
        <v>6230</v>
      </c>
      <c r="R1726" s="1" t="s">
        <v>6231</v>
      </c>
      <c r="S1726" s="1">
        <v>0.0</v>
      </c>
      <c r="T1726" s="1">
        <v>2.0</v>
      </c>
      <c r="X1726" s="1" t="s">
        <v>56</v>
      </c>
    </row>
    <row r="1727">
      <c r="A1727" s="3" t="str">
        <f>HYPERLINK("https://stackoverflow.com/q/57151076", "57151076")</f>
        <v>57151076</v>
      </c>
      <c r="B1727" s="1" t="s">
        <v>4681</v>
      </c>
      <c r="C1727" s="1" t="s">
        <v>6232</v>
      </c>
      <c r="D1727" s="2" t="s">
        <v>6233</v>
      </c>
      <c r="E1727" s="1">
        <v>1.0</v>
      </c>
      <c r="I1727" s="1">
        <v>0.0</v>
      </c>
      <c r="J1727" s="1">
        <v>431.0</v>
      </c>
      <c r="L1727" s="1">
        <v>6519746.0</v>
      </c>
      <c r="N1727" s="1">
        <v>7920473.0</v>
      </c>
      <c r="P1727" s="1" t="s">
        <v>6234</v>
      </c>
      <c r="Q1727" s="1" t="s">
        <v>6234</v>
      </c>
      <c r="R1727" s="1" t="s">
        <v>5695</v>
      </c>
      <c r="S1727" s="1">
        <v>2.0</v>
      </c>
      <c r="T1727" s="1">
        <v>0.0</v>
      </c>
      <c r="X1727" s="1" t="s">
        <v>56</v>
      </c>
    </row>
    <row r="1728">
      <c r="A1728" s="3" t="str">
        <f>HYPERLINK("https://stackoverflow.com/q/57161753", "57161753")</f>
        <v>57161753</v>
      </c>
      <c r="B1728" s="1" t="s">
        <v>4681</v>
      </c>
      <c r="C1728" s="1" t="s">
        <v>6235</v>
      </c>
      <c r="D1728" s="2" t="s">
        <v>6236</v>
      </c>
      <c r="E1728" s="1">
        <v>1.0</v>
      </c>
      <c r="I1728" s="1">
        <v>0.0</v>
      </c>
      <c r="J1728" s="1">
        <v>54.0</v>
      </c>
      <c r="L1728" s="1">
        <v>1.0362047E7</v>
      </c>
      <c r="N1728" s="1">
        <v>4425782.0</v>
      </c>
      <c r="P1728" s="1" t="s">
        <v>6237</v>
      </c>
      <c r="Q1728" s="1" t="s">
        <v>6238</v>
      </c>
      <c r="R1728" s="1" t="s">
        <v>6239</v>
      </c>
      <c r="S1728" s="1">
        <v>1.0</v>
      </c>
      <c r="T1728" s="1">
        <v>0.0</v>
      </c>
      <c r="X1728" s="1" t="s">
        <v>56</v>
      </c>
    </row>
    <row r="1729">
      <c r="A1729" s="3" t="str">
        <f>HYPERLINK("https://stackoverflow.com/q/57167951", "57167951")</f>
        <v>57167951</v>
      </c>
      <c r="B1729" s="1" t="s">
        <v>4681</v>
      </c>
      <c r="C1729" s="1" t="s">
        <v>6240</v>
      </c>
      <c r="D1729" s="2" t="s">
        <v>6241</v>
      </c>
      <c r="E1729" s="1">
        <v>1.0</v>
      </c>
      <c r="I1729" s="1">
        <v>0.0</v>
      </c>
      <c r="J1729" s="1">
        <v>33.0</v>
      </c>
      <c r="L1729" s="1">
        <v>1.1307357E7</v>
      </c>
      <c r="Q1729" s="1" t="s">
        <v>6242</v>
      </c>
      <c r="R1729" s="1" t="s">
        <v>4721</v>
      </c>
      <c r="S1729" s="1">
        <v>1.0</v>
      </c>
      <c r="T1729" s="1">
        <v>0.0</v>
      </c>
      <c r="X1729" s="1" t="s">
        <v>56</v>
      </c>
    </row>
    <row r="1730">
      <c r="A1730" s="3" t="str">
        <f>HYPERLINK("https://stackoverflow.com/q/57197790", "57197790")</f>
        <v>57197790</v>
      </c>
      <c r="B1730" s="1" t="s">
        <v>4681</v>
      </c>
      <c r="C1730" s="1" t="s">
        <v>6243</v>
      </c>
      <c r="D1730" s="2" t="s">
        <v>6244</v>
      </c>
      <c r="E1730" s="1">
        <v>1.0</v>
      </c>
      <c r="I1730" s="1">
        <v>0.0</v>
      </c>
      <c r="J1730" s="1">
        <v>333.0</v>
      </c>
      <c r="L1730" s="1">
        <v>9766970.0</v>
      </c>
      <c r="Q1730" s="1" t="s">
        <v>6245</v>
      </c>
      <c r="R1730" s="1" t="s">
        <v>6246</v>
      </c>
      <c r="S1730" s="1">
        <v>1.0</v>
      </c>
      <c r="T1730" s="1">
        <v>0.0</v>
      </c>
      <c r="U1730" s="1">
        <v>1.0</v>
      </c>
      <c r="X1730" s="1" t="s">
        <v>56</v>
      </c>
    </row>
    <row r="1731">
      <c r="A1731" s="3" t="str">
        <f>HYPERLINK("https://stackoverflow.com/q/57201832", "57201832")</f>
        <v>57201832</v>
      </c>
      <c r="B1731" s="1" t="s">
        <v>4681</v>
      </c>
      <c r="C1731" s="1" t="s">
        <v>6247</v>
      </c>
      <c r="D1731" s="2" t="s">
        <v>6248</v>
      </c>
      <c r="E1731" s="1">
        <v>1.0</v>
      </c>
      <c r="I1731" s="1">
        <v>0.0</v>
      </c>
      <c r="J1731" s="1">
        <v>722.0</v>
      </c>
      <c r="L1731" s="1">
        <v>1.1720606E7</v>
      </c>
      <c r="Q1731" s="1" t="s">
        <v>6247</v>
      </c>
      <c r="R1731" s="1" t="s">
        <v>6249</v>
      </c>
      <c r="S1731" s="1">
        <v>0.0</v>
      </c>
      <c r="T1731" s="1">
        <v>0.0</v>
      </c>
      <c r="X1731" s="1" t="s">
        <v>56</v>
      </c>
    </row>
    <row r="1732">
      <c r="A1732" s="3" t="str">
        <f>HYPERLINK("https://stackoverflow.com/q/57205404", "57205404")</f>
        <v>57205404</v>
      </c>
      <c r="B1732" s="1" t="s">
        <v>4681</v>
      </c>
      <c r="C1732" s="1" t="s">
        <v>6250</v>
      </c>
      <c r="D1732" s="2" t="s">
        <v>6251</v>
      </c>
      <c r="E1732" s="1">
        <v>1.0</v>
      </c>
      <c r="F1732" s="1">
        <v>5.7224286E7</v>
      </c>
      <c r="I1732" s="1">
        <v>0.0</v>
      </c>
      <c r="J1732" s="1">
        <v>28.0</v>
      </c>
      <c r="L1732" s="1">
        <v>1.1605477E7</v>
      </c>
      <c r="N1732" s="1">
        <v>7920473.0</v>
      </c>
      <c r="P1732" s="1" t="s">
        <v>6252</v>
      </c>
      <c r="Q1732" s="1" t="s">
        <v>6252</v>
      </c>
      <c r="R1732" s="1" t="s">
        <v>4697</v>
      </c>
      <c r="S1732" s="1">
        <v>1.0</v>
      </c>
      <c r="T1732" s="1">
        <v>0.0</v>
      </c>
      <c r="X1732" s="1" t="s">
        <v>56</v>
      </c>
      <c r="Z1732" s="1" t="s">
        <v>6253</v>
      </c>
    </row>
    <row r="1733">
      <c r="A1733" s="3" t="str">
        <f>HYPERLINK("https://stackoverflow.com/q/57216381", "57216381")</f>
        <v>57216381</v>
      </c>
      <c r="B1733" s="1" t="s">
        <v>4681</v>
      </c>
      <c r="C1733" s="1" t="s">
        <v>6254</v>
      </c>
      <c r="D1733" s="2" t="s">
        <v>6255</v>
      </c>
      <c r="E1733" s="1">
        <v>1.0</v>
      </c>
      <c r="F1733" s="1">
        <v>5.7223998E7</v>
      </c>
      <c r="I1733" s="1">
        <v>1.0</v>
      </c>
      <c r="J1733" s="1">
        <v>280.0</v>
      </c>
      <c r="L1733" s="1">
        <v>4536908.0</v>
      </c>
      <c r="Q1733" s="1" t="s">
        <v>6256</v>
      </c>
      <c r="R1733" s="1" t="s">
        <v>4836</v>
      </c>
      <c r="S1733" s="1">
        <v>1.0</v>
      </c>
      <c r="T1733" s="1">
        <v>2.0</v>
      </c>
      <c r="X1733" s="1" t="s">
        <v>56</v>
      </c>
      <c r="Z1733" s="1" t="s">
        <v>6257</v>
      </c>
    </row>
    <row r="1734">
      <c r="A1734" s="3" t="str">
        <f>HYPERLINK("https://stackoverflow.com/q/57293526", "57293526")</f>
        <v>57293526</v>
      </c>
      <c r="B1734" s="1" t="s">
        <v>4681</v>
      </c>
      <c r="C1734" s="1" t="s">
        <v>6258</v>
      </c>
      <c r="D1734" s="2" t="s">
        <v>6259</v>
      </c>
      <c r="E1734" s="1">
        <v>1.0</v>
      </c>
      <c r="F1734" s="1">
        <v>5.854764E7</v>
      </c>
      <c r="I1734" s="1">
        <v>0.0</v>
      </c>
      <c r="J1734" s="1">
        <v>347.0</v>
      </c>
      <c r="L1734" s="1">
        <v>1.032013E7</v>
      </c>
      <c r="N1734" s="1">
        <v>7920473.0</v>
      </c>
      <c r="P1734" s="1" t="s">
        <v>6260</v>
      </c>
      <c r="Q1734" s="1" t="s">
        <v>6261</v>
      </c>
      <c r="R1734" s="1" t="s">
        <v>6262</v>
      </c>
      <c r="S1734" s="1">
        <v>2.0</v>
      </c>
      <c r="T1734" s="1">
        <v>0.0</v>
      </c>
      <c r="X1734" s="1" t="s">
        <v>56</v>
      </c>
      <c r="Z1734" s="1" t="s">
        <v>6261</v>
      </c>
    </row>
    <row r="1735">
      <c r="A1735" s="3" t="str">
        <f>HYPERLINK("https://stackoverflow.com/q/57303807", "57303807")</f>
        <v>57303807</v>
      </c>
      <c r="B1735" s="1" t="s">
        <v>4681</v>
      </c>
      <c r="C1735" s="1" t="s">
        <v>6263</v>
      </c>
      <c r="D1735" s="2" t="s">
        <v>6264</v>
      </c>
      <c r="E1735" s="1">
        <v>1.0</v>
      </c>
      <c r="I1735" s="1">
        <v>0.0</v>
      </c>
      <c r="J1735" s="1">
        <v>164.0</v>
      </c>
      <c r="L1735" s="1">
        <v>1.186212E7</v>
      </c>
      <c r="N1735" s="1">
        <v>502381.0</v>
      </c>
      <c r="P1735" s="1" t="s">
        <v>6265</v>
      </c>
      <c r="Q1735" s="1" t="s">
        <v>6266</v>
      </c>
      <c r="R1735" s="1" t="s">
        <v>6267</v>
      </c>
      <c r="S1735" s="1">
        <v>1.0</v>
      </c>
      <c r="T1735" s="1">
        <v>0.0</v>
      </c>
      <c r="U1735" s="1">
        <v>1.0</v>
      </c>
      <c r="X1735" s="1" t="s">
        <v>56</v>
      </c>
    </row>
    <row r="1736">
      <c r="A1736" s="3" t="str">
        <f>HYPERLINK("https://stackoverflow.com/q/57316012", "57316012")</f>
        <v>57316012</v>
      </c>
      <c r="B1736" s="1" t="s">
        <v>4681</v>
      </c>
      <c r="C1736" s="1" t="s">
        <v>6268</v>
      </c>
      <c r="D1736" s="2" t="s">
        <v>6269</v>
      </c>
      <c r="E1736" s="1">
        <v>1.0</v>
      </c>
      <c r="F1736" s="1">
        <v>5.7316081E7</v>
      </c>
      <c r="I1736" s="1">
        <v>1.0</v>
      </c>
      <c r="J1736" s="1">
        <v>231.0</v>
      </c>
      <c r="L1736" s="1">
        <v>504592.0</v>
      </c>
      <c r="Q1736" s="1" t="s">
        <v>6270</v>
      </c>
      <c r="R1736" s="1" t="s">
        <v>4697</v>
      </c>
      <c r="S1736" s="1">
        <v>3.0</v>
      </c>
      <c r="T1736" s="1">
        <v>0.0</v>
      </c>
      <c r="X1736" s="1" t="s">
        <v>56</v>
      </c>
      <c r="Z1736" s="1" t="s">
        <v>6271</v>
      </c>
    </row>
    <row r="1737">
      <c r="A1737" s="3" t="str">
        <f>HYPERLINK("https://stackoverflow.com/q/57432558", "57432558")</f>
        <v>57432558</v>
      </c>
      <c r="B1737" s="1" t="s">
        <v>4681</v>
      </c>
      <c r="C1737" s="1" t="s">
        <v>6272</v>
      </c>
      <c r="D1737" s="2" t="s">
        <v>6273</v>
      </c>
      <c r="E1737" s="1">
        <v>1.0</v>
      </c>
      <c r="F1737" s="1">
        <v>5.7436876E7</v>
      </c>
      <c r="I1737" s="1">
        <v>1.0</v>
      </c>
      <c r="J1737" s="1">
        <v>818.0</v>
      </c>
      <c r="L1737" s="1">
        <v>5148719.0</v>
      </c>
      <c r="N1737" s="1">
        <v>7920473.0</v>
      </c>
      <c r="P1737" s="1" t="s">
        <v>6274</v>
      </c>
      <c r="Q1737" s="1" t="s">
        <v>6274</v>
      </c>
      <c r="R1737" s="1" t="s">
        <v>6275</v>
      </c>
      <c r="S1737" s="1">
        <v>1.0</v>
      </c>
      <c r="T1737" s="1">
        <v>0.0</v>
      </c>
      <c r="X1737" s="1" t="s">
        <v>56</v>
      </c>
      <c r="Z1737" s="1" t="s">
        <v>6276</v>
      </c>
    </row>
    <row r="1738">
      <c r="A1738" s="3" t="str">
        <f>HYPERLINK("https://stackoverflow.com/q/57466993", "57466993")</f>
        <v>57466993</v>
      </c>
      <c r="B1738" s="1" t="s">
        <v>4681</v>
      </c>
      <c r="C1738" s="1" t="s">
        <v>6277</v>
      </c>
      <c r="D1738" s="2" t="s">
        <v>6278</v>
      </c>
      <c r="E1738" s="1">
        <v>1.0</v>
      </c>
      <c r="F1738" s="1">
        <v>5.7478275E7</v>
      </c>
      <c r="I1738" s="1">
        <v>0.0</v>
      </c>
      <c r="J1738" s="1">
        <v>120.0</v>
      </c>
      <c r="L1738" s="1">
        <v>531358.0</v>
      </c>
      <c r="N1738" s="1">
        <v>531358.0</v>
      </c>
      <c r="P1738" s="1" t="s">
        <v>6279</v>
      </c>
      <c r="Q1738" s="1" t="s">
        <v>6280</v>
      </c>
      <c r="R1738" s="1" t="s">
        <v>4771</v>
      </c>
      <c r="S1738" s="1">
        <v>3.0</v>
      </c>
      <c r="T1738" s="1">
        <v>0.0</v>
      </c>
      <c r="U1738" s="1">
        <v>1.0</v>
      </c>
      <c r="X1738" s="1" t="s">
        <v>56</v>
      </c>
      <c r="Z1738" s="1" t="s">
        <v>6280</v>
      </c>
    </row>
    <row r="1739">
      <c r="A1739" s="3" t="str">
        <f>HYPERLINK("https://stackoverflow.com/q/57474055", "57474055")</f>
        <v>57474055</v>
      </c>
      <c r="B1739" s="1" t="s">
        <v>4681</v>
      </c>
      <c r="C1739" s="1" t="s">
        <v>6281</v>
      </c>
      <c r="D1739" s="2" t="s">
        <v>6282</v>
      </c>
      <c r="E1739" s="1">
        <v>1.0</v>
      </c>
      <c r="F1739" s="1">
        <v>5.7476562E7</v>
      </c>
      <c r="I1739" s="1">
        <v>2.0</v>
      </c>
      <c r="J1739" s="1">
        <v>467.0</v>
      </c>
      <c r="L1739" s="1">
        <v>6216091.0</v>
      </c>
      <c r="N1739" s="1">
        <v>6216091.0</v>
      </c>
      <c r="P1739" s="1" t="s">
        <v>6283</v>
      </c>
      <c r="Q1739" s="1" t="s">
        <v>6284</v>
      </c>
      <c r="R1739" s="1" t="s">
        <v>6285</v>
      </c>
      <c r="S1739" s="1">
        <v>1.0</v>
      </c>
      <c r="T1739" s="1">
        <v>10.0</v>
      </c>
      <c r="U1739" s="1">
        <v>0.0</v>
      </c>
      <c r="X1739" s="1" t="s">
        <v>56</v>
      </c>
      <c r="Z1739" s="1" t="s">
        <v>6286</v>
      </c>
    </row>
    <row r="1740">
      <c r="A1740" s="3" t="str">
        <f>HYPERLINK("https://stackoverflow.com/q/57516377", "57516377")</f>
        <v>57516377</v>
      </c>
      <c r="B1740" s="1" t="s">
        <v>4681</v>
      </c>
      <c r="C1740" s="1" t="s">
        <v>6287</v>
      </c>
      <c r="D1740" s="2" t="s">
        <v>6288</v>
      </c>
      <c r="E1740" s="1">
        <v>1.0</v>
      </c>
      <c r="I1740" s="1">
        <v>1.0</v>
      </c>
      <c r="J1740" s="1">
        <v>49.0</v>
      </c>
      <c r="L1740" s="1">
        <v>3863952.0</v>
      </c>
      <c r="N1740" s="1">
        <v>7920473.0</v>
      </c>
      <c r="P1740" s="1" t="s">
        <v>6289</v>
      </c>
      <c r="Q1740" s="1" t="s">
        <v>6289</v>
      </c>
      <c r="R1740" s="1" t="s">
        <v>6290</v>
      </c>
      <c r="S1740" s="1">
        <v>1.0</v>
      </c>
      <c r="T1740" s="1">
        <v>2.0</v>
      </c>
      <c r="X1740" s="1" t="s">
        <v>56</v>
      </c>
    </row>
    <row r="1741">
      <c r="A1741" s="3" t="str">
        <f>HYPERLINK("https://stackoverflow.com/q/57519657", "57519657")</f>
        <v>57519657</v>
      </c>
      <c r="B1741" s="1" t="s">
        <v>4681</v>
      </c>
      <c r="C1741" s="1" t="s">
        <v>6291</v>
      </c>
      <c r="D1741" s="2" t="s">
        <v>6292</v>
      </c>
      <c r="E1741" s="1">
        <v>1.0</v>
      </c>
      <c r="I1741" s="1">
        <v>0.0</v>
      </c>
      <c r="J1741" s="1">
        <v>136.0</v>
      </c>
      <c r="L1741" s="1">
        <v>457123.0</v>
      </c>
      <c r="N1741" s="1">
        <v>7920473.0</v>
      </c>
      <c r="P1741" s="1" t="s">
        <v>6293</v>
      </c>
      <c r="Q1741" s="1" t="s">
        <v>6293</v>
      </c>
      <c r="R1741" s="1" t="s">
        <v>6138</v>
      </c>
      <c r="S1741" s="1">
        <v>1.0</v>
      </c>
      <c r="T1741" s="1">
        <v>2.0</v>
      </c>
      <c r="X1741" s="1" t="s">
        <v>56</v>
      </c>
    </row>
    <row r="1742">
      <c r="A1742" s="3" t="str">
        <f>HYPERLINK("https://stackoverflow.com/q/57557137", "57557137")</f>
        <v>57557137</v>
      </c>
      <c r="B1742" s="1" t="s">
        <v>4681</v>
      </c>
      <c r="C1742" s="1" t="s">
        <v>6294</v>
      </c>
      <c r="D1742" s="2" t="s">
        <v>6295</v>
      </c>
      <c r="E1742" s="1">
        <v>1.0</v>
      </c>
      <c r="I1742" s="1">
        <v>0.0</v>
      </c>
      <c r="J1742" s="1">
        <v>12.0</v>
      </c>
      <c r="L1742" s="1">
        <v>8616076.0</v>
      </c>
      <c r="Q1742" s="1" t="s">
        <v>6294</v>
      </c>
      <c r="R1742" s="1" t="s">
        <v>6296</v>
      </c>
      <c r="S1742" s="1">
        <v>0.0</v>
      </c>
      <c r="T1742" s="1">
        <v>0.0</v>
      </c>
      <c r="X1742" s="1" t="s">
        <v>56</v>
      </c>
    </row>
    <row r="1743">
      <c r="A1743" s="3" t="str">
        <f>HYPERLINK("https://stackoverflow.com/q/57563207", "57563207")</f>
        <v>57563207</v>
      </c>
      <c r="B1743" s="1" t="s">
        <v>4681</v>
      </c>
      <c r="C1743" s="1" t="s">
        <v>6297</v>
      </c>
      <c r="D1743" s="2" t="s">
        <v>6298</v>
      </c>
      <c r="E1743" s="1">
        <v>1.0</v>
      </c>
      <c r="I1743" s="1">
        <v>1.0</v>
      </c>
      <c r="J1743" s="1">
        <v>67.0</v>
      </c>
      <c r="L1743" s="1">
        <v>6016473.0</v>
      </c>
      <c r="Q1743" s="1" t="s">
        <v>6299</v>
      </c>
      <c r="R1743" s="1" t="s">
        <v>5093</v>
      </c>
      <c r="S1743" s="1">
        <v>1.0</v>
      </c>
      <c r="T1743" s="1">
        <v>1.0</v>
      </c>
      <c r="X1743" s="1" t="s">
        <v>56</v>
      </c>
    </row>
    <row r="1744">
      <c r="A1744" s="3" t="str">
        <f>HYPERLINK("https://stackoverflow.com/q/57574048", "57574048")</f>
        <v>57574048</v>
      </c>
      <c r="B1744" s="1" t="s">
        <v>4681</v>
      </c>
      <c r="C1744" s="1" t="s">
        <v>6300</v>
      </c>
      <c r="D1744" s="2" t="s">
        <v>6301</v>
      </c>
      <c r="E1744" s="1">
        <v>1.0</v>
      </c>
      <c r="I1744" s="1">
        <v>0.0</v>
      </c>
      <c r="J1744" s="1">
        <v>68.0</v>
      </c>
      <c r="L1744" s="1">
        <v>1.1935902E7</v>
      </c>
      <c r="Q1744" s="1" t="s">
        <v>6302</v>
      </c>
      <c r="R1744" s="1" t="s">
        <v>4836</v>
      </c>
      <c r="S1744" s="1">
        <v>1.0</v>
      </c>
      <c r="T1744" s="1">
        <v>0.0</v>
      </c>
      <c r="X1744" s="1" t="s">
        <v>56</v>
      </c>
    </row>
    <row r="1745">
      <c r="A1745" s="3" t="str">
        <f>HYPERLINK("https://stackoverflow.com/q/57580329", "57580329")</f>
        <v>57580329</v>
      </c>
      <c r="B1745" s="1" t="s">
        <v>4681</v>
      </c>
      <c r="C1745" s="1" t="s">
        <v>6303</v>
      </c>
      <c r="D1745" s="2" t="s">
        <v>6304</v>
      </c>
      <c r="E1745" s="1">
        <v>1.0</v>
      </c>
      <c r="I1745" s="1">
        <v>0.0</v>
      </c>
      <c r="J1745" s="1">
        <v>36.0</v>
      </c>
      <c r="L1745" s="1">
        <v>6016473.0</v>
      </c>
      <c r="N1745" s="1">
        <v>751090.0</v>
      </c>
      <c r="P1745" s="1" t="s">
        <v>6305</v>
      </c>
      <c r="Q1745" s="1" t="s">
        <v>6306</v>
      </c>
      <c r="R1745" s="1" t="s">
        <v>5093</v>
      </c>
      <c r="S1745" s="1">
        <v>1.0</v>
      </c>
      <c r="T1745" s="1">
        <v>2.0</v>
      </c>
      <c r="X1745" s="1" t="s">
        <v>56</v>
      </c>
    </row>
    <row r="1746">
      <c r="A1746" s="3" t="str">
        <f>HYPERLINK("https://stackoverflow.com/q/57599780", "57599780")</f>
        <v>57599780</v>
      </c>
      <c r="B1746" s="1" t="s">
        <v>4681</v>
      </c>
      <c r="C1746" s="1" t="s">
        <v>6307</v>
      </c>
      <c r="D1746" s="2" t="s">
        <v>6308</v>
      </c>
      <c r="E1746" s="1">
        <v>1.0</v>
      </c>
      <c r="I1746" s="1">
        <v>0.0</v>
      </c>
      <c r="J1746" s="1">
        <v>48.0</v>
      </c>
      <c r="L1746" s="1">
        <v>6016473.0</v>
      </c>
      <c r="Q1746" s="1" t="s">
        <v>6309</v>
      </c>
      <c r="R1746" s="1" t="s">
        <v>5759</v>
      </c>
      <c r="S1746" s="1">
        <v>1.0</v>
      </c>
      <c r="T1746" s="1">
        <v>0.0</v>
      </c>
      <c r="X1746" s="1" t="s">
        <v>56</v>
      </c>
    </row>
    <row r="1747">
      <c r="A1747" s="3" t="str">
        <f>HYPERLINK("https://stackoverflow.com/q/57607021", "57607021")</f>
        <v>57607021</v>
      </c>
      <c r="B1747" s="1" t="s">
        <v>4681</v>
      </c>
      <c r="C1747" s="1" t="s">
        <v>6310</v>
      </c>
      <c r="D1747" s="2" t="s">
        <v>6311</v>
      </c>
      <c r="E1747" s="1">
        <v>1.0</v>
      </c>
      <c r="I1747" s="1">
        <v>0.0</v>
      </c>
      <c r="J1747" s="1">
        <v>58.0</v>
      </c>
      <c r="L1747" s="1">
        <v>1.1932018E7</v>
      </c>
      <c r="Q1747" s="1" t="s">
        <v>6312</v>
      </c>
      <c r="R1747" s="1" t="s">
        <v>5499</v>
      </c>
      <c r="S1747" s="1">
        <v>1.0</v>
      </c>
      <c r="T1747" s="1">
        <v>0.0</v>
      </c>
      <c r="X1747" s="1" t="s">
        <v>56</v>
      </c>
    </row>
    <row r="1748">
      <c r="A1748" s="3" t="str">
        <f>HYPERLINK("https://stackoverflow.com/q/57711779", "57711779")</f>
        <v>57711779</v>
      </c>
      <c r="B1748" s="1" t="s">
        <v>4681</v>
      </c>
      <c r="C1748" s="1" t="s">
        <v>6313</v>
      </c>
      <c r="D1748" s="2" t="s">
        <v>6314</v>
      </c>
      <c r="E1748" s="1">
        <v>1.0</v>
      </c>
      <c r="I1748" s="1">
        <v>2.0</v>
      </c>
      <c r="J1748" s="1">
        <v>212.0</v>
      </c>
      <c r="L1748" s="1">
        <v>6281489.0</v>
      </c>
      <c r="Q1748" s="1" t="s">
        <v>6313</v>
      </c>
      <c r="R1748" s="1" t="s">
        <v>6138</v>
      </c>
      <c r="S1748" s="1">
        <v>0.0</v>
      </c>
      <c r="T1748" s="1">
        <v>0.0</v>
      </c>
      <c r="X1748" s="1" t="s">
        <v>56</v>
      </c>
    </row>
    <row r="1749">
      <c r="A1749" s="3" t="str">
        <f>HYPERLINK("https://stackoverflow.com/q/57713713", "57713713")</f>
        <v>57713713</v>
      </c>
      <c r="B1749" s="1" t="s">
        <v>4681</v>
      </c>
      <c r="C1749" s="1" t="s">
        <v>6315</v>
      </c>
      <c r="D1749" s="2" t="s">
        <v>6316</v>
      </c>
      <c r="E1749" s="1">
        <v>1.0</v>
      </c>
      <c r="I1749" s="1">
        <v>2.0</v>
      </c>
      <c r="J1749" s="1">
        <v>46.0</v>
      </c>
      <c r="L1749" s="1">
        <v>1.1995427E7</v>
      </c>
      <c r="N1749" s="1">
        <v>1.0312071E7</v>
      </c>
      <c r="P1749" s="1" t="s">
        <v>6317</v>
      </c>
      <c r="Q1749" s="1" t="s">
        <v>6318</v>
      </c>
      <c r="R1749" s="1" t="s">
        <v>6319</v>
      </c>
      <c r="S1749" s="1">
        <v>2.0</v>
      </c>
      <c r="T1749" s="1">
        <v>0.0</v>
      </c>
      <c r="X1749" s="1" t="s">
        <v>56</v>
      </c>
    </row>
    <row r="1750">
      <c r="A1750" s="3" t="str">
        <f>HYPERLINK("https://stackoverflow.com/q/57731105", "57731105")</f>
        <v>57731105</v>
      </c>
      <c r="B1750" s="1" t="s">
        <v>4681</v>
      </c>
      <c r="C1750" s="1" t="s">
        <v>6320</v>
      </c>
      <c r="D1750" s="2" t="s">
        <v>6321</v>
      </c>
      <c r="E1750" s="1">
        <v>1.0</v>
      </c>
      <c r="F1750" s="1">
        <v>5.7733504E7</v>
      </c>
      <c r="I1750" s="1">
        <v>0.0</v>
      </c>
      <c r="J1750" s="1">
        <v>106.0</v>
      </c>
      <c r="L1750" s="1">
        <v>1.2000616E7</v>
      </c>
      <c r="Q1750" s="1" t="s">
        <v>6322</v>
      </c>
      <c r="R1750" s="1" t="s">
        <v>4697</v>
      </c>
      <c r="S1750" s="1">
        <v>2.0</v>
      </c>
      <c r="T1750" s="1">
        <v>1.0</v>
      </c>
      <c r="X1750" s="1" t="s">
        <v>56</v>
      </c>
      <c r="Z1750" s="1" t="s">
        <v>6322</v>
      </c>
    </row>
    <row r="1751">
      <c r="A1751" s="3" t="str">
        <f>HYPERLINK("https://stackoverflow.com/q/57750105", "57750105")</f>
        <v>57750105</v>
      </c>
      <c r="B1751" s="1" t="s">
        <v>4681</v>
      </c>
      <c r="C1751" s="1" t="s">
        <v>6323</v>
      </c>
      <c r="D1751" s="2" t="s">
        <v>6324</v>
      </c>
      <c r="E1751" s="1">
        <v>1.0</v>
      </c>
      <c r="I1751" s="1">
        <v>0.0</v>
      </c>
      <c r="J1751" s="1">
        <v>73.0</v>
      </c>
      <c r="L1751" s="1">
        <v>1.1875535E7</v>
      </c>
      <c r="Q1751" s="1" t="s">
        <v>6325</v>
      </c>
      <c r="R1751" s="1" t="s">
        <v>6326</v>
      </c>
      <c r="S1751" s="1">
        <v>1.0</v>
      </c>
      <c r="T1751" s="1">
        <v>0.0</v>
      </c>
      <c r="X1751" s="1" t="s">
        <v>56</v>
      </c>
    </row>
    <row r="1752">
      <c r="A1752" s="3" t="str">
        <f>HYPERLINK("https://stackoverflow.com/q/57775247", "57775247")</f>
        <v>57775247</v>
      </c>
      <c r="B1752" s="1" t="s">
        <v>4681</v>
      </c>
      <c r="C1752" s="1" t="s">
        <v>6327</v>
      </c>
      <c r="D1752" s="2" t="s">
        <v>6328</v>
      </c>
      <c r="E1752" s="1">
        <v>1.0</v>
      </c>
      <c r="F1752" s="1">
        <v>5.7776683E7</v>
      </c>
      <c r="I1752" s="1">
        <v>1.0</v>
      </c>
      <c r="J1752" s="1">
        <v>250.0</v>
      </c>
      <c r="L1752" s="1">
        <v>1.1875535E7</v>
      </c>
      <c r="N1752" s="1">
        <v>1.1875535E7</v>
      </c>
      <c r="P1752" s="1" t="s">
        <v>6329</v>
      </c>
      <c r="Q1752" s="1" t="s">
        <v>6330</v>
      </c>
      <c r="R1752" s="1" t="s">
        <v>6331</v>
      </c>
      <c r="S1752" s="1">
        <v>2.0</v>
      </c>
      <c r="T1752" s="1">
        <v>0.0</v>
      </c>
      <c r="X1752" s="1" t="s">
        <v>56</v>
      </c>
      <c r="Z1752" s="1" t="s">
        <v>6330</v>
      </c>
    </row>
    <row r="1753">
      <c r="A1753" s="3" t="str">
        <f>HYPERLINK("https://stackoverflow.com/q/57775673", "57775673")</f>
        <v>57775673</v>
      </c>
      <c r="B1753" s="1" t="s">
        <v>4681</v>
      </c>
      <c r="C1753" s="1" t="s">
        <v>6332</v>
      </c>
      <c r="D1753" s="2" t="s">
        <v>6333</v>
      </c>
      <c r="E1753" s="1">
        <v>1.0</v>
      </c>
      <c r="I1753" s="1">
        <v>0.0</v>
      </c>
      <c r="J1753" s="1">
        <v>23.0</v>
      </c>
      <c r="L1753" s="1">
        <v>1.1620198E7</v>
      </c>
      <c r="N1753" s="1">
        <v>472495.0</v>
      </c>
      <c r="P1753" s="1" t="s">
        <v>6334</v>
      </c>
      <c r="Q1753" s="1" t="s">
        <v>6334</v>
      </c>
      <c r="R1753" s="1" t="s">
        <v>6335</v>
      </c>
      <c r="S1753" s="1">
        <v>0.0</v>
      </c>
      <c r="T1753" s="1">
        <v>0.0</v>
      </c>
      <c r="X1753" s="1" t="s">
        <v>56</v>
      </c>
    </row>
    <row r="1754">
      <c r="A1754" s="3" t="str">
        <f>HYPERLINK("https://stackoverflow.com/q/57787836", "57787836")</f>
        <v>57787836</v>
      </c>
      <c r="B1754" s="1" t="s">
        <v>4681</v>
      </c>
      <c r="C1754" s="1" t="s">
        <v>6336</v>
      </c>
      <c r="D1754" s="2" t="s">
        <v>6337</v>
      </c>
      <c r="E1754" s="1">
        <v>1.0</v>
      </c>
      <c r="I1754" s="1">
        <v>0.0</v>
      </c>
      <c r="J1754" s="1">
        <v>26.0</v>
      </c>
      <c r="L1754" s="1">
        <v>6795689.0</v>
      </c>
      <c r="N1754" s="1">
        <v>6795689.0</v>
      </c>
      <c r="P1754" s="1" t="s">
        <v>6338</v>
      </c>
      <c r="Q1754" s="1" t="s">
        <v>6338</v>
      </c>
      <c r="R1754" s="1" t="s">
        <v>5022</v>
      </c>
      <c r="S1754" s="1">
        <v>0.0</v>
      </c>
      <c r="T1754" s="1">
        <v>0.0</v>
      </c>
      <c r="U1754" s="1">
        <v>1.0</v>
      </c>
      <c r="X1754" s="1" t="s">
        <v>56</v>
      </c>
    </row>
    <row r="1755">
      <c r="A1755" s="3" t="str">
        <f>HYPERLINK("https://stackoverflow.com/q/57794087", "57794087")</f>
        <v>57794087</v>
      </c>
      <c r="B1755" s="1" t="s">
        <v>4681</v>
      </c>
      <c r="C1755" s="1" t="s">
        <v>6339</v>
      </c>
      <c r="D1755" s="2" t="s">
        <v>6340</v>
      </c>
      <c r="E1755" s="1">
        <v>1.0</v>
      </c>
      <c r="F1755" s="1">
        <v>5.7796362E7</v>
      </c>
      <c r="I1755" s="1">
        <v>0.0</v>
      </c>
      <c r="J1755" s="1">
        <v>104.0</v>
      </c>
      <c r="L1755" s="1">
        <v>1.1875535E7</v>
      </c>
      <c r="N1755" s="1">
        <v>1.1875535E7</v>
      </c>
      <c r="P1755" s="1" t="s">
        <v>6341</v>
      </c>
      <c r="Q1755" s="1" t="s">
        <v>6342</v>
      </c>
      <c r="R1755" s="1" t="s">
        <v>6045</v>
      </c>
      <c r="S1755" s="1">
        <v>1.0</v>
      </c>
      <c r="T1755" s="1">
        <v>0.0</v>
      </c>
      <c r="X1755" s="1" t="s">
        <v>56</v>
      </c>
      <c r="Z1755" s="1" t="s">
        <v>6342</v>
      </c>
    </row>
    <row r="1756">
      <c r="A1756" s="3" t="str">
        <f>HYPERLINK("https://stackoverflow.com/q/57794437", "57794437")</f>
        <v>57794437</v>
      </c>
      <c r="B1756" s="1" t="s">
        <v>4681</v>
      </c>
      <c r="C1756" s="1" t="s">
        <v>6343</v>
      </c>
      <c r="D1756" s="2" t="s">
        <v>6344</v>
      </c>
      <c r="E1756" s="1">
        <v>1.0</v>
      </c>
      <c r="F1756" s="1">
        <v>5.7797406E7</v>
      </c>
      <c r="I1756" s="1">
        <v>0.0</v>
      </c>
      <c r="J1756" s="1">
        <v>41.0</v>
      </c>
      <c r="L1756" s="1">
        <v>6121310.0</v>
      </c>
      <c r="Q1756" s="1" t="s">
        <v>6345</v>
      </c>
      <c r="R1756" s="1" t="s">
        <v>4836</v>
      </c>
      <c r="S1756" s="1">
        <v>1.0</v>
      </c>
      <c r="T1756" s="1">
        <v>0.0</v>
      </c>
      <c r="X1756" s="1" t="s">
        <v>56</v>
      </c>
      <c r="Z1756" s="1" t="s">
        <v>6345</v>
      </c>
    </row>
    <row r="1757">
      <c r="A1757" s="3" t="str">
        <f>HYPERLINK("https://stackoverflow.com/q/57811097", "57811097")</f>
        <v>57811097</v>
      </c>
      <c r="B1757" s="1" t="s">
        <v>4681</v>
      </c>
      <c r="C1757" s="1" t="s">
        <v>6346</v>
      </c>
      <c r="D1757" s="2" t="s">
        <v>6347</v>
      </c>
      <c r="E1757" s="1">
        <v>1.0</v>
      </c>
      <c r="I1757" s="1">
        <v>0.0</v>
      </c>
      <c r="J1757" s="1">
        <v>48.0</v>
      </c>
      <c r="L1757" s="1">
        <v>1.2026214E7</v>
      </c>
      <c r="Q1757" s="1" t="s">
        <v>6348</v>
      </c>
      <c r="R1757" s="1" t="s">
        <v>6349</v>
      </c>
      <c r="S1757" s="1">
        <v>2.0</v>
      </c>
      <c r="T1757" s="1">
        <v>0.0</v>
      </c>
      <c r="X1757" s="1" t="s">
        <v>56</v>
      </c>
    </row>
    <row r="1758">
      <c r="A1758" s="3" t="str">
        <f>HYPERLINK("https://stackoverflow.com/q/57825022", "57825022")</f>
        <v>57825022</v>
      </c>
      <c r="B1758" s="1" t="s">
        <v>4681</v>
      </c>
      <c r="C1758" s="1" t="s">
        <v>6350</v>
      </c>
      <c r="D1758" s="2" t="s">
        <v>6351</v>
      </c>
      <c r="E1758" s="1">
        <v>1.0</v>
      </c>
      <c r="F1758" s="1">
        <v>5.7825716E7</v>
      </c>
      <c r="I1758" s="1">
        <v>0.0</v>
      </c>
      <c r="J1758" s="1">
        <v>31.0</v>
      </c>
      <c r="L1758" s="1">
        <v>1.1875535E7</v>
      </c>
      <c r="Q1758" s="1" t="s">
        <v>6352</v>
      </c>
      <c r="R1758" s="1" t="s">
        <v>6138</v>
      </c>
      <c r="S1758" s="1">
        <v>1.0</v>
      </c>
      <c r="T1758" s="1">
        <v>0.0</v>
      </c>
      <c r="X1758" s="1" t="s">
        <v>56</v>
      </c>
      <c r="Z1758" s="1" t="s">
        <v>6352</v>
      </c>
    </row>
    <row r="1759">
      <c r="A1759" s="3" t="str">
        <f>HYPERLINK("https://stackoverflow.com/q/57828966", "57828966")</f>
        <v>57828966</v>
      </c>
      <c r="B1759" s="1" t="s">
        <v>4681</v>
      </c>
      <c r="C1759" s="1" t="s">
        <v>6353</v>
      </c>
      <c r="D1759" s="2" t="s">
        <v>6354</v>
      </c>
      <c r="E1759" s="1">
        <v>1.0</v>
      </c>
      <c r="I1759" s="1">
        <v>1.0</v>
      </c>
      <c r="J1759" s="1">
        <v>137.0</v>
      </c>
      <c r="L1759" s="1">
        <v>2196075.0</v>
      </c>
      <c r="N1759" s="1">
        <v>13302.0</v>
      </c>
      <c r="P1759" s="1" t="s">
        <v>6355</v>
      </c>
      <c r="Q1759" s="1" t="s">
        <v>6355</v>
      </c>
      <c r="R1759" s="1" t="s">
        <v>5294</v>
      </c>
      <c r="S1759" s="1">
        <v>0.0</v>
      </c>
      <c r="T1759" s="1">
        <v>2.0</v>
      </c>
      <c r="U1759" s="1">
        <v>2.0</v>
      </c>
      <c r="X1759" s="1" t="s">
        <v>56</v>
      </c>
    </row>
    <row r="1760">
      <c r="A1760" s="3" t="str">
        <f>HYPERLINK("https://stackoverflow.com/q/57873246", "57873246")</f>
        <v>57873246</v>
      </c>
      <c r="B1760" s="1" t="s">
        <v>4681</v>
      </c>
      <c r="C1760" s="1" t="s">
        <v>6356</v>
      </c>
      <c r="D1760" s="2" t="s">
        <v>6357</v>
      </c>
      <c r="E1760" s="1">
        <v>1.0</v>
      </c>
      <c r="I1760" s="1">
        <v>0.0</v>
      </c>
      <c r="J1760" s="1">
        <v>39.0</v>
      </c>
      <c r="L1760" s="1">
        <v>171082.0</v>
      </c>
      <c r="Q1760" s="1" t="s">
        <v>6358</v>
      </c>
      <c r="R1760" s="1" t="s">
        <v>4697</v>
      </c>
      <c r="S1760" s="1">
        <v>1.0</v>
      </c>
      <c r="T1760" s="1">
        <v>0.0</v>
      </c>
      <c r="X1760" s="1" t="s">
        <v>56</v>
      </c>
    </row>
    <row r="1761">
      <c r="A1761" s="3" t="str">
        <f>HYPERLINK("https://stackoverflow.com/q/57887686", "57887686")</f>
        <v>57887686</v>
      </c>
      <c r="B1761" s="1" t="s">
        <v>4681</v>
      </c>
      <c r="C1761" s="1" t="s">
        <v>6359</v>
      </c>
      <c r="D1761" s="2" t="s">
        <v>6360</v>
      </c>
      <c r="E1761" s="1">
        <v>1.0</v>
      </c>
      <c r="I1761" s="1">
        <v>0.0</v>
      </c>
      <c r="J1761" s="1">
        <v>137.0</v>
      </c>
      <c r="L1761" s="1">
        <v>5946457.0</v>
      </c>
      <c r="N1761" s="1">
        <v>5946457.0</v>
      </c>
      <c r="P1761" s="1" t="s">
        <v>6361</v>
      </c>
      <c r="Q1761" s="1" t="s">
        <v>6362</v>
      </c>
      <c r="R1761" s="1" t="s">
        <v>6363</v>
      </c>
      <c r="S1761" s="1">
        <v>1.0</v>
      </c>
      <c r="T1761" s="1">
        <v>0.0</v>
      </c>
      <c r="X1761" s="1" t="s">
        <v>56</v>
      </c>
    </row>
    <row r="1762">
      <c r="A1762" s="3" t="str">
        <f>HYPERLINK("https://stackoverflow.com/q/57891475", "57891475")</f>
        <v>57891475</v>
      </c>
      <c r="B1762" s="1" t="s">
        <v>4681</v>
      </c>
      <c r="C1762" s="1" t="s">
        <v>6364</v>
      </c>
      <c r="D1762" s="2" t="s">
        <v>6365</v>
      </c>
      <c r="E1762" s="1">
        <v>1.0</v>
      </c>
      <c r="I1762" s="1">
        <v>0.0</v>
      </c>
      <c r="J1762" s="1">
        <v>37.0</v>
      </c>
      <c r="L1762" s="1">
        <v>1.2053633E7</v>
      </c>
      <c r="N1762" s="1">
        <v>751090.0</v>
      </c>
      <c r="P1762" s="1" t="s">
        <v>6366</v>
      </c>
      <c r="Q1762" s="1" t="s">
        <v>6367</v>
      </c>
      <c r="R1762" s="1" t="s">
        <v>6138</v>
      </c>
      <c r="S1762" s="1">
        <v>1.0</v>
      </c>
      <c r="T1762" s="1">
        <v>0.0</v>
      </c>
      <c r="X1762" s="1" t="s">
        <v>56</v>
      </c>
    </row>
    <row r="1763">
      <c r="A1763" s="3" t="str">
        <f>HYPERLINK("https://stackoverflow.com/q/57895035", "57895035")</f>
        <v>57895035</v>
      </c>
      <c r="B1763" s="1" t="s">
        <v>4681</v>
      </c>
      <c r="C1763" s="1" t="s">
        <v>6368</v>
      </c>
      <c r="D1763" s="2" t="s">
        <v>6369</v>
      </c>
      <c r="E1763" s="1">
        <v>1.0</v>
      </c>
      <c r="I1763" s="1">
        <v>0.0</v>
      </c>
      <c r="J1763" s="1">
        <v>76.0</v>
      </c>
      <c r="L1763" s="1">
        <v>2196075.0</v>
      </c>
      <c r="Q1763" s="1" t="s">
        <v>6370</v>
      </c>
      <c r="R1763" s="1" t="s">
        <v>4697</v>
      </c>
      <c r="S1763" s="1">
        <v>1.0</v>
      </c>
      <c r="T1763" s="1">
        <v>0.0</v>
      </c>
      <c r="X1763" s="1" t="s">
        <v>56</v>
      </c>
    </row>
    <row r="1764">
      <c r="A1764" s="3" t="str">
        <f>HYPERLINK("https://stackoverflow.com/q/57909595", "57909595")</f>
        <v>57909595</v>
      </c>
      <c r="B1764" s="1" t="s">
        <v>4681</v>
      </c>
      <c r="C1764" s="1" t="s">
        <v>6371</v>
      </c>
      <c r="D1764" s="2" t="s">
        <v>6372</v>
      </c>
      <c r="E1764" s="1">
        <v>1.0</v>
      </c>
      <c r="F1764" s="1">
        <v>5.7928506E7</v>
      </c>
      <c r="I1764" s="1">
        <v>0.0</v>
      </c>
      <c r="J1764" s="1">
        <v>154.0</v>
      </c>
      <c r="L1764" s="1">
        <v>1.0042014E7</v>
      </c>
      <c r="N1764" s="1">
        <v>7920473.0</v>
      </c>
      <c r="P1764" s="1" t="s">
        <v>6373</v>
      </c>
      <c r="Q1764" s="1" t="s">
        <v>6373</v>
      </c>
      <c r="R1764" s="1" t="s">
        <v>6374</v>
      </c>
      <c r="S1764" s="1">
        <v>1.0</v>
      </c>
      <c r="T1764" s="1">
        <v>0.0</v>
      </c>
      <c r="X1764" s="1" t="s">
        <v>56</v>
      </c>
      <c r="Z1764" s="1" t="s">
        <v>6375</v>
      </c>
    </row>
    <row r="1765">
      <c r="A1765" s="3" t="str">
        <f>HYPERLINK("https://stackoverflow.com/q/57910501", "57910501")</f>
        <v>57910501</v>
      </c>
      <c r="B1765" s="1" t="s">
        <v>4681</v>
      </c>
      <c r="C1765" s="1" t="s">
        <v>6376</v>
      </c>
      <c r="D1765" s="2" t="s">
        <v>6377</v>
      </c>
      <c r="E1765" s="1">
        <v>1.0</v>
      </c>
      <c r="F1765" s="1">
        <v>5.7923255E7</v>
      </c>
      <c r="I1765" s="1">
        <v>1.0</v>
      </c>
      <c r="J1765" s="1">
        <v>147.0</v>
      </c>
      <c r="L1765" s="1">
        <v>1.2059276E7</v>
      </c>
      <c r="Q1765" s="1" t="s">
        <v>6378</v>
      </c>
      <c r="R1765" s="1" t="s">
        <v>6379</v>
      </c>
      <c r="S1765" s="1">
        <v>1.0</v>
      </c>
      <c r="T1765" s="1">
        <v>0.0</v>
      </c>
      <c r="X1765" s="1" t="s">
        <v>56</v>
      </c>
      <c r="Z1765" s="1" t="s">
        <v>6378</v>
      </c>
    </row>
    <row r="1766">
      <c r="A1766" s="3" t="str">
        <f>HYPERLINK("https://stackoverflow.com/q/57916211", "57916211")</f>
        <v>57916211</v>
      </c>
      <c r="B1766" s="1" t="s">
        <v>4681</v>
      </c>
      <c r="C1766" s="1" t="s">
        <v>6380</v>
      </c>
      <c r="D1766" s="2" t="s">
        <v>6381</v>
      </c>
      <c r="E1766" s="1">
        <v>1.0</v>
      </c>
      <c r="I1766" s="1">
        <v>0.0</v>
      </c>
      <c r="J1766" s="1">
        <v>52.0</v>
      </c>
      <c r="L1766" s="1">
        <v>1.1875535E7</v>
      </c>
      <c r="N1766" s="1">
        <v>1.1875535E7</v>
      </c>
      <c r="P1766" s="1" t="s">
        <v>6382</v>
      </c>
      <c r="Q1766" s="1" t="s">
        <v>6383</v>
      </c>
      <c r="R1766" s="1" t="s">
        <v>4805</v>
      </c>
      <c r="S1766" s="1">
        <v>2.0</v>
      </c>
      <c r="T1766" s="1">
        <v>1.0</v>
      </c>
      <c r="X1766" s="1" t="s">
        <v>56</v>
      </c>
    </row>
    <row r="1767">
      <c r="A1767" s="3" t="str">
        <f>HYPERLINK("https://stackoverflow.com/q/57971560", "57971560")</f>
        <v>57971560</v>
      </c>
      <c r="B1767" s="1" t="s">
        <v>4681</v>
      </c>
      <c r="C1767" s="1" t="s">
        <v>6384</v>
      </c>
      <c r="D1767" s="2" t="s">
        <v>6385</v>
      </c>
      <c r="E1767" s="1">
        <v>1.0</v>
      </c>
      <c r="I1767" s="1">
        <v>0.0</v>
      </c>
      <c r="J1767" s="1">
        <v>37.0</v>
      </c>
      <c r="L1767" s="1">
        <v>7716454.0</v>
      </c>
      <c r="Q1767" s="1" t="s">
        <v>6384</v>
      </c>
      <c r="R1767" s="1" t="s">
        <v>6386</v>
      </c>
      <c r="S1767" s="1">
        <v>0.0</v>
      </c>
      <c r="T1767" s="1">
        <v>0.0</v>
      </c>
      <c r="X1767" s="1" t="s">
        <v>56</v>
      </c>
    </row>
    <row r="1768">
      <c r="A1768" s="3" t="str">
        <f>HYPERLINK("https://stackoverflow.com/q/57978754", "57978754")</f>
        <v>57978754</v>
      </c>
      <c r="B1768" s="1" t="s">
        <v>4681</v>
      </c>
      <c r="C1768" s="1" t="s">
        <v>6387</v>
      </c>
      <c r="D1768" s="2" t="s">
        <v>6388</v>
      </c>
      <c r="E1768" s="1">
        <v>1.0</v>
      </c>
      <c r="F1768" s="1">
        <v>5.7993838E7</v>
      </c>
      <c r="I1768" s="1">
        <v>0.0</v>
      </c>
      <c r="J1768" s="1">
        <v>32.0</v>
      </c>
      <c r="L1768" s="1">
        <v>1.2021868E7</v>
      </c>
      <c r="N1768" s="1">
        <v>751090.0</v>
      </c>
      <c r="P1768" s="1" t="s">
        <v>6389</v>
      </c>
      <c r="Q1768" s="1" t="s">
        <v>6390</v>
      </c>
      <c r="R1768" s="1" t="s">
        <v>5093</v>
      </c>
      <c r="S1768" s="1">
        <v>1.0</v>
      </c>
      <c r="T1768" s="1">
        <v>0.0</v>
      </c>
      <c r="X1768" s="1" t="s">
        <v>56</v>
      </c>
      <c r="Z1768" s="1" t="s">
        <v>6390</v>
      </c>
    </row>
    <row r="1769">
      <c r="A1769" s="3" t="str">
        <f>HYPERLINK("https://stackoverflow.com/q/58059973", "58059973")</f>
        <v>58059973</v>
      </c>
      <c r="B1769" s="1" t="s">
        <v>4681</v>
      </c>
      <c r="C1769" s="1" t="s">
        <v>6391</v>
      </c>
      <c r="D1769" s="2" t="s">
        <v>6392</v>
      </c>
      <c r="E1769" s="1">
        <v>1.0</v>
      </c>
      <c r="I1769" s="1">
        <v>0.0</v>
      </c>
      <c r="J1769" s="1">
        <v>32.0</v>
      </c>
      <c r="L1769" s="1">
        <v>1993744.0</v>
      </c>
      <c r="N1769" s="1">
        <v>5061176.0</v>
      </c>
      <c r="P1769" s="1" t="s">
        <v>6393</v>
      </c>
      <c r="Q1769" s="1" t="s">
        <v>6393</v>
      </c>
      <c r="R1769" s="1" t="s">
        <v>4966</v>
      </c>
      <c r="S1769" s="1">
        <v>0.0</v>
      </c>
      <c r="T1769" s="1">
        <v>0.0</v>
      </c>
      <c r="X1769" s="1" t="s">
        <v>56</v>
      </c>
    </row>
    <row r="1770">
      <c r="A1770" s="3" t="str">
        <f>HYPERLINK("https://stackoverflow.com/q/58074597", "58074597")</f>
        <v>58074597</v>
      </c>
      <c r="B1770" s="1" t="s">
        <v>4681</v>
      </c>
      <c r="C1770" s="1" t="s">
        <v>6394</v>
      </c>
      <c r="D1770" s="2" t="s">
        <v>6395</v>
      </c>
      <c r="E1770" s="1">
        <v>1.0</v>
      </c>
      <c r="I1770" s="1">
        <v>0.0</v>
      </c>
      <c r="J1770" s="1">
        <v>88.0</v>
      </c>
      <c r="L1770" s="1">
        <v>1.1956658E7</v>
      </c>
      <c r="N1770" s="1">
        <v>1.1112788E7</v>
      </c>
      <c r="P1770" s="1" t="s">
        <v>6396</v>
      </c>
      <c r="Q1770" s="1" t="s">
        <v>6397</v>
      </c>
      <c r="R1770" s="1" t="s">
        <v>4697</v>
      </c>
      <c r="S1770" s="1">
        <v>1.0</v>
      </c>
      <c r="T1770" s="1">
        <v>0.0</v>
      </c>
      <c r="X1770" s="1" t="s">
        <v>56</v>
      </c>
    </row>
    <row r="1771">
      <c r="A1771" s="3" t="str">
        <f>HYPERLINK("https://stackoverflow.com/q/58082775", "58082775")</f>
        <v>58082775</v>
      </c>
      <c r="B1771" s="1" t="s">
        <v>4681</v>
      </c>
      <c r="C1771" s="1" t="s">
        <v>6398</v>
      </c>
      <c r="D1771" s="2" t="s">
        <v>6399</v>
      </c>
      <c r="E1771" s="1">
        <v>1.0</v>
      </c>
      <c r="I1771" s="1">
        <v>0.0</v>
      </c>
      <c r="J1771" s="1">
        <v>60.0</v>
      </c>
      <c r="L1771" s="1">
        <v>1.0785124E7</v>
      </c>
      <c r="Q1771" s="1" t="s">
        <v>6400</v>
      </c>
      <c r="R1771" s="1" t="s">
        <v>4805</v>
      </c>
      <c r="S1771" s="1">
        <v>1.0</v>
      </c>
      <c r="T1771" s="1">
        <v>0.0</v>
      </c>
      <c r="U1771" s="1">
        <v>1.0</v>
      </c>
      <c r="X1771" s="1" t="s">
        <v>56</v>
      </c>
    </row>
    <row r="1772">
      <c r="A1772" s="3" t="str">
        <f>HYPERLINK("https://stackoverflow.com/q/58083482", "58083482")</f>
        <v>58083482</v>
      </c>
      <c r="B1772" s="1" t="s">
        <v>4681</v>
      </c>
      <c r="C1772" s="1" t="s">
        <v>6401</v>
      </c>
      <c r="D1772" s="2" t="s">
        <v>6402</v>
      </c>
      <c r="E1772" s="1">
        <v>1.0</v>
      </c>
      <c r="F1772" s="1">
        <v>5.8106817E7</v>
      </c>
      <c r="I1772" s="1">
        <v>1.0</v>
      </c>
      <c r="J1772" s="1">
        <v>288.0</v>
      </c>
      <c r="L1772" s="1">
        <v>1.2113994E7</v>
      </c>
      <c r="N1772" s="1">
        <v>7920473.0</v>
      </c>
      <c r="P1772" s="1" t="s">
        <v>6403</v>
      </c>
      <c r="Q1772" s="1" t="s">
        <v>6404</v>
      </c>
      <c r="R1772" s="1" t="s">
        <v>4697</v>
      </c>
      <c r="S1772" s="1">
        <v>2.0</v>
      </c>
      <c r="T1772" s="1">
        <v>2.0</v>
      </c>
      <c r="U1772" s="1">
        <v>1.0</v>
      </c>
      <c r="X1772" s="1" t="s">
        <v>56</v>
      </c>
      <c r="Z1772" s="1" t="s">
        <v>6405</v>
      </c>
    </row>
    <row r="1773">
      <c r="A1773" s="3" t="str">
        <f>HYPERLINK("https://stackoverflow.com/q/58094733", "58094733")</f>
        <v>58094733</v>
      </c>
      <c r="B1773" s="1" t="s">
        <v>4681</v>
      </c>
      <c r="C1773" s="1" t="s">
        <v>6406</v>
      </c>
      <c r="D1773" s="2" t="s">
        <v>6407</v>
      </c>
      <c r="E1773" s="1">
        <v>1.0</v>
      </c>
      <c r="I1773" s="1">
        <v>1.0</v>
      </c>
      <c r="J1773" s="1">
        <v>58.0</v>
      </c>
      <c r="L1773" s="1">
        <v>1.10284E7</v>
      </c>
      <c r="Q1773" s="1" t="s">
        <v>6408</v>
      </c>
      <c r="R1773" s="1" t="s">
        <v>4697</v>
      </c>
      <c r="S1773" s="1">
        <v>1.0</v>
      </c>
      <c r="T1773" s="1">
        <v>0.0</v>
      </c>
      <c r="X1773" s="1" t="s">
        <v>56</v>
      </c>
    </row>
    <row r="1774">
      <c r="A1774" s="3" t="str">
        <f>HYPERLINK("https://stackoverflow.com/q/58097200", "58097200")</f>
        <v>58097200</v>
      </c>
      <c r="B1774" s="1" t="s">
        <v>4681</v>
      </c>
      <c r="C1774" s="1" t="s">
        <v>6409</v>
      </c>
      <c r="D1774" s="2" t="s">
        <v>6410</v>
      </c>
      <c r="E1774" s="1">
        <v>1.0</v>
      </c>
      <c r="F1774" s="1">
        <v>5.8103089E7</v>
      </c>
      <c r="I1774" s="1">
        <v>1.0</v>
      </c>
      <c r="J1774" s="1">
        <v>95.0</v>
      </c>
      <c r="L1774" s="1">
        <v>1.2118584E7</v>
      </c>
      <c r="N1774" s="1">
        <v>1814493.0</v>
      </c>
      <c r="P1774" s="1" t="s">
        <v>6411</v>
      </c>
      <c r="Q1774" s="1" t="s">
        <v>6411</v>
      </c>
      <c r="R1774" s="1" t="s">
        <v>6412</v>
      </c>
      <c r="S1774" s="1">
        <v>1.0</v>
      </c>
      <c r="T1774" s="1">
        <v>0.0</v>
      </c>
      <c r="X1774" s="1" t="s">
        <v>56</v>
      </c>
      <c r="Z1774" s="1" t="s">
        <v>6413</v>
      </c>
    </row>
    <row r="1775">
      <c r="A1775" s="3" t="str">
        <f>HYPERLINK("https://stackoverflow.com/q/58112894", "58112894")</f>
        <v>58112894</v>
      </c>
      <c r="B1775" s="1" t="s">
        <v>4681</v>
      </c>
      <c r="C1775" s="1" t="s">
        <v>6414</v>
      </c>
      <c r="D1775" s="2" t="s">
        <v>6415</v>
      </c>
      <c r="E1775" s="1">
        <v>1.0</v>
      </c>
      <c r="F1775" s="1">
        <v>5.8119971E7</v>
      </c>
      <c r="I1775" s="1">
        <v>0.0</v>
      </c>
      <c r="J1775" s="1">
        <v>226.0</v>
      </c>
      <c r="L1775" s="1">
        <v>1.2106991E7</v>
      </c>
      <c r="N1775" s="1">
        <v>7920473.0</v>
      </c>
      <c r="P1775" s="1" t="s">
        <v>6416</v>
      </c>
      <c r="Q1775" s="1" t="s">
        <v>6416</v>
      </c>
      <c r="R1775" s="1" t="s">
        <v>6417</v>
      </c>
      <c r="S1775" s="1">
        <v>1.0</v>
      </c>
      <c r="T1775" s="1">
        <v>2.0</v>
      </c>
      <c r="X1775" s="1" t="s">
        <v>56</v>
      </c>
      <c r="Z1775" s="1" t="s">
        <v>6418</v>
      </c>
    </row>
    <row r="1776">
      <c r="A1776" s="3" t="str">
        <f>HYPERLINK("https://stackoverflow.com/q/58143390", "58143390")</f>
        <v>58143390</v>
      </c>
      <c r="B1776" s="1" t="s">
        <v>4681</v>
      </c>
      <c r="C1776" s="1" t="s">
        <v>6419</v>
      </c>
      <c r="D1776" s="2" t="s">
        <v>6420</v>
      </c>
      <c r="E1776" s="1">
        <v>1.0</v>
      </c>
      <c r="I1776" s="1">
        <v>1.0</v>
      </c>
      <c r="J1776" s="1">
        <v>562.0</v>
      </c>
      <c r="L1776" s="1">
        <v>1.0910046E7</v>
      </c>
      <c r="N1776" s="1">
        <v>2756409.0</v>
      </c>
      <c r="P1776" s="1" t="s">
        <v>6421</v>
      </c>
      <c r="Q1776" s="1" t="s">
        <v>6421</v>
      </c>
      <c r="R1776" s="1" t="s">
        <v>6422</v>
      </c>
      <c r="S1776" s="1">
        <v>1.0</v>
      </c>
      <c r="T1776" s="1">
        <v>0.0</v>
      </c>
      <c r="X1776" s="1" t="s">
        <v>56</v>
      </c>
    </row>
    <row r="1777">
      <c r="A1777" s="3" t="str">
        <f>HYPERLINK("https://stackoverflow.com/q/58161171", "58161171")</f>
        <v>58161171</v>
      </c>
      <c r="B1777" s="1" t="s">
        <v>4681</v>
      </c>
      <c r="C1777" s="1" t="s">
        <v>6423</v>
      </c>
      <c r="D1777" s="2" t="s">
        <v>6424</v>
      </c>
      <c r="E1777" s="1">
        <v>1.0</v>
      </c>
      <c r="F1777" s="1">
        <v>5.8190041E7</v>
      </c>
      <c r="I1777" s="1">
        <v>1.0</v>
      </c>
      <c r="J1777" s="1">
        <v>369.0</v>
      </c>
      <c r="L1777" s="1">
        <v>4941657.0</v>
      </c>
      <c r="N1777" s="1">
        <v>4941657.0</v>
      </c>
      <c r="P1777" s="1" t="s">
        <v>6425</v>
      </c>
      <c r="Q1777" s="1" t="s">
        <v>6426</v>
      </c>
      <c r="R1777" s="1" t="s">
        <v>6069</v>
      </c>
      <c r="S1777" s="1">
        <v>1.0</v>
      </c>
      <c r="T1777" s="1">
        <v>6.0</v>
      </c>
      <c r="X1777" s="1" t="s">
        <v>56</v>
      </c>
      <c r="Z1777" s="1" t="s">
        <v>6426</v>
      </c>
    </row>
    <row r="1778">
      <c r="A1778" s="3" t="str">
        <f>HYPERLINK("https://stackoverflow.com/q/58172015", "58172015")</f>
        <v>58172015</v>
      </c>
      <c r="B1778" s="1" t="s">
        <v>4681</v>
      </c>
      <c r="C1778" s="1" t="s">
        <v>6427</v>
      </c>
      <c r="D1778" s="2" t="s">
        <v>6428</v>
      </c>
      <c r="E1778" s="1">
        <v>1.0</v>
      </c>
      <c r="I1778" s="1">
        <v>1.0</v>
      </c>
      <c r="J1778" s="1">
        <v>116.0</v>
      </c>
      <c r="L1778" s="1">
        <v>1.214373E7</v>
      </c>
      <c r="Q1778" s="1" t="s">
        <v>6429</v>
      </c>
      <c r="R1778" s="1" t="s">
        <v>4697</v>
      </c>
      <c r="S1778" s="1">
        <v>2.0</v>
      </c>
      <c r="T1778" s="1">
        <v>0.0</v>
      </c>
      <c r="X1778" s="1" t="s">
        <v>56</v>
      </c>
    </row>
    <row r="1779">
      <c r="A1779" s="3" t="str">
        <f>HYPERLINK("https://stackoverflow.com/q/58184044", "58184044")</f>
        <v>58184044</v>
      </c>
      <c r="B1779" s="1" t="s">
        <v>4681</v>
      </c>
      <c r="C1779" s="1" t="s">
        <v>6430</v>
      </c>
      <c r="D1779" s="2" t="s">
        <v>6431</v>
      </c>
      <c r="E1779" s="1">
        <v>1.0</v>
      </c>
      <c r="I1779" s="1">
        <v>0.0</v>
      </c>
      <c r="J1779" s="1">
        <v>169.0</v>
      </c>
      <c r="L1779" s="1">
        <v>5005477.0</v>
      </c>
      <c r="Q1779" s="1" t="s">
        <v>6432</v>
      </c>
      <c r="R1779" s="1" t="s">
        <v>4697</v>
      </c>
      <c r="S1779" s="1">
        <v>2.0</v>
      </c>
      <c r="T1779" s="1">
        <v>0.0</v>
      </c>
      <c r="X1779" s="1" t="s">
        <v>56</v>
      </c>
    </row>
    <row r="1780">
      <c r="A1780" s="3" t="str">
        <f>HYPERLINK("https://stackoverflow.com/q/58205324", "58205324")</f>
        <v>58205324</v>
      </c>
      <c r="B1780" s="1" t="s">
        <v>4681</v>
      </c>
      <c r="C1780" s="1" t="s">
        <v>6433</v>
      </c>
      <c r="D1780" s="2" t="s">
        <v>6434</v>
      </c>
      <c r="E1780" s="1">
        <v>1.0</v>
      </c>
      <c r="I1780" s="1">
        <v>1.0</v>
      </c>
      <c r="J1780" s="1">
        <v>61.0</v>
      </c>
      <c r="L1780" s="1">
        <v>9098538.0</v>
      </c>
      <c r="Q1780" s="1" t="s">
        <v>6435</v>
      </c>
      <c r="R1780" s="1" t="s">
        <v>4697</v>
      </c>
      <c r="S1780" s="1">
        <v>1.0</v>
      </c>
      <c r="T1780" s="1">
        <v>0.0</v>
      </c>
      <c r="X1780" s="1" t="s">
        <v>56</v>
      </c>
    </row>
    <row r="1781">
      <c r="A1781" s="3" t="str">
        <f>HYPERLINK("https://stackoverflow.com/q/58221749", "58221749")</f>
        <v>58221749</v>
      </c>
      <c r="B1781" s="1" t="s">
        <v>4681</v>
      </c>
      <c r="C1781" s="1" t="s">
        <v>6436</v>
      </c>
      <c r="D1781" s="2" t="s">
        <v>6437</v>
      </c>
      <c r="E1781" s="1">
        <v>1.0</v>
      </c>
      <c r="F1781" s="1">
        <v>5.8222651E7</v>
      </c>
      <c r="I1781" s="1">
        <v>1.0</v>
      </c>
      <c r="J1781" s="1">
        <v>81.0</v>
      </c>
      <c r="L1781" s="1">
        <v>1116480.0</v>
      </c>
      <c r="N1781" s="1">
        <v>7920473.0</v>
      </c>
      <c r="P1781" s="1" t="s">
        <v>6438</v>
      </c>
      <c r="Q1781" s="1" t="s">
        <v>6439</v>
      </c>
      <c r="R1781" s="1" t="s">
        <v>5022</v>
      </c>
      <c r="S1781" s="1">
        <v>1.0</v>
      </c>
      <c r="T1781" s="1">
        <v>0.0</v>
      </c>
      <c r="U1781" s="1">
        <v>1.0</v>
      </c>
      <c r="X1781" s="1" t="s">
        <v>56</v>
      </c>
      <c r="Z1781" s="1" t="s">
        <v>6440</v>
      </c>
    </row>
    <row r="1782">
      <c r="A1782" s="3" t="str">
        <f>HYPERLINK("https://stackoverflow.com/q/58222198", "58222198")</f>
        <v>58222198</v>
      </c>
      <c r="B1782" s="1" t="s">
        <v>4681</v>
      </c>
      <c r="C1782" s="1" t="s">
        <v>6441</v>
      </c>
      <c r="D1782" s="2" t="s">
        <v>6442</v>
      </c>
      <c r="E1782" s="1">
        <v>1.0</v>
      </c>
      <c r="F1782" s="1">
        <v>5.8260808E7</v>
      </c>
      <c r="I1782" s="1">
        <v>1.0</v>
      </c>
      <c r="J1782" s="1">
        <v>356.0</v>
      </c>
      <c r="L1782" s="1">
        <v>5148719.0</v>
      </c>
      <c r="Q1782" s="1" t="s">
        <v>6443</v>
      </c>
      <c r="R1782" s="1" t="s">
        <v>5695</v>
      </c>
      <c r="S1782" s="1">
        <v>1.0</v>
      </c>
      <c r="T1782" s="1">
        <v>0.0</v>
      </c>
      <c r="X1782" s="1" t="s">
        <v>56</v>
      </c>
      <c r="Z1782" s="1" t="s">
        <v>6443</v>
      </c>
    </row>
    <row r="1783">
      <c r="A1783" s="3" t="str">
        <f>HYPERLINK("https://stackoverflow.com/q/58252971", "58252971")</f>
        <v>58252971</v>
      </c>
      <c r="B1783" s="1" t="s">
        <v>4681</v>
      </c>
      <c r="C1783" s="1" t="s">
        <v>6444</v>
      </c>
      <c r="D1783" s="2" t="s">
        <v>6445</v>
      </c>
      <c r="E1783" s="1">
        <v>1.0</v>
      </c>
      <c r="I1783" s="1">
        <v>2.0</v>
      </c>
      <c r="J1783" s="1">
        <v>57.0</v>
      </c>
      <c r="L1783" s="1">
        <v>613696.0</v>
      </c>
      <c r="Q1783" s="1" t="s">
        <v>6444</v>
      </c>
      <c r="R1783" s="1" t="s">
        <v>6446</v>
      </c>
      <c r="S1783" s="1">
        <v>0.0</v>
      </c>
      <c r="T1783" s="1">
        <v>0.0</v>
      </c>
      <c r="X1783" s="1" t="s">
        <v>56</v>
      </c>
    </row>
    <row r="1784">
      <c r="A1784" s="3" t="str">
        <f>HYPERLINK("https://stackoverflow.com/q/58293197", "58293197")</f>
        <v>58293197</v>
      </c>
      <c r="B1784" s="1" t="s">
        <v>4681</v>
      </c>
      <c r="C1784" s="1" t="s">
        <v>6447</v>
      </c>
      <c r="D1784" s="2" t="s">
        <v>6448</v>
      </c>
      <c r="E1784" s="1">
        <v>1.0</v>
      </c>
      <c r="F1784" s="1">
        <v>5.8406342E7</v>
      </c>
      <c r="I1784" s="1">
        <v>0.0</v>
      </c>
      <c r="J1784" s="1">
        <v>832.0</v>
      </c>
      <c r="L1784" s="1">
        <v>6313911.0</v>
      </c>
      <c r="Q1784" s="1" t="s">
        <v>6449</v>
      </c>
      <c r="R1784" s="1" t="s">
        <v>5093</v>
      </c>
      <c r="S1784" s="1">
        <v>1.0</v>
      </c>
      <c r="T1784" s="1">
        <v>0.0</v>
      </c>
      <c r="X1784" s="1" t="s">
        <v>56</v>
      </c>
      <c r="Z1784" s="1" t="s">
        <v>6449</v>
      </c>
    </row>
    <row r="1785">
      <c r="A1785" s="3" t="str">
        <f>HYPERLINK("https://stackoverflow.com/q/58294034", "58294034")</f>
        <v>58294034</v>
      </c>
      <c r="B1785" s="1" t="s">
        <v>4681</v>
      </c>
      <c r="C1785" s="1" t="s">
        <v>6450</v>
      </c>
      <c r="D1785" s="2" t="s">
        <v>6451</v>
      </c>
      <c r="E1785" s="1">
        <v>1.0</v>
      </c>
      <c r="I1785" s="1">
        <v>0.0</v>
      </c>
      <c r="J1785" s="1">
        <v>48.0</v>
      </c>
      <c r="L1785" s="1">
        <v>1.218461E7</v>
      </c>
      <c r="N1785" s="1">
        <v>6129428.0</v>
      </c>
      <c r="P1785" s="1" t="s">
        <v>6452</v>
      </c>
      <c r="Q1785" s="1" t="s">
        <v>6452</v>
      </c>
      <c r="R1785" s="1" t="s">
        <v>5806</v>
      </c>
      <c r="S1785" s="1">
        <v>0.0</v>
      </c>
      <c r="T1785" s="1">
        <v>1.0</v>
      </c>
      <c r="X1785" s="1" t="s">
        <v>56</v>
      </c>
    </row>
    <row r="1786">
      <c r="A1786" s="3" t="str">
        <f>HYPERLINK("https://stackoverflow.com/q/58296033", "58296033")</f>
        <v>58296033</v>
      </c>
      <c r="B1786" s="1" t="s">
        <v>4681</v>
      </c>
      <c r="C1786" s="1" t="s">
        <v>6453</v>
      </c>
      <c r="D1786" s="2" t="s">
        <v>6454</v>
      </c>
      <c r="E1786" s="1">
        <v>1.0</v>
      </c>
      <c r="F1786" s="1">
        <v>5.8306118E7</v>
      </c>
      <c r="I1786" s="1">
        <v>1.0</v>
      </c>
      <c r="J1786" s="1">
        <v>30.0</v>
      </c>
      <c r="L1786" s="1">
        <v>3621197.0</v>
      </c>
      <c r="Q1786" s="1" t="s">
        <v>6455</v>
      </c>
      <c r="R1786" s="1" t="s">
        <v>4988</v>
      </c>
      <c r="S1786" s="1">
        <v>1.0</v>
      </c>
      <c r="T1786" s="1">
        <v>0.0</v>
      </c>
      <c r="X1786" s="1" t="s">
        <v>56</v>
      </c>
      <c r="Z1786" s="1" t="s">
        <v>6455</v>
      </c>
    </row>
    <row r="1787">
      <c r="A1787" s="3" t="str">
        <f>HYPERLINK("https://stackoverflow.com/q/58307208", "58307208")</f>
        <v>58307208</v>
      </c>
      <c r="B1787" s="1" t="s">
        <v>4681</v>
      </c>
      <c r="C1787" s="1" t="s">
        <v>6456</v>
      </c>
      <c r="D1787" s="2" t="s">
        <v>6457</v>
      </c>
      <c r="E1787" s="1">
        <v>1.0</v>
      </c>
      <c r="I1787" s="1">
        <v>0.0</v>
      </c>
      <c r="J1787" s="1">
        <v>264.0</v>
      </c>
      <c r="L1787" s="1">
        <v>583375.0</v>
      </c>
      <c r="N1787" s="1">
        <v>583375.0</v>
      </c>
      <c r="P1787" s="1" t="s">
        <v>6458</v>
      </c>
      <c r="Q1787" s="1" t="s">
        <v>6459</v>
      </c>
      <c r="R1787" s="1" t="s">
        <v>6138</v>
      </c>
      <c r="S1787" s="1">
        <v>1.0</v>
      </c>
      <c r="T1787" s="1">
        <v>0.0</v>
      </c>
      <c r="X1787" s="1" t="s">
        <v>56</v>
      </c>
    </row>
    <row r="1788">
      <c r="A1788" s="3" t="str">
        <f>HYPERLINK("https://stackoverflow.com/q/58337924", "58337924")</f>
        <v>58337924</v>
      </c>
      <c r="B1788" s="1" t="s">
        <v>4681</v>
      </c>
      <c r="C1788" s="1" t="s">
        <v>6460</v>
      </c>
      <c r="D1788" s="2" t="s">
        <v>6461</v>
      </c>
      <c r="E1788" s="1">
        <v>1.0</v>
      </c>
      <c r="F1788" s="1">
        <v>5.8391195E7</v>
      </c>
      <c r="I1788" s="1">
        <v>0.0</v>
      </c>
      <c r="J1788" s="1">
        <v>273.0</v>
      </c>
      <c r="L1788" s="1">
        <v>9466080.0</v>
      </c>
      <c r="Q1788" s="1" t="s">
        <v>6462</v>
      </c>
      <c r="R1788" s="1" t="s">
        <v>6463</v>
      </c>
      <c r="S1788" s="1">
        <v>1.0</v>
      </c>
      <c r="T1788" s="1">
        <v>2.0</v>
      </c>
      <c r="X1788" s="1" t="s">
        <v>56</v>
      </c>
      <c r="Z1788" s="1" t="s">
        <v>6462</v>
      </c>
    </row>
    <row r="1789">
      <c r="A1789" s="3" t="str">
        <f>HYPERLINK("https://stackoverflow.com/q/58344741", "58344741")</f>
        <v>58344741</v>
      </c>
      <c r="B1789" s="1" t="s">
        <v>4681</v>
      </c>
      <c r="C1789" s="1" t="s">
        <v>6464</v>
      </c>
      <c r="D1789" s="2" t="s">
        <v>6465</v>
      </c>
      <c r="E1789" s="1">
        <v>1.0</v>
      </c>
      <c r="I1789" s="1">
        <v>0.0</v>
      </c>
      <c r="J1789" s="1">
        <v>17.0</v>
      </c>
      <c r="L1789" s="1">
        <v>1.1482752E7</v>
      </c>
      <c r="Q1789" s="1" t="s">
        <v>6466</v>
      </c>
      <c r="R1789" s="1" t="s">
        <v>6467</v>
      </c>
      <c r="S1789" s="1">
        <v>1.0</v>
      </c>
      <c r="T1789" s="1">
        <v>0.0</v>
      </c>
      <c r="X1789" s="1" t="s">
        <v>56</v>
      </c>
    </row>
    <row r="1790">
      <c r="A1790" s="3" t="str">
        <f>HYPERLINK("https://stackoverflow.com/q/58360160", "58360160")</f>
        <v>58360160</v>
      </c>
      <c r="B1790" s="1" t="s">
        <v>4681</v>
      </c>
      <c r="C1790" s="1" t="s">
        <v>6468</v>
      </c>
      <c r="D1790" s="2" t="s">
        <v>6469</v>
      </c>
      <c r="E1790" s="1">
        <v>1.0</v>
      </c>
      <c r="I1790" s="1">
        <v>0.0</v>
      </c>
      <c r="J1790" s="1">
        <v>48.0</v>
      </c>
      <c r="L1790" s="1">
        <v>1.2207888E7</v>
      </c>
      <c r="N1790" s="1">
        <v>7920473.0</v>
      </c>
      <c r="P1790" s="1" t="s">
        <v>6470</v>
      </c>
      <c r="Q1790" s="1" t="s">
        <v>6470</v>
      </c>
      <c r="R1790" s="1" t="s">
        <v>6471</v>
      </c>
      <c r="S1790" s="1">
        <v>1.0</v>
      </c>
      <c r="T1790" s="1">
        <v>2.0</v>
      </c>
      <c r="X1790" s="1" t="s">
        <v>56</v>
      </c>
    </row>
    <row r="1791">
      <c r="A1791" s="3" t="str">
        <f>HYPERLINK("https://stackoverflow.com/q/58384037", "58384037")</f>
        <v>58384037</v>
      </c>
      <c r="B1791" s="1" t="s">
        <v>4681</v>
      </c>
      <c r="C1791" s="1" t="s">
        <v>6472</v>
      </c>
      <c r="D1791" s="2" t="s">
        <v>6473</v>
      </c>
      <c r="E1791" s="1">
        <v>1.0</v>
      </c>
      <c r="I1791" s="1">
        <v>0.0</v>
      </c>
      <c r="J1791" s="1">
        <v>38.0</v>
      </c>
      <c r="L1791" s="1">
        <v>4941657.0</v>
      </c>
      <c r="Q1791" s="1" t="s">
        <v>6474</v>
      </c>
      <c r="R1791" s="1" t="s">
        <v>6475</v>
      </c>
      <c r="S1791" s="1">
        <v>1.0</v>
      </c>
      <c r="T1791" s="1">
        <v>0.0</v>
      </c>
      <c r="X1791" s="1" t="s">
        <v>56</v>
      </c>
    </row>
    <row r="1792">
      <c r="A1792" s="3" t="str">
        <f>HYPERLINK("https://stackoverflow.com/q/58384749", "58384749")</f>
        <v>58384749</v>
      </c>
      <c r="B1792" s="1" t="s">
        <v>4681</v>
      </c>
      <c r="C1792" s="1" t="s">
        <v>6476</v>
      </c>
      <c r="D1792" s="2" t="s">
        <v>6477</v>
      </c>
      <c r="E1792" s="1">
        <v>1.0</v>
      </c>
      <c r="I1792" s="1">
        <v>0.0</v>
      </c>
      <c r="J1792" s="1">
        <v>35.0</v>
      </c>
      <c r="L1792" s="1">
        <v>1.0791217E7</v>
      </c>
      <c r="Q1792" s="1" t="s">
        <v>6476</v>
      </c>
      <c r="R1792" s="1" t="s">
        <v>6478</v>
      </c>
      <c r="S1792" s="1">
        <v>0.0</v>
      </c>
      <c r="T1792" s="1">
        <v>2.0</v>
      </c>
      <c r="X1792" s="1" t="s">
        <v>56</v>
      </c>
    </row>
    <row r="1793">
      <c r="A1793" s="3" t="str">
        <f>HYPERLINK("https://stackoverflow.com/q/58400948", "58400948")</f>
        <v>58400948</v>
      </c>
      <c r="B1793" s="1" t="s">
        <v>4681</v>
      </c>
      <c r="C1793" s="1" t="s">
        <v>6479</v>
      </c>
      <c r="D1793" s="2" t="s">
        <v>6480</v>
      </c>
      <c r="E1793" s="1">
        <v>1.0</v>
      </c>
      <c r="I1793" s="1">
        <v>0.0</v>
      </c>
      <c r="J1793" s="1">
        <v>408.0</v>
      </c>
      <c r="L1793" s="1">
        <v>3754744.0</v>
      </c>
      <c r="N1793" s="1">
        <v>3754744.0</v>
      </c>
      <c r="P1793" s="1" t="s">
        <v>6481</v>
      </c>
      <c r="Q1793" s="1" t="s">
        <v>6481</v>
      </c>
      <c r="R1793" s="1" t="s">
        <v>4697</v>
      </c>
      <c r="S1793" s="1">
        <v>1.0</v>
      </c>
      <c r="T1793" s="1">
        <v>0.0</v>
      </c>
      <c r="X1793" s="1" t="s">
        <v>56</v>
      </c>
    </row>
    <row r="1794">
      <c r="A1794" s="3" t="str">
        <f>HYPERLINK("https://stackoverflow.com/q/58405973", "58405973")</f>
        <v>58405973</v>
      </c>
      <c r="B1794" s="1" t="s">
        <v>4681</v>
      </c>
      <c r="C1794" s="1" t="s">
        <v>6482</v>
      </c>
      <c r="D1794" s="2" t="s">
        <v>6483</v>
      </c>
      <c r="E1794" s="1">
        <v>1.0</v>
      </c>
      <c r="F1794" s="1">
        <v>5.8524855E7</v>
      </c>
      <c r="I1794" s="1">
        <v>2.0</v>
      </c>
      <c r="J1794" s="1">
        <v>455.0</v>
      </c>
      <c r="L1794" s="1">
        <v>309630.0</v>
      </c>
      <c r="N1794" s="1">
        <v>309630.0</v>
      </c>
      <c r="P1794" s="1" t="s">
        <v>6484</v>
      </c>
      <c r="Q1794" s="1" t="s">
        <v>6485</v>
      </c>
      <c r="R1794" s="1" t="s">
        <v>6486</v>
      </c>
      <c r="S1794" s="1">
        <v>1.0</v>
      </c>
      <c r="T1794" s="1">
        <v>4.0</v>
      </c>
      <c r="U1794" s="1">
        <v>1.0</v>
      </c>
      <c r="X1794" s="1" t="s">
        <v>56</v>
      </c>
      <c r="Z1794" s="1" t="s">
        <v>6485</v>
      </c>
    </row>
    <row r="1795">
      <c r="A1795" s="3" t="str">
        <f>HYPERLINK("https://stackoverflow.com/q/58416280", "58416280")</f>
        <v>58416280</v>
      </c>
      <c r="B1795" s="1" t="s">
        <v>4681</v>
      </c>
      <c r="C1795" s="1" t="s">
        <v>6487</v>
      </c>
      <c r="D1795" s="2" t="s">
        <v>6488</v>
      </c>
      <c r="E1795" s="1">
        <v>1.0</v>
      </c>
      <c r="F1795" s="1">
        <v>5.8444767E7</v>
      </c>
      <c r="I1795" s="1">
        <v>0.0</v>
      </c>
      <c r="J1795" s="1">
        <v>571.0</v>
      </c>
      <c r="L1795" s="1">
        <v>5436880.0</v>
      </c>
      <c r="N1795" s="1">
        <v>7920473.0</v>
      </c>
      <c r="P1795" s="1" t="s">
        <v>6489</v>
      </c>
      <c r="Q1795" s="1" t="s">
        <v>6490</v>
      </c>
      <c r="R1795" s="1" t="s">
        <v>6491</v>
      </c>
      <c r="S1795" s="1">
        <v>3.0</v>
      </c>
      <c r="T1795" s="1">
        <v>0.0</v>
      </c>
      <c r="X1795" s="1" t="s">
        <v>56</v>
      </c>
      <c r="Z1795" s="1" t="s">
        <v>6490</v>
      </c>
    </row>
    <row r="1796">
      <c r="A1796" s="3" t="str">
        <f>HYPERLINK("https://stackoverflow.com/q/58416726", "58416726")</f>
        <v>58416726</v>
      </c>
      <c r="B1796" s="1" t="s">
        <v>4681</v>
      </c>
      <c r="C1796" s="1" t="s">
        <v>6492</v>
      </c>
      <c r="D1796" s="2" t="s">
        <v>6493</v>
      </c>
      <c r="E1796" s="1">
        <v>1.0</v>
      </c>
      <c r="I1796" s="1">
        <v>0.0</v>
      </c>
      <c r="J1796" s="1">
        <v>78.0</v>
      </c>
      <c r="L1796" s="1">
        <v>1.0791217E7</v>
      </c>
      <c r="Q1796" s="1" t="s">
        <v>6492</v>
      </c>
      <c r="R1796" s="1" t="s">
        <v>6138</v>
      </c>
      <c r="S1796" s="1">
        <v>0.0</v>
      </c>
      <c r="T1796" s="1">
        <v>0.0</v>
      </c>
      <c r="X1796" s="1" t="s">
        <v>56</v>
      </c>
    </row>
    <row r="1797">
      <c r="A1797" s="3" t="str">
        <f>HYPERLINK("https://stackoverflow.com/q/58422656", "58422656")</f>
        <v>58422656</v>
      </c>
      <c r="B1797" s="1" t="s">
        <v>4681</v>
      </c>
      <c r="C1797" s="1" t="s">
        <v>6494</v>
      </c>
      <c r="D1797" s="2" t="s">
        <v>6495</v>
      </c>
      <c r="E1797" s="1">
        <v>1.0</v>
      </c>
      <c r="I1797" s="1">
        <v>0.0</v>
      </c>
      <c r="J1797" s="1">
        <v>29.0</v>
      </c>
      <c r="L1797" s="1">
        <v>8061053.0</v>
      </c>
      <c r="Q1797" s="1" t="s">
        <v>6496</v>
      </c>
      <c r="R1797" s="1" t="s">
        <v>5476</v>
      </c>
      <c r="S1797" s="1">
        <v>1.0</v>
      </c>
      <c r="T1797" s="1">
        <v>1.0</v>
      </c>
      <c r="X1797" s="1" t="s">
        <v>56</v>
      </c>
    </row>
    <row r="1798">
      <c r="A1798" s="3" t="str">
        <f>HYPERLINK("https://stackoverflow.com/q/58452561", "58452561")</f>
        <v>58452561</v>
      </c>
      <c r="B1798" s="1" t="s">
        <v>4681</v>
      </c>
      <c r="C1798" s="1" t="s">
        <v>6497</v>
      </c>
      <c r="D1798" s="2" t="s">
        <v>6498</v>
      </c>
      <c r="E1798" s="1">
        <v>1.0</v>
      </c>
      <c r="F1798" s="1">
        <v>5.8456605E7</v>
      </c>
      <c r="I1798" s="1">
        <v>1.0</v>
      </c>
      <c r="J1798" s="1">
        <v>66.0</v>
      </c>
      <c r="L1798" s="1">
        <v>882670.0</v>
      </c>
      <c r="Q1798" s="1" t="s">
        <v>6499</v>
      </c>
      <c r="R1798" s="1" t="s">
        <v>4697</v>
      </c>
      <c r="S1798" s="1">
        <v>1.0</v>
      </c>
      <c r="T1798" s="1">
        <v>2.0</v>
      </c>
      <c r="X1798" s="1" t="s">
        <v>56</v>
      </c>
      <c r="Z1798" s="1" t="s">
        <v>6499</v>
      </c>
    </row>
    <row r="1799">
      <c r="A1799" s="3" t="str">
        <f>HYPERLINK("https://stackoverflow.com/q/58470460", "58470460")</f>
        <v>58470460</v>
      </c>
      <c r="B1799" s="1" t="s">
        <v>4681</v>
      </c>
      <c r="C1799" s="1" t="s">
        <v>6500</v>
      </c>
      <c r="D1799" s="2" t="s">
        <v>6501</v>
      </c>
      <c r="E1799" s="1">
        <v>1.0</v>
      </c>
      <c r="F1799" s="1">
        <v>5.8478043E7</v>
      </c>
      <c r="I1799" s="1">
        <v>0.0</v>
      </c>
      <c r="J1799" s="1">
        <v>101.0</v>
      </c>
      <c r="L1799" s="1">
        <v>1.1005875E7</v>
      </c>
      <c r="Q1799" s="1" t="s">
        <v>6502</v>
      </c>
      <c r="R1799" s="1" t="s">
        <v>6503</v>
      </c>
      <c r="S1799" s="1">
        <v>1.0</v>
      </c>
      <c r="T1799" s="1">
        <v>0.0</v>
      </c>
      <c r="X1799" s="1" t="s">
        <v>56</v>
      </c>
      <c r="Z1799" s="1" t="s">
        <v>6502</v>
      </c>
    </row>
    <row r="1800">
      <c r="A1800" s="3" t="str">
        <f>HYPERLINK("https://stackoverflow.com/q/58488107", "58488107")</f>
        <v>58488107</v>
      </c>
      <c r="B1800" s="1" t="s">
        <v>4681</v>
      </c>
      <c r="C1800" s="1" t="s">
        <v>6504</v>
      </c>
      <c r="D1800" s="2" t="s">
        <v>6505</v>
      </c>
      <c r="E1800" s="1">
        <v>1.0</v>
      </c>
      <c r="F1800" s="1">
        <v>5.8490743E7</v>
      </c>
      <c r="I1800" s="1">
        <v>1.0</v>
      </c>
      <c r="J1800" s="1">
        <v>218.0</v>
      </c>
      <c r="L1800" s="1">
        <v>1.2251893E7</v>
      </c>
      <c r="N1800" s="1">
        <v>7920473.0</v>
      </c>
      <c r="P1800" s="1" t="s">
        <v>6506</v>
      </c>
      <c r="Q1800" s="1" t="s">
        <v>6507</v>
      </c>
      <c r="R1800" s="1" t="s">
        <v>6508</v>
      </c>
      <c r="S1800" s="1">
        <v>2.0</v>
      </c>
      <c r="T1800" s="1">
        <v>0.0</v>
      </c>
      <c r="X1800" s="1" t="s">
        <v>56</v>
      </c>
      <c r="Z1800" s="1" t="s">
        <v>6509</v>
      </c>
    </row>
    <row r="1801">
      <c r="A1801" s="3" t="str">
        <f>HYPERLINK("https://stackoverflow.com/q/58513040", "58513040")</f>
        <v>58513040</v>
      </c>
      <c r="B1801" s="1" t="s">
        <v>4681</v>
      </c>
      <c r="C1801" s="1" t="s">
        <v>6510</v>
      </c>
      <c r="D1801" s="2" t="s">
        <v>6511</v>
      </c>
      <c r="E1801" s="1">
        <v>1.0</v>
      </c>
      <c r="I1801" s="1">
        <v>0.0</v>
      </c>
      <c r="J1801" s="1">
        <v>34.0</v>
      </c>
      <c r="L1801" s="1">
        <v>4140357.0</v>
      </c>
      <c r="Q1801" s="1" t="s">
        <v>6512</v>
      </c>
      <c r="R1801" s="1" t="s">
        <v>4697</v>
      </c>
      <c r="S1801" s="1">
        <v>1.0</v>
      </c>
      <c r="T1801" s="1">
        <v>0.0</v>
      </c>
      <c r="U1801" s="1">
        <v>1.0</v>
      </c>
      <c r="X1801" s="1" t="s">
        <v>56</v>
      </c>
    </row>
    <row r="1802">
      <c r="A1802" s="3" t="str">
        <f>HYPERLINK("https://stackoverflow.com/q/58513216", "58513216")</f>
        <v>58513216</v>
      </c>
      <c r="B1802" s="1" t="s">
        <v>4681</v>
      </c>
      <c r="C1802" s="1" t="s">
        <v>6513</v>
      </c>
      <c r="D1802" s="2" t="s">
        <v>6514</v>
      </c>
      <c r="E1802" s="1">
        <v>1.0</v>
      </c>
      <c r="I1802" s="1">
        <v>0.0</v>
      </c>
      <c r="J1802" s="1">
        <v>236.0</v>
      </c>
      <c r="L1802" s="1">
        <v>7946968.0</v>
      </c>
      <c r="Q1802" s="1" t="s">
        <v>6515</v>
      </c>
      <c r="R1802" s="1" t="s">
        <v>4771</v>
      </c>
      <c r="S1802" s="1">
        <v>1.0</v>
      </c>
      <c r="T1802" s="1">
        <v>0.0</v>
      </c>
      <c r="X1802" s="1" t="s">
        <v>56</v>
      </c>
    </row>
    <row r="1803">
      <c r="A1803" s="3" t="str">
        <f>HYPERLINK("https://stackoverflow.com/q/58521055", "58521055")</f>
        <v>58521055</v>
      </c>
      <c r="B1803" s="1" t="s">
        <v>4681</v>
      </c>
      <c r="C1803" s="1" t="s">
        <v>6516</v>
      </c>
      <c r="D1803" s="2" t="s">
        <v>6517</v>
      </c>
      <c r="E1803" s="1">
        <v>1.0</v>
      </c>
      <c r="I1803" s="1">
        <v>6.0</v>
      </c>
      <c r="J1803" s="1">
        <v>322.0</v>
      </c>
      <c r="L1803" s="1">
        <v>987509.0</v>
      </c>
      <c r="N1803" s="1">
        <v>987509.0</v>
      </c>
      <c r="P1803" s="1" t="s">
        <v>6518</v>
      </c>
      <c r="Q1803" s="1" t="s">
        <v>6518</v>
      </c>
      <c r="R1803" s="1" t="s">
        <v>6519</v>
      </c>
      <c r="S1803" s="1">
        <v>1.0</v>
      </c>
      <c r="T1803" s="1">
        <v>5.0</v>
      </c>
      <c r="U1803" s="1">
        <v>2.0</v>
      </c>
      <c r="X1803" s="1" t="s">
        <v>56</v>
      </c>
    </row>
    <row r="1804">
      <c r="A1804" s="3" t="str">
        <f>HYPERLINK("https://stackoverflow.com/q/58530732", "58530732")</f>
        <v>58530732</v>
      </c>
      <c r="B1804" s="1" t="s">
        <v>4681</v>
      </c>
      <c r="C1804" s="1" t="s">
        <v>6520</v>
      </c>
      <c r="D1804" s="2" t="s">
        <v>6521</v>
      </c>
      <c r="E1804" s="1">
        <v>1.0</v>
      </c>
      <c r="I1804" s="1">
        <v>0.0</v>
      </c>
      <c r="J1804" s="1">
        <v>103.0</v>
      </c>
      <c r="L1804" s="1">
        <v>3754744.0</v>
      </c>
      <c r="Q1804" s="1" t="s">
        <v>6522</v>
      </c>
      <c r="R1804" s="1" t="s">
        <v>4697</v>
      </c>
      <c r="S1804" s="1">
        <v>2.0</v>
      </c>
      <c r="T1804" s="1">
        <v>0.0</v>
      </c>
      <c r="X1804" s="1" t="s">
        <v>56</v>
      </c>
    </row>
    <row r="1805">
      <c r="A1805" s="3" t="str">
        <f>HYPERLINK("https://stackoverflow.com/q/58542085", "58542085")</f>
        <v>58542085</v>
      </c>
      <c r="B1805" s="1" t="s">
        <v>4681</v>
      </c>
      <c r="C1805" s="1" t="s">
        <v>6523</v>
      </c>
      <c r="D1805" s="2" t="s">
        <v>6524</v>
      </c>
      <c r="E1805" s="1">
        <v>1.0</v>
      </c>
      <c r="I1805" s="1">
        <v>0.0</v>
      </c>
      <c r="J1805" s="1">
        <v>326.0</v>
      </c>
      <c r="L1805" s="1">
        <v>1.0042014E7</v>
      </c>
      <c r="N1805" s="1">
        <v>2756409.0</v>
      </c>
      <c r="P1805" s="1" t="s">
        <v>6525</v>
      </c>
      <c r="Q1805" s="1" t="s">
        <v>6526</v>
      </c>
      <c r="R1805" s="1" t="s">
        <v>4767</v>
      </c>
      <c r="S1805" s="1">
        <v>1.0</v>
      </c>
      <c r="T1805" s="1">
        <v>0.0</v>
      </c>
      <c r="X1805" s="1" t="s">
        <v>56</v>
      </c>
    </row>
    <row r="1806">
      <c r="A1806" s="3" t="str">
        <f>HYPERLINK("https://stackoverflow.com/q/58547437", "58547437")</f>
        <v>58547437</v>
      </c>
      <c r="B1806" s="1" t="s">
        <v>4681</v>
      </c>
      <c r="C1806" s="1" t="s">
        <v>6527</v>
      </c>
      <c r="D1806" s="2" t="s">
        <v>6528</v>
      </c>
      <c r="E1806" s="1">
        <v>1.0</v>
      </c>
      <c r="I1806" s="1">
        <v>0.0</v>
      </c>
      <c r="J1806" s="1">
        <v>31.0</v>
      </c>
      <c r="L1806" s="1">
        <v>1.032013E7</v>
      </c>
      <c r="N1806" s="1">
        <v>7920473.0</v>
      </c>
      <c r="P1806" s="1" t="s">
        <v>6529</v>
      </c>
      <c r="Q1806" s="1" t="s">
        <v>6529</v>
      </c>
      <c r="R1806" s="1" t="s">
        <v>6530</v>
      </c>
      <c r="S1806" s="1">
        <v>0.0</v>
      </c>
      <c r="T1806" s="1">
        <v>1.0</v>
      </c>
      <c r="X1806" s="1" t="s">
        <v>56</v>
      </c>
    </row>
    <row r="1807">
      <c r="A1807" s="3" t="str">
        <f>HYPERLINK("https://stackoverflow.com/q/58572685", "58572685")</f>
        <v>58572685</v>
      </c>
      <c r="B1807" s="1" t="s">
        <v>4681</v>
      </c>
      <c r="C1807" s="1" t="s">
        <v>6531</v>
      </c>
      <c r="D1807" s="2" t="s">
        <v>6532</v>
      </c>
      <c r="E1807" s="1">
        <v>1.0</v>
      </c>
      <c r="F1807" s="1">
        <v>5.872284E7</v>
      </c>
      <c r="I1807" s="1">
        <v>0.0</v>
      </c>
      <c r="J1807" s="1">
        <v>158.0</v>
      </c>
      <c r="L1807" s="1">
        <v>1091302.0</v>
      </c>
      <c r="N1807" s="1">
        <v>7920473.0</v>
      </c>
      <c r="P1807" s="1" t="s">
        <v>6533</v>
      </c>
      <c r="Q1807" s="1" t="s">
        <v>6534</v>
      </c>
      <c r="R1807" s="1" t="s">
        <v>4836</v>
      </c>
      <c r="S1807" s="1">
        <v>2.0</v>
      </c>
      <c r="T1807" s="1">
        <v>0.0</v>
      </c>
      <c r="X1807" s="1" t="s">
        <v>56</v>
      </c>
      <c r="Z1807" s="1" t="s">
        <v>6535</v>
      </c>
    </row>
    <row r="1808">
      <c r="A1808" s="3" t="str">
        <f>HYPERLINK("https://stackoverflow.com/q/58573319", "58573319")</f>
        <v>58573319</v>
      </c>
      <c r="B1808" s="1" t="s">
        <v>4681</v>
      </c>
      <c r="C1808" s="1" t="s">
        <v>6536</v>
      </c>
      <c r="D1808" s="2" t="s">
        <v>6537</v>
      </c>
      <c r="E1808" s="1">
        <v>1.0</v>
      </c>
      <c r="I1808" s="1">
        <v>0.0</v>
      </c>
      <c r="J1808" s="1">
        <v>88.0</v>
      </c>
      <c r="L1808" s="1">
        <v>1091302.0</v>
      </c>
      <c r="Q1808" s="1" t="s">
        <v>6538</v>
      </c>
      <c r="R1808" s="1" t="s">
        <v>4836</v>
      </c>
      <c r="S1808" s="1">
        <v>1.0</v>
      </c>
      <c r="T1808" s="1">
        <v>0.0</v>
      </c>
      <c r="X1808" s="1" t="s">
        <v>56</v>
      </c>
    </row>
    <row r="1809">
      <c r="A1809" s="3" t="str">
        <f>HYPERLINK("https://stackoverflow.com/q/58598442", "58598442")</f>
        <v>58598442</v>
      </c>
      <c r="B1809" s="1" t="s">
        <v>4681</v>
      </c>
      <c r="C1809" s="1" t="s">
        <v>6539</v>
      </c>
      <c r="D1809" s="2" t="s">
        <v>6540</v>
      </c>
      <c r="E1809" s="1">
        <v>1.0</v>
      </c>
      <c r="I1809" s="1">
        <v>0.0</v>
      </c>
      <c r="J1809" s="1">
        <v>62.0</v>
      </c>
      <c r="L1809" s="1">
        <v>1.1482752E7</v>
      </c>
      <c r="Q1809" s="1" t="s">
        <v>6541</v>
      </c>
      <c r="R1809" s="1" t="s">
        <v>5093</v>
      </c>
      <c r="S1809" s="1">
        <v>1.0</v>
      </c>
      <c r="T1809" s="1">
        <v>1.0</v>
      </c>
      <c r="X1809" s="1" t="s">
        <v>56</v>
      </c>
    </row>
    <row r="1810">
      <c r="A1810" s="3" t="str">
        <f>HYPERLINK("https://stackoverflow.com/q/58657618", "58657618")</f>
        <v>58657618</v>
      </c>
      <c r="B1810" s="1" t="s">
        <v>4681</v>
      </c>
      <c r="C1810" s="1" t="s">
        <v>6542</v>
      </c>
      <c r="D1810" s="2" t="s">
        <v>6543</v>
      </c>
      <c r="E1810" s="1">
        <v>1.0</v>
      </c>
      <c r="F1810" s="1">
        <v>5.865772E7</v>
      </c>
      <c r="I1810" s="1">
        <v>0.0</v>
      </c>
      <c r="J1810" s="1">
        <v>36.0</v>
      </c>
      <c r="L1810" s="1">
        <v>8602301.0</v>
      </c>
      <c r="N1810" s="1">
        <v>372239.0</v>
      </c>
      <c r="P1810" s="1" t="s">
        <v>6544</v>
      </c>
      <c r="Q1810" s="1" t="s">
        <v>6545</v>
      </c>
      <c r="R1810" s="1" t="s">
        <v>6546</v>
      </c>
      <c r="S1810" s="1">
        <v>1.0</v>
      </c>
      <c r="T1810" s="1">
        <v>1.0</v>
      </c>
      <c r="X1810" s="1" t="s">
        <v>56</v>
      </c>
      <c r="Z1810" s="1" t="s">
        <v>6547</v>
      </c>
    </row>
    <row r="1811">
      <c r="A1811" s="3" t="str">
        <f>HYPERLINK("https://stackoverflow.com/q/58682411", "58682411")</f>
        <v>58682411</v>
      </c>
      <c r="B1811" s="1" t="s">
        <v>4681</v>
      </c>
      <c r="C1811" s="1" t="s">
        <v>6548</v>
      </c>
      <c r="D1811" s="2" t="s">
        <v>6549</v>
      </c>
      <c r="E1811" s="1">
        <v>1.0</v>
      </c>
      <c r="I1811" s="1">
        <v>0.0</v>
      </c>
      <c r="J1811" s="1">
        <v>103.0</v>
      </c>
      <c r="L1811" s="1">
        <v>8935705.0</v>
      </c>
      <c r="N1811" s="1">
        <v>1.0530481E7</v>
      </c>
      <c r="P1811" s="1" t="s">
        <v>6550</v>
      </c>
      <c r="Q1811" s="1" t="s">
        <v>6550</v>
      </c>
      <c r="R1811" s="1" t="s">
        <v>6551</v>
      </c>
      <c r="S1811" s="1">
        <v>0.0</v>
      </c>
      <c r="T1811" s="1">
        <v>1.0</v>
      </c>
      <c r="X1811" s="1" t="s">
        <v>56</v>
      </c>
    </row>
    <row r="1812">
      <c r="A1812" s="3" t="str">
        <f>HYPERLINK("https://stackoverflow.com/q/58698121", "58698121")</f>
        <v>58698121</v>
      </c>
      <c r="B1812" s="1" t="s">
        <v>4681</v>
      </c>
      <c r="C1812" s="1" t="s">
        <v>6552</v>
      </c>
      <c r="D1812" s="2" t="s">
        <v>6553</v>
      </c>
      <c r="E1812" s="1">
        <v>1.0</v>
      </c>
      <c r="F1812" s="1">
        <v>5.871794E7</v>
      </c>
      <c r="I1812" s="1">
        <v>1.0</v>
      </c>
      <c r="J1812" s="1">
        <v>384.0</v>
      </c>
      <c r="L1812" s="1">
        <v>1.1558347E7</v>
      </c>
      <c r="N1812" s="1">
        <v>2756409.0</v>
      </c>
      <c r="P1812" s="1" t="s">
        <v>6554</v>
      </c>
      <c r="Q1812" s="1" t="s">
        <v>6554</v>
      </c>
      <c r="R1812" s="1" t="s">
        <v>6555</v>
      </c>
      <c r="S1812" s="1">
        <v>1.0</v>
      </c>
      <c r="T1812" s="1">
        <v>0.0</v>
      </c>
      <c r="X1812" s="1" t="s">
        <v>56</v>
      </c>
      <c r="Z1812" s="1" t="s">
        <v>6556</v>
      </c>
    </row>
    <row r="1813">
      <c r="A1813" s="3" t="str">
        <f>HYPERLINK("https://stackoverflow.com/q/58701030", "58701030")</f>
        <v>58701030</v>
      </c>
      <c r="B1813" s="1" t="s">
        <v>4681</v>
      </c>
      <c r="C1813" s="1" t="s">
        <v>6557</v>
      </c>
      <c r="D1813" s="2" t="s">
        <v>6558</v>
      </c>
      <c r="E1813" s="1">
        <v>1.0</v>
      </c>
      <c r="I1813" s="1">
        <v>0.0</v>
      </c>
      <c r="J1813" s="1">
        <v>322.0</v>
      </c>
      <c r="L1813" s="1">
        <v>4941657.0</v>
      </c>
      <c r="N1813" s="1">
        <v>2756409.0</v>
      </c>
      <c r="P1813" s="1" t="s">
        <v>6559</v>
      </c>
      <c r="Q1813" s="1" t="s">
        <v>6560</v>
      </c>
      <c r="R1813" s="1" t="s">
        <v>6561</v>
      </c>
      <c r="S1813" s="1">
        <v>2.0</v>
      </c>
      <c r="T1813" s="1">
        <v>0.0</v>
      </c>
      <c r="X1813" s="1" t="s">
        <v>56</v>
      </c>
    </row>
    <row r="1814">
      <c r="A1814" s="3" t="str">
        <f>HYPERLINK("https://stackoverflow.com/q/58703729", "58703729")</f>
        <v>58703729</v>
      </c>
      <c r="B1814" s="1" t="s">
        <v>4681</v>
      </c>
      <c r="C1814" s="1" t="s">
        <v>6562</v>
      </c>
      <c r="D1814" s="2" t="s">
        <v>6563</v>
      </c>
      <c r="E1814" s="1">
        <v>1.0</v>
      </c>
      <c r="I1814" s="1">
        <v>0.0</v>
      </c>
      <c r="J1814" s="1">
        <v>23.0</v>
      </c>
      <c r="L1814" s="1">
        <v>1167870.0</v>
      </c>
      <c r="Q1814" s="1" t="s">
        <v>6564</v>
      </c>
      <c r="R1814" s="1" t="s">
        <v>6565</v>
      </c>
      <c r="S1814" s="1">
        <v>1.0</v>
      </c>
      <c r="T1814" s="1">
        <v>0.0</v>
      </c>
      <c r="X1814" s="1" t="s">
        <v>56</v>
      </c>
    </row>
    <row r="1815">
      <c r="A1815" s="3" t="str">
        <f>HYPERLINK("https://stackoverflow.com/q/58703762", "58703762")</f>
        <v>58703762</v>
      </c>
      <c r="B1815" s="1" t="s">
        <v>4681</v>
      </c>
      <c r="C1815" s="1" t="s">
        <v>6566</v>
      </c>
      <c r="D1815" s="2" t="s">
        <v>6567</v>
      </c>
      <c r="E1815" s="1">
        <v>1.0</v>
      </c>
      <c r="I1815" s="1">
        <v>0.0</v>
      </c>
      <c r="J1815" s="1">
        <v>36.0</v>
      </c>
      <c r="L1815" s="1">
        <v>1167870.0</v>
      </c>
      <c r="Q1815" s="1" t="s">
        <v>6568</v>
      </c>
      <c r="R1815" s="1" t="s">
        <v>6565</v>
      </c>
      <c r="S1815" s="1">
        <v>2.0</v>
      </c>
      <c r="T1815" s="1">
        <v>0.0</v>
      </c>
      <c r="X1815" s="1" t="s">
        <v>56</v>
      </c>
    </row>
    <row r="1816">
      <c r="A1816" s="3" t="str">
        <f>HYPERLINK("https://stackoverflow.com/q/58711935", "58711935")</f>
        <v>58711935</v>
      </c>
      <c r="B1816" s="1" t="s">
        <v>4681</v>
      </c>
      <c r="C1816" s="1" t="s">
        <v>6569</v>
      </c>
      <c r="D1816" s="2" t="s">
        <v>6570</v>
      </c>
      <c r="E1816" s="1">
        <v>1.0</v>
      </c>
      <c r="I1816" s="1">
        <v>0.0</v>
      </c>
      <c r="J1816" s="1">
        <v>555.0</v>
      </c>
      <c r="L1816" s="1">
        <v>7250780.0</v>
      </c>
      <c r="N1816" s="1">
        <v>7920473.0</v>
      </c>
      <c r="P1816" s="1" t="s">
        <v>6571</v>
      </c>
      <c r="Q1816" s="1" t="s">
        <v>6572</v>
      </c>
      <c r="R1816" s="1" t="s">
        <v>4966</v>
      </c>
      <c r="S1816" s="1">
        <v>2.0</v>
      </c>
      <c r="T1816" s="1">
        <v>0.0</v>
      </c>
      <c r="X1816" s="1" t="s">
        <v>56</v>
      </c>
    </row>
    <row r="1817">
      <c r="A1817" s="3" t="str">
        <f>HYPERLINK("https://stackoverflow.com/q/58712399", "58712399")</f>
        <v>58712399</v>
      </c>
      <c r="B1817" s="1" t="s">
        <v>4681</v>
      </c>
      <c r="C1817" s="1" t="s">
        <v>6573</v>
      </c>
      <c r="D1817" s="2" t="s">
        <v>6574</v>
      </c>
      <c r="E1817" s="1">
        <v>1.0</v>
      </c>
      <c r="I1817" s="1">
        <v>0.0</v>
      </c>
      <c r="J1817" s="1">
        <v>167.0</v>
      </c>
      <c r="L1817" s="1">
        <v>1.2326263E7</v>
      </c>
      <c r="N1817" s="1">
        <v>7920473.0</v>
      </c>
      <c r="P1817" s="1" t="s">
        <v>6575</v>
      </c>
      <c r="Q1817" s="1" t="s">
        <v>6575</v>
      </c>
      <c r="R1817" s="1" t="s">
        <v>6576</v>
      </c>
      <c r="S1817" s="1">
        <v>1.0</v>
      </c>
      <c r="T1817" s="1">
        <v>2.0</v>
      </c>
      <c r="X1817" s="1" t="s">
        <v>56</v>
      </c>
    </row>
    <row r="1818">
      <c r="A1818" s="3" t="str">
        <f>HYPERLINK("https://stackoverflow.com/q/58712877", "58712877")</f>
        <v>58712877</v>
      </c>
      <c r="B1818" s="1" t="s">
        <v>4681</v>
      </c>
      <c r="C1818" s="1" t="s">
        <v>6577</v>
      </c>
      <c r="D1818" s="2" t="s">
        <v>6578</v>
      </c>
      <c r="E1818" s="1">
        <v>1.0</v>
      </c>
      <c r="F1818" s="1">
        <v>5.8757883E7</v>
      </c>
      <c r="I1818" s="1">
        <v>0.0</v>
      </c>
      <c r="J1818" s="1">
        <v>47.0</v>
      </c>
      <c r="L1818" s="1">
        <v>9728563.0</v>
      </c>
      <c r="N1818" s="1">
        <v>9728563.0</v>
      </c>
      <c r="P1818" s="1" t="s">
        <v>6579</v>
      </c>
      <c r="Q1818" s="1" t="s">
        <v>6580</v>
      </c>
      <c r="R1818" s="1" t="s">
        <v>6069</v>
      </c>
      <c r="S1818" s="1">
        <v>2.0</v>
      </c>
      <c r="T1818" s="1">
        <v>4.0</v>
      </c>
      <c r="X1818" s="1" t="s">
        <v>56</v>
      </c>
      <c r="Z1818" s="1" t="s">
        <v>6580</v>
      </c>
    </row>
    <row r="1819">
      <c r="A1819" s="3" t="str">
        <f>HYPERLINK("https://stackoverflow.com/q/58726753", "58726753")</f>
        <v>58726753</v>
      </c>
      <c r="B1819" s="1" t="s">
        <v>4681</v>
      </c>
      <c r="C1819" s="1" t="s">
        <v>6581</v>
      </c>
      <c r="D1819" s="2" t="s">
        <v>6582</v>
      </c>
      <c r="E1819" s="1">
        <v>1.0</v>
      </c>
      <c r="I1819" s="1">
        <v>2.0</v>
      </c>
      <c r="J1819" s="1">
        <v>85.0</v>
      </c>
      <c r="L1819" s="1">
        <v>6925002.0</v>
      </c>
      <c r="N1819" s="1">
        <v>7920473.0</v>
      </c>
      <c r="P1819" s="1" t="s">
        <v>6583</v>
      </c>
      <c r="Q1819" s="1" t="s">
        <v>6584</v>
      </c>
      <c r="R1819" s="1" t="s">
        <v>6585</v>
      </c>
      <c r="S1819" s="1">
        <v>1.0</v>
      </c>
      <c r="T1819" s="1">
        <v>1.0</v>
      </c>
      <c r="X1819" s="1" t="s">
        <v>56</v>
      </c>
    </row>
    <row r="1820">
      <c r="A1820" s="3" t="str">
        <f>HYPERLINK("https://stackoverflow.com/q/58730563", "58730563")</f>
        <v>58730563</v>
      </c>
      <c r="B1820" s="1" t="s">
        <v>4681</v>
      </c>
      <c r="C1820" s="1" t="s">
        <v>6586</v>
      </c>
      <c r="D1820" s="2" t="s">
        <v>6587</v>
      </c>
      <c r="E1820" s="1">
        <v>1.0</v>
      </c>
      <c r="I1820" s="1">
        <v>0.0</v>
      </c>
      <c r="J1820" s="1">
        <v>89.0</v>
      </c>
      <c r="L1820" s="1">
        <v>1.2251893E7</v>
      </c>
      <c r="N1820" s="1">
        <v>874188.0</v>
      </c>
      <c r="P1820" s="1" t="s">
        <v>6588</v>
      </c>
      <c r="Q1820" s="1" t="s">
        <v>6588</v>
      </c>
      <c r="R1820" s="1" t="s">
        <v>6589</v>
      </c>
      <c r="S1820" s="1">
        <v>1.0</v>
      </c>
      <c r="T1820" s="1">
        <v>0.0</v>
      </c>
      <c r="X1820" s="1" t="s">
        <v>56</v>
      </c>
    </row>
    <row r="1821">
      <c r="A1821" s="3" t="str">
        <f>HYPERLINK("https://stackoverflow.com/q/58739353", "58739353")</f>
        <v>58739353</v>
      </c>
      <c r="B1821" s="1" t="s">
        <v>4681</v>
      </c>
      <c r="C1821" s="1" t="s">
        <v>6590</v>
      </c>
      <c r="D1821" s="2" t="s">
        <v>6591</v>
      </c>
      <c r="E1821" s="1">
        <v>1.0</v>
      </c>
      <c r="I1821" s="1">
        <v>0.0</v>
      </c>
      <c r="J1821" s="1">
        <v>497.0</v>
      </c>
      <c r="L1821" s="1">
        <v>2777163.0</v>
      </c>
      <c r="Q1821" s="1" t="s">
        <v>6592</v>
      </c>
      <c r="R1821" s="1" t="s">
        <v>4697</v>
      </c>
      <c r="S1821" s="1">
        <v>2.0</v>
      </c>
      <c r="T1821" s="1">
        <v>0.0</v>
      </c>
      <c r="X1821" s="1" t="s">
        <v>56</v>
      </c>
    </row>
    <row r="1822">
      <c r="A1822" s="3" t="str">
        <f>HYPERLINK("https://stackoverflow.com/q/58742822", "58742822")</f>
        <v>58742822</v>
      </c>
      <c r="B1822" s="1" t="s">
        <v>4681</v>
      </c>
      <c r="C1822" s="1" t="s">
        <v>6593</v>
      </c>
      <c r="D1822" s="2" t="s">
        <v>6594</v>
      </c>
      <c r="E1822" s="1">
        <v>1.0</v>
      </c>
      <c r="I1822" s="1">
        <v>0.0</v>
      </c>
      <c r="J1822" s="1">
        <v>55.0</v>
      </c>
      <c r="L1822" s="1">
        <v>1.2251893E7</v>
      </c>
      <c r="N1822" s="1">
        <v>874188.0</v>
      </c>
      <c r="P1822" s="1" t="s">
        <v>6595</v>
      </c>
      <c r="Q1822" s="1" t="s">
        <v>6595</v>
      </c>
      <c r="R1822" s="1" t="s">
        <v>6596</v>
      </c>
      <c r="S1822" s="1">
        <v>0.0</v>
      </c>
      <c r="T1822" s="1">
        <v>2.0</v>
      </c>
      <c r="U1822" s="1">
        <v>1.0</v>
      </c>
      <c r="X1822" s="1" t="s">
        <v>56</v>
      </c>
    </row>
    <row r="1823">
      <c r="A1823" s="3" t="str">
        <f>HYPERLINK("https://stackoverflow.com/q/58798429", "58798429")</f>
        <v>58798429</v>
      </c>
      <c r="B1823" s="1" t="s">
        <v>4681</v>
      </c>
      <c r="C1823" s="1" t="s">
        <v>6597</v>
      </c>
      <c r="D1823" s="2" t="s">
        <v>6598</v>
      </c>
      <c r="E1823" s="1">
        <v>1.0</v>
      </c>
      <c r="I1823" s="1">
        <v>0.0</v>
      </c>
      <c r="J1823" s="1">
        <v>146.0</v>
      </c>
      <c r="L1823" s="1">
        <v>1.1582287E7</v>
      </c>
      <c r="N1823" s="1">
        <v>1.1582287E7</v>
      </c>
      <c r="P1823" s="1" t="s">
        <v>6599</v>
      </c>
      <c r="Q1823" s="1" t="s">
        <v>6599</v>
      </c>
      <c r="R1823" s="1" t="s">
        <v>4771</v>
      </c>
      <c r="S1823" s="1">
        <v>0.0</v>
      </c>
      <c r="T1823" s="1">
        <v>1.0</v>
      </c>
      <c r="X1823" s="1" t="s">
        <v>56</v>
      </c>
    </row>
    <row r="1824">
      <c r="A1824" s="3" t="str">
        <f>HYPERLINK("https://stackoverflow.com/q/58804879", "58804879")</f>
        <v>58804879</v>
      </c>
      <c r="B1824" s="1" t="s">
        <v>4681</v>
      </c>
      <c r="C1824" s="1" t="s">
        <v>6600</v>
      </c>
      <c r="D1824" s="2" t="s">
        <v>6601</v>
      </c>
      <c r="E1824" s="1">
        <v>1.0</v>
      </c>
      <c r="I1824" s="1">
        <v>0.0</v>
      </c>
      <c r="J1824" s="1">
        <v>255.0</v>
      </c>
      <c r="L1824" s="1">
        <v>9446683.0</v>
      </c>
      <c r="Q1824" s="1" t="s">
        <v>6600</v>
      </c>
      <c r="R1824" s="1" t="s">
        <v>4697</v>
      </c>
      <c r="S1824" s="1">
        <v>0.0</v>
      </c>
      <c r="T1824" s="1">
        <v>1.0</v>
      </c>
      <c r="X1824" s="1" t="s">
        <v>56</v>
      </c>
    </row>
    <row r="1825">
      <c r="A1825" s="3" t="str">
        <f>HYPERLINK("https://stackoverflow.com/q/58812003", "58812003")</f>
        <v>58812003</v>
      </c>
      <c r="B1825" s="1" t="s">
        <v>4681</v>
      </c>
      <c r="C1825" s="1" t="s">
        <v>6602</v>
      </c>
      <c r="D1825" s="2" t="s">
        <v>6603</v>
      </c>
      <c r="E1825" s="1">
        <v>1.0</v>
      </c>
      <c r="I1825" s="1">
        <v>0.0</v>
      </c>
      <c r="J1825" s="1">
        <v>44.0</v>
      </c>
      <c r="L1825" s="1">
        <v>1.2337915E7</v>
      </c>
      <c r="N1825" s="1">
        <v>7920473.0</v>
      </c>
      <c r="P1825" s="1" t="s">
        <v>6604</v>
      </c>
      <c r="Q1825" s="1" t="s">
        <v>6604</v>
      </c>
      <c r="R1825" s="1" t="s">
        <v>6138</v>
      </c>
      <c r="S1825" s="1">
        <v>2.0</v>
      </c>
      <c r="T1825" s="1">
        <v>1.0</v>
      </c>
      <c r="X1825" s="1" t="s">
        <v>56</v>
      </c>
    </row>
    <row r="1826">
      <c r="A1826" s="3" t="str">
        <f>HYPERLINK("https://stackoverflow.com/q/58819021", "58819021")</f>
        <v>58819021</v>
      </c>
      <c r="B1826" s="1" t="s">
        <v>4681</v>
      </c>
      <c r="C1826" s="1" t="s">
        <v>6605</v>
      </c>
      <c r="D1826" s="2" t="s">
        <v>6606</v>
      </c>
      <c r="E1826" s="1">
        <v>1.0</v>
      </c>
      <c r="I1826" s="1">
        <v>0.0</v>
      </c>
      <c r="J1826" s="1">
        <v>23.0</v>
      </c>
      <c r="L1826" s="1">
        <v>1.2337915E7</v>
      </c>
      <c r="Q1826" s="1" t="s">
        <v>6607</v>
      </c>
      <c r="R1826" s="1" t="s">
        <v>6138</v>
      </c>
      <c r="S1826" s="1">
        <v>1.0</v>
      </c>
      <c r="T1826" s="1">
        <v>1.0</v>
      </c>
      <c r="X1826" s="1" t="s">
        <v>56</v>
      </c>
    </row>
    <row r="1827">
      <c r="A1827" s="3" t="str">
        <f>HYPERLINK("https://stackoverflow.com/q/58861074", "58861074")</f>
        <v>58861074</v>
      </c>
      <c r="B1827" s="1" t="s">
        <v>4681</v>
      </c>
      <c r="C1827" s="1" t="s">
        <v>6608</v>
      </c>
      <c r="D1827" s="2" t="s">
        <v>6609</v>
      </c>
      <c r="E1827" s="1">
        <v>1.0</v>
      </c>
      <c r="I1827" s="1">
        <v>0.0</v>
      </c>
      <c r="J1827" s="1">
        <v>68.0</v>
      </c>
      <c r="L1827" s="1">
        <v>1.2373252E7</v>
      </c>
      <c r="N1827" s="1">
        <v>823321.0</v>
      </c>
      <c r="P1827" s="1" t="s">
        <v>6610</v>
      </c>
      <c r="Q1827" s="1" t="s">
        <v>6611</v>
      </c>
      <c r="R1827" s="1" t="s">
        <v>4966</v>
      </c>
      <c r="S1827" s="1">
        <v>1.0</v>
      </c>
      <c r="T1827" s="1">
        <v>1.0</v>
      </c>
      <c r="X1827" s="1" t="s">
        <v>56</v>
      </c>
    </row>
    <row r="1828">
      <c r="A1828" s="3" t="str">
        <f>HYPERLINK("https://stackoverflow.com/q/58861624", "58861624")</f>
        <v>58861624</v>
      </c>
      <c r="B1828" s="1" t="s">
        <v>4681</v>
      </c>
      <c r="C1828" s="1" t="s">
        <v>6612</v>
      </c>
      <c r="D1828" s="2" t="s">
        <v>6613</v>
      </c>
      <c r="E1828" s="1">
        <v>1.0</v>
      </c>
      <c r="F1828" s="1">
        <v>5.8887313E7</v>
      </c>
      <c r="I1828" s="1">
        <v>1.0</v>
      </c>
      <c r="J1828" s="1">
        <v>460.0</v>
      </c>
      <c r="L1828" s="1">
        <v>98580.0</v>
      </c>
      <c r="Q1828" s="1" t="s">
        <v>6614</v>
      </c>
      <c r="R1828" s="1" t="s">
        <v>4697</v>
      </c>
      <c r="S1828" s="1">
        <v>1.0</v>
      </c>
      <c r="T1828" s="1">
        <v>0.0</v>
      </c>
      <c r="X1828" s="1" t="s">
        <v>56</v>
      </c>
      <c r="Z1828" s="1" t="s">
        <v>6615</v>
      </c>
    </row>
    <row r="1829">
      <c r="A1829" s="3" t="str">
        <f>HYPERLINK("https://stackoverflow.com/q/58876011", "58876011")</f>
        <v>58876011</v>
      </c>
      <c r="B1829" s="1" t="s">
        <v>4681</v>
      </c>
      <c r="C1829" s="1" t="s">
        <v>6616</v>
      </c>
      <c r="D1829" s="2" t="s">
        <v>6617</v>
      </c>
      <c r="E1829" s="1">
        <v>1.0</v>
      </c>
      <c r="I1829" s="1">
        <v>0.0</v>
      </c>
      <c r="J1829" s="1">
        <v>96.0</v>
      </c>
      <c r="L1829" s="1">
        <v>5088712.0</v>
      </c>
      <c r="Q1829" s="1" t="s">
        <v>6618</v>
      </c>
      <c r="R1829" s="1" t="s">
        <v>4697</v>
      </c>
      <c r="S1829" s="1">
        <v>1.0</v>
      </c>
      <c r="T1829" s="1">
        <v>0.0</v>
      </c>
      <c r="X1829" s="1" t="s">
        <v>56</v>
      </c>
    </row>
    <row r="1830">
      <c r="A1830" s="3" t="str">
        <f>HYPERLINK("https://stackoverflow.com/q/58885480", "58885480")</f>
        <v>58885480</v>
      </c>
      <c r="B1830" s="1" t="s">
        <v>4681</v>
      </c>
      <c r="C1830" s="1" t="s">
        <v>6619</v>
      </c>
      <c r="D1830" s="2" t="s">
        <v>6620</v>
      </c>
      <c r="E1830" s="1">
        <v>1.0</v>
      </c>
      <c r="I1830" s="1">
        <v>0.0</v>
      </c>
      <c r="J1830" s="1">
        <v>29.0</v>
      </c>
      <c r="L1830" s="1">
        <v>1.2327993E7</v>
      </c>
      <c r="N1830" s="1">
        <v>2756409.0</v>
      </c>
      <c r="P1830" s="1" t="s">
        <v>6621</v>
      </c>
      <c r="Q1830" s="1" t="s">
        <v>6621</v>
      </c>
      <c r="R1830" s="1" t="s">
        <v>6622</v>
      </c>
      <c r="S1830" s="1">
        <v>1.0</v>
      </c>
      <c r="T1830" s="1">
        <v>2.0</v>
      </c>
      <c r="X1830" s="1" t="s">
        <v>56</v>
      </c>
    </row>
    <row r="1831">
      <c r="A1831" s="3" t="str">
        <f>HYPERLINK("https://stackoverflow.com/q/58944331", "58944331")</f>
        <v>58944331</v>
      </c>
      <c r="B1831" s="1" t="s">
        <v>4681</v>
      </c>
      <c r="C1831" s="1" t="s">
        <v>6623</v>
      </c>
      <c r="D1831" s="2" t="s">
        <v>6624</v>
      </c>
      <c r="E1831" s="1">
        <v>1.0</v>
      </c>
      <c r="I1831" s="1">
        <v>0.0</v>
      </c>
      <c r="J1831" s="1">
        <v>18.0</v>
      </c>
      <c r="L1831" s="1">
        <v>1.2400632E7</v>
      </c>
      <c r="N1831" s="1">
        <v>5320802.0</v>
      </c>
      <c r="P1831" s="1" t="s">
        <v>6625</v>
      </c>
      <c r="Q1831" s="1" t="s">
        <v>6626</v>
      </c>
      <c r="R1831" s="1" t="s">
        <v>4697</v>
      </c>
      <c r="S1831" s="1">
        <v>1.0</v>
      </c>
      <c r="T1831" s="1">
        <v>1.0</v>
      </c>
      <c r="X1831" s="1" t="s">
        <v>56</v>
      </c>
    </row>
    <row r="1832">
      <c r="A1832" s="3" t="str">
        <f>HYPERLINK("https://stackoverflow.com/q/58949589", "58949589")</f>
        <v>58949589</v>
      </c>
      <c r="B1832" s="1" t="s">
        <v>4681</v>
      </c>
      <c r="C1832" s="1" t="s">
        <v>6627</v>
      </c>
      <c r="D1832" s="2" t="s">
        <v>6628</v>
      </c>
      <c r="E1832" s="1">
        <v>1.0</v>
      </c>
      <c r="I1832" s="1">
        <v>0.0</v>
      </c>
      <c r="J1832" s="1">
        <v>32.0</v>
      </c>
      <c r="L1832" s="1">
        <v>1.2402577E7</v>
      </c>
      <c r="N1832" s="1">
        <v>7920473.0</v>
      </c>
      <c r="P1832" s="1" t="s">
        <v>6629</v>
      </c>
      <c r="Q1832" s="1" t="s">
        <v>6630</v>
      </c>
      <c r="R1832" s="1" t="s">
        <v>6138</v>
      </c>
      <c r="S1832" s="1">
        <v>1.0</v>
      </c>
      <c r="T1832" s="1">
        <v>1.0</v>
      </c>
      <c r="X1832" s="1" t="s">
        <v>56</v>
      </c>
    </row>
    <row r="1833">
      <c r="A1833" s="3" t="str">
        <f>HYPERLINK("https://stackoverflow.com/q/59046675", "59046675")</f>
        <v>59046675</v>
      </c>
      <c r="B1833" s="1" t="s">
        <v>4681</v>
      </c>
      <c r="C1833" s="1" t="s">
        <v>6631</v>
      </c>
      <c r="D1833" s="2" t="s">
        <v>6632</v>
      </c>
      <c r="E1833" s="1">
        <v>1.0</v>
      </c>
      <c r="I1833" s="1">
        <v>0.0</v>
      </c>
      <c r="J1833" s="1">
        <v>27.0</v>
      </c>
      <c r="L1833" s="1">
        <v>1.2337915E7</v>
      </c>
      <c r="Q1833" s="1" t="s">
        <v>6633</v>
      </c>
      <c r="R1833" s="1" t="s">
        <v>4697</v>
      </c>
      <c r="S1833" s="1">
        <v>1.0</v>
      </c>
      <c r="T1833" s="1">
        <v>0.0</v>
      </c>
      <c r="X1833" s="1" t="s">
        <v>56</v>
      </c>
    </row>
    <row r="1834">
      <c r="A1834" s="3" t="str">
        <f>HYPERLINK("https://stackoverflow.com/q/59053329", "59053329")</f>
        <v>59053329</v>
      </c>
      <c r="B1834" s="1" t="s">
        <v>4681</v>
      </c>
      <c r="C1834" s="1" t="s">
        <v>6634</v>
      </c>
      <c r="D1834" s="2" t="s">
        <v>6635</v>
      </c>
      <c r="E1834" s="1">
        <v>1.0</v>
      </c>
      <c r="I1834" s="1">
        <v>0.0</v>
      </c>
      <c r="J1834" s="1">
        <v>27.0</v>
      </c>
      <c r="L1834" s="1">
        <v>1.2438709E7</v>
      </c>
      <c r="N1834" s="1">
        <v>4929911.0</v>
      </c>
      <c r="P1834" s="1" t="s">
        <v>6636</v>
      </c>
      <c r="Q1834" s="1" t="s">
        <v>6637</v>
      </c>
      <c r="R1834" s="1" t="s">
        <v>4697</v>
      </c>
      <c r="S1834" s="1">
        <v>1.0</v>
      </c>
      <c r="T1834" s="1">
        <v>0.0</v>
      </c>
      <c r="U1834" s="1">
        <v>0.0</v>
      </c>
      <c r="X1834" s="1" t="s">
        <v>56</v>
      </c>
    </row>
    <row r="1835">
      <c r="A1835" s="3" t="str">
        <f>HYPERLINK("https://stackoverflow.com/q/59062331", "59062331")</f>
        <v>59062331</v>
      </c>
      <c r="B1835" s="1" t="s">
        <v>4681</v>
      </c>
      <c r="C1835" s="1" t="s">
        <v>6638</v>
      </c>
      <c r="D1835" s="2" t="s">
        <v>6639</v>
      </c>
      <c r="E1835" s="1">
        <v>1.0</v>
      </c>
      <c r="I1835" s="1">
        <v>1.0</v>
      </c>
      <c r="J1835" s="1">
        <v>442.0</v>
      </c>
      <c r="L1835" s="1">
        <v>2330009.0</v>
      </c>
      <c r="N1835" s="1">
        <v>7920473.0</v>
      </c>
      <c r="P1835" s="1" t="s">
        <v>6640</v>
      </c>
      <c r="Q1835" s="1" t="s">
        <v>6640</v>
      </c>
      <c r="R1835" s="1" t="s">
        <v>6641</v>
      </c>
      <c r="S1835" s="1">
        <v>1.0</v>
      </c>
      <c r="T1835" s="1">
        <v>0.0</v>
      </c>
      <c r="U1835" s="1">
        <v>2.0</v>
      </c>
      <c r="X1835" s="1" t="s">
        <v>56</v>
      </c>
    </row>
    <row r="1836">
      <c r="A1836" s="3" t="str">
        <f>HYPERLINK("https://stackoverflow.com/q/59094028", "59094028")</f>
        <v>59094028</v>
      </c>
      <c r="B1836" s="1" t="s">
        <v>4681</v>
      </c>
      <c r="C1836" s="1" t="s">
        <v>6642</v>
      </c>
      <c r="D1836" s="2" t="s">
        <v>6643</v>
      </c>
      <c r="E1836" s="1">
        <v>1.0</v>
      </c>
      <c r="I1836" s="1">
        <v>1.0</v>
      </c>
      <c r="J1836" s="1">
        <v>27.0</v>
      </c>
      <c r="L1836" s="1">
        <v>1.2452473E7</v>
      </c>
      <c r="Q1836" s="1" t="s">
        <v>6642</v>
      </c>
      <c r="R1836" s="1" t="s">
        <v>6644</v>
      </c>
      <c r="S1836" s="1">
        <v>0.0</v>
      </c>
      <c r="T1836" s="1">
        <v>0.0</v>
      </c>
      <c r="X1836" s="1" t="s">
        <v>56</v>
      </c>
    </row>
    <row r="1837">
      <c r="A1837" s="3" t="str">
        <f>HYPERLINK("https://stackoverflow.com/q/59103273", "59103273")</f>
        <v>59103273</v>
      </c>
      <c r="B1837" s="1" t="s">
        <v>4681</v>
      </c>
      <c r="C1837" s="1" t="s">
        <v>6645</v>
      </c>
      <c r="D1837" s="2" t="s">
        <v>6646</v>
      </c>
      <c r="E1837" s="1">
        <v>1.0</v>
      </c>
      <c r="F1837" s="1">
        <v>5.923274E7</v>
      </c>
      <c r="I1837" s="1">
        <v>1.0</v>
      </c>
      <c r="J1837" s="1">
        <v>85.0</v>
      </c>
      <c r="L1837" s="1">
        <v>1953230.0</v>
      </c>
      <c r="N1837" s="1">
        <v>7920473.0</v>
      </c>
      <c r="P1837" s="1" t="s">
        <v>6647</v>
      </c>
      <c r="Q1837" s="1" t="s">
        <v>6647</v>
      </c>
      <c r="R1837" s="1" t="s">
        <v>6648</v>
      </c>
      <c r="S1837" s="1">
        <v>1.0</v>
      </c>
      <c r="T1837" s="1">
        <v>0.0</v>
      </c>
      <c r="X1837" s="1" t="s">
        <v>56</v>
      </c>
      <c r="Z1837" s="1" t="s">
        <v>6649</v>
      </c>
    </row>
    <row r="1838">
      <c r="A1838" s="3" t="str">
        <f>HYPERLINK("https://stackoverflow.com/q/59158534", "59158534")</f>
        <v>59158534</v>
      </c>
      <c r="B1838" s="1" t="s">
        <v>4681</v>
      </c>
      <c r="C1838" s="1" t="s">
        <v>6650</v>
      </c>
      <c r="D1838" s="2" t="s">
        <v>6651</v>
      </c>
      <c r="E1838" s="1">
        <v>1.0</v>
      </c>
      <c r="I1838" s="1">
        <v>0.0</v>
      </c>
      <c r="J1838" s="1">
        <v>71.0</v>
      </c>
      <c r="L1838" s="1">
        <v>1.0791217E7</v>
      </c>
      <c r="Q1838" s="1" t="s">
        <v>6652</v>
      </c>
      <c r="R1838" s="1" t="s">
        <v>4697</v>
      </c>
      <c r="S1838" s="1">
        <v>1.0</v>
      </c>
      <c r="T1838" s="1">
        <v>0.0</v>
      </c>
      <c r="X1838" s="1" t="s">
        <v>56</v>
      </c>
    </row>
    <row r="1839">
      <c r="A1839" s="3" t="str">
        <f>HYPERLINK("https://stackoverflow.com/q/59165271", "59165271")</f>
        <v>59165271</v>
      </c>
      <c r="B1839" s="1" t="s">
        <v>4681</v>
      </c>
      <c r="C1839" s="1" t="s">
        <v>6653</v>
      </c>
      <c r="D1839" s="2" t="s">
        <v>6654</v>
      </c>
      <c r="E1839" s="1">
        <v>1.0</v>
      </c>
      <c r="I1839" s="1">
        <v>0.0</v>
      </c>
      <c r="J1839" s="1">
        <v>35.0</v>
      </c>
      <c r="L1839" s="1">
        <v>1.205267E7</v>
      </c>
      <c r="N1839" s="1">
        <v>7920473.0</v>
      </c>
      <c r="P1839" s="1" t="s">
        <v>6655</v>
      </c>
      <c r="Q1839" s="1" t="s">
        <v>6655</v>
      </c>
      <c r="R1839" s="1" t="s">
        <v>6138</v>
      </c>
      <c r="S1839" s="1">
        <v>1.0</v>
      </c>
      <c r="T1839" s="1">
        <v>2.0</v>
      </c>
      <c r="X1839" s="1" t="s">
        <v>56</v>
      </c>
    </row>
    <row r="1840">
      <c r="A1840" s="3" t="str">
        <f>HYPERLINK("https://stackoverflow.com/q/59189512", "59189512")</f>
        <v>59189512</v>
      </c>
      <c r="B1840" s="1" t="s">
        <v>4681</v>
      </c>
      <c r="C1840" s="1" t="s">
        <v>6656</v>
      </c>
      <c r="D1840" s="2" t="s">
        <v>6657</v>
      </c>
      <c r="E1840" s="1">
        <v>1.0</v>
      </c>
      <c r="F1840" s="1">
        <v>5.9249392E7</v>
      </c>
      <c r="I1840" s="1">
        <v>0.0</v>
      </c>
      <c r="J1840" s="1">
        <v>511.0</v>
      </c>
      <c r="L1840" s="1">
        <v>2472307.0</v>
      </c>
      <c r="Q1840" s="1" t="s">
        <v>6658</v>
      </c>
      <c r="R1840" s="1" t="s">
        <v>6659</v>
      </c>
      <c r="S1840" s="1">
        <v>1.0</v>
      </c>
      <c r="T1840" s="1">
        <v>1.0</v>
      </c>
      <c r="X1840" s="1" t="s">
        <v>56</v>
      </c>
      <c r="Z1840" s="1" t="s">
        <v>6660</v>
      </c>
    </row>
    <row r="1841">
      <c r="A1841" s="3" t="str">
        <f>HYPERLINK("https://stackoverflow.com/q/59194640", "59194640")</f>
        <v>59194640</v>
      </c>
      <c r="B1841" s="1" t="s">
        <v>4681</v>
      </c>
      <c r="C1841" s="1" t="s">
        <v>6661</v>
      </c>
      <c r="D1841" s="2" t="s">
        <v>6662</v>
      </c>
      <c r="E1841" s="1">
        <v>1.0</v>
      </c>
      <c r="F1841" s="1">
        <v>5.9203534E7</v>
      </c>
      <c r="I1841" s="1">
        <v>1.0</v>
      </c>
      <c r="J1841" s="1">
        <v>33.0</v>
      </c>
      <c r="L1841" s="1">
        <v>1.2307902E7</v>
      </c>
      <c r="N1841" s="1">
        <v>7920473.0</v>
      </c>
      <c r="P1841" s="1" t="s">
        <v>6663</v>
      </c>
      <c r="Q1841" s="1" t="s">
        <v>6663</v>
      </c>
      <c r="R1841" s="1" t="s">
        <v>6664</v>
      </c>
      <c r="S1841" s="1">
        <v>1.0</v>
      </c>
      <c r="T1841" s="1">
        <v>0.0</v>
      </c>
      <c r="X1841" s="1" t="s">
        <v>56</v>
      </c>
      <c r="Z1841" s="1" t="s">
        <v>6665</v>
      </c>
    </row>
    <row r="1842">
      <c r="A1842" s="3" t="str">
        <f>HYPERLINK("https://stackoverflow.com/q/59196780", "59196780")</f>
        <v>59196780</v>
      </c>
      <c r="B1842" s="1" t="s">
        <v>4681</v>
      </c>
      <c r="C1842" s="1" t="s">
        <v>6666</v>
      </c>
      <c r="D1842" s="2" t="s">
        <v>6667</v>
      </c>
      <c r="E1842" s="1">
        <v>1.0</v>
      </c>
      <c r="I1842" s="1">
        <v>0.0</v>
      </c>
      <c r="J1842" s="1">
        <v>42.0</v>
      </c>
      <c r="L1842" s="1">
        <v>1.1672259E7</v>
      </c>
      <c r="N1842" s="1">
        <v>9586181.0</v>
      </c>
      <c r="P1842" s="1" t="s">
        <v>6668</v>
      </c>
      <c r="Q1842" s="1" t="s">
        <v>6669</v>
      </c>
      <c r="R1842" s="1" t="s">
        <v>6670</v>
      </c>
      <c r="S1842" s="1">
        <v>1.0</v>
      </c>
      <c r="T1842" s="1">
        <v>0.0</v>
      </c>
      <c r="X1842" s="1" t="s">
        <v>56</v>
      </c>
    </row>
    <row r="1843">
      <c r="A1843" s="3" t="str">
        <f>HYPERLINK("https://stackoverflow.com/q/59211352", "59211352")</f>
        <v>59211352</v>
      </c>
      <c r="B1843" s="1" t="s">
        <v>4681</v>
      </c>
      <c r="C1843" s="1" t="s">
        <v>6671</v>
      </c>
      <c r="D1843" s="2" t="s">
        <v>6672</v>
      </c>
      <c r="E1843" s="1">
        <v>1.0</v>
      </c>
      <c r="I1843" s="1">
        <v>0.0</v>
      </c>
      <c r="J1843" s="1">
        <v>36.0</v>
      </c>
      <c r="L1843" s="1">
        <v>1190316.0</v>
      </c>
      <c r="N1843" s="1">
        <v>7920473.0</v>
      </c>
      <c r="P1843" s="1" t="s">
        <v>6673</v>
      </c>
      <c r="Q1843" s="1" t="s">
        <v>6673</v>
      </c>
      <c r="R1843" s="1" t="s">
        <v>6674</v>
      </c>
      <c r="S1843" s="1">
        <v>1.0</v>
      </c>
      <c r="T1843" s="1">
        <v>1.0</v>
      </c>
      <c r="X1843" s="1" t="s">
        <v>56</v>
      </c>
    </row>
    <row r="1844">
      <c r="A1844" s="3" t="str">
        <f>HYPERLINK("https://stackoverflow.com/q/59212486", "59212486")</f>
        <v>59212486</v>
      </c>
      <c r="B1844" s="1" t="s">
        <v>4681</v>
      </c>
      <c r="C1844" s="1" t="s">
        <v>6675</v>
      </c>
      <c r="D1844" s="2" t="s">
        <v>6676</v>
      </c>
      <c r="E1844" s="1">
        <v>1.0</v>
      </c>
      <c r="I1844" s="1">
        <v>1.0</v>
      </c>
      <c r="J1844" s="1">
        <v>1697.0</v>
      </c>
      <c r="L1844" s="1">
        <v>1.2326263E7</v>
      </c>
      <c r="N1844" s="1">
        <v>7920473.0</v>
      </c>
      <c r="P1844" s="1" t="s">
        <v>6677</v>
      </c>
      <c r="Q1844" s="1" t="s">
        <v>6678</v>
      </c>
      <c r="R1844" s="1" t="s">
        <v>6679</v>
      </c>
      <c r="S1844" s="1">
        <v>2.0</v>
      </c>
      <c r="T1844" s="1">
        <v>1.0</v>
      </c>
      <c r="U1844" s="1">
        <v>1.0</v>
      </c>
      <c r="X1844" s="1" t="s">
        <v>56</v>
      </c>
    </row>
    <row r="1845">
      <c r="A1845" s="3" t="str">
        <f>HYPERLINK("https://stackoverflow.com/q/59249246", "59249246")</f>
        <v>59249246</v>
      </c>
      <c r="B1845" s="1" t="s">
        <v>4681</v>
      </c>
      <c r="C1845" s="1" t="s">
        <v>6680</v>
      </c>
      <c r="D1845" s="2" t="s">
        <v>6681</v>
      </c>
      <c r="E1845" s="1">
        <v>1.0</v>
      </c>
      <c r="I1845" s="1">
        <v>0.0</v>
      </c>
      <c r="J1845" s="1">
        <v>72.0</v>
      </c>
      <c r="L1845" s="1">
        <v>3623517.0</v>
      </c>
      <c r="Q1845" s="1" t="s">
        <v>6682</v>
      </c>
      <c r="R1845" s="1" t="s">
        <v>6069</v>
      </c>
      <c r="S1845" s="1">
        <v>1.0</v>
      </c>
      <c r="T1845" s="1">
        <v>0.0</v>
      </c>
      <c r="X1845" s="1" t="s">
        <v>56</v>
      </c>
    </row>
    <row r="1846">
      <c r="A1846" s="3" t="str">
        <f>HYPERLINK("https://stackoverflow.com/q/59253188", "59253188")</f>
        <v>59253188</v>
      </c>
      <c r="B1846" s="1" t="s">
        <v>4681</v>
      </c>
      <c r="C1846" s="1" t="s">
        <v>6683</v>
      </c>
      <c r="D1846" s="2" t="s">
        <v>6684</v>
      </c>
      <c r="E1846" s="1">
        <v>1.0</v>
      </c>
      <c r="I1846" s="1">
        <v>0.0</v>
      </c>
      <c r="J1846" s="1">
        <v>106.0</v>
      </c>
      <c r="L1846" s="1">
        <v>1.1582287E7</v>
      </c>
      <c r="N1846" s="1">
        <v>1.1582287E7</v>
      </c>
      <c r="P1846" s="1" t="s">
        <v>6685</v>
      </c>
      <c r="Q1846" s="1" t="s">
        <v>6685</v>
      </c>
      <c r="R1846" s="1" t="s">
        <v>6686</v>
      </c>
      <c r="S1846" s="1">
        <v>0.0</v>
      </c>
      <c r="T1846" s="1">
        <v>1.0</v>
      </c>
      <c r="X1846" s="1" t="s">
        <v>56</v>
      </c>
    </row>
    <row r="1847">
      <c r="A1847" s="3" t="str">
        <f>HYPERLINK("https://stackoverflow.com/q/59285415", "59285415")</f>
        <v>59285415</v>
      </c>
      <c r="B1847" s="1" t="s">
        <v>4681</v>
      </c>
      <c r="C1847" s="1" t="s">
        <v>6687</v>
      </c>
      <c r="D1847" s="2" t="s">
        <v>6688</v>
      </c>
      <c r="E1847" s="1">
        <v>1.0</v>
      </c>
      <c r="I1847" s="1">
        <v>0.0</v>
      </c>
      <c r="J1847" s="1">
        <v>74.0</v>
      </c>
      <c r="L1847" s="1">
        <v>1.2518006E7</v>
      </c>
      <c r="N1847" s="1">
        <v>1.2393134E7</v>
      </c>
      <c r="P1847" s="1" t="s">
        <v>6689</v>
      </c>
      <c r="Q1847" s="1" t="s">
        <v>6690</v>
      </c>
      <c r="R1847" s="1" t="s">
        <v>6691</v>
      </c>
      <c r="S1847" s="1">
        <v>1.0</v>
      </c>
      <c r="T1847" s="1">
        <v>0.0</v>
      </c>
      <c r="X1847" s="1" t="s">
        <v>56</v>
      </c>
    </row>
    <row r="1848">
      <c r="A1848" s="3" t="str">
        <f>HYPERLINK("https://stackoverflow.com/q/59299127", "59299127")</f>
        <v>59299127</v>
      </c>
      <c r="B1848" s="1" t="s">
        <v>4681</v>
      </c>
      <c r="C1848" s="1" t="s">
        <v>6692</v>
      </c>
      <c r="D1848" s="2" t="s">
        <v>6693</v>
      </c>
      <c r="E1848" s="1">
        <v>1.0</v>
      </c>
      <c r="I1848" s="1">
        <v>0.0</v>
      </c>
      <c r="J1848" s="1">
        <v>27.0</v>
      </c>
      <c r="L1848" s="1">
        <v>1.2337915E7</v>
      </c>
      <c r="N1848" s="1">
        <v>4479165.0</v>
      </c>
      <c r="P1848" s="1" t="s">
        <v>6694</v>
      </c>
      <c r="Q1848" s="1" t="s">
        <v>6695</v>
      </c>
      <c r="R1848" s="1" t="s">
        <v>6696</v>
      </c>
      <c r="S1848" s="1">
        <v>2.0</v>
      </c>
      <c r="T1848" s="1">
        <v>0.0</v>
      </c>
      <c r="X1848" s="1" t="s">
        <v>56</v>
      </c>
    </row>
    <row r="1849">
      <c r="A1849" s="3" t="str">
        <f>HYPERLINK("https://stackoverflow.com/q/59306454", "59306454")</f>
        <v>59306454</v>
      </c>
      <c r="B1849" s="1" t="s">
        <v>4681</v>
      </c>
      <c r="C1849" s="1" t="s">
        <v>6697</v>
      </c>
      <c r="D1849" s="2" t="s">
        <v>6698</v>
      </c>
      <c r="E1849" s="1">
        <v>1.0</v>
      </c>
      <c r="I1849" s="1">
        <v>0.0</v>
      </c>
      <c r="J1849" s="1">
        <v>23.0</v>
      </c>
      <c r="L1849" s="1">
        <v>3698178.0</v>
      </c>
      <c r="Q1849" s="1" t="s">
        <v>6699</v>
      </c>
      <c r="R1849" s="1" t="s">
        <v>6700</v>
      </c>
      <c r="S1849" s="1">
        <v>1.0</v>
      </c>
      <c r="T1849" s="1">
        <v>0.0</v>
      </c>
      <c r="X1849" s="1" t="s">
        <v>56</v>
      </c>
    </row>
    <row r="1850">
      <c r="A1850" s="3" t="str">
        <f>HYPERLINK("https://stackoverflow.com/q/59322480", "59322480")</f>
        <v>59322480</v>
      </c>
      <c r="B1850" s="1" t="s">
        <v>4681</v>
      </c>
      <c r="C1850" s="1" t="s">
        <v>6701</v>
      </c>
      <c r="D1850" s="2" t="s">
        <v>6702</v>
      </c>
      <c r="E1850" s="1">
        <v>1.0</v>
      </c>
      <c r="I1850" s="1">
        <v>0.0</v>
      </c>
      <c r="J1850" s="1">
        <v>44.0</v>
      </c>
      <c r="L1850" s="1">
        <v>4964005.0</v>
      </c>
      <c r="N1850" s="1">
        <v>4964005.0</v>
      </c>
      <c r="P1850" s="1" t="s">
        <v>6703</v>
      </c>
      <c r="Q1850" s="1" t="s">
        <v>6703</v>
      </c>
      <c r="R1850" s="1" t="s">
        <v>6138</v>
      </c>
      <c r="S1850" s="1">
        <v>1.0</v>
      </c>
      <c r="T1850" s="1">
        <v>0.0</v>
      </c>
      <c r="X1850" s="1" t="s">
        <v>56</v>
      </c>
    </row>
    <row r="1851">
      <c r="A1851" s="3" t="str">
        <f>HYPERLINK("https://stackoverflow.com/q/59326669", "59326669")</f>
        <v>59326669</v>
      </c>
      <c r="B1851" s="1" t="s">
        <v>4681</v>
      </c>
      <c r="C1851" s="1" t="s">
        <v>6704</v>
      </c>
      <c r="D1851" s="2" t="s">
        <v>6705</v>
      </c>
      <c r="E1851" s="1">
        <v>1.0</v>
      </c>
      <c r="I1851" s="1">
        <v>2.0</v>
      </c>
      <c r="J1851" s="1">
        <v>170.0</v>
      </c>
      <c r="L1851" s="1">
        <v>2805831.0</v>
      </c>
      <c r="N1851" s="1">
        <v>2805831.0</v>
      </c>
      <c r="P1851" s="1" t="s">
        <v>6706</v>
      </c>
      <c r="Q1851" s="1" t="s">
        <v>6707</v>
      </c>
      <c r="R1851" s="1" t="s">
        <v>6708</v>
      </c>
      <c r="S1851" s="1">
        <v>1.0</v>
      </c>
      <c r="T1851" s="1">
        <v>0.0</v>
      </c>
      <c r="X1851" s="1" t="s">
        <v>56</v>
      </c>
    </row>
    <row r="1852">
      <c r="A1852" s="3" t="str">
        <f>HYPERLINK("https://stackoverflow.com/q/59345059", "59345059")</f>
        <v>59345059</v>
      </c>
      <c r="B1852" s="1" t="s">
        <v>4681</v>
      </c>
      <c r="C1852" s="1" t="s">
        <v>6709</v>
      </c>
      <c r="D1852" s="2" t="s">
        <v>6710</v>
      </c>
      <c r="E1852" s="1">
        <v>1.0</v>
      </c>
      <c r="I1852" s="1">
        <v>1.0</v>
      </c>
      <c r="J1852" s="1">
        <v>96.0</v>
      </c>
      <c r="L1852" s="1">
        <v>6765719.0</v>
      </c>
      <c r="N1852" s="1">
        <v>7920473.0</v>
      </c>
      <c r="P1852" s="1" t="s">
        <v>6711</v>
      </c>
      <c r="Q1852" s="1" t="s">
        <v>6712</v>
      </c>
      <c r="R1852" s="1" t="s">
        <v>6713</v>
      </c>
      <c r="S1852" s="1">
        <v>2.0</v>
      </c>
      <c r="T1852" s="1">
        <v>2.0</v>
      </c>
      <c r="X1852" s="1" t="s">
        <v>56</v>
      </c>
    </row>
    <row r="1853">
      <c r="A1853" s="3" t="str">
        <f>HYPERLINK("https://stackoverflow.com/q/59368495", "59368495")</f>
        <v>59368495</v>
      </c>
      <c r="B1853" s="1" t="s">
        <v>4681</v>
      </c>
      <c r="C1853" s="1" t="s">
        <v>6714</v>
      </c>
      <c r="D1853" s="2" t="s">
        <v>6715</v>
      </c>
      <c r="E1853" s="1">
        <v>1.0</v>
      </c>
      <c r="I1853" s="1">
        <v>0.0</v>
      </c>
      <c r="J1853" s="1">
        <v>46.0</v>
      </c>
      <c r="L1853" s="1">
        <v>1.2223835E7</v>
      </c>
      <c r="Q1853" s="1" t="s">
        <v>6714</v>
      </c>
      <c r="R1853" s="1" t="s">
        <v>6716</v>
      </c>
      <c r="S1853" s="1">
        <v>0.0</v>
      </c>
      <c r="T1853" s="1">
        <v>2.0</v>
      </c>
      <c r="X1853" s="1" t="s">
        <v>56</v>
      </c>
    </row>
    <row r="1854">
      <c r="A1854" s="3" t="str">
        <f>HYPERLINK("https://stackoverflow.com/q/59368840", "59368840")</f>
        <v>59368840</v>
      </c>
      <c r="B1854" s="1" t="s">
        <v>4681</v>
      </c>
      <c r="C1854" s="1" t="s">
        <v>6717</v>
      </c>
      <c r="D1854" s="2" t="s">
        <v>6718</v>
      </c>
      <c r="E1854" s="1">
        <v>1.0</v>
      </c>
      <c r="I1854" s="1">
        <v>0.0</v>
      </c>
      <c r="J1854" s="1">
        <v>72.0</v>
      </c>
      <c r="L1854" s="1">
        <v>8376261.0</v>
      </c>
      <c r="N1854" s="1">
        <v>1712135.0</v>
      </c>
      <c r="P1854" s="1" t="s">
        <v>6719</v>
      </c>
      <c r="Q1854" s="1" t="s">
        <v>6720</v>
      </c>
      <c r="R1854" s="1" t="s">
        <v>4697</v>
      </c>
      <c r="S1854" s="1">
        <v>1.0</v>
      </c>
      <c r="T1854" s="1">
        <v>0.0</v>
      </c>
      <c r="X1854" s="1" t="s">
        <v>56</v>
      </c>
    </row>
    <row r="1855">
      <c r="A1855" s="3" t="str">
        <f>HYPERLINK("https://stackoverflow.com/q/59375580", "59375580")</f>
        <v>59375580</v>
      </c>
      <c r="B1855" s="1" t="s">
        <v>4681</v>
      </c>
      <c r="C1855" s="1" t="s">
        <v>6721</v>
      </c>
      <c r="D1855" s="2" t="s">
        <v>6722</v>
      </c>
      <c r="E1855" s="1">
        <v>1.0</v>
      </c>
      <c r="I1855" s="1">
        <v>2.0</v>
      </c>
      <c r="J1855" s="1">
        <v>32.0</v>
      </c>
      <c r="L1855" s="1">
        <v>1921.0</v>
      </c>
      <c r="Q1855" s="1" t="s">
        <v>6723</v>
      </c>
      <c r="R1855" s="1" t="s">
        <v>6724</v>
      </c>
      <c r="S1855" s="1">
        <v>1.0</v>
      </c>
      <c r="T1855" s="1">
        <v>0.0</v>
      </c>
      <c r="U1855" s="1">
        <v>1.0</v>
      </c>
      <c r="X1855" s="1" t="s">
        <v>56</v>
      </c>
    </row>
    <row r="1856">
      <c r="A1856" s="3" t="str">
        <f>HYPERLINK("https://stackoverflow.com/q/59394560", "59394560")</f>
        <v>59394560</v>
      </c>
      <c r="B1856" s="1" t="s">
        <v>4681</v>
      </c>
      <c r="C1856" s="1" t="s">
        <v>6725</v>
      </c>
      <c r="D1856" s="2" t="s">
        <v>6726</v>
      </c>
      <c r="E1856" s="1">
        <v>1.0</v>
      </c>
      <c r="I1856" s="1">
        <v>0.0</v>
      </c>
      <c r="J1856" s="1">
        <v>336.0</v>
      </c>
      <c r="L1856" s="1">
        <v>1.2226474E7</v>
      </c>
      <c r="Q1856" s="1" t="s">
        <v>6727</v>
      </c>
      <c r="R1856" s="1" t="s">
        <v>4836</v>
      </c>
      <c r="S1856" s="1">
        <v>1.0</v>
      </c>
      <c r="T1856" s="1">
        <v>0.0</v>
      </c>
      <c r="X1856" s="1" t="s">
        <v>56</v>
      </c>
    </row>
    <row r="1857">
      <c r="A1857" s="3" t="str">
        <f>HYPERLINK("https://stackoverflow.com/q/59395726", "59395726")</f>
        <v>59395726</v>
      </c>
      <c r="B1857" s="1" t="s">
        <v>4681</v>
      </c>
      <c r="C1857" s="1" t="s">
        <v>6728</v>
      </c>
      <c r="D1857" s="2" t="s">
        <v>6729</v>
      </c>
      <c r="E1857" s="1">
        <v>1.0</v>
      </c>
      <c r="I1857" s="1">
        <v>0.0</v>
      </c>
      <c r="J1857" s="1">
        <v>31.0</v>
      </c>
      <c r="L1857" s="1">
        <v>4964005.0</v>
      </c>
      <c r="N1857" s="1">
        <v>7920473.0</v>
      </c>
      <c r="P1857" s="1" t="s">
        <v>6730</v>
      </c>
      <c r="Q1857" s="1" t="s">
        <v>6730</v>
      </c>
      <c r="R1857" s="1" t="s">
        <v>6731</v>
      </c>
      <c r="S1857" s="1">
        <v>0.0</v>
      </c>
      <c r="T1857" s="1">
        <v>0.0</v>
      </c>
      <c r="U1857" s="1">
        <v>1.0</v>
      </c>
      <c r="X1857" s="1" t="s">
        <v>56</v>
      </c>
    </row>
    <row r="1858">
      <c r="A1858" s="3" t="str">
        <f>HYPERLINK("https://stackoverflow.com/q/59404027", "59404027")</f>
        <v>59404027</v>
      </c>
      <c r="B1858" s="1" t="s">
        <v>4681</v>
      </c>
      <c r="C1858" s="1" t="s">
        <v>6732</v>
      </c>
      <c r="D1858" s="2" t="s">
        <v>6733</v>
      </c>
      <c r="E1858" s="1">
        <v>1.0</v>
      </c>
      <c r="I1858" s="1">
        <v>0.0</v>
      </c>
      <c r="J1858" s="1">
        <v>87.0</v>
      </c>
      <c r="L1858" s="1">
        <v>1190316.0</v>
      </c>
      <c r="N1858" s="1">
        <v>1190316.0</v>
      </c>
      <c r="P1858" s="1" t="s">
        <v>6734</v>
      </c>
      <c r="Q1858" s="1" t="s">
        <v>6735</v>
      </c>
      <c r="R1858" s="1" t="s">
        <v>6736</v>
      </c>
      <c r="S1858" s="1">
        <v>1.0</v>
      </c>
      <c r="T1858" s="1">
        <v>0.0</v>
      </c>
      <c r="X1858" s="1" t="s">
        <v>56</v>
      </c>
    </row>
    <row r="1859">
      <c r="A1859" s="3" t="str">
        <f>HYPERLINK("https://stackoverflow.com/q/59405701", "59405701")</f>
        <v>59405701</v>
      </c>
      <c r="B1859" s="1" t="s">
        <v>4681</v>
      </c>
      <c r="C1859" s="1" t="s">
        <v>6737</v>
      </c>
      <c r="D1859" s="2" t="s">
        <v>6738</v>
      </c>
      <c r="E1859" s="1">
        <v>1.0</v>
      </c>
      <c r="I1859" s="1">
        <v>0.0</v>
      </c>
      <c r="J1859" s="1">
        <v>64.0</v>
      </c>
      <c r="L1859" s="1">
        <v>8789973.0</v>
      </c>
      <c r="Q1859" s="1" t="s">
        <v>6739</v>
      </c>
      <c r="R1859" s="1" t="s">
        <v>5771</v>
      </c>
      <c r="S1859" s="1">
        <v>1.0</v>
      </c>
      <c r="T1859" s="1">
        <v>0.0</v>
      </c>
      <c r="X1859" s="1" t="s">
        <v>56</v>
      </c>
    </row>
    <row r="1860">
      <c r="A1860" s="3" t="str">
        <f>HYPERLINK("https://stackoverflow.com/q/59425853", "59425853")</f>
        <v>59425853</v>
      </c>
      <c r="B1860" s="1" t="s">
        <v>4681</v>
      </c>
      <c r="C1860" s="1" t="s">
        <v>6740</v>
      </c>
      <c r="D1860" s="2" t="s">
        <v>6741</v>
      </c>
      <c r="E1860" s="1">
        <v>1.0</v>
      </c>
      <c r="I1860" s="1">
        <v>0.0</v>
      </c>
      <c r="J1860" s="1">
        <v>407.0</v>
      </c>
      <c r="L1860" s="1">
        <v>8789973.0</v>
      </c>
      <c r="Q1860" s="1" t="s">
        <v>6742</v>
      </c>
      <c r="R1860" s="1" t="s">
        <v>5093</v>
      </c>
      <c r="S1860" s="1">
        <v>1.0</v>
      </c>
      <c r="T1860" s="1">
        <v>0.0</v>
      </c>
      <c r="U1860" s="1">
        <v>1.0</v>
      </c>
      <c r="X1860" s="1" t="s">
        <v>56</v>
      </c>
    </row>
    <row r="1861">
      <c r="A1861" s="3" t="str">
        <f>HYPERLINK("https://stackoverflow.com/q/59505728", "59505728")</f>
        <v>59505728</v>
      </c>
      <c r="B1861" s="1" t="s">
        <v>4681</v>
      </c>
      <c r="C1861" s="1" t="s">
        <v>6743</v>
      </c>
      <c r="D1861" s="2" t="s">
        <v>6744</v>
      </c>
      <c r="E1861" s="1">
        <v>1.0</v>
      </c>
      <c r="F1861" s="1">
        <v>5.9533991E7</v>
      </c>
      <c r="I1861" s="1">
        <v>1.0</v>
      </c>
      <c r="J1861" s="1">
        <v>18.0</v>
      </c>
      <c r="L1861" s="1">
        <v>9767181.0</v>
      </c>
      <c r="Q1861" s="1" t="s">
        <v>6745</v>
      </c>
      <c r="R1861" s="1" t="s">
        <v>5093</v>
      </c>
      <c r="S1861" s="1">
        <v>1.0</v>
      </c>
      <c r="T1861" s="1">
        <v>0.0</v>
      </c>
      <c r="X1861" s="1" t="s">
        <v>56</v>
      </c>
      <c r="Z1861" s="1" t="s">
        <v>6745</v>
      </c>
    </row>
    <row r="1862">
      <c r="A1862" s="3" t="str">
        <f>HYPERLINK("https://stackoverflow.com/q/59530814", "59530814")</f>
        <v>59530814</v>
      </c>
      <c r="B1862" s="1" t="s">
        <v>4681</v>
      </c>
      <c r="C1862" s="1" t="s">
        <v>6746</v>
      </c>
      <c r="D1862" s="2" t="s">
        <v>6747</v>
      </c>
      <c r="E1862" s="1">
        <v>1.0</v>
      </c>
      <c r="I1862" s="1">
        <v>0.0</v>
      </c>
      <c r="J1862" s="1">
        <v>19.0</v>
      </c>
      <c r="L1862" s="1">
        <v>1.2251999E7</v>
      </c>
      <c r="Q1862" s="1" t="s">
        <v>6746</v>
      </c>
      <c r="R1862" s="1" t="s">
        <v>4697</v>
      </c>
      <c r="S1862" s="1">
        <v>0.0</v>
      </c>
      <c r="T1862" s="1">
        <v>0.0</v>
      </c>
      <c r="X1862" s="1" t="s">
        <v>56</v>
      </c>
    </row>
    <row r="1863">
      <c r="A1863" s="3" t="str">
        <f>HYPERLINK("https://stackoverflow.com/q/59557099", "59557099")</f>
        <v>59557099</v>
      </c>
      <c r="B1863" s="1" t="s">
        <v>4681</v>
      </c>
      <c r="C1863" s="1" t="s">
        <v>6748</v>
      </c>
      <c r="D1863" s="2" t="s">
        <v>6749</v>
      </c>
      <c r="E1863" s="1">
        <v>1.0</v>
      </c>
      <c r="I1863" s="1">
        <v>0.0</v>
      </c>
      <c r="J1863" s="1">
        <v>322.0</v>
      </c>
      <c r="L1863" s="1">
        <v>1.2110805E7</v>
      </c>
      <c r="Q1863" s="1" t="s">
        <v>6750</v>
      </c>
      <c r="R1863" s="1" t="s">
        <v>4805</v>
      </c>
      <c r="S1863" s="1">
        <v>1.0</v>
      </c>
      <c r="T1863" s="1">
        <v>0.0</v>
      </c>
      <c r="X1863" s="1" t="s">
        <v>56</v>
      </c>
    </row>
    <row r="1864">
      <c r="A1864" s="3" t="str">
        <f>HYPERLINK("https://stackoverflow.com/q/59565239", "59565239")</f>
        <v>59565239</v>
      </c>
      <c r="B1864" s="1" t="s">
        <v>4681</v>
      </c>
      <c r="C1864" s="1" t="s">
        <v>6751</v>
      </c>
      <c r="D1864" s="2" t="s">
        <v>6752</v>
      </c>
      <c r="E1864" s="1">
        <v>1.0</v>
      </c>
      <c r="I1864" s="1">
        <v>0.0</v>
      </c>
      <c r="J1864" s="1">
        <v>39.0</v>
      </c>
      <c r="L1864" s="1">
        <v>1491951.0</v>
      </c>
      <c r="Q1864" s="1" t="s">
        <v>6753</v>
      </c>
      <c r="R1864" s="1" t="s">
        <v>6069</v>
      </c>
      <c r="S1864" s="1">
        <v>1.0</v>
      </c>
      <c r="T1864" s="1">
        <v>0.0</v>
      </c>
      <c r="X1864" s="1" t="s">
        <v>56</v>
      </c>
    </row>
    <row r="1865">
      <c r="A1865" s="3" t="str">
        <f>HYPERLINK("https://stackoverflow.com/q/59575132", "59575132")</f>
        <v>59575132</v>
      </c>
      <c r="B1865" s="1" t="s">
        <v>4681</v>
      </c>
      <c r="C1865" s="1" t="s">
        <v>6754</v>
      </c>
      <c r="D1865" s="2" t="s">
        <v>6755</v>
      </c>
      <c r="E1865" s="1">
        <v>1.0</v>
      </c>
      <c r="I1865" s="1">
        <v>1.0</v>
      </c>
      <c r="J1865" s="1">
        <v>85.0</v>
      </c>
      <c r="L1865" s="1">
        <v>5976033.0</v>
      </c>
      <c r="N1865" s="1">
        <v>5976033.0</v>
      </c>
      <c r="P1865" s="1" t="s">
        <v>6756</v>
      </c>
      <c r="Q1865" s="1" t="s">
        <v>6757</v>
      </c>
      <c r="R1865" s="1" t="s">
        <v>6758</v>
      </c>
      <c r="S1865" s="1">
        <v>1.0</v>
      </c>
      <c r="T1865" s="1">
        <v>5.0</v>
      </c>
      <c r="X1865" s="1" t="s">
        <v>56</v>
      </c>
    </row>
    <row r="1866">
      <c r="A1866" s="3" t="str">
        <f>HYPERLINK("https://stackoverflow.com/q/59592466", "59592466")</f>
        <v>59592466</v>
      </c>
      <c r="B1866" s="1" t="s">
        <v>4681</v>
      </c>
      <c r="C1866" s="1" t="s">
        <v>6759</v>
      </c>
      <c r="D1866" s="2" t="s">
        <v>6760</v>
      </c>
      <c r="E1866" s="1">
        <v>1.0</v>
      </c>
      <c r="F1866" s="1">
        <v>5.9613815E7</v>
      </c>
      <c r="I1866" s="1">
        <v>0.0</v>
      </c>
      <c r="J1866" s="1">
        <v>93.0</v>
      </c>
      <c r="L1866" s="1">
        <v>1.2652986E7</v>
      </c>
      <c r="Q1866" s="1" t="s">
        <v>6761</v>
      </c>
      <c r="R1866" s="1" t="s">
        <v>4863</v>
      </c>
      <c r="S1866" s="1">
        <v>1.0</v>
      </c>
      <c r="T1866" s="1">
        <v>0.0</v>
      </c>
      <c r="X1866" s="1" t="s">
        <v>56</v>
      </c>
      <c r="Z1866" s="1" t="s">
        <v>6761</v>
      </c>
    </row>
    <row r="1867">
      <c r="A1867" s="3" t="str">
        <f>HYPERLINK("https://stackoverflow.com/q/59615918", "59615918")</f>
        <v>59615918</v>
      </c>
      <c r="B1867" s="1" t="s">
        <v>4681</v>
      </c>
      <c r="C1867" s="1" t="s">
        <v>6762</v>
      </c>
      <c r="D1867" s="2" t="s">
        <v>6763</v>
      </c>
      <c r="E1867" s="1">
        <v>1.0</v>
      </c>
      <c r="I1867" s="1">
        <v>0.0</v>
      </c>
      <c r="J1867" s="1">
        <v>173.0</v>
      </c>
      <c r="L1867" s="1">
        <v>8786837.0</v>
      </c>
      <c r="Q1867" s="1" t="s">
        <v>6762</v>
      </c>
      <c r="R1867" s="1" t="s">
        <v>4697</v>
      </c>
      <c r="S1867" s="1">
        <v>1.0</v>
      </c>
      <c r="T1867" s="1">
        <v>0.0</v>
      </c>
      <c r="X1867" s="1" t="s">
        <v>56</v>
      </c>
    </row>
    <row r="1868">
      <c r="A1868" s="3" t="str">
        <f>HYPERLINK("https://stackoverflow.com/q/59625496", "59625496")</f>
        <v>59625496</v>
      </c>
      <c r="B1868" s="1" t="s">
        <v>4681</v>
      </c>
      <c r="C1868" s="1" t="s">
        <v>6764</v>
      </c>
      <c r="D1868" s="2" t="s">
        <v>6765</v>
      </c>
      <c r="E1868" s="1">
        <v>1.0</v>
      </c>
      <c r="I1868" s="1">
        <v>0.0</v>
      </c>
      <c r="J1868" s="1">
        <v>20.0</v>
      </c>
      <c r="L1868" s="1">
        <v>8809466.0</v>
      </c>
      <c r="N1868" s="1">
        <v>3665662.0</v>
      </c>
      <c r="P1868" s="1" t="s">
        <v>6766</v>
      </c>
      <c r="Q1868" s="1" t="s">
        <v>6766</v>
      </c>
      <c r="R1868" s="1" t="s">
        <v>4767</v>
      </c>
      <c r="S1868" s="1">
        <v>0.0</v>
      </c>
      <c r="T1868" s="1">
        <v>1.0</v>
      </c>
      <c r="U1868" s="1">
        <v>1.0</v>
      </c>
      <c r="X1868" s="1" t="s">
        <v>56</v>
      </c>
    </row>
    <row r="1869">
      <c r="A1869" s="3" t="str">
        <f>HYPERLINK("https://stackoverflow.com/q/59638262", "59638262")</f>
        <v>59638262</v>
      </c>
      <c r="B1869" s="1" t="s">
        <v>4681</v>
      </c>
      <c r="C1869" s="1" t="s">
        <v>6767</v>
      </c>
      <c r="D1869" s="2" t="s">
        <v>6768</v>
      </c>
      <c r="E1869" s="1">
        <v>1.0</v>
      </c>
      <c r="I1869" s="1">
        <v>0.0</v>
      </c>
      <c r="J1869" s="1">
        <v>21.0</v>
      </c>
      <c r="L1869" s="1">
        <v>1.21937E7</v>
      </c>
      <c r="N1869" s="1">
        <v>7920473.0</v>
      </c>
      <c r="P1869" s="1" t="s">
        <v>6769</v>
      </c>
      <c r="Q1869" s="1" t="s">
        <v>6770</v>
      </c>
      <c r="R1869" s="1" t="s">
        <v>4697</v>
      </c>
      <c r="S1869" s="1">
        <v>2.0</v>
      </c>
      <c r="T1869" s="1">
        <v>0.0</v>
      </c>
      <c r="X1869" s="1" t="s">
        <v>56</v>
      </c>
    </row>
    <row r="1870">
      <c r="A1870" s="3" t="str">
        <f>HYPERLINK("https://stackoverflow.com/q/59648614", "59648614")</f>
        <v>59648614</v>
      </c>
      <c r="B1870" s="1" t="s">
        <v>4681</v>
      </c>
      <c r="C1870" s="1" t="s">
        <v>6771</v>
      </c>
      <c r="D1870" s="2" t="s">
        <v>6772</v>
      </c>
      <c r="E1870" s="1">
        <v>1.0</v>
      </c>
      <c r="I1870" s="1">
        <v>0.0</v>
      </c>
      <c r="J1870" s="1">
        <v>23.0</v>
      </c>
      <c r="L1870" s="1">
        <v>5871103.0</v>
      </c>
      <c r="Q1870" s="1" t="s">
        <v>6773</v>
      </c>
      <c r="R1870" s="1" t="s">
        <v>4697</v>
      </c>
      <c r="S1870" s="1">
        <v>1.0</v>
      </c>
      <c r="T1870" s="1">
        <v>0.0</v>
      </c>
      <c r="X1870" s="1" t="s">
        <v>56</v>
      </c>
    </row>
    <row r="1871">
      <c r="A1871" s="3" t="str">
        <f>HYPERLINK("https://stackoverflow.com/q/59652308", "59652308")</f>
        <v>59652308</v>
      </c>
      <c r="B1871" s="1" t="s">
        <v>4681</v>
      </c>
      <c r="C1871" s="1" t="s">
        <v>6774</v>
      </c>
      <c r="D1871" s="2" t="s">
        <v>6775</v>
      </c>
      <c r="E1871" s="1">
        <v>1.0</v>
      </c>
      <c r="I1871" s="1">
        <v>0.0</v>
      </c>
      <c r="J1871" s="1">
        <v>212.0</v>
      </c>
      <c r="M1871" s="1" t="s">
        <v>6776</v>
      </c>
      <c r="Q1871" s="1" t="s">
        <v>6777</v>
      </c>
      <c r="R1871" s="1" t="s">
        <v>6778</v>
      </c>
      <c r="S1871" s="1">
        <v>1.0</v>
      </c>
      <c r="T1871" s="1">
        <v>0.0</v>
      </c>
      <c r="X1871" s="1" t="s">
        <v>56</v>
      </c>
    </row>
    <row r="1872">
      <c r="A1872" s="3" t="str">
        <f>HYPERLINK("https://stackoverflow.com/q/59655025", "59655025")</f>
        <v>59655025</v>
      </c>
      <c r="B1872" s="1" t="s">
        <v>4681</v>
      </c>
      <c r="C1872" s="1" t="s">
        <v>6779</v>
      </c>
      <c r="D1872" s="2" t="s">
        <v>6780</v>
      </c>
      <c r="E1872" s="1">
        <v>1.0</v>
      </c>
      <c r="I1872" s="1">
        <v>0.0</v>
      </c>
      <c r="J1872" s="1">
        <v>35.0</v>
      </c>
      <c r="L1872" s="1">
        <v>1615905.0</v>
      </c>
      <c r="Q1872" s="1" t="s">
        <v>6779</v>
      </c>
      <c r="R1872" s="1" t="s">
        <v>4697</v>
      </c>
      <c r="S1872" s="1">
        <v>0.0</v>
      </c>
      <c r="T1872" s="1">
        <v>2.0</v>
      </c>
      <c r="X1872" s="1" t="s">
        <v>56</v>
      </c>
    </row>
    <row r="1873">
      <c r="A1873" s="3" t="str">
        <f>HYPERLINK("https://stackoverflow.com/q/59658068", "59658068")</f>
        <v>59658068</v>
      </c>
      <c r="B1873" s="1" t="s">
        <v>4681</v>
      </c>
      <c r="C1873" s="1" t="s">
        <v>6781</v>
      </c>
      <c r="D1873" s="2" t="s">
        <v>6782</v>
      </c>
      <c r="E1873" s="1">
        <v>1.0</v>
      </c>
      <c r="F1873" s="1">
        <v>5.9679082E7</v>
      </c>
      <c r="I1873" s="1">
        <v>0.0</v>
      </c>
      <c r="J1873" s="1">
        <v>159.0</v>
      </c>
      <c r="L1873" s="1">
        <v>7616743.0</v>
      </c>
      <c r="N1873" s="1">
        <v>1.1508165E7</v>
      </c>
      <c r="P1873" s="1" t="s">
        <v>6783</v>
      </c>
      <c r="Q1873" s="1" t="s">
        <v>6784</v>
      </c>
      <c r="R1873" s="1" t="s">
        <v>6785</v>
      </c>
      <c r="S1873" s="1">
        <v>1.0</v>
      </c>
      <c r="T1873" s="1">
        <v>1.0</v>
      </c>
      <c r="X1873" s="1" t="s">
        <v>56</v>
      </c>
      <c r="Z1873" s="1" t="s">
        <v>6784</v>
      </c>
    </row>
    <row r="1874">
      <c r="A1874" s="3" t="str">
        <f>HYPERLINK("https://stackoverflow.com/q/59662845", "59662845")</f>
        <v>59662845</v>
      </c>
      <c r="B1874" s="1" t="s">
        <v>4681</v>
      </c>
      <c r="C1874" s="1" t="s">
        <v>6786</v>
      </c>
      <c r="D1874" s="2" t="s">
        <v>6787</v>
      </c>
      <c r="E1874" s="1">
        <v>1.0</v>
      </c>
      <c r="I1874" s="1">
        <v>0.0</v>
      </c>
      <c r="J1874" s="1">
        <v>18.0</v>
      </c>
      <c r="L1874" s="1">
        <v>871985.0</v>
      </c>
      <c r="Q1874" s="1" t="s">
        <v>6786</v>
      </c>
      <c r="R1874" s="1" t="s">
        <v>4697</v>
      </c>
      <c r="S1874" s="1">
        <v>0.0</v>
      </c>
      <c r="T1874" s="1">
        <v>0.0</v>
      </c>
      <c r="X1874" s="1" t="s">
        <v>56</v>
      </c>
    </row>
    <row r="1875">
      <c r="A1875" s="3" t="str">
        <f>HYPERLINK("https://stackoverflow.com/q/59672640", "59672640")</f>
        <v>59672640</v>
      </c>
      <c r="B1875" s="1" t="s">
        <v>4681</v>
      </c>
      <c r="C1875" s="1" t="s">
        <v>6788</v>
      </c>
      <c r="D1875" s="2" t="s">
        <v>6789</v>
      </c>
      <c r="E1875" s="1">
        <v>1.0</v>
      </c>
      <c r="I1875" s="1">
        <v>0.0</v>
      </c>
      <c r="J1875" s="1">
        <v>191.0</v>
      </c>
      <c r="L1875" s="1">
        <v>1.2520512E7</v>
      </c>
      <c r="N1875" s="1">
        <v>7920473.0</v>
      </c>
      <c r="P1875" s="1" t="s">
        <v>6790</v>
      </c>
      <c r="Q1875" s="1" t="s">
        <v>6790</v>
      </c>
      <c r="R1875" s="1" t="s">
        <v>6791</v>
      </c>
      <c r="S1875" s="1">
        <v>1.0</v>
      </c>
      <c r="T1875" s="1">
        <v>0.0</v>
      </c>
      <c r="X1875" s="1" t="s">
        <v>56</v>
      </c>
    </row>
    <row r="1876">
      <c r="A1876" s="3" t="str">
        <f>HYPERLINK("https://stackoverflow.com/q/59683644", "59683644")</f>
        <v>59683644</v>
      </c>
      <c r="B1876" s="1" t="s">
        <v>4681</v>
      </c>
      <c r="C1876" s="1" t="s">
        <v>6792</v>
      </c>
      <c r="D1876" s="2" t="s">
        <v>6793</v>
      </c>
      <c r="E1876" s="1">
        <v>1.0</v>
      </c>
      <c r="I1876" s="1">
        <v>0.0</v>
      </c>
      <c r="J1876" s="1">
        <v>61.0</v>
      </c>
      <c r="L1876" s="1">
        <v>1711666.0</v>
      </c>
      <c r="N1876" s="1">
        <v>7920473.0</v>
      </c>
      <c r="P1876" s="1" t="s">
        <v>6794</v>
      </c>
      <c r="Q1876" s="1" t="s">
        <v>6795</v>
      </c>
      <c r="R1876" s="1" t="s">
        <v>6138</v>
      </c>
      <c r="S1876" s="1">
        <v>2.0</v>
      </c>
      <c r="T1876" s="1">
        <v>0.0</v>
      </c>
      <c r="X1876" s="1" t="s">
        <v>56</v>
      </c>
    </row>
    <row r="1877">
      <c r="A1877" s="3" t="str">
        <f>HYPERLINK("https://stackoverflow.com/q/59709217", "59709217")</f>
        <v>59709217</v>
      </c>
      <c r="B1877" s="1" t="s">
        <v>4681</v>
      </c>
      <c r="C1877" s="1" t="s">
        <v>6796</v>
      </c>
      <c r="D1877" s="2" t="s">
        <v>6797</v>
      </c>
      <c r="E1877" s="1">
        <v>1.0</v>
      </c>
      <c r="F1877" s="1">
        <v>5.9771173E7</v>
      </c>
      <c r="I1877" s="1">
        <v>0.0</v>
      </c>
      <c r="J1877" s="1">
        <v>22.0</v>
      </c>
      <c r="L1877" s="1">
        <v>5148719.0</v>
      </c>
      <c r="N1877" s="1">
        <v>7920473.0</v>
      </c>
      <c r="P1877" s="1" t="s">
        <v>6798</v>
      </c>
      <c r="Q1877" s="1" t="s">
        <v>6798</v>
      </c>
      <c r="R1877" s="1" t="s">
        <v>6799</v>
      </c>
      <c r="S1877" s="1">
        <v>1.0</v>
      </c>
      <c r="T1877" s="1">
        <v>0.0</v>
      </c>
      <c r="X1877" s="1" t="s">
        <v>56</v>
      </c>
      <c r="Z1877" s="1" t="s">
        <v>6800</v>
      </c>
    </row>
    <row r="1878">
      <c r="A1878" s="3" t="str">
        <f>HYPERLINK("https://stackoverflow.com/q/59720097", "59720097")</f>
        <v>59720097</v>
      </c>
      <c r="B1878" s="1" t="s">
        <v>4681</v>
      </c>
      <c r="C1878" s="1" t="s">
        <v>6801</v>
      </c>
      <c r="D1878" s="2" t="s">
        <v>6802</v>
      </c>
      <c r="E1878" s="1">
        <v>1.0</v>
      </c>
      <c r="F1878" s="1">
        <v>5.9720309E7</v>
      </c>
      <c r="I1878" s="1">
        <v>0.0</v>
      </c>
      <c r="J1878" s="1">
        <v>34.0</v>
      </c>
      <c r="L1878" s="1">
        <v>3877765.0</v>
      </c>
      <c r="N1878" s="1">
        <v>7920473.0</v>
      </c>
      <c r="P1878" s="1" t="s">
        <v>6803</v>
      </c>
      <c r="Q1878" s="1" t="s">
        <v>6803</v>
      </c>
      <c r="R1878" s="1" t="s">
        <v>6804</v>
      </c>
      <c r="S1878" s="1">
        <v>1.0</v>
      </c>
      <c r="T1878" s="1">
        <v>0.0</v>
      </c>
      <c r="X1878" s="1" t="s">
        <v>56</v>
      </c>
      <c r="Z1878" s="1" t="s">
        <v>6805</v>
      </c>
    </row>
    <row r="1879">
      <c r="A1879" s="3" t="str">
        <f>HYPERLINK("https://stackoverflow.com/q/59730597", "59730597")</f>
        <v>59730597</v>
      </c>
      <c r="B1879" s="1" t="s">
        <v>4681</v>
      </c>
      <c r="C1879" s="1" t="s">
        <v>6806</v>
      </c>
      <c r="D1879" s="2" t="s">
        <v>6807</v>
      </c>
      <c r="E1879" s="1">
        <v>1.0</v>
      </c>
      <c r="F1879" s="1">
        <v>5.9731429E7</v>
      </c>
      <c r="I1879" s="1">
        <v>0.0</v>
      </c>
      <c r="J1879" s="1">
        <v>423.0</v>
      </c>
      <c r="L1879" s="1">
        <v>1768542.0</v>
      </c>
      <c r="N1879" s="1">
        <v>1768542.0</v>
      </c>
      <c r="P1879" s="1" t="s">
        <v>6808</v>
      </c>
      <c r="Q1879" s="1" t="s">
        <v>6809</v>
      </c>
      <c r="R1879" s="1" t="s">
        <v>6810</v>
      </c>
      <c r="S1879" s="1">
        <v>2.0</v>
      </c>
      <c r="T1879" s="1">
        <v>0.0</v>
      </c>
      <c r="X1879" s="1" t="s">
        <v>56</v>
      </c>
      <c r="Z1879" s="1" t="s">
        <v>6811</v>
      </c>
    </row>
    <row r="1880">
      <c r="A1880" s="3" t="str">
        <f>HYPERLINK("https://stackoverflow.com/q/59748089", "59748089")</f>
        <v>59748089</v>
      </c>
      <c r="B1880" s="1" t="s">
        <v>4681</v>
      </c>
      <c r="C1880" s="1" t="s">
        <v>6812</v>
      </c>
      <c r="D1880" s="2" t="s">
        <v>6813</v>
      </c>
      <c r="E1880" s="1">
        <v>1.0</v>
      </c>
      <c r="I1880" s="1">
        <v>0.0</v>
      </c>
      <c r="J1880" s="1">
        <v>84.0</v>
      </c>
      <c r="L1880" s="1">
        <v>6167777.0</v>
      </c>
      <c r="N1880" s="1">
        <v>7920473.0</v>
      </c>
      <c r="P1880" s="1" t="s">
        <v>6814</v>
      </c>
      <c r="Q1880" s="1" t="s">
        <v>6814</v>
      </c>
      <c r="R1880" s="1" t="s">
        <v>6815</v>
      </c>
      <c r="S1880" s="1">
        <v>0.0</v>
      </c>
      <c r="T1880" s="1">
        <v>1.0</v>
      </c>
      <c r="U1880" s="1">
        <v>1.0</v>
      </c>
      <c r="X1880" s="1" t="s">
        <v>56</v>
      </c>
    </row>
    <row r="1881">
      <c r="A1881" s="3" t="str">
        <f>HYPERLINK("https://stackoverflow.com/q/59756844", "59756844")</f>
        <v>59756844</v>
      </c>
      <c r="B1881" s="1" t="s">
        <v>4681</v>
      </c>
      <c r="C1881" s="1" t="s">
        <v>6816</v>
      </c>
      <c r="D1881" s="2" t="s">
        <v>6817</v>
      </c>
      <c r="E1881" s="1">
        <v>1.0</v>
      </c>
      <c r="I1881" s="1">
        <v>0.0</v>
      </c>
      <c r="J1881" s="1">
        <v>39.0</v>
      </c>
      <c r="L1881" s="1">
        <v>3877765.0</v>
      </c>
      <c r="Q1881" s="1" t="s">
        <v>6816</v>
      </c>
      <c r="R1881" s="1" t="s">
        <v>6818</v>
      </c>
      <c r="S1881" s="1">
        <v>0.0</v>
      </c>
      <c r="T1881" s="1">
        <v>0.0</v>
      </c>
      <c r="U1881" s="1">
        <v>1.0</v>
      </c>
      <c r="X1881" s="1" t="s">
        <v>56</v>
      </c>
    </row>
    <row r="1882">
      <c r="A1882" s="3" t="str">
        <f>HYPERLINK("https://stackoverflow.com/q/59759473", "59759473")</f>
        <v>59759473</v>
      </c>
      <c r="B1882" s="1" t="s">
        <v>4681</v>
      </c>
      <c r="C1882" s="1" t="s">
        <v>6819</v>
      </c>
      <c r="D1882" s="2" t="s">
        <v>6820</v>
      </c>
      <c r="E1882" s="1">
        <v>1.0</v>
      </c>
      <c r="F1882" s="1">
        <v>5.9765843E7</v>
      </c>
      <c r="I1882" s="1">
        <v>0.0</v>
      </c>
      <c r="J1882" s="1">
        <v>149.0</v>
      </c>
      <c r="L1882" s="1">
        <v>1.192832E7</v>
      </c>
      <c r="Q1882" s="1" t="s">
        <v>6821</v>
      </c>
      <c r="R1882" s="1" t="s">
        <v>5771</v>
      </c>
      <c r="S1882" s="1">
        <v>1.0</v>
      </c>
      <c r="T1882" s="1">
        <v>0.0</v>
      </c>
      <c r="U1882" s="1">
        <v>1.0</v>
      </c>
      <c r="X1882" s="1" t="s">
        <v>56</v>
      </c>
      <c r="Z1882" s="1" t="s">
        <v>6821</v>
      </c>
    </row>
    <row r="1883">
      <c r="A1883" s="3" t="str">
        <f>HYPERLINK("https://stackoverflow.com/q/59776920", "59776920")</f>
        <v>59776920</v>
      </c>
      <c r="B1883" s="1" t="s">
        <v>4681</v>
      </c>
      <c r="C1883" s="1" t="s">
        <v>6822</v>
      </c>
      <c r="D1883" s="2" t="s">
        <v>6823</v>
      </c>
      <c r="E1883" s="1">
        <v>1.0</v>
      </c>
      <c r="F1883" s="1">
        <v>5.9777014E7</v>
      </c>
      <c r="I1883" s="1">
        <v>0.0</v>
      </c>
      <c r="J1883" s="1">
        <v>43.0</v>
      </c>
      <c r="L1883" s="1">
        <v>5148719.0</v>
      </c>
      <c r="N1883" s="1">
        <v>7920473.0</v>
      </c>
      <c r="P1883" s="1" t="s">
        <v>6824</v>
      </c>
      <c r="Q1883" s="1" t="s">
        <v>6824</v>
      </c>
      <c r="R1883" s="1" t="s">
        <v>6069</v>
      </c>
      <c r="S1883" s="1">
        <v>1.0</v>
      </c>
      <c r="T1883" s="1">
        <v>0.0</v>
      </c>
      <c r="X1883" s="1" t="s">
        <v>56</v>
      </c>
      <c r="Z1883" s="1" t="s">
        <v>6825</v>
      </c>
    </row>
    <row r="1884">
      <c r="A1884" s="3" t="str">
        <f>HYPERLINK("https://stackoverflow.com/q/59790652", "59790652")</f>
        <v>59790652</v>
      </c>
      <c r="B1884" s="1" t="s">
        <v>4681</v>
      </c>
      <c r="C1884" s="1" t="s">
        <v>6826</v>
      </c>
      <c r="D1884" s="2" t="s">
        <v>6827</v>
      </c>
      <c r="E1884" s="1">
        <v>1.0</v>
      </c>
      <c r="I1884" s="1">
        <v>0.0</v>
      </c>
      <c r="J1884" s="1">
        <v>51.0</v>
      </c>
      <c r="L1884" s="1">
        <v>5148719.0</v>
      </c>
      <c r="N1884" s="1">
        <v>7920473.0</v>
      </c>
      <c r="P1884" s="1" t="s">
        <v>6828</v>
      </c>
      <c r="Q1884" s="1" t="s">
        <v>6828</v>
      </c>
      <c r="R1884" s="1" t="s">
        <v>6069</v>
      </c>
      <c r="S1884" s="1">
        <v>1.0</v>
      </c>
      <c r="T1884" s="1">
        <v>1.0</v>
      </c>
      <c r="X1884" s="1" t="s">
        <v>56</v>
      </c>
    </row>
    <row r="1885">
      <c r="A1885" s="3" t="str">
        <f>HYPERLINK("https://stackoverflow.com/q/59847182", "59847182")</f>
        <v>59847182</v>
      </c>
      <c r="B1885" s="1" t="s">
        <v>4681</v>
      </c>
      <c r="C1885" s="1" t="s">
        <v>6829</v>
      </c>
      <c r="D1885" s="2" t="s">
        <v>6830</v>
      </c>
      <c r="E1885" s="1">
        <v>1.0</v>
      </c>
      <c r="I1885" s="1">
        <v>1.0</v>
      </c>
      <c r="J1885" s="1">
        <v>195.0</v>
      </c>
      <c r="L1885" s="1">
        <v>1.2610187E7</v>
      </c>
      <c r="N1885" s="1">
        <v>7920473.0</v>
      </c>
      <c r="P1885" s="1" t="s">
        <v>6831</v>
      </c>
      <c r="Q1885" s="1" t="s">
        <v>6831</v>
      </c>
      <c r="R1885" s="1" t="s">
        <v>6832</v>
      </c>
      <c r="S1885" s="1">
        <v>1.0</v>
      </c>
      <c r="T1885" s="1">
        <v>0.0</v>
      </c>
      <c r="X1885" s="1" t="s">
        <v>56</v>
      </c>
    </row>
    <row r="1886">
      <c r="A1886" s="3" t="str">
        <f>HYPERLINK("https://stackoverflow.com/q/59861969", "59861969")</f>
        <v>59861969</v>
      </c>
      <c r="B1886" s="1" t="s">
        <v>4681</v>
      </c>
      <c r="C1886" s="1" t="s">
        <v>6833</v>
      </c>
      <c r="D1886" s="2" t="s">
        <v>6834</v>
      </c>
      <c r="E1886" s="1">
        <v>1.0</v>
      </c>
      <c r="F1886" s="1">
        <v>5.9872282E7</v>
      </c>
      <c r="I1886" s="1">
        <v>0.0</v>
      </c>
      <c r="J1886" s="1">
        <v>37.0</v>
      </c>
      <c r="L1886" s="1">
        <v>1.1558347E7</v>
      </c>
      <c r="Q1886" s="1" t="s">
        <v>6835</v>
      </c>
      <c r="R1886" s="1" t="s">
        <v>6836</v>
      </c>
      <c r="S1886" s="1">
        <v>1.0</v>
      </c>
      <c r="T1886" s="1">
        <v>0.0</v>
      </c>
      <c r="U1886" s="1">
        <v>1.0</v>
      </c>
      <c r="X1886" s="1" t="s">
        <v>56</v>
      </c>
      <c r="Z1886" s="1" t="s">
        <v>6835</v>
      </c>
    </row>
    <row r="1887">
      <c r="A1887" s="3" t="str">
        <f>HYPERLINK("https://stackoverflow.com/q/59880781", "59880781")</f>
        <v>59880781</v>
      </c>
      <c r="B1887" s="1" t="s">
        <v>4681</v>
      </c>
      <c r="C1887" s="1" t="s">
        <v>6837</v>
      </c>
      <c r="D1887" s="2" t="s">
        <v>6838</v>
      </c>
      <c r="E1887" s="1">
        <v>1.0</v>
      </c>
      <c r="I1887" s="1">
        <v>2.0</v>
      </c>
      <c r="J1887" s="1">
        <v>39.0</v>
      </c>
      <c r="L1887" s="1">
        <v>1529832.0</v>
      </c>
      <c r="N1887" s="1">
        <v>4742218.0</v>
      </c>
      <c r="P1887" s="1" t="s">
        <v>6839</v>
      </c>
      <c r="Q1887" s="1" t="s">
        <v>6839</v>
      </c>
      <c r="R1887" s="1" t="s">
        <v>6374</v>
      </c>
      <c r="S1887" s="1">
        <v>0.0</v>
      </c>
      <c r="T1887" s="1">
        <v>0.0</v>
      </c>
      <c r="U1887" s="1">
        <v>1.0</v>
      </c>
      <c r="X1887" s="1" t="s">
        <v>56</v>
      </c>
    </row>
    <row r="1888">
      <c r="A1888" s="3" t="str">
        <f>HYPERLINK("https://stackoverflow.com/q/59886892", "59886892")</f>
        <v>59886892</v>
      </c>
      <c r="B1888" s="1" t="s">
        <v>4681</v>
      </c>
      <c r="C1888" s="1" t="s">
        <v>6840</v>
      </c>
      <c r="D1888" s="2" t="s">
        <v>6841</v>
      </c>
      <c r="E1888" s="1">
        <v>1.0</v>
      </c>
      <c r="I1888" s="1">
        <v>0.0</v>
      </c>
      <c r="J1888" s="1">
        <v>75.0</v>
      </c>
      <c r="L1888" s="1">
        <v>17632.0</v>
      </c>
      <c r="Q1888" s="1" t="s">
        <v>6840</v>
      </c>
      <c r="R1888" s="1" t="s">
        <v>6842</v>
      </c>
      <c r="S1888" s="1">
        <v>0.0</v>
      </c>
      <c r="T1888" s="1">
        <v>0.0</v>
      </c>
      <c r="X1888" s="1" t="s">
        <v>56</v>
      </c>
    </row>
    <row r="1889">
      <c r="A1889" s="3" t="str">
        <f>HYPERLINK("https://stackoverflow.com/q/59902654", "59902654")</f>
        <v>59902654</v>
      </c>
      <c r="B1889" s="1" t="s">
        <v>4681</v>
      </c>
      <c r="C1889" s="1" t="s">
        <v>6843</v>
      </c>
      <c r="D1889" s="2" t="s">
        <v>6844</v>
      </c>
      <c r="E1889" s="1">
        <v>1.0</v>
      </c>
      <c r="I1889" s="1">
        <v>0.0</v>
      </c>
      <c r="J1889" s="1">
        <v>52.0</v>
      </c>
      <c r="L1889" s="1">
        <v>2592979.0</v>
      </c>
      <c r="N1889" s="1">
        <v>1.0312071E7</v>
      </c>
      <c r="P1889" s="1" t="s">
        <v>6845</v>
      </c>
      <c r="Q1889" s="1" t="s">
        <v>6845</v>
      </c>
      <c r="R1889" s="1" t="s">
        <v>6846</v>
      </c>
      <c r="S1889" s="1">
        <v>0.0</v>
      </c>
      <c r="T1889" s="1">
        <v>1.0</v>
      </c>
      <c r="X1889" s="1" t="s">
        <v>56</v>
      </c>
    </row>
    <row r="1890">
      <c r="A1890" s="3" t="str">
        <f>HYPERLINK("https://stackoverflow.com/q/59959076", "59959076")</f>
        <v>59959076</v>
      </c>
      <c r="B1890" s="1" t="s">
        <v>4681</v>
      </c>
      <c r="C1890" s="1" t="s">
        <v>6847</v>
      </c>
      <c r="D1890" s="2" t="s">
        <v>6848</v>
      </c>
      <c r="E1890" s="1">
        <v>1.0</v>
      </c>
      <c r="I1890" s="1">
        <v>0.0</v>
      </c>
      <c r="J1890" s="1">
        <v>19.0</v>
      </c>
      <c r="L1890" s="1">
        <v>8924067.0</v>
      </c>
      <c r="Q1890" s="1" t="s">
        <v>6849</v>
      </c>
      <c r="R1890" s="1" t="s">
        <v>6850</v>
      </c>
      <c r="S1890" s="1">
        <v>1.0</v>
      </c>
      <c r="T1890" s="1">
        <v>1.0</v>
      </c>
      <c r="X1890" s="1" t="s">
        <v>56</v>
      </c>
    </row>
    <row r="1891">
      <c r="A1891" s="3" t="str">
        <f>HYPERLINK("https://stackoverflow.com/q/59966739", "59966739")</f>
        <v>59966739</v>
      </c>
      <c r="B1891" s="1" t="s">
        <v>4681</v>
      </c>
      <c r="C1891" s="1" t="s">
        <v>6851</v>
      </c>
      <c r="D1891" s="2" t="s">
        <v>6852</v>
      </c>
      <c r="E1891" s="1">
        <v>1.0</v>
      </c>
      <c r="I1891" s="1">
        <v>0.0</v>
      </c>
      <c r="J1891" s="1">
        <v>27.0</v>
      </c>
      <c r="L1891" s="1">
        <v>1192770.0</v>
      </c>
      <c r="Q1891" s="1" t="s">
        <v>6853</v>
      </c>
      <c r="R1891" s="1" t="s">
        <v>6069</v>
      </c>
      <c r="S1891" s="1">
        <v>1.0</v>
      </c>
      <c r="T1891" s="1">
        <v>2.0</v>
      </c>
      <c r="X1891" s="1" t="s">
        <v>56</v>
      </c>
    </row>
    <row r="1892">
      <c r="A1892" s="3" t="str">
        <f>HYPERLINK("https://stackoverflow.com/q/59986306", "59986306")</f>
        <v>59986306</v>
      </c>
      <c r="B1892" s="1" t="s">
        <v>4681</v>
      </c>
      <c r="C1892" s="1" t="s">
        <v>6854</v>
      </c>
      <c r="D1892" s="2" t="s">
        <v>6855</v>
      </c>
      <c r="E1892" s="1">
        <v>1.0</v>
      </c>
      <c r="I1892" s="1">
        <v>0.0</v>
      </c>
      <c r="J1892" s="1">
        <v>81.0</v>
      </c>
      <c r="L1892" s="1">
        <v>1.034202E7</v>
      </c>
      <c r="Q1892" s="1" t="s">
        <v>6856</v>
      </c>
      <c r="R1892" s="1" t="s">
        <v>6857</v>
      </c>
      <c r="S1892" s="1">
        <v>1.0</v>
      </c>
      <c r="T1892" s="1">
        <v>3.0</v>
      </c>
      <c r="X1892" s="1" t="s">
        <v>56</v>
      </c>
    </row>
    <row r="1893">
      <c r="A1893" s="3" t="str">
        <f>HYPERLINK("https://stackoverflow.com/q/60017137", "60017137")</f>
        <v>60017137</v>
      </c>
      <c r="B1893" s="1" t="s">
        <v>4681</v>
      </c>
      <c r="C1893" s="1" t="s">
        <v>6858</v>
      </c>
      <c r="D1893" s="2" t="s">
        <v>6859</v>
      </c>
      <c r="E1893" s="1">
        <v>1.0</v>
      </c>
      <c r="I1893" s="1">
        <v>0.0</v>
      </c>
      <c r="J1893" s="1">
        <v>52.0</v>
      </c>
      <c r="L1893" s="1">
        <v>1.0704949E7</v>
      </c>
      <c r="N1893" s="1">
        <v>1.0704949E7</v>
      </c>
      <c r="P1893" s="1" t="s">
        <v>6860</v>
      </c>
      <c r="Q1893" s="1" t="s">
        <v>6861</v>
      </c>
      <c r="R1893" s="1" t="s">
        <v>6862</v>
      </c>
      <c r="S1893" s="1">
        <v>1.0</v>
      </c>
      <c r="T1893" s="1">
        <v>0.0</v>
      </c>
      <c r="X1893" s="1" t="s">
        <v>56</v>
      </c>
    </row>
    <row r="1894">
      <c r="A1894" s="3" t="str">
        <f>HYPERLINK("https://stackoverflow.com/q/60017517", "60017517")</f>
        <v>60017517</v>
      </c>
      <c r="B1894" s="1" t="s">
        <v>4681</v>
      </c>
      <c r="C1894" s="1" t="s">
        <v>6863</v>
      </c>
      <c r="D1894" s="2" t="s">
        <v>6864</v>
      </c>
      <c r="E1894" s="1">
        <v>1.0</v>
      </c>
      <c r="I1894" s="1">
        <v>0.0</v>
      </c>
      <c r="J1894" s="1">
        <v>70.0</v>
      </c>
      <c r="L1894" s="1">
        <v>2410547.0</v>
      </c>
      <c r="Q1894" s="1" t="s">
        <v>6865</v>
      </c>
      <c r="R1894" s="1" t="s">
        <v>4697</v>
      </c>
      <c r="S1894" s="1">
        <v>1.0</v>
      </c>
      <c r="T1894" s="1">
        <v>0.0</v>
      </c>
      <c r="X1894" s="1" t="s">
        <v>56</v>
      </c>
    </row>
    <row r="1895">
      <c r="A1895" s="3" t="str">
        <f>HYPERLINK("https://stackoverflow.com/q/60033096", "60033096")</f>
        <v>60033096</v>
      </c>
      <c r="B1895" s="1" t="s">
        <v>4681</v>
      </c>
      <c r="C1895" s="1" t="s">
        <v>6866</v>
      </c>
      <c r="D1895" s="2" t="s">
        <v>6867</v>
      </c>
      <c r="E1895" s="1">
        <v>1.0</v>
      </c>
      <c r="I1895" s="1">
        <v>0.0</v>
      </c>
      <c r="J1895" s="1">
        <v>30.0</v>
      </c>
      <c r="L1895" s="1">
        <v>1.0393579E7</v>
      </c>
      <c r="Q1895" s="1" t="s">
        <v>6868</v>
      </c>
      <c r="R1895" s="1" t="s">
        <v>4697</v>
      </c>
      <c r="S1895" s="1">
        <v>2.0</v>
      </c>
      <c r="T1895" s="1">
        <v>0.0</v>
      </c>
      <c r="X1895" s="1" t="s">
        <v>56</v>
      </c>
    </row>
    <row r="1896">
      <c r="A1896" s="3" t="str">
        <f>HYPERLINK("https://stackoverflow.com/q/60071979", "60071979")</f>
        <v>60071979</v>
      </c>
      <c r="B1896" s="1" t="s">
        <v>4681</v>
      </c>
      <c r="C1896" s="1" t="s">
        <v>6869</v>
      </c>
      <c r="D1896" s="2" t="s">
        <v>6870</v>
      </c>
      <c r="E1896" s="1">
        <v>1.0</v>
      </c>
      <c r="I1896" s="1">
        <v>0.0</v>
      </c>
      <c r="J1896" s="1">
        <v>602.0</v>
      </c>
      <c r="L1896" s="1">
        <v>667538.0</v>
      </c>
      <c r="Q1896" s="1" t="s">
        <v>6871</v>
      </c>
      <c r="R1896" s="1" t="s">
        <v>4805</v>
      </c>
      <c r="S1896" s="1">
        <v>1.0</v>
      </c>
      <c r="T1896" s="1">
        <v>1.0</v>
      </c>
      <c r="X1896" s="1" t="s">
        <v>56</v>
      </c>
    </row>
    <row r="1897">
      <c r="A1897" s="3" t="str">
        <f>HYPERLINK("https://stackoverflow.com/q/60084638", "60084638")</f>
        <v>60084638</v>
      </c>
      <c r="B1897" s="1" t="s">
        <v>4681</v>
      </c>
      <c r="C1897" s="1" t="s">
        <v>6872</v>
      </c>
      <c r="D1897" s="2" t="s">
        <v>6873</v>
      </c>
      <c r="E1897" s="1">
        <v>1.0</v>
      </c>
      <c r="I1897" s="1">
        <v>0.0</v>
      </c>
      <c r="J1897" s="1">
        <v>10.0</v>
      </c>
      <c r="L1897" s="1">
        <v>2546863.0</v>
      </c>
      <c r="Q1897" s="1" t="s">
        <v>6874</v>
      </c>
      <c r="R1897" s="1" t="s">
        <v>6875</v>
      </c>
      <c r="S1897" s="1">
        <v>1.0</v>
      </c>
      <c r="T1897" s="1">
        <v>0.0</v>
      </c>
      <c r="X1897" s="1" t="s">
        <v>56</v>
      </c>
    </row>
    <row r="1898">
      <c r="A1898" s="3" t="str">
        <f>HYPERLINK("https://stackoverflow.com/q/60088723", "60088723")</f>
        <v>60088723</v>
      </c>
      <c r="B1898" s="1" t="s">
        <v>4681</v>
      </c>
      <c r="C1898" s="1" t="s">
        <v>6876</v>
      </c>
      <c r="D1898" s="2" t="s">
        <v>6877</v>
      </c>
      <c r="E1898" s="1">
        <v>1.0</v>
      </c>
      <c r="I1898" s="1">
        <v>0.0</v>
      </c>
      <c r="J1898" s="1">
        <v>22.0</v>
      </c>
      <c r="L1898" s="1">
        <v>1.0704949E7</v>
      </c>
      <c r="Q1898" s="1" t="s">
        <v>6876</v>
      </c>
      <c r="R1898" s="1" t="s">
        <v>5022</v>
      </c>
      <c r="S1898" s="1">
        <v>0.0</v>
      </c>
      <c r="T1898" s="1">
        <v>3.0</v>
      </c>
      <c r="X1898" s="1" t="s">
        <v>56</v>
      </c>
    </row>
    <row r="1899">
      <c r="A1899" s="3" t="str">
        <f>HYPERLINK("https://stackoverflow.com/q/60115832", "60115832")</f>
        <v>60115832</v>
      </c>
      <c r="B1899" s="1" t="s">
        <v>4681</v>
      </c>
      <c r="C1899" s="1" t="s">
        <v>6878</v>
      </c>
      <c r="D1899" s="2" t="s">
        <v>6879</v>
      </c>
      <c r="E1899" s="1">
        <v>1.0</v>
      </c>
      <c r="I1899" s="1">
        <v>0.0</v>
      </c>
      <c r="J1899" s="1">
        <v>38.0</v>
      </c>
      <c r="L1899" s="1">
        <v>1.2479253E7</v>
      </c>
      <c r="Q1899" s="1" t="s">
        <v>6880</v>
      </c>
      <c r="R1899" s="1" t="s">
        <v>6881</v>
      </c>
      <c r="S1899" s="1">
        <v>2.0</v>
      </c>
      <c r="T1899" s="1">
        <v>0.0</v>
      </c>
      <c r="X1899" s="1" t="s">
        <v>56</v>
      </c>
    </row>
    <row r="1900">
      <c r="A1900" s="3" t="str">
        <f>HYPERLINK("https://stackoverflow.com/q/60152570", "60152570")</f>
        <v>60152570</v>
      </c>
      <c r="B1900" s="1" t="s">
        <v>4681</v>
      </c>
      <c r="C1900" s="1" t="s">
        <v>6882</v>
      </c>
      <c r="D1900" s="2" t="s">
        <v>6883</v>
      </c>
      <c r="E1900" s="1">
        <v>1.0</v>
      </c>
      <c r="I1900" s="1">
        <v>1.0</v>
      </c>
      <c r="J1900" s="1">
        <v>48.0</v>
      </c>
      <c r="L1900" s="1">
        <v>6334653.0</v>
      </c>
      <c r="N1900" s="1">
        <v>7920473.0</v>
      </c>
      <c r="P1900" s="1" t="s">
        <v>6884</v>
      </c>
      <c r="Q1900" s="1" t="s">
        <v>6884</v>
      </c>
      <c r="R1900" s="1" t="s">
        <v>6885</v>
      </c>
      <c r="S1900" s="1">
        <v>1.0</v>
      </c>
      <c r="T1900" s="1">
        <v>1.0</v>
      </c>
      <c r="X1900" s="1" t="s">
        <v>56</v>
      </c>
    </row>
    <row r="1901">
      <c r="A1901" s="3" t="str">
        <f>HYPERLINK("https://stackoverflow.com/q/60168463", "60168463")</f>
        <v>60168463</v>
      </c>
      <c r="B1901" s="1" t="s">
        <v>4681</v>
      </c>
      <c r="C1901" s="1" t="s">
        <v>6886</v>
      </c>
      <c r="D1901" s="2" t="s">
        <v>6887</v>
      </c>
      <c r="E1901" s="1">
        <v>1.0</v>
      </c>
      <c r="F1901" s="1">
        <v>6.0180018E7</v>
      </c>
      <c r="I1901" s="1">
        <v>0.0</v>
      </c>
      <c r="J1901" s="1">
        <v>38.0</v>
      </c>
      <c r="L1901" s="1">
        <v>3072904.0</v>
      </c>
      <c r="Q1901" s="1" t="s">
        <v>6888</v>
      </c>
      <c r="R1901" s="1" t="s">
        <v>5695</v>
      </c>
      <c r="S1901" s="1">
        <v>1.0</v>
      </c>
      <c r="T1901" s="1">
        <v>0.0</v>
      </c>
      <c r="X1901" s="1" t="s">
        <v>56</v>
      </c>
      <c r="Z1901" s="1" t="s">
        <v>6888</v>
      </c>
    </row>
    <row r="1902">
      <c r="A1902" s="3" t="str">
        <f>HYPERLINK("https://stackoverflow.com/q/60169520", "60169520")</f>
        <v>60169520</v>
      </c>
      <c r="B1902" s="1" t="s">
        <v>4681</v>
      </c>
      <c r="C1902" s="1" t="s">
        <v>6889</v>
      </c>
      <c r="D1902" s="2" t="s">
        <v>6890</v>
      </c>
      <c r="E1902" s="1">
        <v>1.0</v>
      </c>
      <c r="F1902" s="1">
        <v>6.0182104E7</v>
      </c>
      <c r="I1902" s="1">
        <v>0.0</v>
      </c>
      <c r="J1902" s="1">
        <v>208.0</v>
      </c>
      <c r="L1902" s="1">
        <v>5081670.0</v>
      </c>
      <c r="Q1902" s="1" t="s">
        <v>6891</v>
      </c>
      <c r="R1902" s="1" t="s">
        <v>6892</v>
      </c>
      <c r="S1902" s="1">
        <v>2.0</v>
      </c>
      <c r="T1902" s="1">
        <v>4.0</v>
      </c>
      <c r="U1902" s="1">
        <v>1.0</v>
      </c>
      <c r="X1902" s="1" t="s">
        <v>56</v>
      </c>
      <c r="Z1902" s="1" t="s">
        <v>6891</v>
      </c>
    </row>
    <row r="1903">
      <c r="A1903" s="3" t="str">
        <f>HYPERLINK("https://stackoverflow.com/q/60177666", "60177666")</f>
        <v>60177666</v>
      </c>
      <c r="B1903" s="1" t="s">
        <v>4681</v>
      </c>
      <c r="C1903" s="1" t="s">
        <v>6893</v>
      </c>
      <c r="D1903" s="2" t="s">
        <v>6894</v>
      </c>
      <c r="E1903" s="1">
        <v>1.0</v>
      </c>
      <c r="F1903" s="1">
        <v>6.0306141E7</v>
      </c>
      <c r="I1903" s="1">
        <v>0.0</v>
      </c>
      <c r="J1903" s="1">
        <v>42.0</v>
      </c>
      <c r="L1903" s="1">
        <v>17632.0</v>
      </c>
      <c r="Q1903" s="1" t="s">
        <v>6895</v>
      </c>
      <c r="R1903" s="1" t="s">
        <v>6896</v>
      </c>
      <c r="S1903" s="1">
        <v>1.0</v>
      </c>
      <c r="T1903" s="1">
        <v>0.0</v>
      </c>
      <c r="X1903" s="1" t="s">
        <v>56</v>
      </c>
      <c r="Z1903" s="1" t="s">
        <v>6895</v>
      </c>
    </row>
    <row r="1904">
      <c r="A1904" s="3" t="str">
        <f>HYPERLINK("https://stackoverflow.com/q/60184002", "60184002")</f>
        <v>60184002</v>
      </c>
      <c r="B1904" s="1" t="s">
        <v>4681</v>
      </c>
      <c r="C1904" s="1" t="s">
        <v>6897</v>
      </c>
      <c r="D1904" s="2" t="s">
        <v>6898</v>
      </c>
      <c r="E1904" s="1">
        <v>1.0</v>
      </c>
      <c r="I1904" s="1">
        <v>0.0</v>
      </c>
      <c r="J1904" s="1">
        <v>27.0</v>
      </c>
      <c r="L1904" s="1">
        <v>1.0233074E7</v>
      </c>
      <c r="Q1904" s="1" t="s">
        <v>6897</v>
      </c>
      <c r="R1904" s="1" t="s">
        <v>6899</v>
      </c>
      <c r="S1904" s="1">
        <v>0.0</v>
      </c>
      <c r="T1904" s="1">
        <v>1.0</v>
      </c>
      <c r="X1904" s="1" t="s">
        <v>56</v>
      </c>
    </row>
    <row r="1905">
      <c r="A1905" s="3" t="str">
        <f>HYPERLINK("https://stackoverflow.com/q/60200773", "60200773")</f>
        <v>60200773</v>
      </c>
      <c r="B1905" s="1" t="s">
        <v>4681</v>
      </c>
      <c r="C1905" s="1" t="s">
        <v>6900</v>
      </c>
      <c r="D1905" s="2" t="s">
        <v>6901</v>
      </c>
      <c r="E1905" s="1">
        <v>1.0</v>
      </c>
      <c r="I1905" s="1">
        <v>0.0</v>
      </c>
      <c r="J1905" s="1">
        <v>26.0</v>
      </c>
      <c r="L1905" s="1">
        <v>1.288976E7</v>
      </c>
      <c r="N1905" s="1">
        <v>1.2716988E7</v>
      </c>
      <c r="P1905" s="1" t="s">
        <v>6902</v>
      </c>
      <c r="Q1905" s="1" t="s">
        <v>6902</v>
      </c>
      <c r="R1905" s="1" t="s">
        <v>4697</v>
      </c>
      <c r="S1905" s="1">
        <v>0.0</v>
      </c>
      <c r="T1905" s="1">
        <v>0.0</v>
      </c>
      <c r="X1905" s="1" t="s">
        <v>56</v>
      </c>
    </row>
    <row r="1906">
      <c r="A1906" s="3" t="str">
        <f>HYPERLINK("https://stackoverflow.com/q/60201239", "60201239")</f>
        <v>60201239</v>
      </c>
      <c r="B1906" s="1" t="s">
        <v>4681</v>
      </c>
      <c r="C1906" s="1" t="s">
        <v>6903</v>
      </c>
      <c r="D1906" s="2" t="s">
        <v>6904</v>
      </c>
      <c r="E1906" s="1">
        <v>1.0</v>
      </c>
      <c r="I1906" s="1">
        <v>0.0</v>
      </c>
      <c r="J1906" s="1">
        <v>186.0</v>
      </c>
      <c r="L1906" s="1">
        <v>1.0704949E7</v>
      </c>
      <c r="N1906" s="1">
        <v>7920473.0</v>
      </c>
      <c r="P1906" s="1" t="s">
        <v>6905</v>
      </c>
      <c r="Q1906" s="1" t="s">
        <v>6906</v>
      </c>
      <c r="R1906" s="1" t="s">
        <v>6907</v>
      </c>
      <c r="S1906" s="1">
        <v>1.0</v>
      </c>
      <c r="T1906" s="1">
        <v>2.0</v>
      </c>
      <c r="X1906" s="1" t="s">
        <v>56</v>
      </c>
    </row>
    <row r="1907">
      <c r="A1907" s="3" t="str">
        <f>HYPERLINK("https://stackoverflow.com/q/60209158", "60209158")</f>
        <v>60209158</v>
      </c>
      <c r="B1907" s="1" t="s">
        <v>4681</v>
      </c>
      <c r="C1907" s="1" t="s">
        <v>6908</v>
      </c>
      <c r="D1907" s="2" t="s">
        <v>6909</v>
      </c>
      <c r="E1907" s="1">
        <v>1.0</v>
      </c>
      <c r="F1907" s="1">
        <v>6.0214376E7</v>
      </c>
      <c r="I1907" s="1">
        <v>1.0</v>
      </c>
      <c r="J1907" s="1">
        <v>386.0</v>
      </c>
      <c r="L1907" s="1">
        <v>1.0624056E7</v>
      </c>
      <c r="N1907" s="1">
        <v>7920473.0</v>
      </c>
      <c r="P1907" s="1" t="s">
        <v>6910</v>
      </c>
      <c r="Q1907" s="1" t="s">
        <v>6910</v>
      </c>
      <c r="R1907" s="1" t="s">
        <v>6138</v>
      </c>
      <c r="S1907" s="1">
        <v>1.0</v>
      </c>
      <c r="T1907" s="1">
        <v>2.0</v>
      </c>
      <c r="X1907" s="1" t="s">
        <v>56</v>
      </c>
      <c r="Z1907" s="1" t="s">
        <v>6911</v>
      </c>
    </row>
    <row r="1908">
      <c r="A1908" s="3" t="str">
        <f>HYPERLINK("https://stackoverflow.com/q/60221840", "60221840")</f>
        <v>60221840</v>
      </c>
      <c r="B1908" s="1" t="s">
        <v>4681</v>
      </c>
      <c r="C1908" s="1" t="s">
        <v>6912</v>
      </c>
      <c r="D1908" s="2" t="s">
        <v>6913</v>
      </c>
      <c r="E1908" s="1">
        <v>1.0</v>
      </c>
      <c r="I1908" s="1">
        <v>0.0</v>
      </c>
      <c r="J1908" s="1">
        <v>25.0</v>
      </c>
      <c r="L1908" s="1">
        <v>1.0704949E7</v>
      </c>
      <c r="Q1908" s="1" t="s">
        <v>6912</v>
      </c>
      <c r="R1908" s="1" t="s">
        <v>6914</v>
      </c>
      <c r="S1908" s="1">
        <v>0.0</v>
      </c>
      <c r="T1908" s="1">
        <v>0.0</v>
      </c>
      <c r="X1908" s="1" t="s">
        <v>56</v>
      </c>
    </row>
    <row r="1909">
      <c r="A1909" s="3" t="str">
        <f>HYPERLINK("https://stackoverflow.com/q/60223835", "60223835")</f>
        <v>60223835</v>
      </c>
      <c r="B1909" s="1" t="s">
        <v>4681</v>
      </c>
      <c r="C1909" s="1" t="s">
        <v>6915</v>
      </c>
      <c r="D1909" s="2" t="s">
        <v>6916</v>
      </c>
      <c r="E1909" s="1">
        <v>1.0</v>
      </c>
      <c r="I1909" s="1">
        <v>0.0</v>
      </c>
      <c r="J1909" s="1">
        <v>34.0</v>
      </c>
      <c r="L1909" s="1">
        <v>5081670.0</v>
      </c>
      <c r="Q1909" s="1" t="s">
        <v>6915</v>
      </c>
      <c r="R1909" s="1" t="s">
        <v>6917</v>
      </c>
      <c r="S1909" s="1">
        <v>0.0</v>
      </c>
      <c r="T1909" s="1">
        <v>2.0</v>
      </c>
      <c r="V1909" s="1" t="s">
        <v>6918</v>
      </c>
      <c r="X1909" s="1" t="s">
        <v>56</v>
      </c>
    </row>
    <row r="1910">
      <c r="A1910" s="3" t="str">
        <f>HYPERLINK("https://stackoverflow.com/q/60229963", "60229963")</f>
        <v>60229963</v>
      </c>
      <c r="B1910" s="1" t="s">
        <v>4681</v>
      </c>
      <c r="C1910" s="1" t="s">
        <v>6919</v>
      </c>
      <c r="D1910" s="2" t="s">
        <v>6920</v>
      </c>
      <c r="E1910" s="1">
        <v>1.0</v>
      </c>
      <c r="I1910" s="1">
        <v>0.0</v>
      </c>
      <c r="J1910" s="1">
        <v>45.0</v>
      </c>
      <c r="L1910" s="1">
        <v>5081670.0</v>
      </c>
      <c r="Q1910" s="1" t="s">
        <v>6921</v>
      </c>
      <c r="R1910" s="1" t="s">
        <v>6922</v>
      </c>
      <c r="S1910" s="1">
        <v>1.0</v>
      </c>
      <c r="T1910" s="1">
        <v>2.0</v>
      </c>
      <c r="X1910" s="1" t="s">
        <v>56</v>
      </c>
    </row>
    <row r="1911">
      <c r="A1911" s="3" t="str">
        <f>HYPERLINK("https://stackoverflow.com/q/60264611", "60264611")</f>
        <v>60264611</v>
      </c>
      <c r="B1911" s="1" t="s">
        <v>4681</v>
      </c>
      <c r="C1911" s="1" t="s">
        <v>6923</v>
      </c>
      <c r="D1911" s="2" t="s">
        <v>6924</v>
      </c>
      <c r="E1911" s="1">
        <v>1.0</v>
      </c>
      <c r="I1911" s="1">
        <v>1.0</v>
      </c>
      <c r="J1911" s="1">
        <v>32.0</v>
      </c>
      <c r="L1911" s="1">
        <v>1.0624056E7</v>
      </c>
      <c r="Q1911" s="1" t="s">
        <v>6923</v>
      </c>
      <c r="R1911" s="1" t="s">
        <v>6925</v>
      </c>
      <c r="S1911" s="1">
        <v>0.0</v>
      </c>
      <c r="T1911" s="1">
        <v>1.0</v>
      </c>
      <c r="X1911" s="1" t="s">
        <v>56</v>
      </c>
    </row>
    <row r="1912">
      <c r="A1912" s="3" t="str">
        <f>HYPERLINK("https://stackoverflow.com/q/60269505", "60269505")</f>
        <v>60269505</v>
      </c>
      <c r="B1912" s="1" t="s">
        <v>4681</v>
      </c>
      <c r="C1912" s="1" t="s">
        <v>6926</v>
      </c>
      <c r="D1912" s="2" t="s">
        <v>6927</v>
      </c>
      <c r="E1912" s="1">
        <v>1.0</v>
      </c>
      <c r="I1912" s="1">
        <v>0.0</v>
      </c>
      <c r="J1912" s="1">
        <v>76.0</v>
      </c>
      <c r="L1912" s="1">
        <v>1.291477E7</v>
      </c>
      <c r="Q1912" s="1" t="s">
        <v>6928</v>
      </c>
      <c r="R1912" s="1" t="s">
        <v>6069</v>
      </c>
      <c r="S1912" s="1">
        <v>1.0</v>
      </c>
      <c r="T1912" s="1">
        <v>0.0</v>
      </c>
      <c r="X1912" s="1" t="s">
        <v>56</v>
      </c>
    </row>
    <row r="1913">
      <c r="A1913" s="3" t="str">
        <f>HYPERLINK("https://stackoverflow.com/q/60272262", "60272262")</f>
        <v>60272262</v>
      </c>
      <c r="B1913" s="1" t="s">
        <v>4681</v>
      </c>
      <c r="C1913" s="1" t="s">
        <v>6929</v>
      </c>
      <c r="D1913" s="2" t="s">
        <v>6930</v>
      </c>
      <c r="E1913" s="1">
        <v>1.0</v>
      </c>
      <c r="F1913" s="1">
        <v>6.0282336E7</v>
      </c>
      <c r="I1913" s="1">
        <v>0.0</v>
      </c>
      <c r="J1913" s="1">
        <v>43.0</v>
      </c>
      <c r="L1913" s="1">
        <v>5148719.0</v>
      </c>
      <c r="Q1913" s="1" t="s">
        <v>6931</v>
      </c>
      <c r="R1913" s="1" t="s">
        <v>6069</v>
      </c>
      <c r="S1913" s="1">
        <v>1.0</v>
      </c>
      <c r="T1913" s="1">
        <v>0.0</v>
      </c>
      <c r="X1913" s="1" t="s">
        <v>56</v>
      </c>
      <c r="Z1913" s="1" t="s">
        <v>6931</v>
      </c>
    </row>
    <row r="1914">
      <c r="A1914" s="3" t="str">
        <f>HYPERLINK("https://stackoverflow.com/q/60284599", "60284599")</f>
        <v>60284599</v>
      </c>
      <c r="B1914" s="1" t="s">
        <v>4681</v>
      </c>
      <c r="C1914" s="1" t="s">
        <v>6932</v>
      </c>
      <c r="D1914" s="2" t="s">
        <v>6933</v>
      </c>
      <c r="E1914" s="1">
        <v>1.0</v>
      </c>
      <c r="I1914" s="1">
        <v>0.0</v>
      </c>
      <c r="J1914" s="1">
        <v>123.0</v>
      </c>
      <c r="L1914" s="1">
        <v>1.2919966E7</v>
      </c>
      <c r="Q1914" s="1" t="s">
        <v>6934</v>
      </c>
      <c r="R1914" s="1" t="s">
        <v>4836</v>
      </c>
      <c r="S1914" s="1">
        <v>0.0</v>
      </c>
      <c r="T1914" s="1">
        <v>0.0</v>
      </c>
      <c r="X1914" s="1" t="s">
        <v>56</v>
      </c>
    </row>
    <row r="1915">
      <c r="A1915" s="3" t="str">
        <f>HYPERLINK("https://stackoverflow.com/q/60310744", "60310744")</f>
        <v>60310744</v>
      </c>
      <c r="B1915" s="1" t="s">
        <v>4681</v>
      </c>
      <c r="C1915" s="1" t="s">
        <v>6935</v>
      </c>
      <c r="D1915" s="2" t="s">
        <v>6936</v>
      </c>
      <c r="E1915" s="1">
        <v>1.0</v>
      </c>
      <c r="I1915" s="1">
        <v>0.0</v>
      </c>
      <c r="J1915" s="1">
        <v>15.0</v>
      </c>
      <c r="L1915" s="1">
        <v>2200824.0</v>
      </c>
      <c r="Q1915" s="1" t="s">
        <v>6935</v>
      </c>
      <c r="R1915" s="1" t="s">
        <v>6937</v>
      </c>
      <c r="S1915" s="1">
        <v>0.0</v>
      </c>
      <c r="T1915" s="1">
        <v>2.0</v>
      </c>
      <c r="X1915" s="1" t="s">
        <v>56</v>
      </c>
    </row>
    <row r="1916">
      <c r="A1916" s="3" t="str">
        <f>HYPERLINK("https://stackoverflow.com/q/60318597", "60318597")</f>
        <v>60318597</v>
      </c>
      <c r="B1916" s="1" t="s">
        <v>4681</v>
      </c>
      <c r="C1916" s="1" t="s">
        <v>6938</v>
      </c>
      <c r="D1916" s="2" t="s">
        <v>6939</v>
      </c>
      <c r="E1916" s="1">
        <v>1.0</v>
      </c>
      <c r="I1916" s="1">
        <v>1.0</v>
      </c>
      <c r="J1916" s="1">
        <v>39.0</v>
      </c>
      <c r="M1916" s="1" t="s">
        <v>6940</v>
      </c>
      <c r="O1916" s="1" t="s">
        <v>6940</v>
      </c>
      <c r="P1916" s="1" t="s">
        <v>6941</v>
      </c>
      <c r="Q1916" s="1" t="s">
        <v>6941</v>
      </c>
      <c r="R1916" s="1" t="s">
        <v>6942</v>
      </c>
      <c r="S1916" s="1">
        <v>0.0</v>
      </c>
      <c r="T1916" s="1">
        <v>6.0</v>
      </c>
      <c r="X1916" s="1" t="s">
        <v>56</v>
      </c>
    </row>
    <row r="1917">
      <c r="A1917" s="3" t="str">
        <f>HYPERLINK("https://stackoverflow.com/q/60323334", "60323334")</f>
        <v>60323334</v>
      </c>
      <c r="B1917" s="1" t="s">
        <v>4681</v>
      </c>
      <c r="C1917" s="1" t="s">
        <v>6943</v>
      </c>
      <c r="D1917" s="2" t="s">
        <v>6944</v>
      </c>
      <c r="E1917" s="1">
        <v>1.0</v>
      </c>
      <c r="I1917" s="1">
        <v>0.0</v>
      </c>
      <c r="J1917" s="1">
        <v>26.0</v>
      </c>
      <c r="L1917" s="1">
        <v>1.0890054E7</v>
      </c>
      <c r="N1917" s="1">
        <v>8422218.0</v>
      </c>
      <c r="P1917" s="1" t="s">
        <v>6945</v>
      </c>
      <c r="Q1917" s="1" t="s">
        <v>6946</v>
      </c>
      <c r="R1917" s="1" t="s">
        <v>4697</v>
      </c>
      <c r="S1917" s="1">
        <v>1.0</v>
      </c>
      <c r="T1917" s="1">
        <v>0.0</v>
      </c>
      <c r="U1917" s="1">
        <v>1.0</v>
      </c>
      <c r="X1917" s="1" t="s">
        <v>56</v>
      </c>
    </row>
    <row r="1918">
      <c r="A1918" s="3" t="str">
        <f>HYPERLINK("https://stackoverflow.com/q/60325363", "60325363")</f>
        <v>60325363</v>
      </c>
      <c r="B1918" s="1" t="s">
        <v>4681</v>
      </c>
      <c r="C1918" s="1" t="s">
        <v>6947</v>
      </c>
      <c r="D1918" s="2" t="s">
        <v>6948</v>
      </c>
      <c r="E1918" s="1">
        <v>1.0</v>
      </c>
      <c r="I1918" s="1">
        <v>0.0</v>
      </c>
      <c r="J1918" s="1">
        <v>45.0</v>
      </c>
      <c r="L1918" s="1">
        <v>1.293393E7</v>
      </c>
      <c r="N1918" s="1">
        <v>297257.0</v>
      </c>
      <c r="P1918" s="1" t="s">
        <v>6949</v>
      </c>
      <c r="Q1918" s="1" t="s">
        <v>6949</v>
      </c>
      <c r="R1918" s="1" t="s">
        <v>6950</v>
      </c>
      <c r="S1918" s="1">
        <v>1.0</v>
      </c>
      <c r="T1918" s="1">
        <v>1.0</v>
      </c>
      <c r="X1918" s="1" t="s">
        <v>56</v>
      </c>
    </row>
    <row r="1919">
      <c r="A1919" s="3" t="str">
        <f>HYPERLINK("https://stackoverflow.com/q/60333431", "60333431")</f>
        <v>60333431</v>
      </c>
      <c r="B1919" s="1" t="s">
        <v>4681</v>
      </c>
      <c r="C1919" s="1" t="s">
        <v>6951</v>
      </c>
      <c r="D1919" s="2" t="s">
        <v>6952</v>
      </c>
      <c r="E1919" s="1">
        <v>1.0</v>
      </c>
      <c r="I1919" s="1">
        <v>0.0</v>
      </c>
      <c r="J1919" s="1">
        <v>35.0</v>
      </c>
      <c r="L1919" s="1">
        <v>1.0704949E7</v>
      </c>
      <c r="Q1919" s="1" t="s">
        <v>6953</v>
      </c>
      <c r="R1919" s="1" t="s">
        <v>6954</v>
      </c>
      <c r="S1919" s="1">
        <v>1.0</v>
      </c>
      <c r="T1919" s="1">
        <v>1.0</v>
      </c>
      <c r="U1919" s="1">
        <v>1.0</v>
      </c>
      <c r="X1919" s="1" t="s">
        <v>56</v>
      </c>
    </row>
    <row r="1920">
      <c r="A1920" s="3" t="str">
        <f>HYPERLINK("https://stackoverflow.com/q/60333516", "60333516")</f>
        <v>60333516</v>
      </c>
      <c r="B1920" s="1" t="s">
        <v>4681</v>
      </c>
      <c r="C1920" s="1" t="s">
        <v>6955</v>
      </c>
      <c r="D1920" s="2" t="s">
        <v>6956</v>
      </c>
      <c r="E1920" s="1">
        <v>1.0</v>
      </c>
      <c r="I1920" s="1">
        <v>0.0</v>
      </c>
      <c r="J1920" s="1">
        <v>25.0</v>
      </c>
      <c r="L1920" s="1">
        <v>8202903.0</v>
      </c>
      <c r="Q1920" s="1" t="s">
        <v>6955</v>
      </c>
      <c r="R1920" s="1" t="s">
        <v>4697</v>
      </c>
      <c r="S1920" s="1">
        <v>0.0</v>
      </c>
      <c r="T1920" s="1">
        <v>0.0</v>
      </c>
      <c r="X1920" s="1" t="s">
        <v>56</v>
      </c>
    </row>
    <row r="1921">
      <c r="A1921" s="3" t="str">
        <f>HYPERLINK("https://stackoverflow.com/q/60334874", "60334874")</f>
        <v>60334874</v>
      </c>
      <c r="B1921" s="1" t="s">
        <v>4681</v>
      </c>
      <c r="C1921" s="1" t="s">
        <v>6957</v>
      </c>
      <c r="D1921" s="2" t="s">
        <v>6958</v>
      </c>
      <c r="E1921" s="1">
        <v>1.0</v>
      </c>
      <c r="I1921" s="1">
        <v>0.0</v>
      </c>
      <c r="J1921" s="1">
        <v>62.0</v>
      </c>
      <c r="L1921" s="1">
        <v>1.2290589E7</v>
      </c>
      <c r="N1921" s="1">
        <v>8134164.0</v>
      </c>
      <c r="P1921" s="1" t="s">
        <v>6959</v>
      </c>
      <c r="Q1921" s="1" t="s">
        <v>6959</v>
      </c>
      <c r="R1921" s="1" t="s">
        <v>5093</v>
      </c>
      <c r="S1921" s="1">
        <v>0.0</v>
      </c>
      <c r="T1921" s="1">
        <v>1.0</v>
      </c>
      <c r="X1921" s="1" t="s">
        <v>56</v>
      </c>
    </row>
    <row r="1922">
      <c r="A1922" s="3" t="str">
        <f>HYPERLINK("https://stackoverflow.com/q/60376741", "60376741")</f>
        <v>60376741</v>
      </c>
      <c r="B1922" s="1" t="s">
        <v>4681</v>
      </c>
      <c r="C1922" s="1" t="s">
        <v>6960</v>
      </c>
      <c r="D1922" s="2" t="s">
        <v>6961</v>
      </c>
      <c r="E1922" s="1">
        <v>1.0</v>
      </c>
      <c r="I1922" s="1">
        <v>0.0</v>
      </c>
      <c r="J1922" s="1">
        <v>51.0</v>
      </c>
      <c r="L1922" s="1">
        <v>1581224.0</v>
      </c>
      <c r="N1922" s="1">
        <v>1940850.0</v>
      </c>
      <c r="P1922" s="1" t="s">
        <v>6962</v>
      </c>
      <c r="Q1922" s="1" t="s">
        <v>6962</v>
      </c>
      <c r="R1922" s="1" t="s">
        <v>6963</v>
      </c>
      <c r="S1922" s="1">
        <v>0.0</v>
      </c>
      <c r="T1922" s="1">
        <v>1.0</v>
      </c>
      <c r="X1922" s="1" t="s">
        <v>56</v>
      </c>
    </row>
    <row r="1923">
      <c r="A1923" s="3" t="str">
        <f>HYPERLINK("https://stackoverflow.com/q/60396720", "60396720")</f>
        <v>60396720</v>
      </c>
      <c r="B1923" s="1" t="s">
        <v>4681</v>
      </c>
      <c r="C1923" s="1" t="s">
        <v>6964</v>
      </c>
      <c r="D1923" s="2" t="s">
        <v>6965</v>
      </c>
      <c r="E1923" s="1">
        <v>1.0</v>
      </c>
      <c r="I1923" s="1">
        <v>1.0</v>
      </c>
      <c r="J1923" s="1">
        <v>66.0</v>
      </c>
      <c r="L1923" s="1">
        <v>6192934.0</v>
      </c>
      <c r="N1923" s="1">
        <v>7920473.0</v>
      </c>
      <c r="P1923" s="1" t="s">
        <v>6966</v>
      </c>
      <c r="Q1923" s="1" t="s">
        <v>6966</v>
      </c>
      <c r="R1923" s="1" t="s">
        <v>6967</v>
      </c>
      <c r="S1923" s="1">
        <v>1.0</v>
      </c>
      <c r="T1923" s="1">
        <v>3.0</v>
      </c>
      <c r="X1923" s="1" t="s">
        <v>56</v>
      </c>
    </row>
    <row r="1924">
      <c r="A1924" s="3" t="str">
        <f>HYPERLINK("https://stackoverflow.com/q/60400547", "60400547")</f>
        <v>60400547</v>
      </c>
      <c r="B1924" s="1" t="s">
        <v>4681</v>
      </c>
      <c r="C1924" s="1" t="s">
        <v>6968</v>
      </c>
      <c r="D1924" s="2" t="s">
        <v>6969</v>
      </c>
      <c r="E1924" s="1">
        <v>1.0</v>
      </c>
      <c r="F1924" s="1">
        <v>6.0402586E7</v>
      </c>
      <c r="I1924" s="1">
        <v>2.0</v>
      </c>
      <c r="J1924" s="1">
        <v>58.0</v>
      </c>
      <c r="L1924" s="1">
        <v>2107722.0</v>
      </c>
      <c r="Q1924" s="1" t="s">
        <v>6970</v>
      </c>
      <c r="R1924" s="1" t="s">
        <v>6971</v>
      </c>
      <c r="S1924" s="1">
        <v>2.0</v>
      </c>
      <c r="T1924" s="1">
        <v>0.0</v>
      </c>
      <c r="U1924" s="1">
        <v>1.0</v>
      </c>
      <c r="X1924" s="1" t="s">
        <v>56</v>
      </c>
      <c r="Z1924" s="1" t="s">
        <v>6972</v>
      </c>
    </row>
    <row r="1925">
      <c r="A1925" s="3" t="str">
        <f>HYPERLINK("https://stackoverflow.com/q/60411724", "60411724")</f>
        <v>60411724</v>
      </c>
      <c r="B1925" s="1" t="s">
        <v>4681</v>
      </c>
      <c r="C1925" s="1" t="s">
        <v>6973</v>
      </c>
      <c r="D1925" s="2" t="s">
        <v>6974</v>
      </c>
      <c r="E1925" s="1">
        <v>1.0</v>
      </c>
      <c r="I1925" s="1">
        <v>1.0</v>
      </c>
      <c r="J1925" s="1">
        <v>14.0</v>
      </c>
      <c r="L1925" s="1">
        <v>1.154549E7</v>
      </c>
      <c r="Q1925" s="1" t="s">
        <v>6973</v>
      </c>
      <c r="R1925" s="1" t="s">
        <v>6975</v>
      </c>
      <c r="S1925" s="1">
        <v>0.0</v>
      </c>
      <c r="T1925" s="1">
        <v>0.0</v>
      </c>
      <c r="X1925" s="1" t="s">
        <v>56</v>
      </c>
    </row>
    <row r="1926">
      <c r="A1926" s="3" t="str">
        <f>HYPERLINK("https://stackoverflow.com/q/60416906", "60416906")</f>
        <v>60416906</v>
      </c>
      <c r="B1926" s="1" t="s">
        <v>4681</v>
      </c>
      <c r="C1926" s="1" t="s">
        <v>6976</v>
      </c>
      <c r="D1926" s="2" t="s">
        <v>6977</v>
      </c>
      <c r="E1926" s="1">
        <v>1.0</v>
      </c>
      <c r="F1926" s="1">
        <v>6.0419453E7</v>
      </c>
      <c r="I1926" s="1">
        <v>0.0</v>
      </c>
      <c r="J1926" s="1">
        <v>75.0</v>
      </c>
      <c r="L1926" s="1">
        <v>9586535.0</v>
      </c>
      <c r="N1926" s="1">
        <v>7920473.0</v>
      </c>
      <c r="P1926" s="1" t="s">
        <v>6978</v>
      </c>
      <c r="Q1926" s="1" t="s">
        <v>6978</v>
      </c>
      <c r="R1926" s="1" t="s">
        <v>5845</v>
      </c>
      <c r="S1926" s="1">
        <v>1.0</v>
      </c>
      <c r="T1926" s="1">
        <v>3.0</v>
      </c>
      <c r="X1926" s="1" t="s">
        <v>56</v>
      </c>
      <c r="Z1926" s="1" t="s">
        <v>6979</v>
      </c>
    </row>
    <row r="1927">
      <c r="A1927" s="3" t="str">
        <f>HYPERLINK("https://stackoverflow.com/q/60429162", "60429162")</f>
        <v>60429162</v>
      </c>
      <c r="B1927" s="1" t="s">
        <v>4681</v>
      </c>
      <c r="C1927" s="1" t="s">
        <v>6980</v>
      </c>
      <c r="D1927" s="2" t="s">
        <v>6981</v>
      </c>
      <c r="E1927" s="1">
        <v>1.0</v>
      </c>
      <c r="I1927" s="1">
        <v>0.0</v>
      </c>
      <c r="J1927" s="1">
        <v>16.0</v>
      </c>
      <c r="L1927" s="1">
        <v>9212220.0</v>
      </c>
      <c r="N1927" s="1">
        <v>1.0338175E7</v>
      </c>
      <c r="P1927" s="1" t="s">
        <v>6982</v>
      </c>
      <c r="Q1927" s="1" t="s">
        <v>6982</v>
      </c>
      <c r="R1927" s="1" t="s">
        <v>6983</v>
      </c>
      <c r="S1927" s="1">
        <v>0.0</v>
      </c>
      <c r="T1927" s="1">
        <v>1.0</v>
      </c>
      <c r="X1927" s="1" t="s">
        <v>56</v>
      </c>
    </row>
    <row r="1928">
      <c r="A1928" s="3" t="str">
        <f>HYPERLINK("https://stackoverflow.com/q/60455349", "60455349")</f>
        <v>60455349</v>
      </c>
      <c r="B1928" s="1" t="s">
        <v>4681</v>
      </c>
      <c r="C1928" s="1" t="s">
        <v>6984</v>
      </c>
      <c r="D1928" s="2" t="s">
        <v>6985</v>
      </c>
      <c r="E1928" s="1">
        <v>1.0</v>
      </c>
      <c r="I1928" s="1">
        <v>0.0</v>
      </c>
      <c r="J1928" s="1">
        <v>13.0</v>
      </c>
      <c r="L1928" s="1">
        <v>2015461.0</v>
      </c>
      <c r="Q1928" s="1" t="s">
        <v>6984</v>
      </c>
      <c r="R1928" s="1" t="s">
        <v>6986</v>
      </c>
      <c r="S1928" s="1">
        <v>0.0</v>
      </c>
      <c r="T1928" s="1">
        <v>0.0</v>
      </c>
      <c r="X1928" s="1" t="s">
        <v>56</v>
      </c>
    </row>
    <row r="1929">
      <c r="A1929" s="3" t="str">
        <f>HYPERLINK("https://stackoverflow.com/q/60496009", "60496009")</f>
        <v>60496009</v>
      </c>
      <c r="B1929" s="1" t="s">
        <v>4681</v>
      </c>
      <c r="C1929" s="1" t="s">
        <v>6987</v>
      </c>
      <c r="D1929" s="2" t="s">
        <v>6988</v>
      </c>
      <c r="E1929" s="1">
        <v>1.0</v>
      </c>
      <c r="I1929" s="1">
        <v>0.0</v>
      </c>
      <c r="J1929" s="1">
        <v>82.0</v>
      </c>
      <c r="L1929" s="1">
        <v>5416093.0</v>
      </c>
      <c r="N1929" s="1">
        <v>643919.0</v>
      </c>
      <c r="P1929" s="1" t="s">
        <v>6989</v>
      </c>
      <c r="Q1929" s="1" t="s">
        <v>6989</v>
      </c>
      <c r="R1929" s="1" t="s">
        <v>6990</v>
      </c>
      <c r="S1929" s="1">
        <v>1.0</v>
      </c>
      <c r="T1929" s="1">
        <v>0.0</v>
      </c>
      <c r="X1929" s="1" t="s">
        <v>56</v>
      </c>
    </row>
    <row r="1930">
      <c r="A1930" s="3" t="str">
        <f>HYPERLINK("https://stackoverflow.com/q/60513317", "60513317")</f>
        <v>60513317</v>
      </c>
      <c r="B1930" s="1" t="s">
        <v>4681</v>
      </c>
      <c r="C1930" s="1" t="s">
        <v>6991</v>
      </c>
      <c r="D1930" s="2" t="s">
        <v>6992</v>
      </c>
      <c r="E1930" s="1">
        <v>1.0</v>
      </c>
      <c r="F1930" s="1">
        <v>6.0912496E7</v>
      </c>
      <c r="I1930" s="1">
        <v>2.0</v>
      </c>
      <c r="J1930" s="1">
        <v>180.0</v>
      </c>
      <c r="L1930" s="1">
        <v>870144.0</v>
      </c>
      <c r="N1930" s="1">
        <v>870144.0</v>
      </c>
      <c r="P1930" s="1" t="s">
        <v>6993</v>
      </c>
      <c r="Q1930" s="1" t="s">
        <v>6994</v>
      </c>
      <c r="R1930" s="1" t="s">
        <v>6967</v>
      </c>
      <c r="S1930" s="1">
        <v>2.0</v>
      </c>
      <c r="T1930" s="1">
        <v>0.0</v>
      </c>
      <c r="U1930" s="1">
        <v>1.0</v>
      </c>
      <c r="X1930" s="1" t="s">
        <v>56</v>
      </c>
      <c r="Z1930" s="1" t="s">
        <v>6994</v>
      </c>
    </row>
    <row r="1931">
      <c r="A1931" s="3" t="str">
        <f>HYPERLINK("https://stackoverflow.com/q/60532175", "60532175")</f>
        <v>60532175</v>
      </c>
      <c r="B1931" s="1" t="s">
        <v>4681</v>
      </c>
      <c r="C1931" s="1" t="s">
        <v>6995</v>
      </c>
      <c r="D1931" s="2" t="s">
        <v>6996</v>
      </c>
      <c r="E1931" s="1">
        <v>1.0</v>
      </c>
      <c r="F1931" s="1">
        <v>6.1628415E7</v>
      </c>
      <c r="I1931" s="1">
        <v>1.0</v>
      </c>
      <c r="J1931" s="1">
        <v>40.0</v>
      </c>
      <c r="L1931" s="1">
        <v>5148719.0</v>
      </c>
      <c r="N1931" s="1">
        <v>5148719.0</v>
      </c>
      <c r="P1931" s="1" t="s">
        <v>6997</v>
      </c>
      <c r="Q1931" s="1" t="s">
        <v>6998</v>
      </c>
      <c r="R1931" s="1" t="s">
        <v>6475</v>
      </c>
      <c r="S1931" s="1">
        <v>2.0</v>
      </c>
      <c r="T1931" s="1">
        <v>0.0</v>
      </c>
      <c r="U1931" s="1">
        <v>0.0</v>
      </c>
      <c r="X1931" s="1" t="s">
        <v>56</v>
      </c>
      <c r="Z1931" s="1" t="s">
        <v>6998</v>
      </c>
    </row>
    <row r="1932">
      <c r="A1932" s="3" t="str">
        <f>HYPERLINK("https://stackoverflow.com/q/60556126", "60556126")</f>
        <v>60556126</v>
      </c>
      <c r="B1932" s="1" t="s">
        <v>4681</v>
      </c>
      <c r="C1932" s="1" t="s">
        <v>6999</v>
      </c>
      <c r="D1932" s="2" t="s">
        <v>7000</v>
      </c>
      <c r="E1932" s="1">
        <v>1.0</v>
      </c>
      <c r="F1932" s="1">
        <v>6.0602283E7</v>
      </c>
      <c r="I1932" s="1">
        <v>1.0</v>
      </c>
      <c r="J1932" s="1">
        <v>66.0</v>
      </c>
      <c r="L1932" s="1">
        <v>3072904.0</v>
      </c>
      <c r="N1932" s="1">
        <v>3072904.0</v>
      </c>
      <c r="P1932" s="1" t="s">
        <v>7001</v>
      </c>
      <c r="Q1932" s="1" t="s">
        <v>7002</v>
      </c>
      <c r="R1932" s="1" t="s">
        <v>4767</v>
      </c>
      <c r="S1932" s="1">
        <v>1.0</v>
      </c>
      <c r="T1932" s="1">
        <v>0.0</v>
      </c>
      <c r="X1932" s="1" t="s">
        <v>56</v>
      </c>
      <c r="Z1932" s="1" t="s">
        <v>7003</v>
      </c>
    </row>
    <row r="1933">
      <c r="A1933" s="3" t="str">
        <f>HYPERLINK("https://stackoverflow.com/q/60601201", "60601201")</f>
        <v>60601201</v>
      </c>
      <c r="B1933" s="1" t="s">
        <v>4681</v>
      </c>
      <c r="C1933" s="1" t="s">
        <v>7004</v>
      </c>
      <c r="D1933" s="2" t="s">
        <v>7005</v>
      </c>
      <c r="E1933" s="1">
        <v>1.0</v>
      </c>
      <c r="F1933" s="1">
        <v>6.0601202E7</v>
      </c>
      <c r="I1933" s="1">
        <v>0.0</v>
      </c>
      <c r="J1933" s="1">
        <v>30.0</v>
      </c>
      <c r="L1933" s="1">
        <v>9878323.0</v>
      </c>
      <c r="Q1933" s="1" t="s">
        <v>7004</v>
      </c>
      <c r="R1933" s="1" t="s">
        <v>5093</v>
      </c>
      <c r="S1933" s="1">
        <v>1.0</v>
      </c>
      <c r="T1933" s="1">
        <v>0.0</v>
      </c>
      <c r="X1933" s="1" t="s">
        <v>56</v>
      </c>
      <c r="Z1933" s="1" t="s">
        <v>7004</v>
      </c>
    </row>
    <row r="1934">
      <c r="A1934" s="3" t="str">
        <f>HYPERLINK("https://stackoverflow.com/q/60624406", "60624406")</f>
        <v>60624406</v>
      </c>
      <c r="B1934" s="1" t="s">
        <v>4681</v>
      </c>
      <c r="C1934" s="1" t="s">
        <v>7006</v>
      </c>
      <c r="D1934" s="2" t="s">
        <v>7007</v>
      </c>
      <c r="E1934" s="1">
        <v>1.0</v>
      </c>
      <c r="I1934" s="1">
        <v>0.0</v>
      </c>
      <c r="J1934" s="1">
        <v>34.0</v>
      </c>
      <c r="L1934" s="1">
        <v>1.1081127E7</v>
      </c>
      <c r="Q1934" s="1" t="s">
        <v>7008</v>
      </c>
      <c r="R1934" s="1" t="s">
        <v>7009</v>
      </c>
      <c r="S1934" s="1">
        <v>1.0</v>
      </c>
      <c r="T1934" s="1">
        <v>1.0</v>
      </c>
      <c r="X1934" s="1" t="s">
        <v>56</v>
      </c>
    </row>
    <row r="1935">
      <c r="A1935" s="3" t="str">
        <f>HYPERLINK("https://stackoverflow.com/q/60662730", "60662730")</f>
        <v>60662730</v>
      </c>
      <c r="B1935" s="1" t="s">
        <v>4681</v>
      </c>
      <c r="C1935" s="1" t="s">
        <v>7010</v>
      </c>
      <c r="D1935" s="2" t="s">
        <v>7011</v>
      </c>
      <c r="E1935" s="1">
        <v>1.0</v>
      </c>
      <c r="I1935" s="1">
        <v>0.0</v>
      </c>
      <c r="J1935" s="1">
        <v>69.0</v>
      </c>
      <c r="L1935" s="1">
        <v>2450556.0</v>
      </c>
      <c r="Q1935" s="1" t="s">
        <v>7010</v>
      </c>
      <c r="R1935" s="1" t="s">
        <v>6138</v>
      </c>
      <c r="S1935" s="1">
        <v>0.0</v>
      </c>
      <c r="T1935" s="1">
        <v>1.0</v>
      </c>
      <c r="X1935" s="1" t="s">
        <v>56</v>
      </c>
    </row>
    <row r="1936">
      <c r="A1936" s="3" t="str">
        <f>HYPERLINK("https://stackoverflow.com/q/60669625", "60669625")</f>
        <v>60669625</v>
      </c>
      <c r="B1936" s="1" t="s">
        <v>4681</v>
      </c>
      <c r="C1936" s="1" t="s">
        <v>7012</v>
      </c>
      <c r="D1936" s="2" t="s">
        <v>7013</v>
      </c>
      <c r="E1936" s="1">
        <v>1.0</v>
      </c>
      <c r="I1936" s="1">
        <v>0.0</v>
      </c>
      <c r="J1936" s="1">
        <v>46.0</v>
      </c>
      <c r="L1936" s="1">
        <v>3802751.0</v>
      </c>
      <c r="N1936" s="1">
        <v>7030542.0</v>
      </c>
      <c r="P1936" s="1" t="s">
        <v>7014</v>
      </c>
      <c r="Q1936" s="1" t="s">
        <v>7015</v>
      </c>
      <c r="R1936" s="1" t="s">
        <v>7016</v>
      </c>
      <c r="S1936" s="1">
        <v>2.0</v>
      </c>
      <c r="T1936" s="1">
        <v>0.0</v>
      </c>
      <c r="U1936" s="1">
        <v>1.0</v>
      </c>
      <c r="X1936" s="1" t="s">
        <v>56</v>
      </c>
    </row>
    <row r="1937">
      <c r="A1937" s="3" t="str">
        <f>HYPERLINK("https://stackoverflow.com/q/60727567", "60727567")</f>
        <v>60727567</v>
      </c>
      <c r="B1937" s="1" t="s">
        <v>4681</v>
      </c>
      <c r="C1937" s="1" t="s">
        <v>7017</v>
      </c>
      <c r="D1937" s="2" t="s">
        <v>7018</v>
      </c>
      <c r="E1937" s="1">
        <v>1.0</v>
      </c>
      <c r="I1937" s="1">
        <v>0.0</v>
      </c>
      <c r="J1937" s="1">
        <v>15.0</v>
      </c>
      <c r="L1937" s="1">
        <v>7412141.0</v>
      </c>
      <c r="Q1937" s="1" t="s">
        <v>7019</v>
      </c>
      <c r="R1937" s="1" t="s">
        <v>5093</v>
      </c>
      <c r="S1937" s="1">
        <v>1.0</v>
      </c>
      <c r="T1937" s="1">
        <v>0.0</v>
      </c>
      <c r="X1937" s="1" t="s">
        <v>56</v>
      </c>
    </row>
    <row r="1938">
      <c r="A1938" s="3" t="str">
        <f>HYPERLINK("https://stackoverflow.com/q/60750126", "60750126")</f>
        <v>60750126</v>
      </c>
      <c r="B1938" s="1" t="s">
        <v>4681</v>
      </c>
      <c r="C1938" s="1" t="s">
        <v>7020</v>
      </c>
      <c r="D1938" s="2" t="s">
        <v>7021</v>
      </c>
      <c r="E1938" s="1">
        <v>1.0</v>
      </c>
      <c r="F1938" s="1">
        <v>6.0752919E7</v>
      </c>
      <c r="I1938" s="1">
        <v>1.0</v>
      </c>
      <c r="J1938" s="1">
        <v>53.0</v>
      </c>
      <c r="L1938" s="1">
        <v>3072904.0</v>
      </c>
      <c r="Q1938" s="1" t="s">
        <v>7022</v>
      </c>
      <c r="R1938" s="1" t="s">
        <v>4767</v>
      </c>
      <c r="S1938" s="1">
        <v>1.0</v>
      </c>
      <c r="T1938" s="1">
        <v>0.0</v>
      </c>
      <c r="X1938" s="1" t="s">
        <v>56</v>
      </c>
      <c r="Z1938" s="1" t="s">
        <v>7023</v>
      </c>
    </row>
    <row r="1939">
      <c r="A1939" s="3" t="str">
        <f>HYPERLINK("https://stackoverflow.com/q/60751498", "60751498")</f>
        <v>60751498</v>
      </c>
      <c r="B1939" s="1" t="s">
        <v>4681</v>
      </c>
      <c r="C1939" s="1" t="s">
        <v>7024</v>
      </c>
      <c r="D1939" s="2" t="s">
        <v>7025</v>
      </c>
      <c r="E1939" s="1">
        <v>1.0</v>
      </c>
      <c r="I1939" s="1">
        <v>0.0</v>
      </c>
      <c r="J1939" s="1">
        <v>19.0</v>
      </c>
      <c r="L1939" s="1">
        <v>1.2773539E7</v>
      </c>
      <c r="Q1939" s="1" t="s">
        <v>7026</v>
      </c>
      <c r="R1939" s="1" t="s">
        <v>5135</v>
      </c>
      <c r="S1939" s="1">
        <v>1.0</v>
      </c>
      <c r="T1939" s="1">
        <v>0.0</v>
      </c>
      <c r="X1939" s="1" t="s">
        <v>56</v>
      </c>
    </row>
    <row r="1940">
      <c r="A1940" s="3" t="str">
        <f>HYPERLINK("https://stackoverflow.com/q/60772816", "60772816")</f>
        <v>60772816</v>
      </c>
      <c r="B1940" s="1" t="s">
        <v>4681</v>
      </c>
      <c r="C1940" s="1" t="s">
        <v>7027</v>
      </c>
      <c r="D1940" s="2" t="s">
        <v>7028</v>
      </c>
      <c r="E1940" s="1">
        <v>1.0</v>
      </c>
      <c r="I1940" s="1">
        <v>0.0</v>
      </c>
      <c r="J1940" s="1">
        <v>12.0</v>
      </c>
      <c r="L1940" s="1">
        <v>3514103.0</v>
      </c>
      <c r="Q1940" s="1" t="s">
        <v>7027</v>
      </c>
      <c r="R1940" s="1" t="s">
        <v>5422</v>
      </c>
      <c r="S1940" s="1">
        <v>0.0</v>
      </c>
      <c r="T1940" s="1">
        <v>0.0</v>
      </c>
      <c r="X1940" s="1" t="s">
        <v>56</v>
      </c>
    </row>
    <row r="1941">
      <c r="A1941" s="3" t="str">
        <f>HYPERLINK("https://stackoverflow.com/q/60780585", "60780585")</f>
        <v>60780585</v>
      </c>
      <c r="B1941" s="1" t="s">
        <v>4681</v>
      </c>
      <c r="C1941" s="1" t="s">
        <v>7029</v>
      </c>
      <c r="D1941" s="2" t="s">
        <v>7030</v>
      </c>
      <c r="E1941" s="1">
        <v>1.0</v>
      </c>
      <c r="I1941" s="1">
        <v>0.0</v>
      </c>
      <c r="J1941" s="1">
        <v>33.0</v>
      </c>
      <c r="L1941" s="1">
        <v>7942207.0</v>
      </c>
      <c r="Q1941" s="1" t="s">
        <v>7031</v>
      </c>
      <c r="R1941" s="1" t="s">
        <v>4789</v>
      </c>
      <c r="S1941" s="1">
        <v>1.0</v>
      </c>
      <c r="T1941" s="1">
        <v>2.0</v>
      </c>
      <c r="X1941" s="1" t="s">
        <v>56</v>
      </c>
    </row>
    <row r="1942">
      <c r="A1942" s="3" t="str">
        <f>HYPERLINK("https://stackoverflow.com/q/60786550", "60786550")</f>
        <v>60786550</v>
      </c>
      <c r="B1942" s="1" t="s">
        <v>4681</v>
      </c>
      <c r="C1942" s="1" t="s">
        <v>7032</v>
      </c>
      <c r="D1942" s="2" t="s">
        <v>7033</v>
      </c>
      <c r="E1942" s="1">
        <v>1.0</v>
      </c>
      <c r="I1942" s="1">
        <v>1.0</v>
      </c>
      <c r="J1942" s="1">
        <v>30.0</v>
      </c>
      <c r="L1942" s="1">
        <v>3653361.0</v>
      </c>
      <c r="N1942" s="1">
        <v>7409220.0</v>
      </c>
      <c r="P1942" s="1" t="s">
        <v>7034</v>
      </c>
      <c r="Q1942" s="1" t="s">
        <v>7034</v>
      </c>
      <c r="R1942" s="1" t="s">
        <v>7035</v>
      </c>
      <c r="S1942" s="1">
        <v>0.0</v>
      </c>
      <c r="T1942" s="1">
        <v>2.0</v>
      </c>
      <c r="X1942" s="1" t="s">
        <v>56</v>
      </c>
    </row>
    <row r="1943">
      <c r="A1943" s="3" t="str">
        <f>HYPERLINK("https://stackoverflow.com/q/60811100", "60811100")</f>
        <v>60811100</v>
      </c>
      <c r="B1943" s="1" t="s">
        <v>4681</v>
      </c>
      <c r="C1943" s="1" t="s">
        <v>7036</v>
      </c>
      <c r="D1943" s="2" t="s">
        <v>7037</v>
      </c>
      <c r="E1943" s="1">
        <v>1.0</v>
      </c>
      <c r="I1943" s="1">
        <v>0.0</v>
      </c>
      <c r="J1943" s="1">
        <v>22.0</v>
      </c>
      <c r="L1943" s="1">
        <v>1.3107651E7</v>
      </c>
      <c r="N1943" s="1">
        <v>1.3107651E7</v>
      </c>
      <c r="P1943" s="1" t="s">
        <v>7038</v>
      </c>
      <c r="Q1943" s="1" t="s">
        <v>7038</v>
      </c>
      <c r="R1943" s="1" t="s">
        <v>7039</v>
      </c>
      <c r="S1943" s="1">
        <v>0.0</v>
      </c>
      <c r="T1943" s="1">
        <v>2.0</v>
      </c>
      <c r="U1943" s="1">
        <v>0.0</v>
      </c>
      <c r="X1943" s="1" t="s">
        <v>56</v>
      </c>
    </row>
    <row r="1944">
      <c r="A1944" s="3" t="str">
        <f>HYPERLINK("https://stackoverflow.com/q/60811345", "60811345")</f>
        <v>60811345</v>
      </c>
      <c r="B1944" s="1" t="s">
        <v>4681</v>
      </c>
      <c r="C1944" s="1" t="s">
        <v>7040</v>
      </c>
      <c r="D1944" s="2" t="s">
        <v>7041</v>
      </c>
      <c r="E1944" s="1">
        <v>1.0</v>
      </c>
      <c r="I1944" s="1">
        <v>0.0</v>
      </c>
      <c r="J1944" s="1">
        <v>35.0</v>
      </c>
      <c r="L1944" s="1">
        <v>1.3108707E7</v>
      </c>
      <c r="N1944" s="1">
        <v>751090.0</v>
      </c>
      <c r="P1944" s="1" t="s">
        <v>7042</v>
      </c>
      <c r="Q1944" s="1" t="s">
        <v>7043</v>
      </c>
      <c r="R1944" s="1" t="s">
        <v>7044</v>
      </c>
      <c r="S1944" s="1">
        <v>1.0</v>
      </c>
      <c r="T1944" s="1">
        <v>2.0</v>
      </c>
      <c r="X1944" s="1" t="s">
        <v>56</v>
      </c>
    </row>
    <row r="1945">
      <c r="A1945" s="3" t="str">
        <f>HYPERLINK("https://stackoverflow.com/q/60825886", "60825886")</f>
        <v>60825886</v>
      </c>
      <c r="B1945" s="1" t="s">
        <v>4681</v>
      </c>
      <c r="C1945" s="1" t="s">
        <v>7045</v>
      </c>
      <c r="D1945" s="2" t="s">
        <v>7046</v>
      </c>
      <c r="E1945" s="1">
        <v>1.0</v>
      </c>
      <c r="I1945" s="1">
        <v>1.0</v>
      </c>
      <c r="J1945" s="1">
        <v>30.0</v>
      </c>
      <c r="L1945" s="1">
        <v>1.3107651E7</v>
      </c>
      <c r="Q1945" s="1" t="s">
        <v>7045</v>
      </c>
      <c r="R1945" s="1" t="s">
        <v>7047</v>
      </c>
      <c r="S1945" s="1">
        <v>0.0</v>
      </c>
      <c r="T1945" s="1">
        <v>1.0</v>
      </c>
      <c r="X1945" s="1" t="s">
        <v>56</v>
      </c>
    </row>
    <row r="1946">
      <c r="A1946" s="3" t="str">
        <f>HYPERLINK("https://stackoverflow.com/q/60831699", "60831699")</f>
        <v>60831699</v>
      </c>
      <c r="B1946" s="1" t="s">
        <v>4681</v>
      </c>
      <c r="C1946" s="1" t="s">
        <v>7048</v>
      </c>
      <c r="D1946" s="2" t="s">
        <v>7049</v>
      </c>
      <c r="E1946" s="1">
        <v>1.0</v>
      </c>
      <c r="I1946" s="1">
        <v>0.0</v>
      </c>
      <c r="J1946" s="1">
        <v>51.0</v>
      </c>
      <c r="L1946" s="1">
        <v>1.3116101E7</v>
      </c>
      <c r="N1946" s="1">
        <v>2838044.0</v>
      </c>
      <c r="P1946" s="1" t="s">
        <v>7050</v>
      </c>
      <c r="Q1946" s="1" t="s">
        <v>7051</v>
      </c>
      <c r="R1946" s="1" t="s">
        <v>7052</v>
      </c>
      <c r="S1946" s="1">
        <v>1.0</v>
      </c>
      <c r="T1946" s="1">
        <v>0.0</v>
      </c>
      <c r="X1946" s="1" t="s">
        <v>56</v>
      </c>
    </row>
    <row r="1947">
      <c r="A1947" s="3" t="str">
        <f>HYPERLINK("https://stackoverflow.com/q/60832887", "60832887")</f>
        <v>60832887</v>
      </c>
      <c r="B1947" s="1" t="s">
        <v>4681</v>
      </c>
      <c r="C1947" s="1" t="s">
        <v>7053</v>
      </c>
      <c r="D1947" s="2" t="s">
        <v>7054</v>
      </c>
      <c r="E1947" s="1">
        <v>1.0</v>
      </c>
      <c r="F1947" s="1">
        <v>6.1610366E7</v>
      </c>
      <c r="I1947" s="1">
        <v>1.0</v>
      </c>
      <c r="J1947" s="1">
        <v>34.0</v>
      </c>
      <c r="L1947" s="1">
        <v>5148719.0</v>
      </c>
      <c r="Q1947" s="1" t="s">
        <v>7055</v>
      </c>
      <c r="R1947" s="1" t="s">
        <v>6475</v>
      </c>
      <c r="S1947" s="1">
        <v>2.0</v>
      </c>
      <c r="T1947" s="1">
        <v>0.0</v>
      </c>
      <c r="X1947" s="1" t="s">
        <v>56</v>
      </c>
      <c r="Z1947" s="1" t="s">
        <v>7055</v>
      </c>
    </row>
    <row r="1948">
      <c r="A1948" s="3" t="str">
        <f>HYPERLINK("https://stackoverflow.com/q/60849573", "60849573")</f>
        <v>60849573</v>
      </c>
      <c r="B1948" s="1" t="s">
        <v>4681</v>
      </c>
      <c r="C1948" s="1" t="s">
        <v>7056</v>
      </c>
      <c r="D1948" s="2" t="s">
        <v>7057</v>
      </c>
      <c r="E1948" s="1">
        <v>1.0</v>
      </c>
      <c r="F1948" s="1">
        <v>6.0947834E7</v>
      </c>
      <c r="I1948" s="1">
        <v>0.0</v>
      </c>
      <c r="J1948" s="1">
        <v>24.0</v>
      </c>
      <c r="L1948" s="1">
        <v>7094931.0</v>
      </c>
      <c r="Q1948" s="1" t="s">
        <v>7058</v>
      </c>
      <c r="R1948" s="1" t="s">
        <v>7059</v>
      </c>
      <c r="S1948" s="1">
        <v>1.0</v>
      </c>
      <c r="T1948" s="1">
        <v>0.0</v>
      </c>
      <c r="X1948" s="1" t="s">
        <v>56</v>
      </c>
      <c r="Z1948" s="1" t="s">
        <v>7058</v>
      </c>
    </row>
    <row r="1949">
      <c r="A1949" s="3" t="str">
        <f>HYPERLINK("https://stackoverflow.com/q/60853912", "60853912")</f>
        <v>60853912</v>
      </c>
      <c r="B1949" s="1" t="s">
        <v>4681</v>
      </c>
      <c r="C1949" s="1" t="s">
        <v>7060</v>
      </c>
      <c r="D1949" s="2" t="s">
        <v>7061</v>
      </c>
      <c r="E1949" s="1">
        <v>1.0</v>
      </c>
      <c r="I1949" s="1">
        <v>1.0</v>
      </c>
      <c r="J1949" s="1">
        <v>57.0</v>
      </c>
      <c r="L1949" s="1">
        <v>1.2219689E7</v>
      </c>
      <c r="Q1949" s="1" t="s">
        <v>7060</v>
      </c>
      <c r="R1949" s="1" t="s">
        <v>7062</v>
      </c>
      <c r="S1949" s="1">
        <v>0.0</v>
      </c>
      <c r="T1949" s="1">
        <v>0.0</v>
      </c>
      <c r="X1949" s="1" t="s">
        <v>56</v>
      </c>
    </row>
    <row r="1950">
      <c r="A1950" s="3" t="str">
        <f>HYPERLINK("https://stackoverflow.com/q/60862896", "60862896")</f>
        <v>60862896</v>
      </c>
      <c r="B1950" s="1" t="s">
        <v>4681</v>
      </c>
      <c r="C1950" s="1" t="s">
        <v>7063</v>
      </c>
      <c r="D1950" s="2" t="s">
        <v>7064</v>
      </c>
      <c r="E1950" s="1">
        <v>1.0</v>
      </c>
      <c r="F1950" s="1">
        <v>6.0869745E7</v>
      </c>
      <c r="I1950" s="1">
        <v>1.0</v>
      </c>
      <c r="J1950" s="1">
        <v>47.0</v>
      </c>
      <c r="L1950" s="1">
        <v>5310084.0</v>
      </c>
      <c r="Q1950" s="1" t="s">
        <v>7065</v>
      </c>
      <c r="R1950" s="1" t="s">
        <v>6069</v>
      </c>
      <c r="S1950" s="1">
        <v>1.0</v>
      </c>
      <c r="T1950" s="1">
        <v>0.0</v>
      </c>
      <c r="X1950" s="1" t="s">
        <v>56</v>
      </c>
      <c r="Z1950" s="1" t="s">
        <v>7065</v>
      </c>
    </row>
    <row r="1951">
      <c r="A1951" s="3" t="str">
        <f>HYPERLINK("https://stackoverflow.com/q/60875821", "60875821")</f>
        <v>60875821</v>
      </c>
      <c r="B1951" s="1" t="s">
        <v>4681</v>
      </c>
      <c r="C1951" s="1" t="s">
        <v>7066</v>
      </c>
      <c r="D1951" s="2" t="s">
        <v>7067</v>
      </c>
      <c r="E1951" s="1">
        <v>1.0</v>
      </c>
      <c r="I1951" s="1">
        <v>0.0</v>
      </c>
      <c r="J1951" s="1">
        <v>52.0</v>
      </c>
      <c r="L1951" s="1">
        <v>9640438.0</v>
      </c>
      <c r="Q1951" s="1" t="s">
        <v>7068</v>
      </c>
      <c r="R1951" s="1" t="s">
        <v>7069</v>
      </c>
      <c r="S1951" s="1">
        <v>2.0</v>
      </c>
      <c r="T1951" s="1">
        <v>0.0</v>
      </c>
      <c r="X1951" s="1" t="s">
        <v>56</v>
      </c>
    </row>
    <row r="1952">
      <c r="A1952" s="3" t="str">
        <f>HYPERLINK("https://stackoverflow.com/q/60881303", "60881303")</f>
        <v>60881303</v>
      </c>
      <c r="B1952" s="1" t="s">
        <v>4681</v>
      </c>
      <c r="C1952" s="1" t="s">
        <v>7070</v>
      </c>
      <c r="D1952" s="2" t="s">
        <v>7071</v>
      </c>
      <c r="E1952" s="1">
        <v>1.0</v>
      </c>
      <c r="I1952" s="1">
        <v>1.0</v>
      </c>
      <c r="J1952" s="1">
        <v>40.0</v>
      </c>
      <c r="L1952" s="1">
        <v>1.2773539E7</v>
      </c>
      <c r="Q1952" s="1" t="s">
        <v>7072</v>
      </c>
      <c r="R1952" s="1" t="s">
        <v>5093</v>
      </c>
      <c r="S1952" s="1">
        <v>2.0</v>
      </c>
      <c r="T1952" s="1">
        <v>3.0</v>
      </c>
      <c r="X1952" s="1" t="s">
        <v>56</v>
      </c>
    </row>
    <row r="1953">
      <c r="A1953" s="3" t="str">
        <f>HYPERLINK("https://stackoverflow.com/q/60881924", "60881924")</f>
        <v>60881924</v>
      </c>
      <c r="B1953" s="1" t="s">
        <v>4681</v>
      </c>
      <c r="C1953" s="1" t="s">
        <v>7073</v>
      </c>
      <c r="D1953" s="2" t="s">
        <v>7074</v>
      </c>
      <c r="E1953" s="1">
        <v>1.0</v>
      </c>
      <c r="I1953" s="1">
        <v>0.0</v>
      </c>
      <c r="J1953" s="1">
        <v>31.0</v>
      </c>
      <c r="L1953" s="1">
        <v>1332719.0</v>
      </c>
      <c r="Q1953" s="1" t="s">
        <v>7073</v>
      </c>
      <c r="R1953" s="1" t="s">
        <v>7075</v>
      </c>
      <c r="S1953" s="1">
        <v>0.0</v>
      </c>
      <c r="T1953" s="1">
        <v>2.0</v>
      </c>
      <c r="U1953" s="1">
        <v>1.0</v>
      </c>
      <c r="X1953" s="1" t="s">
        <v>56</v>
      </c>
    </row>
    <row r="1954">
      <c r="A1954" s="3" t="str">
        <f>HYPERLINK("https://stackoverflow.com/q/60939663", "60939663")</f>
        <v>60939663</v>
      </c>
      <c r="B1954" s="1" t="s">
        <v>4681</v>
      </c>
      <c r="C1954" s="1" t="s">
        <v>7076</v>
      </c>
      <c r="D1954" s="2" t="s">
        <v>7077</v>
      </c>
      <c r="E1954" s="1">
        <v>1.0</v>
      </c>
      <c r="I1954" s="1">
        <v>0.0</v>
      </c>
      <c r="J1954" s="1">
        <v>37.0</v>
      </c>
      <c r="L1954" s="1">
        <v>7942207.0</v>
      </c>
      <c r="Q1954" s="1" t="s">
        <v>7076</v>
      </c>
      <c r="R1954" s="1" t="s">
        <v>4789</v>
      </c>
      <c r="S1954" s="1">
        <v>0.0</v>
      </c>
      <c r="T1954" s="1">
        <v>1.0</v>
      </c>
      <c r="X1954" s="1" t="s">
        <v>56</v>
      </c>
    </row>
    <row r="1955">
      <c r="A1955" s="3" t="str">
        <f>HYPERLINK("https://stackoverflow.com/q/60972901", "60972901")</f>
        <v>60972901</v>
      </c>
      <c r="B1955" s="1" t="s">
        <v>4681</v>
      </c>
      <c r="C1955" s="1" t="s">
        <v>7078</v>
      </c>
      <c r="D1955" s="2" t="s">
        <v>7079</v>
      </c>
      <c r="E1955" s="1">
        <v>1.0</v>
      </c>
      <c r="I1955" s="1">
        <v>0.0</v>
      </c>
      <c r="J1955" s="1">
        <v>26.0</v>
      </c>
      <c r="L1955" s="1">
        <v>1.3185061E7</v>
      </c>
      <c r="N1955" s="1">
        <v>5436880.0</v>
      </c>
      <c r="P1955" s="1" t="s">
        <v>7080</v>
      </c>
      <c r="Q1955" s="1" t="s">
        <v>7081</v>
      </c>
      <c r="R1955" s="1" t="s">
        <v>4697</v>
      </c>
      <c r="S1955" s="1">
        <v>1.0</v>
      </c>
      <c r="T1955" s="1">
        <v>0.0</v>
      </c>
      <c r="X1955" s="1" t="s">
        <v>56</v>
      </c>
    </row>
    <row r="1956">
      <c r="A1956" s="3" t="str">
        <f>HYPERLINK("https://stackoverflow.com/q/60973579", "60973579")</f>
        <v>60973579</v>
      </c>
      <c r="B1956" s="1" t="s">
        <v>4681</v>
      </c>
      <c r="C1956" s="1" t="s">
        <v>7082</v>
      </c>
      <c r="D1956" s="2" t="s">
        <v>7083</v>
      </c>
      <c r="E1956" s="1">
        <v>1.0</v>
      </c>
      <c r="I1956" s="1">
        <v>0.0</v>
      </c>
      <c r="J1956" s="1">
        <v>35.0</v>
      </c>
      <c r="L1956" s="1">
        <v>4554543.0</v>
      </c>
      <c r="Q1956" s="1" t="s">
        <v>7084</v>
      </c>
      <c r="R1956" s="1" t="s">
        <v>7085</v>
      </c>
      <c r="S1956" s="1">
        <v>1.0</v>
      </c>
      <c r="T1956" s="1">
        <v>0.0</v>
      </c>
      <c r="X1956" s="1" t="s">
        <v>56</v>
      </c>
    </row>
    <row r="1957">
      <c r="A1957" s="3" t="str">
        <f>HYPERLINK("https://stackoverflow.com/q/60986606", "60986606")</f>
        <v>60986606</v>
      </c>
      <c r="B1957" s="1" t="s">
        <v>4681</v>
      </c>
      <c r="C1957" s="1" t="s">
        <v>7086</v>
      </c>
      <c r="D1957" s="2" t="s">
        <v>7087</v>
      </c>
      <c r="E1957" s="1">
        <v>1.0</v>
      </c>
      <c r="F1957" s="1">
        <v>6.1055198E7</v>
      </c>
      <c r="I1957" s="1">
        <v>0.0</v>
      </c>
      <c r="J1957" s="1">
        <v>13.0</v>
      </c>
      <c r="L1957" s="1">
        <v>5638735.0</v>
      </c>
      <c r="Q1957" s="1" t="s">
        <v>7088</v>
      </c>
      <c r="R1957" s="1" t="s">
        <v>6374</v>
      </c>
      <c r="S1957" s="1">
        <v>1.0</v>
      </c>
      <c r="T1957" s="1">
        <v>0.0</v>
      </c>
      <c r="X1957" s="1" t="s">
        <v>56</v>
      </c>
      <c r="Z1957" s="1" t="s">
        <v>7088</v>
      </c>
    </row>
    <row r="1958">
      <c r="A1958" s="3" t="str">
        <f>HYPERLINK("https://stackoverflow.com/q/61021604", "61021604")</f>
        <v>61021604</v>
      </c>
      <c r="B1958" s="1" t="s">
        <v>4681</v>
      </c>
      <c r="C1958" s="1" t="s">
        <v>7089</v>
      </c>
      <c r="D1958" s="2" t="s">
        <v>7090</v>
      </c>
      <c r="E1958" s="1">
        <v>1.0</v>
      </c>
      <c r="F1958" s="1">
        <v>6.1050674E7</v>
      </c>
      <c r="I1958" s="1">
        <v>1.0</v>
      </c>
      <c r="J1958" s="1">
        <v>48.0</v>
      </c>
      <c r="L1958" s="1">
        <v>3096622.0</v>
      </c>
      <c r="Q1958" s="1" t="s">
        <v>7091</v>
      </c>
      <c r="R1958" s="1" t="s">
        <v>4697</v>
      </c>
      <c r="S1958" s="1">
        <v>1.0</v>
      </c>
      <c r="T1958" s="1">
        <v>0.0</v>
      </c>
      <c r="X1958" s="1" t="s">
        <v>56</v>
      </c>
      <c r="Z1958" s="1" t="s">
        <v>7091</v>
      </c>
    </row>
    <row r="1959">
      <c r="A1959" s="3" t="str">
        <f>HYPERLINK("https://stackoverflow.com/q/61051123", "61051123")</f>
        <v>61051123</v>
      </c>
      <c r="B1959" s="1" t="s">
        <v>4681</v>
      </c>
      <c r="C1959" s="1" t="s">
        <v>7092</v>
      </c>
      <c r="D1959" s="2" t="s">
        <v>7093</v>
      </c>
      <c r="E1959" s="1">
        <v>1.0</v>
      </c>
      <c r="I1959" s="1">
        <v>0.0</v>
      </c>
      <c r="J1959" s="1">
        <v>18.0</v>
      </c>
      <c r="L1959" s="1">
        <v>1.2666809E7</v>
      </c>
      <c r="Q1959" s="1" t="s">
        <v>7092</v>
      </c>
      <c r="R1959" s="1" t="s">
        <v>4697</v>
      </c>
      <c r="S1959" s="1">
        <v>0.0</v>
      </c>
      <c r="T1959" s="1">
        <v>1.0</v>
      </c>
      <c r="X1959" s="1" t="s">
        <v>56</v>
      </c>
    </row>
    <row r="1960">
      <c r="A1960" s="3" t="str">
        <f>HYPERLINK("https://stackoverflow.com/q/61060770", "61060770")</f>
        <v>61060770</v>
      </c>
      <c r="B1960" s="1" t="s">
        <v>4681</v>
      </c>
      <c r="C1960" s="1" t="s">
        <v>7094</v>
      </c>
      <c r="D1960" s="2" t="s">
        <v>7095</v>
      </c>
      <c r="E1960" s="1">
        <v>1.0</v>
      </c>
      <c r="I1960" s="1">
        <v>0.0</v>
      </c>
      <c r="J1960" s="1">
        <v>45.0</v>
      </c>
      <c r="L1960" s="1">
        <v>5364854.0</v>
      </c>
      <c r="Q1960" s="1" t="s">
        <v>7094</v>
      </c>
      <c r="R1960" s="1" t="s">
        <v>7096</v>
      </c>
      <c r="S1960" s="1">
        <v>0.0</v>
      </c>
      <c r="T1960" s="1">
        <v>1.0</v>
      </c>
      <c r="X1960" s="1" t="s">
        <v>56</v>
      </c>
    </row>
    <row r="1961">
      <c r="A1961" s="3" t="str">
        <f>HYPERLINK("https://stackoverflow.com/q/61065007", "61065007")</f>
        <v>61065007</v>
      </c>
      <c r="B1961" s="1" t="s">
        <v>4681</v>
      </c>
      <c r="C1961" s="1" t="s">
        <v>7097</v>
      </c>
      <c r="D1961" s="2" t="s">
        <v>7098</v>
      </c>
      <c r="E1961" s="1">
        <v>1.0</v>
      </c>
      <c r="I1961" s="1">
        <v>0.0</v>
      </c>
      <c r="J1961" s="1">
        <v>153.0</v>
      </c>
      <c r="L1961" s="1">
        <v>1.2178176E7</v>
      </c>
      <c r="Q1961" s="1" t="s">
        <v>7099</v>
      </c>
      <c r="R1961" s="1" t="s">
        <v>7100</v>
      </c>
      <c r="S1961" s="1">
        <v>1.0</v>
      </c>
      <c r="T1961" s="1">
        <v>0.0</v>
      </c>
      <c r="X1961" s="1" t="s">
        <v>56</v>
      </c>
    </row>
    <row r="1962">
      <c r="A1962" s="3" t="str">
        <f>HYPERLINK("https://stackoverflow.com/q/61073250", "61073250")</f>
        <v>61073250</v>
      </c>
      <c r="B1962" s="1" t="s">
        <v>4681</v>
      </c>
      <c r="C1962" s="1" t="s">
        <v>7101</v>
      </c>
      <c r="D1962" s="2" t="s">
        <v>7102</v>
      </c>
      <c r="E1962" s="1">
        <v>1.0</v>
      </c>
      <c r="I1962" s="1">
        <v>1.0</v>
      </c>
      <c r="J1962" s="1">
        <v>18.0</v>
      </c>
      <c r="L1962" s="1">
        <v>1.2178176E7</v>
      </c>
      <c r="N1962" s="1">
        <v>7920473.0</v>
      </c>
      <c r="P1962" s="1" t="s">
        <v>7103</v>
      </c>
      <c r="Q1962" s="1" t="s">
        <v>7103</v>
      </c>
      <c r="R1962" s="1" t="s">
        <v>6138</v>
      </c>
      <c r="S1962" s="1">
        <v>1.0</v>
      </c>
      <c r="T1962" s="1">
        <v>1.0</v>
      </c>
      <c r="X1962" s="1" t="s">
        <v>56</v>
      </c>
    </row>
    <row r="1963">
      <c r="A1963" s="3" t="str">
        <f>HYPERLINK("https://stackoverflow.com/q/61078197", "61078197")</f>
        <v>61078197</v>
      </c>
      <c r="B1963" s="1" t="s">
        <v>4681</v>
      </c>
      <c r="C1963" s="1" t="s">
        <v>7104</v>
      </c>
      <c r="D1963" s="2" t="s">
        <v>7105</v>
      </c>
      <c r="E1963" s="1">
        <v>1.0</v>
      </c>
      <c r="I1963" s="1">
        <v>0.0</v>
      </c>
      <c r="J1963" s="1">
        <v>14.0</v>
      </c>
      <c r="L1963" s="1">
        <v>1.0852206E7</v>
      </c>
      <c r="Q1963" s="1" t="s">
        <v>7104</v>
      </c>
      <c r="R1963" s="1" t="s">
        <v>7106</v>
      </c>
      <c r="S1963" s="1">
        <v>0.0</v>
      </c>
      <c r="T1963" s="1">
        <v>0.0</v>
      </c>
      <c r="X1963" s="1" t="s">
        <v>56</v>
      </c>
    </row>
    <row r="1964">
      <c r="A1964" s="3" t="str">
        <f>HYPERLINK("https://stackoverflow.com/q/61088814", "61088814")</f>
        <v>61088814</v>
      </c>
      <c r="B1964" s="1" t="s">
        <v>4681</v>
      </c>
      <c r="C1964" s="1" t="s">
        <v>7107</v>
      </c>
      <c r="D1964" s="2" t="s">
        <v>7108</v>
      </c>
      <c r="E1964" s="1">
        <v>1.0</v>
      </c>
      <c r="I1964" s="1">
        <v>0.0</v>
      </c>
      <c r="J1964" s="1">
        <v>13.0</v>
      </c>
      <c r="L1964" s="1">
        <v>1.2712046E7</v>
      </c>
      <c r="Q1964" s="1" t="s">
        <v>7107</v>
      </c>
      <c r="R1964" s="1" t="s">
        <v>4836</v>
      </c>
      <c r="S1964" s="1">
        <v>0.0</v>
      </c>
      <c r="T1964" s="1">
        <v>0.0</v>
      </c>
      <c r="X1964" s="1" t="s">
        <v>56</v>
      </c>
    </row>
    <row r="1965">
      <c r="A1965" s="3" t="str">
        <f>HYPERLINK("https://stackoverflow.com/q/61093844", "61093844")</f>
        <v>61093844</v>
      </c>
      <c r="B1965" s="1" t="s">
        <v>4681</v>
      </c>
      <c r="C1965" s="1" t="s">
        <v>7109</v>
      </c>
      <c r="D1965" s="2" t="s">
        <v>7110</v>
      </c>
      <c r="E1965" s="1">
        <v>1.0</v>
      </c>
      <c r="I1965" s="1">
        <v>1.0</v>
      </c>
      <c r="J1965" s="1">
        <v>19.0</v>
      </c>
      <c r="L1965" s="1">
        <v>1.2964324E7</v>
      </c>
      <c r="Q1965" s="1" t="s">
        <v>7111</v>
      </c>
      <c r="R1965" s="1" t="s">
        <v>7112</v>
      </c>
      <c r="S1965" s="1">
        <v>1.0</v>
      </c>
      <c r="T1965" s="1">
        <v>0.0</v>
      </c>
      <c r="X1965" s="1" t="s">
        <v>56</v>
      </c>
    </row>
    <row r="1966">
      <c r="A1966" s="3" t="str">
        <f>HYPERLINK("https://stackoverflow.com/q/61112343", "61112343")</f>
        <v>61112343</v>
      </c>
      <c r="B1966" s="1" t="s">
        <v>4681</v>
      </c>
      <c r="C1966" s="1" t="s">
        <v>7113</v>
      </c>
      <c r="D1966" s="2" t="s">
        <v>7114</v>
      </c>
      <c r="E1966" s="1">
        <v>1.0</v>
      </c>
      <c r="I1966" s="1">
        <v>0.0</v>
      </c>
      <c r="J1966" s="1">
        <v>10.0</v>
      </c>
      <c r="L1966" s="1">
        <v>1.3264569E7</v>
      </c>
      <c r="Q1966" s="1" t="s">
        <v>7115</v>
      </c>
      <c r="R1966" s="1" t="s">
        <v>4697</v>
      </c>
      <c r="S1966" s="1">
        <v>1.0</v>
      </c>
      <c r="T1966" s="1">
        <v>0.0</v>
      </c>
      <c r="X1966" s="1" t="s">
        <v>56</v>
      </c>
    </row>
    <row r="1967">
      <c r="A1967" s="3" t="str">
        <f>HYPERLINK("https://stackoverflow.com/q/61120900", "61120900")</f>
        <v>61120900</v>
      </c>
      <c r="B1967" s="1" t="s">
        <v>4681</v>
      </c>
      <c r="C1967" s="1" t="s">
        <v>7116</v>
      </c>
      <c r="D1967" s="2" t="s">
        <v>7117</v>
      </c>
      <c r="E1967" s="1">
        <v>1.0</v>
      </c>
      <c r="I1967" s="1">
        <v>0.0</v>
      </c>
      <c r="J1967" s="1">
        <v>31.0</v>
      </c>
      <c r="L1967" s="1">
        <v>1.0886849E7</v>
      </c>
      <c r="N1967" s="1">
        <v>1.0886849E7</v>
      </c>
      <c r="P1967" s="1" t="s">
        <v>7118</v>
      </c>
      <c r="Q1967" s="1" t="s">
        <v>7119</v>
      </c>
      <c r="R1967" s="1" t="s">
        <v>7120</v>
      </c>
      <c r="S1967" s="1">
        <v>1.0</v>
      </c>
      <c r="T1967" s="1">
        <v>0.0</v>
      </c>
      <c r="X1967" s="1" t="s">
        <v>56</v>
      </c>
    </row>
    <row r="1968">
      <c r="A1968" s="3" t="str">
        <f>HYPERLINK("https://stackoverflow.com/q/61123415", "61123415")</f>
        <v>61123415</v>
      </c>
      <c r="B1968" s="1" t="s">
        <v>4681</v>
      </c>
      <c r="C1968" s="1" t="s">
        <v>7121</v>
      </c>
      <c r="D1968" s="2" t="s">
        <v>7122</v>
      </c>
      <c r="E1968" s="1">
        <v>1.0</v>
      </c>
      <c r="F1968" s="1">
        <v>6.1285213E7</v>
      </c>
      <c r="I1968" s="1">
        <v>0.0</v>
      </c>
      <c r="J1968" s="1">
        <v>50.0</v>
      </c>
      <c r="L1968" s="1">
        <v>5148719.0</v>
      </c>
      <c r="Q1968" s="1" t="s">
        <v>7123</v>
      </c>
      <c r="R1968" s="1" t="s">
        <v>6475</v>
      </c>
      <c r="S1968" s="1">
        <v>2.0</v>
      </c>
      <c r="T1968" s="1">
        <v>0.0</v>
      </c>
      <c r="X1968" s="1" t="s">
        <v>56</v>
      </c>
      <c r="Z1968" s="1" t="s">
        <v>7123</v>
      </c>
    </row>
    <row r="1969">
      <c r="A1969" s="3" t="str">
        <f>HYPERLINK("https://stackoverflow.com/q/61131140", "61131140")</f>
        <v>61131140</v>
      </c>
      <c r="B1969" s="1" t="s">
        <v>4681</v>
      </c>
      <c r="C1969" s="1" t="s">
        <v>7124</v>
      </c>
      <c r="D1969" s="2" t="s">
        <v>7125</v>
      </c>
      <c r="E1969" s="1">
        <v>1.0</v>
      </c>
      <c r="I1969" s="1">
        <v>0.0</v>
      </c>
      <c r="J1969" s="1">
        <v>35.0</v>
      </c>
      <c r="L1969" s="1">
        <v>5266970.0</v>
      </c>
      <c r="Q1969" s="1" t="s">
        <v>7124</v>
      </c>
      <c r="R1969" s="1" t="s">
        <v>7126</v>
      </c>
      <c r="S1969" s="1">
        <v>0.0</v>
      </c>
      <c r="T1969" s="1">
        <v>0.0</v>
      </c>
      <c r="U1969" s="1">
        <v>1.0</v>
      </c>
      <c r="X1969" s="1" t="s">
        <v>56</v>
      </c>
    </row>
    <row r="1970">
      <c r="A1970" s="3" t="str">
        <f>HYPERLINK("https://stackoverflow.com/q/61153574", "61153574")</f>
        <v>61153574</v>
      </c>
      <c r="B1970" s="1" t="s">
        <v>4681</v>
      </c>
      <c r="C1970" s="1" t="s">
        <v>7127</v>
      </c>
      <c r="D1970" s="2" t="s">
        <v>7128</v>
      </c>
      <c r="E1970" s="1">
        <v>1.0</v>
      </c>
      <c r="I1970" s="1">
        <v>0.0</v>
      </c>
      <c r="J1970" s="1">
        <v>18.0</v>
      </c>
      <c r="L1970" s="1">
        <v>5598200.0</v>
      </c>
      <c r="Q1970" s="1" t="s">
        <v>7127</v>
      </c>
      <c r="R1970" s="1" t="s">
        <v>6724</v>
      </c>
      <c r="S1970" s="1">
        <v>0.0</v>
      </c>
      <c r="T1970" s="1">
        <v>0.0</v>
      </c>
      <c r="X1970" s="1" t="s">
        <v>56</v>
      </c>
    </row>
    <row r="1971">
      <c r="A1971" s="3" t="str">
        <f>HYPERLINK("https://stackoverflow.com/q/61169100", "61169100")</f>
        <v>61169100</v>
      </c>
      <c r="B1971" s="1" t="s">
        <v>4681</v>
      </c>
      <c r="C1971" s="1" t="s">
        <v>7129</v>
      </c>
      <c r="D1971" s="2" t="s">
        <v>7130</v>
      </c>
      <c r="E1971" s="1">
        <v>1.0</v>
      </c>
      <c r="I1971" s="1">
        <v>0.0</v>
      </c>
      <c r="J1971" s="1">
        <v>15.0</v>
      </c>
      <c r="L1971" s="1">
        <v>1.3292504E7</v>
      </c>
      <c r="Q1971" s="1" t="s">
        <v>7129</v>
      </c>
      <c r="R1971" s="1" t="s">
        <v>7112</v>
      </c>
      <c r="S1971" s="1">
        <v>0.0</v>
      </c>
      <c r="T1971" s="1">
        <v>1.0</v>
      </c>
      <c r="X1971" s="1" t="s">
        <v>56</v>
      </c>
    </row>
    <row r="1972">
      <c r="A1972" s="3" t="str">
        <f>HYPERLINK("https://stackoverflow.com/q/61191042", "61191042")</f>
        <v>61191042</v>
      </c>
      <c r="B1972" s="1" t="s">
        <v>4681</v>
      </c>
      <c r="C1972" s="1" t="s">
        <v>7131</v>
      </c>
      <c r="D1972" s="2" t="s">
        <v>7132</v>
      </c>
      <c r="E1972" s="1">
        <v>1.0</v>
      </c>
      <c r="I1972" s="1">
        <v>0.0</v>
      </c>
      <c r="J1972" s="1">
        <v>25.0</v>
      </c>
      <c r="L1972" s="1">
        <v>1.1789925E7</v>
      </c>
      <c r="Q1972" s="1" t="s">
        <v>7133</v>
      </c>
      <c r="R1972" s="1" t="s">
        <v>7134</v>
      </c>
      <c r="S1972" s="1">
        <v>1.0</v>
      </c>
      <c r="T1972" s="1">
        <v>0.0</v>
      </c>
      <c r="X1972" s="1" t="s">
        <v>56</v>
      </c>
    </row>
    <row r="1973">
      <c r="A1973" s="3" t="str">
        <f>HYPERLINK("https://stackoverflow.com/q/61217110", "61217110")</f>
        <v>61217110</v>
      </c>
      <c r="B1973" s="1" t="s">
        <v>4681</v>
      </c>
      <c r="C1973" s="1" t="s">
        <v>7135</v>
      </c>
      <c r="D1973" s="2" t="s">
        <v>7136</v>
      </c>
      <c r="E1973" s="1">
        <v>1.0</v>
      </c>
      <c r="I1973" s="1">
        <v>0.0</v>
      </c>
      <c r="J1973" s="1">
        <v>53.0</v>
      </c>
      <c r="L1973" s="1">
        <v>1.331532E7</v>
      </c>
      <c r="Q1973" s="1" t="s">
        <v>7137</v>
      </c>
      <c r="R1973" s="1" t="s">
        <v>6138</v>
      </c>
      <c r="S1973" s="1">
        <v>2.0</v>
      </c>
      <c r="T1973" s="1">
        <v>0.0</v>
      </c>
      <c r="X1973" s="1" t="s">
        <v>56</v>
      </c>
    </row>
    <row r="1974">
      <c r="A1974" s="3" t="str">
        <f>HYPERLINK("https://stackoverflow.com/q/61268147", "61268147")</f>
        <v>61268147</v>
      </c>
      <c r="B1974" s="1" t="s">
        <v>4681</v>
      </c>
      <c r="C1974" s="1" t="s">
        <v>7138</v>
      </c>
      <c r="D1974" s="2" t="s">
        <v>7139</v>
      </c>
      <c r="E1974" s="1">
        <v>1.0</v>
      </c>
      <c r="I1974" s="1">
        <v>0.0</v>
      </c>
      <c r="J1974" s="1">
        <v>27.0</v>
      </c>
      <c r="L1974" s="1">
        <v>6830394.0</v>
      </c>
      <c r="Q1974" s="1" t="s">
        <v>7138</v>
      </c>
      <c r="R1974" s="1" t="s">
        <v>7140</v>
      </c>
      <c r="S1974" s="1">
        <v>0.0</v>
      </c>
      <c r="T1974" s="1">
        <v>0.0</v>
      </c>
      <c r="X1974" s="1" t="s">
        <v>56</v>
      </c>
    </row>
    <row r="1975">
      <c r="A1975" s="3" t="str">
        <f>HYPERLINK("https://stackoverflow.com/q/61327724", "61327724")</f>
        <v>61327724</v>
      </c>
      <c r="B1975" s="1" t="s">
        <v>4681</v>
      </c>
      <c r="C1975" s="1" t="s">
        <v>7141</v>
      </c>
      <c r="D1975" s="2" t="s">
        <v>7142</v>
      </c>
      <c r="E1975" s="1">
        <v>1.0</v>
      </c>
      <c r="I1975" s="1">
        <v>0.0</v>
      </c>
      <c r="J1975" s="1">
        <v>11.0</v>
      </c>
      <c r="L1975" s="1">
        <v>3811293.0</v>
      </c>
      <c r="Q1975" s="1" t="s">
        <v>7141</v>
      </c>
      <c r="R1975" s="1" t="s">
        <v>7143</v>
      </c>
      <c r="S1975" s="1">
        <v>0.0</v>
      </c>
      <c r="T1975" s="1">
        <v>2.0</v>
      </c>
      <c r="X1975" s="1" t="s">
        <v>56</v>
      </c>
    </row>
    <row r="1976">
      <c r="A1976" s="3" t="str">
        <f>HYPERLINK("https://stackoverflow.com/q/61331112", "61331112")</f>
        <v>61331112</v>
      </c>
      <c r="B1976" s="1" t="s">
        <v>4681</v>
      </c>
      <c r="C1976" s="1" t="s">
        <v>7144</v>
      </c>
      <c r="D1976" s="2" t="s">
        <v>7145</v>
      </c>
      <c r="E1976" s="1">
        <v>1.0</v>
      </c>
      <c r="F1976" s="1">
        <v>6.1421133E7</v>
      </c>
      <c r="I1976" s="1">
        <v>0.0</v>
      </c>
      <c r="J1976" s="1">
        <v>48.0</v>
      </c>
      <c r="L1976" s="1">
        <v>1.0791217E7</v>
      </c>
      <c r="Q1976" s="1" t="s">
        <v>7146</v>
      </c>
      <c r="R1976" s="1" t="s">
        <v>4697</v>
      </c>
      <c r="S1976" s="1">
        <v>1.0</v>
      </c>
      <c r="T1976" s="1">
        <v>0.0</v>
      </c>
      <c r="X1976" s="1" t="s">
        <v>56</v>
      </c>
      <c r="Z1976" s="1" t="s">
        <v>7146</v>
      </c>
    </row>
    <row r="1977">
      <c r="A1977" s="3" t="str">
        <f>HYPERLINK("https://stackoverflow.com/q/61341097", "61341097")</f>
        <v>61341097</v>
      </c>
      <c r="B1977" s="1" t="s">
        <v>4681</v>
      </c>
      <c r="C1977" s="1" t="s">
        <v>7147</v>
      </c>
      <c r="D1977" s="2" t="s">
        <v>7148</v>
      </c>
      <c r="E1977" s="1">
        <v>1.0</v>
      </c>
      <c r="I1977" s="1">
        <v>0.0</v>
      </c>
      <c r="J1977" s="1">
        <v>17.0</v>
      </c>
      <c r="L1977" s="1">
        <v>1.2373252E7</v>
      </c>
      <c r="Q1977" s="1" t="s">
        <v>7147</v>
      </c>
      <c r="R1977" s="1" t="s">
        <v>4767</v>
      </c>
      <c r="S1977" s="1">
        <v>0.0</v>
      </c>
      <c r="T1977" s="1">
        <v>0.0</v>
      </c>
      <c r="X1977" s="1" t="s">
        <v>56</v>
      </c>
    </row>
    <row r="1978">
      <c r="A1978" s="3" t="str">
        <f>HYPERLINK("https://stackoverflow.com/q/61377118", "61377118")</f>
        <v>61377118</v>
      </c>
      <c r="B1978" s="1" t="s">
        <v>4681</v>
      </c>
      <c r="C1978" s="1" t="s">
        <v>7149</v>
      </c>
      <c r="D1978" s="2" t="s">
        <v>7150</v>
      </c>
      <c r="E1978" s="1">
        <v>1.0</v>
      </c>
      <c r="I1978" s="1">
        <v>0.0</v>
      </c>
      <c r="J1978" s="1">
        <v>24.0</v>
      </c>
      <c r="L1978" s="1">
        <v>1.338617E7</v>
      </c>
      <c r="N1978" s="1">
        <v>447970.0</v>
      </c>
      <c r="P1978" s="1" t="s">
        <v>7151</v>
      </c>
      <c r="Q1978" s="1" t="s">
        <v>7152</v>
      </c>
      <c r="R1978" s="1" t="s">
        <v>7153</v>
      </c>
      <c r="S1978" s="1">
        <v>2.0</v>
      </c>
      <c r="T1978" s="1">
        <v>0.0</v>
      </c>
      <c r="X1978" s="1" t="s">
        <v>56</v>
      </c>
    </row>
    <row r="1979">
      <c r="A1979" s="3" t="str">
        <f>HYPERLINK("https://stackoverflow.com/q/61378839", "61378839")</f>
        <v>61378839</v>
      </c>
      <c r="B1979" s="1" t="s">
        <v>4681</v>
      </c>
      <c r="C1979" s="1" t="s">
        <v>7154</v>
      </c>
      <c r="D1979" s="2" t="s">
        <v>7155</v>
      </c>
      <c r="E1979" s="1">
        <v>1.0</v>
      </c>
      <c r="I1979" s="1">
        <v>0.0</v>
      </c>
      <c r="J1979" s="1">
        <v>20.0</v>
      </c>
      <c r="L1979" s="1">
        <v>1.0791217E7</v>
      </c>
      <c r="Q1979" s="1" t="s">
        <v>7154</v>
      </c>
      <c r="R1979" s="1" t="s">
        <v>4836</v>
      </c>
      <c r="S1979" s="1">
        <v>0.0</v>
      </c>
      <c r="T1979" s="1">
        <v>0.0</v>
      </c>
      <c r="X1979" s="1" t="s">
        <v>56</v>
      </c>
    </row>
    <row r="1980">
      <c r="A1980" s="3" t="str">
        <f>HYPERLINK("https://stackoverflow.com/q/61379667", "61379667")</f>
        <v>61379667</v>
      </c>
      <c r="B1980" s="1" t="s">
        <v>4681</v>
      </c>
      <c r="C1980" s="1" t="s">
        <v>7156</v>
      </c>
      <c r="D1980" s="2" t="s">
        <v>7157</v>
      </c>
      <c r="E1980" s="1">
        <v>1.0</v>
      </c>
      <c r="I1980" s="1">
        <v>0.0</v>
      </c>
      <c r="J1980" s="1">
        <v>27.0</v>
      </c>
      <c r="L1980" s="1">
        <v>1.3387402E7</v>
      </c>
      <c r="Q1980" s="1" t="s">
        <v>7156</v>
      </c>
      <c r="R1980" s="1" t="s">
        <v>7158</v>
      </c>
      <c r="S1980" s="1">
        <v>0.0</v>
      </c>
      <c r="T1980" s="1">
        <v>0.0</v>
      </c>
      <c r="X1980" s="1" t="s">
        <v>56</v>
      </c>
    </row>
    <row r="1981">
      <c r="A1981" s="3" t="str">
        <f>HYPERLINK("https://stackoverflow.com/q/61402700", "61402700")</f>
        <v>61402700</v>
      </c>
      <c r="B1981" s="1" t="s">
        <v>4681</v>
      </c>
      <c r="C1981" s="1" t="s">
        <v>7159</v>
      </c>
      <c r="D1981" s="2" t="s">
        <v>7160</v>
      </c>
      <c r="E1981" s="1">
        <v>1.0</v>
      </c>
      <c r="I1981" s="1">
        <v>0.0</v>
      </c>
      <c r="J1981" s="1">
        <v>19.0</v>
      </c>
      <c r="L1981" s="1">
        <v>4549001.0</v>
      </c>
      <c r="Q1981" s="1" t="s">
        <v>7161</v>
      </c>
      <c r="R1981" s="1" t="s">
        <v>4697</v>
      </c>
      <c r="S1981" s="1">
        <v>1.0</v>
      </c>
      <c r="T1981" s="1">
        <v>0.0</v>
      </c>
      <c r="U1981" s="1">
        <v>1.0</v>
      </c>
      <c r="X1981" s="1" t="s">
        <v>56</v>
      </c>
    </row>
    <row r="1982">
      <c r="A1982" s="3" t="str">
        <f>HYPERLINK("https://stackoverflow.com/q/61405883", "61405883")</f>
        <v>61405883</v>
      </c>
      <c r="B1982" s="1" t="s">
        <v>4681</v>
      </c>
      <c r="C1982" s="1" t="s">
        <v>7162</v>
      </c>
      <c r="D1982" s="2" t="s">
        <v>7163</v>
      </c>
      <c r="E1982" s="1">
        <v>1.0</v>
      </c>
      <c r="F1982" s="1">
        <v>6.1420921E7</v>
      </c>
      <c r="I1982" s="1">
        <v>0.0</v>
      </c>
      <c r="J1982" s="1">
        <v>24.0</v>
      </c>
      <c r="L1982" s="1">
        <v>1.3397774E7</v>
      </c>
      <c r="N1982" s="1">
        <v>751090.0</v>
      </c>
      <c r="P1982" s="1" t="s">
        <v>7164</v>
      </c>
      <c r="Q1982" s="1" t="s">
        <v>7165</v>
      </c>
      <c r="R1982" s="1" t="s">
        <v>6799</v>
      </c>
      <c r="S1982" s="1">
        <v>1.0</v>
      </c>
      <c r="T1982" s="1">
        <v>0.0</v>
      </c>
      <c r="X1982" s="1" t="s">
        <v>56</v>
      </c>
      <c r="Z1982" s="1" t="s">
        <v>7165</v>
      </c>
    </row>
    <row r="1983">
      <c r="A1983" s="3" t="str">
        <f>HYPERLINK("https://stackoverflow.com/q/61443240", "61443240")</f>
        <v>61443240</v>
      </c>
      <c r="B1983" s="1" t="s">
        <v>4681</v>
      </c>
      <c r="C1983" s="1" t="s">
        <v>7166</v>
      </c>
      <c r="D1983" s="2" t="s">
        <v>7167</v>
      </c>
      <c r="E1983" s="1">
        <v>1.0</v>
      </c>
      <c r="F1983" s="1">
        <v>6.1443786E7</v>
      </c>
      <c r="I1983" s="1">
        <v>0.0</v>
      </c>
      <c r="J1983" s="1">
        <v>36.0</v>
      </c>
      <c r="L1983" s="1">
        <v>9833455.0</v>
      </c>
      <c r="N1983" s="1">
        <v>9833455.0</v>
      </c>
      <c r="P1983" s="1" t="s">
        <v>7168</v>
      </c>
      <c r="Q1983" s="1" t="s">
        <v>7169</v>
      </c>
      <c r="R1983" s="1" t="s">
        <v>4697</v>
      </c>
      <c r="S1983" s="1">
        <v>1.0</v>
      </c>
      <c r="T1983" s="1">
        <v>0.0</v>
      </c>
      <c r="X1983" s="1" t="s">
        <v>56</v>
      </c>
      <c r="Z1983" s="1" t="s">
        <v>7169</v>
      </c>
    </row>
    <row r="1984">
      <c r="A1984" s="3" t="str">
        <f>HYPERLINK("https://stackoverflow.com/q/61452616", "61452616")</f>
        <v>61452616</v>
      </c>
      <c r="B1984" s="1" t="s">
        <v>4681</v>
      </c>
      <c r="C1984" s="1" t="s">
        <v>7170</v>
      </c>
      <c r="D1984" s="2" t="s">
        <v>7171</v>
      </c>
      <c r="E1984" s="1">
        <v>1.0</v>
      </c>
      <c r="I1984" s="1">
        <v>0.0</v>
      </c>
      <c r="J1984" s="1">
        <v>19.0</v>
      </c>
      <c r="L1984" s="1">
        <v>1.341528E7</v>
      </c>
      <c r="Q1984" s="1" t="s">
        <v>7170</v>
      </c>
      <c r="R1984" s="1" t="s">
        <v>7172</v>
      </c>
      <c r="S1984" s="1">
        <v>0.0</v>
      </c>
      <c r="T1984" s="1">
        <v>0.0</v>
      </c>
      <c r="X1984" s="1" t="s">
        <v>56</v>
      </c>
    </row>
    <row r="1985">
      <c r="A1985" s="3" t="str">
        <f>HYPERLINK("https://stackoverflow.com/q/61459809", "61459809")</f>
        <v>61459809</v>
      </c>
      <c r="B1985" s="1" t="s">
        <v>4681</v>
      </c>
      <c r="C1985" s="1" t="s">
        <v>7173</v>
      </c>
      <c r="D1985" s="2" t="s">
        <v>7174</v>
      </c>
      <c r="E1985" s="1">
        <v>1.0</v>
      </c>
      <c r="I1985" s="1">
        <v>0.0</v>
      </c>
      <c r="J1985" s="1">
        <v>63.0</v>
      </c>
      <c r="L1985" s="1">
        <v>882670.0</v>
      </c>
      <c r="Q1985" s="1" t="s">
        <v>7175</v>
      </c>
      <c r="R1985" s="1" t="s">
        <v>4697</v>
      </c>
      <c r="S1985" s="1">
        <v>1.0</v>
      </c>
      <c r="T1985" s="1">
        <v>0.0</v>
      </c>
      <c r="X1985" s="1" t="s">
        <v>56</v>
      </c>
    </row>
    <row r="1986">
      <c r="A1986" s="3" t="str">
        <f>HYPERLINK("https://stackoverflow.com/q/61473114", "61473114")</f>
        <v>61473114</v>
      </c>
      <c r="B1986" s="1" t="s">
        <v>4681</v>
      </c>
      <c r="C1986" s="1" t="s">
        <v>7176</v>
      </c>
      <c r="D1986" s="2" t="s">
        <v>7177</v>
      </c>
      <c r="E1986" s="1">
        <v>1.0</v>
      </c>
      <c r="I1986" s="1">
        <v>0.0</v>
      </c>
      <c r="J1986" s="1">
        <v>17.0</v>
      </c>
      <c r="L1986" s="1">
        <v>1.341528E7</v>
      </c>
      <c r="N1986" s="1">
        <v>7920473.0</v>
      </c>
      <c r="P1986" s="1" t="s">
        <v>7178</v>
      </c>
      <c r="Q1986" s="1" t="s">
        <v>7178</v>
      </c>
      <c r="R1986" s="1" t="s">
        <v>4789</v>
      </c>
      <c r="S1986" s="1">
        <v>1.0</v>
      </c>
      <c r="T1986" s="1">
        <v>1.0</v>
      </c>
      <c r="X1986" s="1" t="s">
        <v>56</v>
      </c>
    </row>
    <row r="1987">
      <c r="A1987" s="3" t="str">
        <f>HYPERLINK("https://stackoverflow.com/q/61526443", "61526443")</f>
        <v>61526443</v>
      </c>
      <c r="B1987" s="1" t="s">
        <v>4681</v>
      </c>
      <c r="C1987" s="1" t="s">
        <v>7179</v>
      </c>
      <c r="D1987" s="2" t="s">
        <v>7180</v>
      </c>
      <c r="E1987" s="1">
        <v>1.0</v>
      </c>
      <c r="I1987" s="1">
        <v>1.0</v>
      </c>
      <c r="J1987" s="1">
        <v>87.0</v>
      </c>
      <c r="L1987" s="1">
        <v>1.0942161E7</v>
      </c>
      <c r="Q1987" s="1" t="s">
        <v>7179</v>
      </c>
      <c r="R1987" s="1" t="s">
        <v>7181</v>
      </c>
      <c r="S1987" s="1">
        <v>0.0</v>
      </c>
      <c r="T1987" s="1">
        <v>0.0</v>
      </c>
      <c r="X1987" s="1" t="s">
        <v>56</v>
      </c>
    </row>
    <row r="1988">
      <c r="A1988" s="3" t="str">
        <f>HYPERLINK("https://stackoverflow.com/q/61530340", "61530340")</f>
        <v>61530340</v>
      </c>
      <c r="B1988" s="1" t="s">
        <v>4681</v>
      </c>
      <c r="C1988" s="1" t="s">
        <v>7182</v>
      </c>
      <c r="D1988" s="2" t="s">
        <v>7183</v>
      </c>
      <c r="E1988" s="1">
        <v>1.0</v>
      </c>
      <c r="I1988" s="1">
        <v>1.0</v>
      </c>
      <c r="J1988" s="1">
        <v>20.0</v>
      </c>
      <c r="L1988" s="1">
        <v>8326797.0</v>
      </c>
      <c r="N1988" s="1">
        <v>8326797.0</v>
      </c>
      <c r="P1988" s="1" t="s">
        <v>7184</v>
      </c>
      <c r="Q1988" s="1" t="s">
        <v>7184</v>
      </c>
      <c r="R1988" s="1" t="s">
        <v>7185</v>
      </c>
      <c r="S1988" s="1">
        <v>0.0</v>
      </c>
      <c r="T1988" s="1">
        <v>0.0</v>
      </c>
      <c r="X1988" s="1" t="s">
        <v>56</v>
      </c>
    </row>
    <row r="1989">
      <c r="A1989" s="3" t="str">
        <f>HYPERLINK("https://stackoverflow.com/q/61552568", "61552568")</f>
        <v>61552568</v>
      </c>
      <c r="B1989" s="1" t="s">
        <v>4681</v>
      </c>
      <c r="C1989" s="1" t="s">
        <v>7186</v>
      </c>
      <c r="D1989" s="2" t="s">
        <v>7187</v>
      </c>
      <c r="E1989" s="1">
        <v>1.0</v>
      </c>
      <c r="I1989" s="1">
        <v>0.0</v>
      </c>
      <c r="J1989" s="1">
        <v>39.0</v>
      </c>
      <c r="L1989" s="1">
        <v>1.3451477E7</v>
      </c>
      <c r="Q1989" s="1" t="s">
        <v>7188</v>
      </c>
      <c r="R1989" s="1" t="s">
        <v>4836</v>
      </c>
      <c r="S1989" s="1">
        <v>2.0</v>
      </c>
      <c r="T1989" s="1">
        <v>0.0</v>
      </c>
      <c r="X1989" s="1" t="s">
        <v>56</v>
      </c>
    </row>
    <row r="1990">
      <c r="A1990" s="3" t="str">
        <f>HYPERLINK("https://stackoverflow.com/q/61604943", "61604943")</f>
        <v>61604943</v>
      </c>
      <c r="B1990" s="1" t="s">
        <v>4681</v>
      </c>
      <c r="C1990" s="1" t="s">
        <v>7189</v>
      </c>
      <c r="D1990" s="2" t="s">
        <v>7190</v>
      </c>
      <c r="E1990" s="1">
        <v>1.0</v>
      </c>
      <c r="I1990" s="1">
        <v>0.0</v>
      </c>
      <c r="J1990" s="1">
        <v>31.0</v>
      </c>
      <c r="L1990" s="1">
        <v>5122180.0</v>
      </c>
      <c r="N1990" s="1">
        <v>6904888.0</v>
      </c>
      <c r="P1990" s="1" t="s">
        <v>7191</v>
      </c>
      <c r="Q1990" s="1" t="s">
        <v>7192</v>
      </c>
      <c r="R1990" s="1" t="s">
        <v>7193</v>
      </c>
      <c r="S1990" s="1">
        <v>1.0</v>
      </c>
      <c r="T1990" s="1">
        <v>0.0</v>
      </c>
      <c r="X1990" s="1" t="s">
        <v>56</v>
      </c>
    </row>
    <row r="1991">
      <c r="A1991" s="3" t="str">
        <f>HYPERLINK("https://stackoverflow.com/q/61611950", "61611950")</f>
        <v>61611950</v>
      </c>
      <c r="B1991" s="1" t="s">
        <v>4681</v>
      </c>
      <c r="C1991" s="1" t="s">
        <v>7194</v>
      </c>
      <c r="D1991" s="2" t="s">
        <v>7195</v>
      </c>
      <c r="E1991" s="1">
        <v>1.0</v>
      </c>
      <c r="I1991" s="1">
        <v>0.0</v>
      </c>
      <c r="J1991" s="1">
        <v>44.0</v>
      </c>
      <c r="L1991" s="1">
        <v>1.3473812E7</v>
      </c>
      <c r="N1991" s="1">
        <v>188096.0</v>
      </c>
      <c r="P1991" s="1" t="s">
        <v>7196</v>
      </c>
      <c r="Q1991" s="1" t="s">
        <v>7197</v>
      </c>
      <c r="R1991" s="1" t="s">
        <v>7198</v>
      </c>
      <c r="S1991" s="1">
        <v>1.0</v>
      </c>
      <c r="T1991" s="1">
        <v>0.0</v>
      </c>
      <c r="X1991" s="1" t="s">
        <v>56</v>
      </c>
    </row>
    <row r="1992">
      <c r="A1992" s="3" t="str">
        <f>HYPERLINK("https://stackoverflow.com/q/61632938", "61632938")</f>
        <v>61632938</v>
      </c>
      <c r="B1992" s="1" t="s">
        <v>4681</v>
      </c>
      <c r="C1992" s="1" t="s">
        <v>7199</v>
      </c>
      <c r="D1992" s="2" t="s">
        <v>7200</v>
      </c>
      <c r="E1992" s="1">
        <v>1.0</v>
      </c>
      <c r="I1992" s="1">
        <v>0.0</v>
      </c>
      <c r="J1992" s="1">
        <v>24.0</v>
      </c>
      <c r="L1992" s="1">
        <v>2015461.0</v>
      </c>
      <c r="N1992" s="1">
        <v>3136339.0</v>
      </c>
      <c r="P1992" s="1" t="s">
        <v>7201</v>
      </c>
      <c r="Q1992" s="1" t="s">
        <v>7201</v>
      </c>
      <c r="R1992" s="1" t="s">
        <v>7202</v>
      </c>
      <c r="S1992" s="1">
        <v>0.0</v>
      </c>
      <c r="T1992" s="1">
        <v>3.0</v>
      </c>
      <c r="X1992" s="1" t="s">
        <v>56</v>
      </c>
    </row>
    <row r="1993">
      <c r="A1993" s="3" t="str">
        <f>HYPERLINK("https://stackoverflow.com/q/61655523", "61655523")</f>
        <v>61655523</v>
      </c>
      <c r="B1993" s="1" t="s">
        <v>4681</v>
      </c>
      <c r="C1993" s="1" t="s">
        <v>7203</v>
      </c>
      <c r="D1993" s="2" t="s">
        <v>7204</v>
      </c>
      <c r="E1993" s="1">
        <v>1.0</v>
      </c>
      <c r="I1993" s="1">
        <v>0.0</v>
      </c>
      <c r="J1993" s="1">
        <v>29.0</v>
      </c>
      <c r="L1993" s="1">
        <v>2620034.0</v>
      </c>
      <c r="Q1993" s="1" t="s">
        <v>7205</v>
      </c>
      <c r="R1993" s="1" t="s">
        <v>5806</v>
      </c>
      <c r="S1993" s="1">
        <v>2.0</v>
      </c>
      <c r="T1993" s="1">
        <v>0.0</v>
      </c>
      <c r="X1993" s="1" t="s">
        <v>56</v>
      </c>
    </row>
    <row r="1994">
      <c r="A1994" s="3" t="str">
        <f>HYPERLINK("https://stackoverflow.com/q/61670491", "61670491")</f>
        <v>61670491</v>
      </c>
      <c r="B1994" s="1" t="s">
        <v>4681</v>
      </c>
      <c r="C1994" s="1" t="s">
        <v>7206</v>
      </c>
      <c r="D1994" s="2" t="s">
        <v>7207</v>
      </c>
      <c r="E1994" s="1">
        <v>1.0</v>
      </c>
      <c r="I1994" s="1">
        <v>0.0</v>
      </c>
      <c r="J1994" s="1">
        <v>26.0</v>
      </c>
      <c r="L1994" s="1">
        <v>4802431.0</v>
      </c>
      <c r="Q1994" s="1" t="s">
        <v>7208</v>
      </c>
      <c r="R1994" s="1" t="s">
        <v>7209</v>
      </c>
      <c r="S1994" s="1">
        <v>2.0</v>
      </c>
      <c r="T1994" s="1">
        <v>0.0</v>
      </c>
      <c r="X1994" s="1" t="s">
        <v>56</v>
      </c>
    </row>
    <row r="1995">
      <c r="A1995" s="3" t="str">
        <f>HYPERLINK("https://stackoverflow.com/q/61674307", "61674307")</f>
        <v>61674307</v>
      </c>
      <c r="B1995" s="1" t="s">
        <v>4681</v>
      </c>
      <c r="C1995" s="1" t="s">
        <v>7210</v>
      </c>
      <c r="D1995" s="2" t="s">
        <v>7211</v>
      </c>
      <c r="E1995" s="1">
        <v>1.0</v>
      </c>
      <c r="I1995" s="1">
        <v>0.0</v>
      </c>
      <c r="J1995" s="1">
        <v>19.0</v>
      </c>
      <c r="L1995" s="1">
        <v>1.3496818E7</v>
      </c>
      <c r="Q1995" s="1" t="s">
        <v>7212</v>
      </c>
      <c r="R1995" s="1" t="s">
        <v>4697</v>
      </c>
      <c r="S1995" s="1">
        <v>1.0</v>
      </c>
      <c r="T1995" s="1">
        <v>0.0</v>
      </c>
      <c r="X1995" s="1" t="s">
        <v>56</v>
      </c>
    </row>
    <row r="1996">
      <c r="A1996" s="3" t="str">
        <f>HYPERLINK("https://stackoverflow.com/q/61676962", "61676962")</f>
        <v>61676962</v>
      </c>
      <c r="B1996" s="1" t="s">
        <v>4681</v>
      </c>
      <c r="C1996" s="1" t="s">
        <v>7213</v>
      </c>
      <c r="D1996" s="2" t="s">
        <v>7214</v>
      </c>
      <c r="E1996" s="1">
        <v>1.0</v>
      </c>
      <c r="I1996" s="1">
        <v>0.0</v>
      </c>
      <c r="J1996" s="1">
        <v>14.0</v>
      </c>
      <c r="L1996" s="1">
        <v>1.1987609E7</v>
      </c>
      <c r="Q1996" s="1" t="s">
        <v>7213</v>
      </c>
      <c r="R1996" s="1" t="s">
        <v>4836</v>
      </c>
      <c r="S1996" s="1">
        <v>0.0</v>
      </c>
      <c r="T1996" s="1">
        <v>1.0</v>
      </c>
      <c r="X1996" s="1" t="s">
        <v>56</v>
      </c>
    </row>
    <row r="1997">
      <c r="A1997" s="3" t="str">
        <f>HYPERLINK("https://stackoverflow.com/q/61685518", "61685518")</f>
        <v>61685518</v>
      </c>
      <c r="B1997" s="1" t="s">
        <v>4681</v>
      </c>
      <c r="C1997" s="1" t="s">
        <v>7215</v>
      </c>
      <c r="D1997" s="2" t="s">
        <v>7216</v>
      </c>
      <c r="E1997" s="1">
        <v>1.0</v>
      </c>
      <c r="F1997" s="1">
        <v>6.1688554E7</v>
      </c>
      <c r="I1997" s="1">
        <v>0.0</v>
      </c>
      <c r="J1997" s="1">
        <v>39.0</v>
      </c>
      <c r="L1997" s="1">
        <v>1.349943E7</v>
      </c>
      <c r="N1997" s="1">
        <v>13302.0</v>
      </c>
      <c r="P1997" s="1" t="s">
        <v>7217</v>
      </c>
      <c r="Q1997" s="1" t="s">
        <v>7218</v>
      </c>
      <c r="R1997" s="1" t="s">
        <v>7219</v>
      </c>
      <c r="S1997" s="1">
        <v>1.0</v>
      </c>
      <c r="T1997" s="1">
        <v>0.0</v>
      </c>
      <c r="X1997" s="1" t="s">
        <v>56</v>
      </c>
      <c r="Z1997" s="1" t="s">
        <v>7218</v>
      </c>
    </row>
    <row r="1998">
      <c r="A1998" s="3" t="str">
        <f>HYPERLINK("https://stackoverflow.com/q/61685582", "61685582")</f>
        <v>61685582</v>
      </c>
      <c r="B1998" s="1" t="s">
        <v>4681</v>
      </c>
      <c r="C1998" s="1" t="s">
        <v>7220</v>
      </c>
      <c r="D1998" s="2" t="s">
        <v>7221</v>
      </c>
      <c r="E1998" s="1">
        <v>1.0</v>
      </c>
      <c r="I1998" s="1">
        <v>0.0</v>
      </c>
      <c r="J1998" s="1">
        <v>12.0</v>
      </c>
      <c r="L1998" s="1">
        <v>1.1428959E7</v>
      </c>
      <c r="Q1998" s="1" t="s">
        <v>7222</v>
      </c>
      <c r="R1998" s="1" t="s">
        <v>4697</v>
      </c>
      <c r="S1998" s="1">
        <v>1.0</v>
      </c>
      <c r="T1998" s="1">
        <v>0.0</v>
      </c>
      <c r="X1998" s="1" t="s">
        <v>56</v>
      </c>
    </row>
    <row r="1999">
      <c r="A1999" s="3" t="str">
        <f>HYPERLINK("https://stackoverflow.com/q/61687572", "61687572")</f>
        <v>61687572</v>
      </c>
      <c r="B1999" s="1" t="s">
        <v>4681</v>
      </c>
      <c r="C1999" s="1" t="s">
        <v>7223</v>
      </c>
      <c r="D1999" s="2" t="s">
        <v>7224</v>
      </c>
      <c r="E1999" s="1">
        <v>1.0</v>
      </c>
      <c r="I1999" s="1">
        <v>0.0</v>
      </c>
      <c r="J1999" s="1">
        <v>17.0</v>
      </c>
      <c r="L1999" s="1">
        <v>1.1813285E7</v>
      </c>
      <c r="Q1999" s="1" t="s">
        <v>7223</v>
      </c>
      <c r="R1999" s="1" t="s">
        <v>4966</v>
      </c>
      <c r="S1999" s="1">
        <v>0.0</v>
      </c>
      <c r="T1999" s="1">
        <v>0.0</v>
      </c>
      <c r="X1999" s="1" t="s">
        <v>56</v>
      </c>
    </row>
    <row r="2000">
      <c r="A2000" s="3" t="str">
        <f>HYPERLINK("https://stackoverflow.com/q/61729009", "61729009")</f>
        <v>61729009</v>
      </c>
      <c r="B2000" s="1" t="s">
        <v>4681</v>
      </c>
      <c r="C2000" s="1" t="s">
        <v>7225</v>
      </c>
      <c r="D2000" s="2" t="s">
        <v>7226</v>
      </c>
      <c r="E2000" s="1">
        <v>1.0</v>
      </c>
      <c r="I2000" s="1">
        <v>0.0</v>
      </c>
      <c r="J2000" s="1">
        <v>11.0</v>
      </c>
      <c r="L2000" s="1">
        <v>7079340.0</v>
      </c>
      <c r="Q2000" s="1" t="s">
        <v>7225</v>
      </c>
      <c r="R2000" s="1" t="s">
        <v>4697</v>
      </c>
      <c r="S2000" s="1">
        <v>0.0</v>
      </c>
      <c r="T2000" s="1">
        <v>0.0</v>
      </c>
      <c r="X2000" s="1" t="s">
        <v>56</v>
      </c>
    </row>
    <row r="2001">
      <c r="A2001" s="3" t="str">
        <f>HYPERLINK("https://stackoverflow.com/q/61734680", "61734680")</f>
        <v>61734680</v>
      </c>
      <c r="B2001" s="1" t="s">
        <v>4681</v>
      </c>
      <c r="C2001" s="1" t="s">
        <v>7227</v>
      </c>
      <c r="D2001" s="2" t="s">
        <v>7228</v>
      </c>
      <c r="E2001" s="1">
        <v>1.0</v>
      </c>
      <c r="I2001" s="1">
        <v>0.0</v>
      </c>
      <c r="J2001" s="1">
        <v>23.0</v>
      </c>
      <c r="L2001" s="1">
        <v>8050208.0</v>
      </c>
      <c r="N2001" s="1">
        <v>7920473.0</v>
      </c>
      <c r="P2001" s="1" t="s">
        <v>7229</v>
      </c>
      <c r="Q2001" s="1" t="s">
        <v>7230</v>
      </c>
      <c r="R2001" s="1" t="s">
        <v>7231</v>
      </c>
      <c r="S2001" s="1">
        <v>2.0</v>
      </c>
      <c r="T2001" s="1">
        <v>1.0</v>
      </c>
      <c r="X2001" s="1" t="s">
        <v>56</v>
      </c>
    </row>
    <row r="2002">
      <c r="A2002" s="3" t="str">
        <f>HYPERLINK("https://stackoverflow.com/q/61742910", "61742910")</f>
        <v>61742910</v>
      </c>
      <c r="B2002" s="1" t="s">
        <v>4681</v>
      </c>
      <c r="C2002" s="1" t="s">
        <v>7232</v>
      </c>
      <c r="D2002" s="2" t="s">
        <v>7233</v>
      </c>
      <c r="E2002" s="1">
        <v>1.0</v>
      </c>
      <c r="I2002" s="1">
        <v>1.0</v>
      </c>
      <c r="J2002" s="1">
        <v>33.0</v>
      </c>
      <c r="L2002" s="1">
        <v>1.167308E7</v>
      </c>
      <c r="Q2002" s="1" t="s">
        <v>7234</v>
      </c>
      <c r="R2002" s="1" t="s">
        <v>6138</v>
      </c>
      <c r="S2002" s="1">
        <v>1.0</v>
      </c>
      <c r="T2002" s="1">
        <v>0.0</v>
      </c>
      <c r="X2002" s="1" t="s">
        <v>56</v>
      </c>
    </row>
    <row r="2003">
      <c r="A2003" s="3" t="str">
        <f>HYPERLINK("https://stackoverflow.com/q/61769866", "61769866")</f>
        <v>61769866</v>
      </c>
      <c r="B2003" s="1" t="s">
        <v>4681</v>
      </c>
      <c r="C2003" s="1" t="s">
        <v>7235</v>
      </c>
      <c r="D2003" s="2" t="s">
        <v>7236</v>
      </c>
      <c r="E2003" s="1">
        <v>1.0</v>
      </c>
      <c r="F2003" s="1">
        <v>6.1774602E7</v>
      </c>
      <c r="I2003" s="1">
        <v>0.0</v>
      </c>
      <c r="J2003" s="1">
        <v>32.0</v>
      </c>
      <c r="L2003" s="1">
        <v>1.1772968E7</v>
      </c>
      <c r="N2003" s="1">
        <v>7920473.0</v>
      </c>
      <c r="P2003" s="1" t="s">
        <v>7237</v>
      </c>
      <c r="Q2003" s="1" t="s">
        <v>7237</v>
      </c>
      <c r="R2003" s="1" t="s">
        <v>5022</v>
      </c>
      <c r="S2003" s="1">
        <v>1.0</v>
      </c>
      <c r="T2003" s="1">
        <v>0.0</v>
      </c>
      <c r="X2003" s="1" t="s">
        <v>56</v>
      </c>
      <c r="Z2003" s="1" t="s">
        <v>7238</v>
      </c>
    </row>
    <row r="2004">
      <c r="A2004" s="3" t="str">
        <f>HYPERLINK("https://stackoverflow.com/q/61776817", "61776817")</f>
        <v>61776817</v>
      </c>
      <c r="B2004" s="1" t="s">
        <v>4681</v>
      </c>
      <c r="C2004" s="1" t="s">
        <v>7239</v>
      </c>
      <c r="D2004" s="2" t="s">
        <v>7240</v>
      </c>
      <c r="E2004" s="1">
        <v>1.0</v>
      </c>
      <c r="I2004" s="1">
        <v>0.0</v>
      </c>
      <c r="J2004" s="1">
        <v>16.0</v>
      </c>
      <c r="L2004" s="1">
        <v>6835702.0</v>
      </c>
      <c r="Q2004" s="1" t="s">
        <v>7239</v>
      </c>
      <c r="R2004" s="1" t="s">
        <v>4836</v>
      </c>
      <c r="S2004" s="1">
        <v>0.0</v>
      </c>
      <c r="T2004" s="1">
        <v>0.0</v>
      </c>
      <c r="X2004" s="1" t="s">
        <v>56</v>
      </c>
    </row>
    <row r="2005">
      <c r="A2005" s="3" t="str">
        <f>HYPERLINK("https://stackoverflow.com/q/61778472", "61778472")</f>
        <v>61778472</v>
      </c>
      <c r="B2005" s="1" t="s">
        <v>4681</v>
      </c>
      <c r="C2005" s="1" t="s">
        <v>7241</v>
      </c>
      <c r="D2005" s="2" t="s">
        <v>7242</v>
      </c>
      <c r="E2005" s="1">
        <v>1.0</v>
      </c>
      <c r="F2005" s="1">
        <v>6.1779979E7</v>
      </c>
      <c r="I2005" s="1">
        <v>0.0</v>
      </c>
      <c r="J2005" s="1">
        <v>38.0</v>
      </c>
      <c r="L2005" s="1">
        <v>1779091.0</v>
      </c>
      <c r="N2005" s="1">
        <v>1779091.0</v>
      </c>
      <c r="P2005" s="1" t="s">
        <v>7243</v>
      </c>
      <c r="Q2005" s="1" t="s">
        <v>7244</v>
      </c>
      <c r="R2005" s="1" t="s">
        <v>7245</v>
      </c>
      <c r="S2005" s="1">
        <v>2.0</v>
      </c>
      <c r="T2005" s="1">
        <v>0.0</v>
      </c>
      <c r="X2005" s="1" t="s">
        <v>56</v>
      </c>
      <c r="Z2005" s="1" t="s">
        <v>7244</v>
      </c>
    </row>
    <row r="2006">
      <c r="A2006" s="3" t="str">
        <f>HYPERLINK("https://stackoverflow.com/q/61782652", "61782652")</f>
        <v>61782652</v>
      </c>
      <c r="B2006" s="1" t="s">
        <v>4681</v>
      </c>
      <c r="C2006" s="1" t="s">
        <v>7246</v>
      </c>
      <c r="D2006" s="2" t="s">
        <v>7247</v>
      </c>
      <c r="E2006" s="1">
        <v>1.0</v>
      </c>
      <c r="F2006" s="1">
        <v>6.1786229E7</v>
      </c>
      <c r="I2006" s="1">
        <v>1.0</v>
      </c>
      <c r="J2006" s="1">
        <v>32.0</v>
      </c>
      <c r="L2006" s="1">
        <v>1.349943E7</v>
      </c>
      <c r="N2006" s="1">
        <v>1.0676716E7</v>
      </c>
      <c r="P2006" s="1" t="s">
        <v>7248</v>
      </c>
      <c r="Q2006" s="1" t="s">
        <v>7248</v>
      </c>
      <c r="R2006" s="1" t="s">
        <v>7249</v>
      </c>
      <c r="S2006" s="1">
        <v>1.0</v>
      </c>
      <c r="T2006" s="1">
        <v>0.0</v>
      </c>
      <c r="X2006" s="1" t="s">
        <v>56</v>
      </c>
      <c r="Z2006" s="1" t="s">
        <v>7250</v>
      </c>
    </row>
    <row r="2007">
      <c r="A2007" s="3" t="str">
        <f>HYPERLINK("https://stackoverflow.com/q/61798937", "61798937")</f>
        <v>61798937</v>
      </c>
      <c r="B2007" s="1" t="s">
        <v>4681</v>
      </c>
      <c r="C2007" s="1" t="s">
        <v>7251</v>
      </c>
      <c r="D2007" s="2" t="s">
        <v>7252</v>
      </c>
      <c r="E2007" s="1">
        <v>1.0</v>
      </c>
      <c r="I2007" s="1">
        <v>0.0</v>
      </c>
      <c r="J2007" s="1">
        <v>10.0</v>
      </c>
      <c r="L2007" s="1">
        <v>1.3112758E7</v>
      </c>
      <c r="Q2007" s="1" t="s">
        <v>7251</v>
      </c>
      <c r="R2007" s="1" t="s">
        <v>6724</v>
      </c>
      <c r="S2007" s="1">
        <v>0.0</v>
      </c>
      <c r="T2007" s="1">
        <v>0.0</v>
      </c>
      <c r="X2007" s="1" t="s">
        <v>56</v>
      </c>
    </row>
    <row r="2008">
      <c r="A2008" s="3" t="str">
        <f>HYPERLINK("https://stackoverflow.com/q/61838119", "61838119")</f>
        <v>61838119</v>
      </c>
      <c r="B2008" s="1" t="s">
        <v>4681</v>
      </c>
      <c r="C2008" s="1" t="s">
        <v>7253</v>
      </c>
      <c r="D2008" s="2" t="s">
        <v>7254</v>
      </c>
      <c r="E2008" s="1">
        <v>1.0</v>
      </c>
      <c r="F2008" s="1">
        <v>6.1838615E7</v>
      </c>
      <c r="I2008" s="1">
        <v>2.0</v>
      </c>
      <c r="J2008" s="1">
        <v>36.0</v>
      </c>
      <c r="L2008" s="1">
        <v>1779091.0</v>
      </c>
      <c r="N2008" s="1">
        <v>7920473.0</v>
      </c>
      <c r="P2008" s="1" t="s">
        <v>7255</v>
      </c>
      <c r="Q2008" s="1" t="s">
        <v>7256</v>
      </c>
      <c r="R2008" s="1" t="s">
        <v>5338</v>
      </c>
      <c r="S2008" s="1">
        <v>2.0</v>
      </c>
      <c r="T2008" s="1">
        <v>0.0</v>
      </c>
      <c r="X2008" s="1" t="s">
        <v>56</v>
      </c>
      <c r="Z2008" s="1" t="s">
        <v>7257</v>
      </c>
    </row>
    <row r="2009">
      <c r="A2009" s="3" t="str">
        <f>HYPERLINK("https://stackoverflow.com/q/61840842", "61840842")</f>
        <v>61840842</v>
      </c>
      <c r="B2009" s="1" t="s">
        <v>4681</v>
      </c>
      <c r="C2009" s="1" t="s">
        <v>7258</v>
      </c>
      <c r="D2009" s="2" t="s">
        <v>7259</v>
      </c>
      <c r="E2009" s="1">
        <v>1.0</v>
      </c>
      <c r="F2009" s="1">
        <v>6.1863198E7</v>
      </c>
      <c r="I2009" s="1">
        <v>0.0</v>
      </c>
      <c r="J2009" s="1">
        <v>36.0</v>
      </c>
      <c r="L2009" s="1">
        <v>888367.0</v>
      </c>
      <c r="Q2009" s="1" t="s">
        <v>7260</v>
      </c>
      <c r="R2009" s="1" t="s">
        <v>7261</v>
      </c>
      <c r="S2009" s="1">
        <v>1.0</v>
      </c>
      <c r="T2009" s="1">
        <v>0.0</v>
      </c>
      <c r="X2009" s="1" t="s">
        <v>56</v>
      </c>
      <c r="Z2009" s="1" t="s">
        <v>7262</v>
      </c>
    </row>
    <row r="2010">
      <c r="A2010" s="3" t="str">
        <f>HYPERLINK("https://stackoverflow.com/q/61842832", "61842832")</f>
        <v>61842832</v>
      </c>
      <c r="B2010" s="1" t="s">
        <v>4681</v>
      </c>
      <c r="C2010" s="1" t="s">
        <v>7263</v>
      </c>
      <c r="D2010" s="2" t="s">
        <v>7264</v>
      </c>
      <c r="E2010" s="1">
        <v>1.0</v>
      </c>
      <c r="F2010" s="1">
        <v>6.185271E7</v>
      </c>
      <c r="I2010" s="1">
        <v>1.0</v>
      </c>
      <c r="J2010" s="1">
        <v>22.0</v>
      </c>
      <c r="L2010" s="1">
        <v>1.2573208E7</v>
      </c>
      <c r="N2010" s="1">
        <v>7920473.0</v>
      </c>
      <c r="P2010" s="1" t="s">
        <v>7265</v>
      </c>
      <c r="Q2010" s="1" t="s">
        <v>7266</v>
      </c>
      <c r="R2010" s="1" t="s">
        <v>7267</v>
      </c>
      <c r="S2010" s="1">
        <v>1.0</v>
      </c>
      <c r="T2010" s="1">
        <v>0.0</v>
      </c>
      <c r="X2010" s="1" t="s">
        <v>56</v>
      </c>
      <c r="Z2010" s="1" t="s">
        <v>7266</v>
      </c>
    </row>
    <row r="2011">
      <c r="A2011" s="3" t="str">
        <f>HYPERLINK("https://stackoverflow.com/q/61845738", "61845738")</f>
        <v>61845738</v>
      </c>
      <c r="B2011" s="1" t="s">
        <v>4681</v>
      </c>
      <c r="C2011" s="1" t="s">
        <v>7268</v>
      </c>
      <c r="D2011" s="2" t="s">
        <v>7269</v>
      </c>
      <c r="E2011" s="1">
        <v>1.0</v>
      </c>
      <c r="I2011" s="1">
        <v>1.0</v>
      </c>
      <c r="J2011" s="1">
        <v>25.0</v>
      </c>
      <c r="L2011" s="1">
        <v>7162586.0</v>
      </c>
      <c r="N2011" s="1">
        <v>7920473.0</v>
      </c>
      <c r="P2011" s="1" t="s">
        <v>7270</v>
      </c>
      <c r="Q2011" s="1" t="s">
        <v>7270</v>
      </c>
      <c r="R2011" s="1" t="s">
        <v>6138</v>
      </c>
      <c r="S2011" s="1">
        <v>1.0</v>
      </c>
      <c r="T2011" s="1">
        <v>0.0</v>
      </c>
      <c r="X2011" s="1" t="s">
        <v>56</v>
      </c>
    </row>
    <row r="2012">
      <c r="A2012" s="3" t="str">
        <f>HYPERLINK("https://stackoverflow.com/q/61865302", "61865302")</f>
        <v>61865302</v>
      </c>
      <c r="B2012" s="1" t="s">
        <v>4681</v>
      </c>
      <c r="C2012" s="1" t="s">
        <v>7271</v>
      </c>
      <c r="D2012" s="2" t="s">
        <v>7272</v>
      </c>
      <c r="E2012" s="1">
        <v>1.0</v>
      </c>
      <c r="F2012" s="1">
        <v>6.186536E7</v>
      </c>
      <c r="I2012" s="1">
        <v>0.0</v>
      </c>
      <c r="J2012" s="1">
        <v>30.0</v>
      </c>
      <c r="L2012" s="1">
        <v>1.2238953E7</v>
      </c>
      <c r="Q2012" s="1" t="s">
        <v>7273</v>
      </c>
      <c r="R2012" s="1" t="s">
        <v>7274</v>
      </c>
      <c r="S2012" s="1">
        <v>1.0</v>
      </c>
      <c r="T2012" s="1">
        <v>0.0</v>
      </c>
      <c r="X2012" s="1" t="s">
        <v>56</v>
      </c>
      <c r="Z2012" s="1" t="s">
        <v>7273</v>
      </c>
    </row>
    <row r="2013">
      <c r="A2013" s="3" t="str">
        <f>HYPERLINK("https://stackoverflow.com/q/61867669", "61867669")</f>
        <v>61867669</v>
      </c>
      <c r="B2013" s="1" t="s">
        <v>4681</v>
      </c>
      <c r="C2013" s="1" t="s">
        <v>7275</v>
      </c>
      <c r="D2013" s="2" t="s">
        <v>7276</v>
      </c>
      <c r="E2013" s="1">
        <v>1.0</v>
      </c>
      <c r="I2013" s="1">
        <v>0.0</v>
      </c>
      <c r="J2013" s="1">
        <v>9.0</v>
      </c>
      <c r="L2013" s="1">
        <v>1.1609127E7</v>
      </c>
      <c r="Q2013" s="1" t="s">
        <v>7275</v>
      </c>
      <c r="R2013" s="1" t="s">
        <v>7277</v>
      </c>
      <c r="S2013" s="1">
        <v>0.0</v>
      </c>
      <c r="T2013" s="1">
        <v>0.0</v>
      </c>
      <c r="X2013" s="1" t="s">
        <v>56</v>
      </c>
    </row>
    <row r="2014">
      <c r="A2014" s="3" t="str">
        <f>HYPERLINK("https://stackoverflow.com/q/61904800", "61904800")</f>
        <v>61904800</v>
      </c>
      <c r="B2014" s="1" t="s">
        <v>4681</v>
      </c>
      <c r="C2014" s="1" t="s">
        <v>7278</v>
      </c>
      <c r="D2014" s="2" t="s">
        <v>7279</v>
      </c>
      <c r="E2014" s="1">
        <v>1.0</v>
      </c>
      <c r="I2014" s="1">
        <v>0.0</v>
      </c>
      <c r="J2014" s="1">
        <v>18.0</v>
      </c>
      <c r="L2014" s="1">
        <v>1.1271313E7</v>
      </c>
      <c r="N2014" s="1">
        <v>1.1271313E7</v>
      </c>
      <c r="P2014" s="1" t="s">
        <v>7280</v>
      </c>
      <c r="Q2014" s="1" t="s">
        <v>7280</v>
      </c>
      <c r="R2014" s="1" t="s">
        <v>4697</v>
      </c>
      <c r="S2014" s="1">
        <v>1.0</v>
      </c>
      <c r="T2014" s="1">
        <v>0.0</v>
      </c>
      <c r="X2014" s="1" t="s">
        <v>56</v>
      </c>
    </row>
    <row r="2015">
      <c r="A2015" s="3" t="str">
        <f>HYPERLINK("https://stackoverflow.com/q/61909353", "61909353")</f>
        <v>61909353</v>
      </c>
      <c r="B2015" s="1" t="s">
        <v>4681</v>
      </c>
      <c r="C2015" s="1" t="s">
        <v>7281</v>
      </c>
      <c r="D2015" s="2" t="s">
        <v>7282</v>
      </c>
      <c r="E2015" s="1">
        <v>1.0</v>
      </c>
      <c r="F2015" s="1">
        <v>6.1912624E7</v>
      </c>
      <c r="I2015" s="1">
        <v>1.0</v>
      </c>
      <c r="J2015" s="1">
        <v>15.0</v>
      </c>
      <c r="L2015" s="1">
        <v>9413222.0</v>
      </c>
      <c r="Q2015" s="1" t="s">
        <v>7283</v>
      </c>
      <c r="R2015" s="1" t="s">
        <v>4697</v>
      </c>
      <c r="S2015" s="1">
        <v>1.0</v>
      </c>
      <c r="T2015" s="1">
        <v>0.0</v>
      </c>
      <c r="X2015" s="1" t="s">
        <v>56</v>
      </c>
      <c r="Z2015" s="1" t="s">
        <v>7283</v>
      </c>
    </row>
    <row r="2016">
      <c r="A2016" s="3" t="str">
        <f>HYPERLINK("https://stackoverflow.com/q/61915796", "61915796")</f>
        <v>61915796</v>
      </c>
      <c r="B2016" s="1" t="s">
        <v>4681</v>
      </c>
      <c r="C2016" s="1" t="s">
        <v>7284</v>
      </c>
      <c r="D2016" s="2" t="s">
        <v>7285</v>
      </c>
      <c r="E2016" s="1">
        <v>1.0</v>
      </c>
      <c r="I2016" s="1">
        <v>0.0</v>
      </c>
      <c r="J2016" s="1">
        <v>12.0</v>
      </c>
      <c r="L2016" s="1">
        <v>1.2573208E7</v>
      </c>
      <c r="N2016" s="1">
        <v>9245853.0</v>
      </c>
      <c r="P2016" s="1" t="s">
        <v>7286</v>
      </c>
      <c r="Q2016" s="1" t="s">
        <v>7286</v>
      </c>
      <c r="R2016" s="1" t="s">
        <v>7287</v>
      </c>
      <c r="S2016" s="1">
        <v>0.0</v>
      </c>
      <c r="T2016" s="1">
        <v>0.0</v>
      </c>
      <c r="X2016" s="1" t="s">
        <v>56</v>
      </c>
    </row>
    <row r="2017">
      <c r="A2017" s="3" t="str">
        <f>HYPERLINK("https://stackoverflow.com/q/61919301", "61919301")</f>
        <v>61919301</v>
      </c>
      <c r="B2017" s="1" t="s">
        <v>4681</v>
      </c>
      <c r="C2017" s="1" t="s">
        <v>7288</v>
      </c>
      <c r="D2017" s="2" t="s">
        <v>7289</v>
      </c>
      <c r="E2017" s="1">
        <v>1.0</v>
      </c>
      <c r="I2017" s="1">
        <v>0.0</v>
      </c>
      <c r="J2017" s="1">
        <v>35.0</v>
      </c>
      <c r="L2017" s="1">
        <v>1.3583822E7</v>
      </c>
      <c r="N2017" s="1">
        <v>1.3583822E7</v>
      </c>
      <c r="P2017" s="1" t="s">
        <v>7290</v>
      </c>
      <c r="Q2017" s="1" t="s">
        <v>7290</v>
      </c>
      <c r="R2017" s="1" t="s">
        <v>7143</v>
      </c>
      <c r="S2017" s="1">
        <v>1.0</v>
      </c>
      <c r="T2017" s="1">
        <v>0.0</v>
      </c>
      <c r="X2017" s="1" t="s">
        <v>56</v>
      </c>
    </row>
    <row r="2018">
      <c r="A2018" s="3" t="str">
        <f>HYPERLINK("https://stackoverflow.com/q/61936613", "61936613")</f>
        <v>61936613</v>
      </c>
      <c r="B2018" s="1" t="s">
        <v>4681</v>
      </c>
      <c r="C2018" s="1" t="s">
        <v>7291</v>
      </c>
      <c r="D2018" s="2" t="s">
        <v>7292</v>
      </c>
      <c r="E2018" s="1">
        <v>1.0</v>
      </c>
      <c r="F2018" s="1">
        <v>6.1947529E7</v>
      </c>
      <c r="I2018" s="1">
        <v>0.0</v>
      </c>
      <c r="J2018" s="1">
        <v>26.0</v>
      </c>
      <c r="L2018" s="1">
        <v>1.2484991E7</v>
      </c>
      <c r="Q2018" s="1" t="s">
        <v>7293</v>
      </c>
      <c r="R2018" s="1" t="s">
        <v>4697</v>
      </c>
      <c r="S2018" s="1">
        <v>1.0</v>
      </c>
      <c r="T2018" s="1">
        <v>0.0</v>
      </c>
      <c r="X2018" s="1" t="s">
        <v>56</v>
      </c>
      <c r="Z2018" s="1" t="s">
        <v>7293</v>
      </c>
    </row>
    <row r="2019">
      <c r="A2019" s="3" t="str">
        <f>HYPERLINK("https://stackoverflow.com/q/61939435", "61939435")</f>
        <v>61939435</v>
      </c>
      <c r="B2019" s="1" t="s">
        <v>4681</v>
      </c>
      <c r="C2019" s="1" t="s">
        <v>7294</v>
      </c>
      <c r="D2019" s="2" t="s">
        <v>7295</v>
      </c>
      <c r="E2019" s="1">
        <v>1.0</v>
      </c>
      <c r="I2019" s="1">
        <v>0.0</v>
      </c>
      <c r="J2019" s="1">
        <v>28.0</v>
      </c>
      <c r="L2019" s="1">
        <v>3199531.0</v>
      </c>
      <c r="Q2019" s="1" t="s">
        <v>7296</v>
      </c>
      <c r="R2019" s="1" t="s">
        <v>7297</v>
      </c>
      <c r="S2019" s="1">
        <v>1.0</v>
      </c>
      <c r="T2019" s="1">
        <v>0.0</v>
      </c>
      <c r="X2019" s="1" t="s">
        <v>56</v>
      </c>
    </row>
    <row r="2020">
      <c r="A2020" s="3" t="str">
        <f>HYPERLINK("https://stackoverflow.com/q/61964967", "61964967")</f>
        <v>61964967</v>
      </c>
      <c r="B2020" s="1" t="s">
        <v>4681</v>
      </c>
      <c r="C2020" s="1" t="s">
        <v>7298</v>
      </c>
      <c r="D2020" s="2" t="s">
        <v>7299</v>
      </c>
      <c r="E2020" s="1">
        <v>1.0</v>
      </c>
      <c r="I2020" s="1">
        <v>1.0</v>
      </c>
      <c r="J2020" s="1">
        <v>17.0</v>
      </c>
      <c r="L2020" s="1">
        <v>1.264974E7</v>
      </c>
      <c r="Q2020" s="1" t="s">
        <v>7300</v>
      </c>
      <c r="R2020" s="1" t="s">
        <v>6069</v>
      </c>
      <c r="S2020" s="1">
        <v>1.0</v>
      </c>
      <c r="T2020" s="1">
        <v>1.0</v>
      </c>
      <c r="X2020" s="1" t="s">
        <v>56</v>
      </c>
    </row>
    <row r="2021">
      <c r="A2021" s="3" t="str">
        <f>HYPERLINK("https://stackoverflow.com/q/62014768", "62014768")</f>
        <v>62014768</v>
      </c>
      <c r="B2021" s="1" t="s">
        <v>4681</v>
      </c>
      <c r="C2021" s="1" t="s">
        <v>7301</v>
      </c>
      <c r="D2021" s="2" t="s">
        <v>7302</v>
      </c>
      <c r="E2021" s="1">
        <v>1.0</v>
      </c>
      <c r="I2021" s="1">
        <v>0.0</v>
      </c>
      <c r="J2021" s="1">
        <v>6.0</v>
      </c>
      <c r="L2021" s="1">
        <v>1779091.0</v>
      </c>
      <c r="Q2021" s="1" t="s">
        <v>7301</v>
      </c>
      <c r="R2021" s="1" t="s">
        <v>7303</v>
      </c>
      <c r="S2021" s="1">
        <v>0.0</v>
      </c>
      <c r="T2021" s="1">
        <v>0.0</v>
      </c>
      <c r="X2021" s="1" t="s">
        <v>56</v>
      </c>
    </row>
    <row r="2022">
      <c r="A2022" s="3" t="str">
        <f>HYPERLINK("https://stackoverflow.com/q/62020899", "62020899")</f>
        <v>62020899</v>
      </c>
      <c r="B2022" s="1" t="s">
        <v>4681</v>
      </c>
      <c r="C2022" s="1" t="s">
        <v>7304</v>
      </c>
      <c r="D2022" s="2" t="s">
        <v>7305</v>
      </c>
      <c r="E2022" s="1">
        <v>1.0</v>
      </c>
      <c r="I2022" s="1">
        <v>1.0</v>
      </c>
      <c r="J2022" s="1">
        <v>11.0</v>
      </c>
      <c r="L2022" s="1">
        <v>1656298.0</v>
      </c>
      <c r="N2022" s="1">
        <v>1656298.0</v>
      </c>
      <c r="P2022" s="1" t="s">
        <v>7306</v>
      </c>
      <c r="Q2022" s="1" t="s">
        <v>7306</v>
      </c>
      <c r="R2022" s="1" t="s">
        <v>6069</v>
      </c>
      <c r="S2022" s="1">
        <v>0.0</v>
      </c>
      <c r="T2022" s="1">
        <v>0.0</v>
      </c>
      <c r="X2022" s="1" t="s">
        <v>56</v>
      </c>
    </row>
    <row r="2023">
      <c r="A2023" s="3" t="str">
        <f>HYPERLINK("https://stackoverflow.com/q/62037429", "62037429")</f>
        <v>62037429</v>
      </c>
      <c r="B2023" s="1" t="s">
        <v>4681</v>
      </c>
      <c r="C2023" s="1" t="s">
        <v>7307</v>
      </c>
      <c r="D2023" s="2" t="s">
        <v>7308</v>
      </c>
      <c r="E2023" s="1">
        <v>1.0</v>
      </c>
      <c r="I2023" s="1">
        <v>1.0</v>
      </c>
      <c r="J2023" s="1">
        <v>25.0</v>
      </c>
      <c r="L2023" s="1">
        <v>1.3625383E7</v>
      </c>
      <c r="Q2023" s="1" t="s">
        <v>7309</v>
      </c>
      <c r="R2023" s="1" t="s">
        <v>7310</v>
      </c>
      <c r="S2023" s="1">
        <v>1.0</v>
      </c>
      <c r="T2023" s="1">
        <v>0.0</v>
      </c>
      <c r="X2023" s="1" t="s">
        <v>56</v>
      </c>
    </row>
    <row r="2024">
      <c r="A2024" s="3" t="str">
        <f>HYPERLINK("https://stackoverflow.com/q/62065508", "62065508")</f>
        <v>62065508</v>
      </c>
      <c r="B2024" s="1" t="s">
        <v>4681</v>
      </c>
      <c r="C2024" s="1" t="s">
        <v>7311</v>
      </c>
      <c r="D2024" s="2" t="s">
        <v>7312</v>
      </c>
      <c r="E2024" s="1">
        <v>1.0</v>
      </c>
      <c r="I2024" s="1">
        <v>0.0</v>
      </c>
      <c r="J2024" s="1">
        <v>9.0</v>
      </c>
      <c r="L2024" s="1">
        <v>1595574.0</v>
      </c>
      <c r="Q2024" s="1" t="s">
        <v>7311</v>
      </c>
      <c r="R2024" s="1" t="s">
        <v>7313</v>
      </c>
      <c r="S2024" s="1">
        <v>0.0</v>
      </c>
      <c r="T2024" s="1">
        <v>0.0</v>
      </c>
      <c r="X2024" s="1" t="s">
        <v>56</v>
      </c>
    </row>
    <row r="2025">
      <c r="A2025" s="3" t="str">
        <f>HYPERLINK("https://stackoverflow.com/q/62074209", "62074209")</f>
        <v>62074209</v>
      </c>
      <c r="B2025" s="1" t="s">
        <v>4681</v>
      </c>
      <c r="C2025" s="1" t="s">
        <v>7314</v>
      </c>
      <c r="D2025" s="2" t="s">
        <v>7315</v>
      </c>
      <c r="E2025" s="1">
        <v>1.0</v>
      </c>
      <c r="I2025" s="1">
        <v>0.0</v>
      </c>
      <c r="J2025" s="1">
        <v>15.0</v>
      </c>
      <c r="L2025" s="1">
        <v>1.349943E7</v>
      </c>
      <c r="N2025" s="1">
        <v>1127428.0</v>
      </c>
      <c r="P2025" s="1" t="s">
        <v>7316</v>
      </c>
      <c r="Q2025" s="1" t="s">
        <v>7316</v>
      </c>
      <c r="R2025" s="1" t="s">
        <v>7317</v>
      </c>
      <c r="S2025" s="1">
        <v>0.0</v>
      </c>
      <c r="T2025" s="1">
        <v>1.0</v>
      </c>
      <c r="X2025" s="1" t="s">
        <v>56</v>
      </c>
    </row>
    <row r="2026">
      <c r="A2026" s="3" t="str">
        <f>HYPERLINK("https://stackoverflow.com/q/62077982", "62077982")</f>
        <v>62077982</v>
      </c>
      <c r="B2026" s="1" t="s">
        <v>4681</v>
      </c>
      <c r="C2026" s="1" t="s">
        <v>7318</v>
      </c>
      <c r="D2026" s="2" t="s">
        <v>7319</v>
      </c>
      <c r="E2026" s="1">
        <v>1.0</v>
      </c>
      <c r="I2026" s="1">
        <v>1.0</v>
      </c>
      <c r="J2026" s="1">
        <v>18.0</v>
      </c>
      <c r="L2026" s="1">
        <v>3075968.0</v>
      </c>
      <c r="N2026" s="1">
        <v>5436880.0</v>
      </c>
      <c r="P2026" s="1" t="s">
        <v>7320</v>
      </c>
      <c r="Q2026" s="1" t="s">
        <v>7320</v>
      </c>
      <c r="R2026" s="1" t="s">
        <v>6138</v>
      </c>
      <c r="S2026" s="1">
        <v>0.0</v>
      </c>
      <c r="T2026" s="1">
        <v>3.0</v>
      </c>
      <c r="X2026" s="1" t="s">
        <v>56</v>
      </c>
    </row>
    <row r="2027">
      <c r="A2027" s="3" t="str">
        <f>HYPERLINK("https://stackoverflow.com/q/62078096", "62078096")</f>
        <v>62078096</v>
      </c>
      <c r="B2027" s="1" t="s">
        <v>4681</v>
      </c>
      <c r="C2027" s="1" t="s">
        <v>7321</v>
      </c>
      <c r="D2027" s="2" t="s">
        <v>7322</v>
      </c>
      <c r="E2027" s="1">
        <v>1.0</v>
      </c>
      <c r="I2027" s="1">
        <v>0.0</v>
      </c>
      <c r="J2027" s="1">
        <v>26.0</v>
      </c>
      <c r="L2027" s="1">
        <v>1.3037012E7</v>
      </c>
      <c r="Q2027" s="1" t="s">
        <v>7323</v>
      </c>
      <c r="R2027" s="1" t="s">
        <v>4697</v>
      </c>
      <c r="S2027" s="1">
        <v>1.0</v>
      </c>
      <c r="T2027" s="1">
        <v>1.0</v>
      </c>
      <c r="X2027" s="1" t="s">
        <v>56</v>
      </c>
    </row>
    <row r="2028">
      <c r="A2028" s="3" t="str">
        <f>HYPERLINK("https://stackoverflow.com/q/62078382", "62078382")</f>
        <v>62078382</v>
      </c>
      <c r="B2028" s="1" t="s">
        <v>4681</v>
      </c>
      <c r="C2028" s="1" t="s">
        <v>7324</v>
      </c>
      <c r="D2028" s="2" t="s">
        <v>7325</v>
      </c>
      <c r="E2028" s="1">
        <v>1.0</v>
      </c>
      <c r="I2028" s="1">
        <v>1.0</v>
      </c>
      <c r="J2028" s="1">
        <v>8.0</v>
      </c>
      <c r="L2028" s="1">
        <v>1490835.0</v>
      </c>
      <c r="Q2028" s="1" t="s">
        <v>7324</v>
      </c>
      <c r="R2028" s="1" t="s">
        <v>6138</v>
      </c>
      <c r="S2028" s="1">
        <v>0.0</v>
      </c>
      <c r="T2028" s="1">
        <v>0.0</v>
      </c>
      <c r="X2028" s="1" t="s">
        <v>56</v>
      </c>
    </row>
    <row r="2029">
      <c r="A2029" s="3" t="str">
        <f>HYPERLINK("https://stackoverflow.com/q/62087465", "62087465")</f>
        <v>62087465</v>
      </c>
      <c r="B2029" s="1" t="s">
        <v>4681</v>
      </c>
      <c r="C2029" s="1" t="s">
        <v>7326</v>
      </c>
      <c r="D2029" s="2" t="s">
        <v>7327</v>
      </c>
      <c r="E2029" s="1">
        <v>1.0</v>
      </c>
      <c r="I2029" s="1">
        <v>0.0</v>
      </c>
      <c r="J2029" s="1">
        <v>5.0</v>
      </c>
      <c r="L2029" s="1">
        <v>1.2464631E7</v>
      </c>
      <c r="Q2029" s="1" t="s">
        <v>7326</v>
      </c>
      <c r="R2029" s="1" t="s">
        <v>7328</v>
      </c>
      <c r="S2029" s="1">
        <v>0.0</v>
      </c>
      <c r="T2029" s="1">
        <v>0.0</v>
      </c>
      <c r="X2029" s="1" t="s">
        <v>56</v>
      </c>
    </row>
    <row r="2030">
      <c r="A2030" s="3" t="str">
        <f>HYPERLINK("https://stackoverflow.com/q/62100452", "62100452")</f>
        <v>62100452</v>
      </c>
      <c r="B2030" s="1" t="s">
        <v>4681</v>
      </c>
      <c r="C2030" s="1" t="s">
        <v>7329</v>
      </c>
      <c r="D2030" s="2" t="s">
        <v>7330</v>
      </c>
      <c r="E2030" s="1">
        <v>1.0</v>
      </c>
      <c r="I2030" s="1">
        <v>0.0</v>
      </c>
      <c r="J2030" s="1">
        <v>4.0</v>
      </c>
      <c r="L2030" s="1">
        <v>491752.0</v>
      </c>
      <c r="Q2030" s="1" t="s">
        <v>7329</v>
      </c>
      <c r="R2030" s="1" t="s">
        <v>7331</v>
      </c>
      <c r="S2030" s="1">
        <v>0.0</v>
      </c>
      <c r="T2030" s="1">
        <v>0.0</v>
      </c>
      <c r="X2030" s="1" t="s">
        <v>56</v>
      </c>
    </row>
    <row r="2031">
      <c r="A2031" s="3" t="str">
        <f>HYPERLINK("https://stackoverflow.com/q/62101239", "62101239")</f>
        <v>62101239</v>
      </c>
      <c r="B2031" s="1" t="s">
        <v>4681</v>
      </c>
      <c r="C2031" s="1" t="s">
        <v>7332</v>
      </c>
      <c r="D2031" s="2" t="s">
        <v>7333</v>
      </c>
      <c r="E2031" s="1">
        <v>1.0</v>
      </c>
      <c r="I2031" s="1">
        <v>0.0</v>
      </c>
      <c r="J2031" s="1">
        <v>5.0</v>
      </c>
      <c r="L2031" s="1">
        <v>1.2464631E7</v>
      </c>
      <c r="Q2031" s="1" t="s">
        <v>7332</v>
      </c>
      <c r="R2031" s="1" t="s">
        <v>7334</v>
      </c>
      <c r="S2031" s="1">
        <v>0.0</v>
      </c>
      <c r="T2031" s="1">
        <v>0.0</v>
      </c>
      <c r="X2031" s="1" t="s">
        <v>56</v>
      </c>
    </row>
    <row r="2032">
      <c r="A2032" s="3" t="str">
        <f>HYPERLINK("https://stackoverflow.com/q/62103461", "62103461")</f>
        <v>62103461</v>
      </c>
      <c r="B2032" s="1" t="s">
        <v>4681</v>
      </c>
      <c r="C2032" s="1" t="s">
        <v>7335</v>
      </c>
      <c r="D2032" s="2" t="s">
        <v>7336</v>
      </c>
      <c r="E2032" s="1">
        <v>1.0</v>
      </c>
      <c r="I2032" s="1">
        <v>0.0</v>
      </c>
      <c r="J2032" s="1">
        <v>7.0</v>
      </c>
      <c r="L2032" s="1">
        <v>491752.0</v>
      </c>
      <c r="Q2032" s="1" t="s">
        <v>7335</v>
      </c>
      <c r="R2032" s="1" t="s">
        <v>4697</v>
      </c>
      <c r="S2032" s="1">
        <v>0.0</v>
      </c>
      <c r="T2032" s="1">
        <v>0.0</v>
      </c>
      <c r="X2032" s="1" t="s">
        <v>56</v>
      </c>
    </row>
    <row r="2033">
      <c r="A2033" s="3" t="str">
        <f>HYPERLINK("https://stackoverflow.com/q/980932", "980932")</f>
        <v>980932</v>
      </c>
      <c r="B2033" s="1" t="s">
        <v>7337</v>
      </c>
      <c r="C2033" s="1" t="s">
        <v>7338</v>
      </c>
      <c r="D2033" s="2" t="s">
        <v>7339</v>
      </c>
      <c r="E2033" s="1">
        <v>1.0</v>
      </c>
      <c r="F2033" s="1">
        <v>981468.0</v>
      </c>
      <c r="I2033" s="1">
        <v>2.0</v>
      </c>
      <c r="J2033" s="1">
        <v>1263.0</v>
      </c>
      <c r="L2033" s="1">
        <v>119400.0</v>
      </c>
      <c r="N2033" s="1">
        <v>1845869.0</v>
      </c>
      <c r="P2033" s="1" t="s">
        <v>7340</v>
      </c>
      <c r="Q2033" s="1" t="s">
        <v>7340</v>
      </c>
      <c r="R2033" s="1" t="s">
        <v>7341</v>
      </c>
      <c r="S2033" s="1">
        <v>1.0</v>
      </c>
      <c r="T2033" s="1">
        <v>1.0</v>
      </c>
      <c r="U2033" s="1">
        <v>1.0</v>
      </c>
      <c r="X2033" s="1" t="s">
        <v>29</v>
      </c>
      <c r="Z2033" s="1" t="s">
        <v>7342</v>
      </c>
    </row>
    <row r="2034">
      <c r="A2034" s="3" t="str">
        <f>HYPERLINK("https://stackoverflow.com/q/9041860", "9041860")</f>
        <v>9041860</v>
      </c>
      <c r="B2034" s="1" t="s">
        <v>7337</v>
      </c>
      <c r="C2034" s="1" t="s">
        <v>7343</v>
      </c>
      <c r="D2034" s="2" t="s">
        <v>7344</v>
      </c>
      <c r="E2034" s="1">
        <v>1.0</v>
      </c>
      <c r="I2034" s="1">
        <v>0.0</v>
      </c>
      <c r="J2034" s="1">
        <v>748.0</v>
      </c>
      <c r="L2034" s="1">
        <v>1174632.0</v>
      </c>
      <c r="Q2034" s="1" t="s">
        <v>7345</v>
      </c>
      <c r="R2034" s="1" t="s">
        <v>7346</v>
      </c>
      <c r="S2034" s="1">
        <v>2.0</v>
      </c>
      <c r="T2034" s="1">
        <v>0.0</v>
      </c>
      <c r="X2034" s="1" t="s">
        <v>29</v>
      </c>
    </row>
    <row r="2035">
      <c r="A2035" s="3" t="str">
        <f>HYPERLINK("https://stackoverflow.com/q/9076585", "9076585")</f>
        <v>9076585</v>
      </c>
      <c r="B2035" s="1" t="s">
        <v>7337</v>
      </c>
      <c r="C2035" s="1" t="s">
        <v>7347</v>
      </c>
      <c r="D2035" s="2" t="s">
        <v>7348</v>
      </c>
      <c r="E2035" s="1">
        <v>1.0</v>
      </c>
      <c r="I2035" s="1">
        <v>0.0</v>
      </c>
      <c r="J2035" s="1">
        <v>1357.0</v>
      </c>
      <c r="L2035" s="1">
        <v>1156201.0</v>
      </c>
      <c r="Q2035" s="1" t="s">
        <v>7349</v>
      </c>
      <c r="R2035" s="1" t="s">
        <v>7350</v>
      </c>
      <c r="S2035" s="1">
        <v>1.0</v>
      </c>
      <c r="T2035" s="1">
        <v>0.0</v>
      </c>
      <c r="X2035" s="1" t="s">
        <v>29</v>
      </c>
    </row>
    <row r="2036">
      <c r="A2036" s="3" t="str">
        <f>HYPERLINK("https://stackoverflow.com/q/9139207", "9139207")</f>
        <v>9139207</v>
      </c>
      <c r="B2036" s="1" t="s">
        <v>7337</v>
      </c>
      <c r="C2036" s="1" t="s">
        <v>7351</v>
      </c>
      <c r="D2036" s="2" t="s">
        <v>7352</v>
      </c>
      <c r="E2036" s="1">
        <v>1.0</v>
      </c>
      <c r="I2036" s="1">
        <v>1.0</v>
      </c>
      <c r="J2036" s="1">
        <v>385.0</v>
      </c>
      <c r="L2036" s="1">
        <v>1156201.0</v>
      </c>
      <c r="Q2036" s="1" t="s">
        <v>7353</v>
      </c>
      <c r="R2036" s="1" t="s">
        <v>7354</v>
      </c>
      <c r="S2036" s="1">
        <v>1.0</v>
      </c>
      <c r="T2036" s="1">
        <v>1.0</v>
      </c>
      <c r="X2036" s="1" t="s">
        <v>29</v>
      </c>
    </row>
    <row r="2037">
      <c r="A2037" s="3" t="str">
        <f>HYPERLINK("https://stackoverflow.com/q/9257823", "9257823")</f>
        <v>9257823</v>
      </c>
      <c r="B2037" s="1" t="s">
        <v>7337</v>
      </c>
      <c r="C2037" s="1" t="s">
        <v>7355</v>
      </c>
      <c r="D2037" s="2" t="s">
        <v>7356</v>
      </c>
      <c r="E2037" s="1">
        <v>1.0</v>
      </c>
      <c r="I2037" s="1">
        <v>1.0</v>
      </c>
      <c r="J2037" s="1">
        <v>302.0</v>
      </c>
      <c r="L2037" s="1">
        <v>1156201.0</v>
      </c>
      <c r="Q2037" s="1" t="s">
        <v>7357</v>
      </c>
      <c r="R2037" s="1" t="s">
        <v>7354</v>
      </c>
      <c r="S2037" s="1">
        <v>1.0</v>
      </c>
      <c r="T2037" s="1">
        <v>0.0</v>
      </c>
      <c r="X2037" s="1" t="s">
        <v>29</v>
      </c>
    </row>
    <row r="2038">
      <c r="A2038" s="3" t="str">
        <f>HYPERLINK("https://stackoverflow.com/q/9588748", "9588748")</f>
        <v>9588748</v>
      </c>
      <c r="B2038" s="1" t="s">
        <v>7337</v>
      </c>
      <c r="C2038" s="1" t="s">
        <v>7358</v>
      </c>
      <c r="D2038" s="2" t="s">
        <v>7359</v>
      </c>
      <c r="E2038" s="1">
        <v>1.0</v>
      </c>
      <c r="F2038" s="1">
        <v>9594781.0</v>
      </c>
      <c r="I2038" s="1">
        <v>0.0</v>
      </c>
      <c r="J2038" s="1">
        <v>345.0</v>
      </c>
      <c r="L2038" s="1">
        <v>1251660.0</v>
      </c>
      <c r="N2038" s="1">
        <v>11827.0</v>
      </c>
      <c r="P2038" s="1" t="s">
        <v>7360</v>
      </c>
      <c r="Q2038" s="1" t="s">
        <v>7360</v>
      </c>
      <c r="R2038" s="1" t="s">
        <v>7361</v>
      </c>
      <c r="S2038" s="1">
        <v>1.0</v>
      </c>
      <c r="T2038" s="1">
        <v>0.0</v>
      </c>
      <c r="X2038" s="1" t="s">
        <v>29</v>
      </c>
      <c r="Z2038" s="1" t="s">
        <v>7362</v>
      </c>
    </row>
    <row r="2039">
      <c r="A2039" s="3" t="str">
        <f>HYPERLINK("https://stackoverflow.com/q/9980294", "9980294")</f>
        <v>9980294</v>
      </c>
      <c r="B2039" s="1" t="s">
        <v>7337</v>
      </c>
      <c r="C2039" s="1" t="s">
        <v>7363</v>
      </c>
      <c r="D2039" s="2" t="s">
        <v>7364</v>
      </c>
      <c r="E2039" s="1">
        <v>1.0</v>
      </c>
      <c r="F2039" s="1">
        <v>9980586.0</v>
      </c>
      <c r="I2039" s="1">
        <v>0.0</v>
      </c>
      <c r="J2039" s="1">
        <v>623.0</v>
      </c>
      <c r="L2039" s="1">
        <v>68707.0</v>
      </c>
      <c r="Q2039" s="1" t="s">
        <v>7365</v>
      </c>
      <c r="R2039" s="1" t="s">
        <v>7366</v>
      </c>
      <c r="S2039" s="1">
        <v>1.0</v>
      </c>
      <c r="T2039" s="1">
        <v>4.0</v>
      </c>
      <c r="X2039" s="1" t="s">
        <v>29</v>
      </c>
      <c r="Z2039" s="1" t="s">
        <v>7365</v>
      </c>
    </row>
    <row r="2040">
      <c r="A2040" s="3" t="str">
        <f>HYPERLINK("https://stackoverflow.com/q/10152372", "10152372")</f>
        <v>10152372</v>
      </c>
      <c r="B2040" s="1" t="s">
        <v>7337</v>
      </c>
      <c r="C2040" s="1" t="s">
        <v>7367</v>
      </c>
      <c r="D2040" s="2" t="s">
        <v>7368</v>
      </c>
      <c r="E2040" s="1">
        <v>1.0</v>
      </c>
      <c r="I2040" s="1">
        <v>0.0</v>
      </c>
      <c r="J2040" s="1">
        <v>247.0</v>
      </c>
      <c r="L2040" s="1">
        <v>1154757.0</v>
      </c>
      <c r="Q2040" s="1" t="s">
        <v>7369</v>
      </c>
      <c r="R2040" s="1" t="s">
        <v>7370</v>
      </c>
      <c r="S2040" s="1">
        <v>1.0</v>
      </c>
      <c r="T2040" s="1">
        <v>0.0</v>
      </c>
      <c r="X2040" s="1" t="s">
        <v>29</v>
      </c>
    </row>
    <row r="2041">
      <c r="A2041" s="3" t="str">
        <f>HYPERLINK("https://stackoverflow.com/q/10247749", "10247749")</f>
        <v>10247749</v>
      </c>
      <c r="B2041" s="1" t="s">
        <v>7337</v>
      </c>
      <c r="C2041" s="1" t="s">
        <v>7371</v>
      </c>
      <c r="D2041" s="2" t="s">
        <v>7372</v>
      </c>
      <c r="E2041" s="1">
        <v>1.0</v>
      </c>
      <c r="F2041" s="1">
        <v>1.0250659E7</v>
      </c>
      <c r="I2041" s="1">
        <v>1.0</v>
      </c>
      <c r="J2041" s="1">
        <v>2485.0</v>
      </c>
      <c r="M2041" s="1" t="s">
        <v>7373</v>
      </c>
      <c r="Q2041" s="1" t="s">
        <v>7374</v>
      </c>
      <c r="R2041" s="1" t="s">
        <v>7375</v>
      </c>
      <c r="S2041" s="1">
        <v>3.0</v>
      </c>
      <c r="T2041" s="1">
        <v>0.0</v>
      </c>
      <c r="X2041" s="1" t="s">
        <v>29</v>
      </c>
      <c r="Z2041" s="1" t="s">
        <v>7376</v>
      </c>
    </row>
    <row r="2042">
      <c r="A2042" s="3" t="str">
        <f>HYPERLINK("https://stackoverflow.com/q/10476572", "10476572")</f>
        <v>10476572</v>
      </c>
      <c r="B2042" s="1" t="s">
        <v>7337</v>
      </c>
      <c r="C2042" s="1" t="s">
        <v>7377</v>
      </c>
      <c r="D2042" s="2" t="s">
        <v>7378</v>
      </c>
      <c r="E2042" s="1">
        <v>1.0</v>
      </c>
      <c r="F2042" s="1">
        <v>1.2054906E7</v>
      </c>
      <c r="I2042" s="1">
        <v>0.0</v>
      </c>
      <c r="J2042" s="1">
        <v>2320.0</v>
      </c>
      <c r="L2042" s="1">
        <v>907666.0</v>
      </c>
      <c r="N2042" s="1">
        <v>1210520.0</v>
      </c>
      <c r="P2042" s="1" t="s">
        <v>7379</v>
      </c>
      <c r="Q2042" s="1" t="s">
        <v>7379</v>
      </c>
      <c r="R2042" s="1" t="s">
        <v>7380</v>
      </c>
      <c r="S2042" s="1">
        <v>1.0</v>
      </c>
      <c r="T2042" s="1">
        <v>0.0</v>
      </c>
      <c r="X2042" s="1" t="s">
        <v>29</v>
      </c>
      <c r="Z2042" s="1" t="s">
        <v>7381</v>
      </c>
    </row>
    <row r="2043">
      <c r="A2043" s="3" t="str">
        <f>HYPERLINK("https://stackoverflow.com/q/10557731", "10557731")</f>
        <v>10557731</v>
      </c>
      <c r="B2043" s="1" t="s">
        <v>7337</v>
      </c>
      <c r="C2043" s="1" t="s">
        <v>7382</v>
      </c>
      <c r="D2043" s="2" t="s">
        <v>7383</v>
      </c>
      <c r="E2043" s="1">
        <v>1.0</v>
      </c>
      <c r="I2043" s="1">
        <v>0.0</v>
      </c>
      <c r="J2043" s="1">
        <v>1753.0</v>
      </c>
      <c r="L2043" s="1">
        <v>1390191.0</v>
      </c>
      <c r="Q2043" s="1" t="s">
        <v>7384</v>
      </c>
      <c r="R2043" s="1" t="s">
        <v>7385</v>
      </c>
      <c r="S2043" s="1">
        <v>1.0</v>
      </c>
      <c r="T2043" s="1">
        <v>1.0</v>
      </c>
      <c r="X2043" s="1" t="s">
        <v>29</v>
      </c>
    </row>
    <row r="2044">
      <c r="A2044" s="3" t="str">
        <f>HYPERLINK("https://stackoverflow.com/q/11513122", "11513122")</f>
        <v>11513122</v>
      </c>
      <c r="B2044" s="1" t="s">
        <v>7337</v>
      </c>
      <c r="C2044" s="1" t="s">
        <v>7386</v>
      </c>
      <c r="D2044" s="2" t="s">
        <v>7387</v>
      </c>
      <c r="E2044" s="1">
        <v>1.0</v>
      </c>
      <c r="F2044" s="1">
        <v>1.1513164E7</v>
      </c>
      <c r="I2044" s="1">
        <v>3.0</v>
      </c>
      <c r="J2044" s="1">
        <v>5412.0</v>
      </c>
      <c r="L2044" s="1">
        <v>1507552.0</v>
      </c>
      <c r="Q2044" s="1" t="s">
        <v>7388</v>
      </c>
      <c r="R2044" s="1" t="s">
        <v>7389</v>
      </c>
      <c r="S2044" s="1">
        <v>3.0</v>
      </c>
      <c r="T2044" s="1">
        <v>0.0</v>
      </c>
      <c r="U2044" s="1">
        <v>1.0</v>
      </c>
      <c r="X2044" s="1" t="s">
        <v>29</v>
      </c>
      <c r="Z2044" s="1" t="s">
        <v>7390</v>
      </c>
    </row>
    <row r="2045">
      <c r="A2045" s="3" t="str">
        <f>HYPERLINK("https://stackoverflow.com/q/12270740", "12270740")</f>
        <v>12270740</v>
      </c>
      <c r="B2045" s="1" t="s">
        <v>7337</v>
      </c>
      <c r="C2045" s="1" t="s">
        <v>7391</v>
      </c>
      <c r="D2045" s="2" t="s">
        <v>7392</v>
      </c>
      <c r="E2045" s="1">
        <v>1.0</v>
      </c>
      <c r="F2045" s="1">
        <v>1.2272004E7</v>
      </c>
      <c r="I2045" s="1">
        <v>0.0</v>
      </c>
      <c r="J2045" s="1">
        <v>219.0</v>
      </c>
      <c r="L2045" s="1">
        <v>1170550.0</v>
      </c>
      <c r="Q2045" s="1" t="s">
        <v>7393</v>
      </c>
      <c r="R2045" s="1" t="s">
        <v>7394</v>
      </c>
      <c r="S2045" s="1">
        <v>2.0</v>
      </c>
      <c r="T2045" s="1">
        <v>0.0</v>
      </c>
      <c r="X2045" s="1" t="s">
        <v>29</v>
      </c>
      <c r="Z2045" s="1" t="s">
        <v>7395</v>
      </c>
    </row>
    <row r="2046">
      <c r="A2046" s="3" t="str">
        <f>HYPERLINK("https://stackoverflow.com/q/13056153", "13056153")</f>
        <v>13056153</v>
      </c>
      <c r="B2046" s="1" t="s">
        <v>7337</v>
      </c>
      <c r="C2046" s="1" t="s">
        <v>7396</v>
      </c>
      <c r="D2046" s="2" t="s">
        <v>7397</v>
      </c>
      <c r="E2046" s="1">
        <v>1.0</v>
      </c>
      <c r="F2046" s="1">
        <v>1.307722E7</v>
      </c>
      <c r="I2046" s="1">
        <v>0.0</v>
      </c>
      <c r="J2046" s="1">
        <v>497.0</v>
      </c>
      <c r="L2046" s="1">
        <v>1342183.0</v>
      </c>
      <c r="Q2046" s="1" t="s">
        <v>7398</v>
      </c>
      <c r="R2046" s="1" t="s">
        <v>7399</v>
      </c>
      <c r="S2046" s="1">
        <v>3.0</v>
      </c>
      <c r="T2046" s="1">
        <v>0.0</v>
      </c>
      <c r="X2046" s="1" t="s">
        <v>29</v>
      </c>
      <c r="Z2046" s="1" t="s">
        <v>7398</v>
      </c>
    </row>
    <row r="2047">
      <c r="A2047" s="3" t="str">
        <f>HYPERLINK("https://stackoverflow.com/q/13480693", "13480693")</f>
        <v>13480693</v>
      </c>
      <c r="B2047" s="1" t="s">
        <v>7337</v>
      </c>
      <c r="C2047" s="1" t="s">
        <v>7400</v>
      </c>
      <c r="D2047" s="2" t="s">
        <v>7401</v>
      </c>
      <c r="E2047" s="1">
        <v>1.0</v>
      </c>
      <c r="I2047" s="1">
        <v>0.0</v>
      </c>
      <c r="J2047" s="1">
        <v>137.0</v>
      </c>
      <c r="L2047" s="1">
        <v>1839308.0</v>
      </c>
      <c r="N2047" s="1">
        <v>967100.0</v>
      </c>
      <c r="P2047" s="1" t="s">
        <v>7402</v>
      </c>
      <c r="Q2047" s="1" t="s">
        <v>7402</v>
      </c>
      <c r="R2047" s="1" t="s">
        <v>7403</v>
      </c>
      <c r="S2047" s="1">
        <v>0.0</v>
      </c>
      <c r="T2047" s="1">
        <v>8.0</v>
      </c>
      <c r="X2047" s="1" t="s">
        <v>29</v>
      </c>
    </row>
    <row r="2048">
      <c r="A2048" s="3" t="str">
        <f>HYPERLINK("https://stackoverflow.com/q/15006547", "15006547")</f>
        <v>15006547</v>
      </c>
      <c r="B2048" s="1" t="s">
        <v>7337</v>
      </c>
      <c r="C2048" s="1" t="s">
        <v>7404</v>
      </c>
      <c r="D2048" s="2" t="s">
        <v>7405</v>
      </c>
      <c r="E2048" s="1">
        <v>1.0</v>
      </c>
      <c r="F2048" s="1">
        <v>1.5009709E7</v>
      </c>
      <c r="I2048" s="1">
        <v>1.0</v>
      </c>
      <c r="J2048" s="1">
        <v>601.0</v>
      </c>
      <c r="L2048" s="1">
        <v>592760.0</v>
      </c>
      <c r="Q2048" s="1" t="s">
        <v>7406</v>
      </c>
      <c r="R2048" s="1" t="s">
        <v>7354</v>
      </c>
      <c r="S2048" s="1">
        <v>1.0</v>
      </c>
      <c r="T2048" s="1">
        <v>0.0</v>
      </c>
      <c r="X2048" s="1" t="s">
        <v>29</v>
      </c>
      <c r="Z2048" s="1" t="s">
        <v>7406</v>
      </c>
    </row>
    <row r="2049">
      <c r="A2049" s="3" t="str">
        <f>HYPERLINK("https://stackoverflow.com/q/15045253", "15045253")</f>
        <v>15045253</v>
      </c>
      <c r="B2049" s="1" t="s">
        <v>7337</v>
      </c>
      <c r="C2049" s="1" t="s">
        <v>7407</v>
      </c>
      <c r="D2049" s="2" t="s">
        <v>7408</v>
      </c>
      <c r="E2049" s="1">
        <v>1.0</v>
      </c>
      <c r="I2049" s="1">
        <v>3.0</v>
      </c>
      <c r="J2049" s="1">
        <v>260.0</v>
      </c>
      <c r="L2049" s="1">
        <v>2097626.0</v>
      </c>
      <c r="N2049" s="1">
        <v>2097626.0</v>
      </c>
      <c r="P2049" s="1" t="s">
        <v>7409</v>
      </c>
      <c r="Q2049" s="1" t="s">
        <v>7409</v>
      </c>
      <c r="R2049" s="1" t="s">
        <v>7410</v>
      </c>
      <c r="S2049" s="1">
        <v>0.0</v>
      </c>
      <c r="T2049" s="1">
        <v>3.0</v>
      </c>
      <c r="X2049" s="1" t="s">
        <v>29</v>
      </c>
    </row>
    <row r="2050">
      <c r="A2050" s="3" t="str">
        <f>HYPERLINK("https://stackoverflow.com/q/17958629", "17958629")</f>
        <v>17958629</v>
      </c>
      <c r="B2050" s="1" t="s">
        <v>7337</v>
      </c>
      <c r="C2050" s="1" t="s">
        <v>7411</v>
      </c>
      <c r="D2050" s="2" t="s">
        <v>7412</v>
      </c>
      <c r="E2050" s="1">
        <v>1.0</v>
      </c>
      <c r="F2050" s="1">
        <v>1.796776E7</v>
      </c>
      <c r="I2050" s="1">
        <v>0.0</v>
      </c>
      <c r="J2050" s="1">
        <v>361.0</v>
      </c>
      <c r="L2050" s="1">
        <v>977570.0</v>
      </c>
      <c r="N2050" s="1">
        <v>977570.0</v>
      </c>
      <c r="P2050" s="1" t="s">
        <v>7413</v>
      </c>
      <c r="Q2050" s="1" t="s">
        <v>7414</v>
      </c>
      <c r="R2050" s="1" t="s">
        <v>7415</v>
      </c>
      <c r="S2050" s="1">
        <v>1.0</v>
      </c>
      <c r="T2050" s="1">
        <v>0.0</v>
      </c>
      <c r="X2050" s="1" t="s">
        <v>29</v>
      </c>
      <c r="Z2050" s="1" t="s">
        <v>7414</v>
      </c>
    </row>
    <row r="2051">
      <c r="A2051" s="3" t="str">
        <f>HYPERLINK("https://stackoverflow.com/q/18270581", "18270581")</f>
        <v>18270581</v>
      </c>
      <c r="B2051" s="1" t="s">
        <v>7337</v>
      </c>
      <c r="C2051" s="1" t="s">
        <v>7416</v>
      </c>
      <c r="D2051" s="2" t="s">
        <v>7417</v>
      </c>
      <c r="E2051" s="1">
        <v>1.0</v>
      </c>
      <c r="F2051" s="1">
        <v>2.2000445E7</v>
      </c>
      <c r="I2051" s="1">
        <v>0.0</v>
      </c>
      <c r="J2051" s="1">
        <v>350.0</v>
      </c>
      <c r="L2051" s="1">
        <v>2609583.0</v>
      </c>
      <c r="N2051" s="1">
        <v>1990684.0</v>
      </c>
      <c r="P2051" s="1" t="s">
        <v>7418</v>
      </c>
      <c r="Q2051" s="1" t="s">
        <v>7419</v>
      </c>
      <c r="R2051" s="1" t="s">
        <v>7420</v>
      </c>
      <c r="S2051" s="1">
        <v>1.0</v>
      </c>
      <c r="T2051" s="1">
        <v>0.0</v>
      </c>
      <c r="X2051" s="1" t="s">
        <v>29</v>
      </c>
      <c r="Z2051" s="1" t="s">
        <v>7421</v>
      </c>
    </row>
    <row r="2052">
      <c r="A2052" s="3" t="str">
        <f>HYPERLINK("https://stackoverflow.com/q/19654786", "19654786")</f>
        <v>19654786</v>
      </c>
      <c r="B2052" s="1" t="s">
        <v>7337</v>
      </c>
      <c r="C2052" s="1" t="s">
        <v>7422</v>
      </c>
      <c r="D2052" s="2" t="s">
        <v>7423</v>
      </c>
      <c r="E2052" s="1">
        <v>1.0</v>
      </c>
      <c r="I2052" s="1">
        <v>0.0</v>
      </c>
      <c r="J2052" s="1">
        <v>102.0</v>
      </c>
      <c r="L2052" s="1">
        <v>743043.0</v>
      </c>
      <c r="N2052" s="1">
        <v>743043.0</v>
      </c>
      <c r="P2052" s="1" t="s">
        <v>7424</v>
      </c>
      <c r="Q2052" s="1" t="s">
        <v>7425</v>
      </c>
      <c r="R2052" s="1" t="s">
        <v>7426</v>
      </c>
      <c r="S2052" s="1">
        <v>1.0</v>
      </c>
      <c r="T2052" s="1">
        <v>2.0</v>
      </c>
      <c r="X2052" s="1" t="s">
        <v>29</v>
      </c>
    </row>
    <row r="2053">
      <c r="A2053" s="3" t="str">
        <f>HYPERLINK("https://stackoverflow.com/q/20846544", "20846544")</f>
        <v>20846544</v>
      </c>
      <c r="B2053" s="1" t="s">
        <v>7337</v>
      </c>
      <c r="C2053" s="1" t="s">
        <v>7427</v>
      </c>
      <c r="D2053" s="2" t="s">
        <v>7428</v>
      </c>
      <c r="E2053" s="1">
        <v>1.0</v>
      </c>
      <c r="I2053" s="1">
        <v>2.0</v>
      </c>
      <c r="J2053" s="1">
        <v>910.0</v>
      </c>
      <c r="L2053" s="1">
        <v>3147362.0</v>
      </c>
      <c r="N2053" s="1">
        <v>3595064.0</v>
      </c>
      <c r="P2053" s="1" t="s">
        <v>7429</v>
      </c>
      <c r="Q2053" s="1" t="s">
        <v>7430</v>
      </c>
      <c r="R2053" s="1" t="s">
        <v>7431</v>
      </c>
      <c r="S2053" s="1">
        <v>1.0</v>
      </c>
      <c r="T2053" s="1">
        <v>0.0</v>
      </c>
      <c r="X2053" s="1" t="s">
        <v>29</v>
      </c>
    </row>
    <row r="2054">
      <c r="A2054" s="3" t="str">
        <f>HYPERLINK("https://stackoverflow.com/q/21122367", "21122367")</f>
        <v>21122367</v>
      </c>
      <c r="B2054" s="1" t="s">
        <v>7337</v>
      </c>
      <c r="C2054" s="1" t="s">
        <v>7432</v>
      </c>
      <c r="D2054" s="2" t="s">
        <v>7433</v>
      </c>
      <c r="E2054" s="1">
        <v>1.0</v>
      </c>
      <c r="F2054" s="1">
        <v>2.7391187E7</v>
      </c>
      <c r="I2054" s="1">
        <v>1.0</v>
      </c>
      <c r="J2054" s="1">
        <v>441.0</v>
      </c>
      <c r="L2054" s="1">
        <v>3192152.0</v>
      </c>
      <c r="Q2054" s="1" t="s">
        <v>7434</v>
      </c>
      <c r="R2054" s="1" t="s">
        <v>7435</v>
      </c>
      <c r="S2054" s="1">
        <v>1.0</v>
      </c>
      <c r="T2054" s="1">
        <v>5.0</v>
      </c>
      <c r="X2054" s="1" t="s">
        <v>29</v>
      </c>
      <c r="Z2054" s="1" t="s">
        <v>7434</v>
      </c>
    </row>
    <row r="2055">
      <c r="A2055" s="3" t="str">
        <f>HYPERLINK("https://stackoverflow.com/q/24617605", "24617605")</f>
        <v>24617605</v>
      </c>
      <c r="B2055" s="1" t="s">
        <v>7337</v>
      </c>
      <c r="C2055" s="1" t="s">
        <v>7436</v>
      </c>
      <c r="D2055" s="2" t="s">
        <v>7437</v>
      </c>
      <c r="E2055" s="1">
        <v>1.0</v>
      </c>
      <c r="I2055" s="1">
        <v>0.0</v>
      </c>
      <c r="J2055" s="1">
        <v>331.0</v>
      </c>
      <c r="L2055" s="1">
        <v>3803141.0</v>
      </c>
      <c r="Q2055" s="1" t="s">
        <v>7438</v>
      </c>
      <c r="R2055" s="1" t="s">
        <v>7439</v>
      </c>
      <c r="S2055" s="1">
        <v>1.0</v>
      </c>
      <c r="T2055" s="1">
        <v>1.0</v>
      </c>
      <c r="X2055" s="1" t="s">
        <v>29</v>
      </c>
    </row>
    <row r="2056">
      <c r="A2056" s="3" t="str">
        <f>HYPERLINK("https://stackoverflow.com/q/24764540", "24764540")</f>
        <v>24764540</v>
      </c>
      <c r="B2056" s="1" t="s">
        <v>7337</v>
      </c>
      <c r="C2056" s="1" t="s">
        <v>7440</v>
      </c>
      <c r="D2056" s="2" t="s">
        <v>7441</v>
      </c>
      <c r="E2056" s="1">
        <v>1.0</v>
      </c>
      <c r="F2056" s="1">
        <v>2.4787109E7</v>
      </c>
      <c r="I2056" s="1">
        <v>0.0</v>
      </c>
      <c r="J2056" s="1">
        <v>440.0</v>
      </c>
      <c r="L2056" s="1">
        <v>3798384.0</v>
      </c>
      <c r="Q2056" s="1" t="s">
        <v>7442</v>
      </c>
      <c r="R2056" s="1" t="s">
        <v>7443</v>
      </c>
      <c r="S2056" s="1">
        <v>1.0</v>
      </c>
      <c r="T2056" s="1">
        <v>0.0</v>
      </c>
      <c r="X2056" s="1" t="s">
        <v>29</v>
      </c>
      <c r="Z2056" s="1" t="s">
        <v>7442</v>
      </c>
    </row>
    <row r="2057">
      <c r="A2057" s="3" t="str">
        <f>HYPERLINK("https://stackoverflow.com/q/25615751", "25615751")</f>
        <v>25615751</v>
      </c>
      <c r="B2057" s="1" t="s">
        <v>7337</v>
      </c>
      <c r="C2057" s="1" t="s">
        <v>7444</v>
      </c>
      <c r="D2057" s="2" t="s">
        <v>7445</v>
      </c>
      <c r="E2057" s="1">
        <v>1.0</v>
      </c>
      <c r="I2057" s="1">
        <v>0.0</v>
      </c>
      <c r="J2057" s="1">
        <v>485.0</v>
      </c>
      <c r="L2057" s="1">
        <v>3765632.0</v>
      </c>
      <c r="N2057" s="1">
        <v>3765632.0</v>
      </c>
      <c r="P2057" s="1" t="s">
        <v>7446</v>
      </c>
      <c r="Q2057" s="1" t="s">
        <v>7446</v>
      </c>
      <c r="R2057" s="1" t="s">
        <v>7447</v>
      </c>
      <c r="S2057" s="1">
        <v>0.0</v>
      </c>
      <c r="T2057" s="1">
        <v>6.0</v>
      </c>
      <c r="X2057" s="1" t="s">
        <v>29</v>
      </c>
    </row>
    <row r="2058">
      <c r="A2058" s="3" t="str">
        <f>HYPERLINK("https://stackoverflow.com/q/26226598", "26226598")</f>
        <v>26226598</v>
      </c>
      <c r="B2058" s="1" t="s">
        <v>7337</v>
      </c>
      <c r="C2058" s="1" t="s">
        <v>7448</v>
      </c>
      <c r="D2058" s="2" t="s">
        <v>7449</v>
      </c>
      <c r="E2058" s="1">
        <v>1.0</v>
      </c>
      <c r="F2058" s="1">
        <v>2.6227058E7</v>
      </c>
      <c r="I2058" s="1">
        <v>1.0</v>
      </c>
      <c r="J2058" s="1">
        <v>133.0</v>
      </c>
      <c r="L2058" s="1">
        <v>2092590.0</v>
      </c>
      <c r="Q2058" s="1" t="s">
        <v>7450</v>
      </c>
      <c r="R2058" s="1" t="s">
        <v>7451</v>
      </c>
      <c r="S2058" s="1">
        <v>1.0</v>
      </c>
      <c r="T2058" s="1">
        <v>4.0</v>
      </c>
      <c r="X2058" s="1" t="s">
        <v>29</v>
      </c>
      <c r="Z2058" s="1" t="s">
        <v>7450</v>
      </c>
    </row>
    <row r="2059">
      <c r="A2059" s="3" t="str">
        <f>HYPERLINK("https://stackoverflow.com/q/26642065", "26642065")</f>
        <v>26642065</v>
      </c>
      <c r="B2059" s="1" t="s">
        <v>7337</v>
      </c>
      <c r="C2059" s="1" t="s">
        <v>7452</v>
      </c>
      <c r="D2059" s="2" t="s">
        <v>7453</v>
      </c>
      <c r="E2059" s="1">
        <v>1.0</v>
      </c>
      <c r="I2059" s="1">
        <v>0.0</v>
      </c>
      <c r="J2059" s="1">
        <v>743.0</v>
      </c>
      <c r="L2059" s="1">
        <v>3945500.0</v>
      </c>
      <c r="Q2059" s="1" t="s">
        <v>7454</v>
      </c>
      <c r="R2059" s="1" t="s">
        <v>7455</v>
      </c>
      <c r="S2059" s="1">
        <v>1.0</v>
      </c>
      <c r="T2059" s="1">
        <v>0.0</v>
      </c>
      <c r="X2059" s="1" t="s">
        <v>29</v>
      </c>
    </row>
    <row r="2060">
      <c r="A2060" s="3" t="str">
        <f>HYPERLINK("https://stackoverflow.com/q/27153271", "27153271")</f>
        <v>27153271</v>
      </c>
      <c r="B2060" s="1" t="s">
        <v>7337</v>
      </c>
      <c r="C2060" s="1" t="s">
        <v>7456</v>
      </c>
      <c r="D2060" s="2" t="s">
        <v>7457</v>
      </c>
      <c r="E2060" s="1">
        <v>1.0</v>
      </c>
      <c r="I2060" s="1">
        <v>1.0</v>
      </c>
      <c r="J2060" s="1">
        <v>145.0</v>
      </c>
      <c r="L2060" s="1">
        <v>4212572.0</v>
      </c>
      <c r="N2060" s="1">
        <v>2018654.0</v>
      </c>
      <c r="P2060" s="1" t="s">
        <v>7458</v>
      </c>
      <c r="Q2060" s="1" t="s">
        <v>7458</v>
      </c>
      <c r="R2060" s="1" t="s">
        <v>7459</v>
      </c>
      <c r="S2060" s="1">
        <v>1.0</v>
      </c>
      <c r="T2060" s="1">
        <v>0.0</v>
      </c>
      <c r="X2060" s="1" t="s">
        <v>29</v>
      </c>
    </row>
    <row r="2061">
      <c r="A2061" s="3" t="str">
        <f>HYPERLINK("https://stackoverflow.com/q/29287436", "29287436")</f>
        <v>29287436</v>
      </c>
      <c r="B2061" s="1" t="s">
        <v>7337</v>
      </c>
      <c r="C2061" s="1" t="s">
        <v>7460</v>
      </c>
      <c r="D2061" s="2" t="s">
        <v>7461</v>
      </c>
      <c r="E2061" s="1">
        <v>1.0</v>
      </c>
      <c r="I2061" s="1">
        <v>0.0</v>
      </c>
      <c r="J2061" s="1">
        <v>146.0</v>
      </c>
      <c r="L2061" s="1">
        <v>4339207.0</v>
      </c>
      <c r="N2061" s="1">
        <v>4339207.0</v>
      </c>
      <c r="P2061" s="1" t="s">
        <v>7462</v>
      </c>
      <c r="Q2061" s="1" t="s">
        <v>7463</v>
      </c>
      <c r="R2061" s="1" t="s">
        <v>7464</v>
      </c>
      <c r="S2061" s="1">
        <v>1.0</v>
      </c>
      <c r="T2061" s="1">
        <v>0.0</v>
      </c>
      <c r="X2061" s="1" t="s">
        <v>29</v>
      </c>
    </row>
    <row r="2062">
      <c r="A2062" s="3" t="str">
        <f>HYPERLINK("https://stackoverflow.com/q/29386945", "29386945")</f>
        <v>29386945</v>
      </c>
      <c r="B2062" s="1" t="s">
        <v>7337</v>
      </c>
      <c r="C2062" s="1" t="s">
        <v>7465</v>
      </c>
      <c r="D2062" s="2" t="s">
        <v>7466</v>
      </c>
      <c r="E2062" s="1">
        <v>1.0</v>
      </c>
      <c r="I2062" s="1">
        <v>0.0</v>
      </c>
      <c r="J2062" s="1">
        <v>4045.0</v>
      </c>
      <c r="L2062" s="1">
        <v>4201786.0</v>
      </c>
      <c r="N2062" s="1">
        <v>2649012.0</v>
      </c>
      <c r="P2062" s="1" t="s">
        <v>7467</v>
      </c>
      <c r="Q2062" s="1" t="s">
        <v>7468</v>
      </c>
      <c r="R2062" s="1" t="s">
        <v>7469</v>
      </c>
      <c r="S2062" s="1">
        <v>2.0</v>
      </c>
      <c r="T2062" s="1">
        <v>0.0</v>
      </c>
      <c r="U2062" s="1">
        <v>1.0</v>
      </c>
      <c r="X2062" s="1" t="s">
        <v>29</v>
      </c>
    </row>
    <row r="2063">
      <c r="A2063" s="3" t="str">
        <f>HYPERLINK("https://stackoverflow.com/q/29466750", "29466750")</f>
        <v>29466750</v>
      </c>
      <c r="B2063" s="1" t="s">
        <v>7337</v>
      </c>
      <c r="C2063" s="1" t="s">
        <v>7470</v>
      </c>
      <c r="D2063" s="2" t="s">
        <v>7471</v>
      </c>
      <c r="E2063" s="1">
        <v>1.0</v>
      </c>
      <c r="I2063" s="1">
        <v>0.0</v>
      </c>
      <c r="J2063" s="1">
        <v>71.0</v>
      </c>
      <c r="L2063" s="1">
        <v>2086124.0</v>
      </c>
      <c r="Q2063" s="1" t="s">
        <v>7472</v>
      </c>
      <c r="R2063" s="1" t="s">
        <v>7473</v>
      </c>
      <c r="S2063" s="1">
        <v>1.0</v>
      </c>
      <c r="T2063" s="1">
        <v>0.0</v>
      </c>
      <c r="X2063" s="1" t="s">
        <v>29</v>
      </c>
    </row>
    <row r="2064">
      <c r="A2064" s="3" t="str">
        <f>HYPERLINK("https://stackoverflow.com/q/30877737", "30877737")</f>
        <v>30877737</v>
      </c>
      <c r="B2064" s="1" t="s">
        <v>7337</v>
      </c>
      <c r="C2064" s="1" t="s">
        <v>7474</v>
      </c>
      <c r="D2064" s="2" t="s">
        <v>7475</v>
      </c>
      <c r="E2064" s="1">
        <v>1.0</v>
      </c>
      <c r="F2064" s="1">
        <v>3.1037561E7</v>
      </c>
      <c r="I2064" s="1">
        <v>0.0</v>
      </c>
      <c r="J2064" s="1">
        <v>68.0</v>
      </c>
      <c r="L2064" s="1">
        <v>2143504.0</v>
      </c>
      <c r="Q2064" s="1" t="s">
        <v>7476</v>
      </c>
      <c r="R2064" s="1" t="s">
        <v>7354</v>
      </c>
      <c r="S2064" s="1">
        <v>1.0</v>
      </c>
      <c r="T2064" s="1">
        <v>0.0</v>
      </c>
      <c r="X2064" s="1" t="s">
        <v>29</v>
      </c>
      <c r="Z2064" s="1" t="s">
        <v>7476</v>
      </c>
    </row>
    <row r="2065">
      <c r="A2065" s="3" t="str">
        <f>HYPERLINK("https://stackoverflow.com/q/31091321", "31091321")</f>
        <v>31091321</v>
      </c>
      <c r="B2065" s="1" t="s">
        <v>7337</v>
      </c>
      <c r="C2065" s="1" t="s">
        <v>7477</v>
      </c>
      <c r="D2065" s="2" t="s">
        <v>7478</v>
      </c>
      <c r="E2065" s="1">
        <v>1.0</v>
      </c>
      <c r="I2065" s="1">
        <v>0.0</v>
      </c>
      <c r="J2065" s="1">
        <v>636.0</v>
      </c>
      <c r="L2065" s="1">
        <v>4988054.0</v>
      </c>
      <c r="Q2065" s="1" t="s">
        <v>7479</v>
      </c>
      <c r="R2065" s="1" t="s">
        <v>7480</v>
      </c>
      <c r="S2065" s="1">
        <v>1.0</v>
      </c>
      <c r="T2065" s="1">
        <v>0.0</v>
      </c>
      <c r="X2065" s="1" t="s">
        <v>29</v>
      </c>
    </row>
    <row r="2066">
      <c r="A2066" s="3" t="str">
        <f>HYPERLINK("https://stackoverflow.com/q/31386733", "31386733")</f>
        <v>31386733</v>
      </c>
      <c r="B2066" s="1" t="s">
        <v>7337</v>
      </c>
      <c r="C2066" s="1" t="s">
        <v>7481</v>
      </c>
      <c r="D2066" s="2" t="s">
        <v>7482</v>
      </c>
      <c r="E2066" s="1">
        <v>1.0</v>
      </c>
      <c r="F2066" s="1">
        <v>3.1481768E7</v>
      </c>
      <c r="I2066" s="1">
        <v>0.0</v>
      </c>
      <c r="J2066" s="1">
        <v>311.0</v>
      </c>
      <c r="L2066" s="1">
        <v>3960999.0</v>
      </c>
      <c r="N2066" s="1">
        <v>1750757.0</v>
      </c>
      <c r="P2066" s="1" t="s">
        <v>7483</v>
      </c>
      <c r="Q2066" s="1" t="s">
        <v>7484</v>
      </c>
      <c r="R2066" s="1" t="s">
        <v>7350</v>
      </c>
      <c r="S2066" s="1">
        <v>1.0</v>
      </c>
      <c r="T2066" s="1">
        <v>1.0</v>
      </c>
      <c r="U2066" s="1">
        <v>1.0</v>
      </c>
      <c r="X2066" s="1" t="s">
        <v>29</v>
      </c>
      <c r="Z2066" s="1" t="s">
        <v>7484</v>
      </c>
    </row>
    <row r="2067">
      <c r="A2067" s="3" t="str">
        <f>HYPERLINK("https://stackoverflow.com/q/31725790", "31725790")</f>
        <v>31725790</v>
      </c>
      <c r="B2067" s="1" t="s">
        <v>7337</v>
      </c>
      <c r="C2067" s="1" t="s">
        <v>7485</v>
      </c>
      <c r="D2067" s="2" t="s">
        <v>7486</v>
      </c>
      <c r="E2067" s="1">
        <v>1.0</v>
      </c>
      <c r="I2067" s="1">
        <v>0.0</v>
      </c>
      <c r="J2067" s="1">
        <v>2463.0</v>
      </c>
      <c r="L2067" s="1">
        <v>4988054.0</v>
      </c>
      <c r="Q2067" s="1" t="s">
        <v>7487</v>
      </c>
      <c r="R2067" s="1" t="s">
        <v>7354</v>
      </c>
      <c r="S2067" s="1">
        <v>1.0</v>
      </c>
      <c r="T2067" s="1">
        <v>1.0</v>
      </c>
      <c r="X2067" s="1" t="s">
        <v>29</v>
      </c>
    </row>
    <row r="2068">
      <c r="A2068" s="3" t="str">
        <f>HYPERLINK("https://stackoverflow.com/q/32040971", "32040971")</f>
        <v>32040971</v>
      </c>
      <c r="B2068" s="1" t="s">
        <v>7337</v>
      </c>
      <c r="C2068" s="1" t="s">
        <v>7488</v>
      </c>
      <c r="D2068" s="2" t="s">
        <v>7489</v>
      </c>
      <c r="E2068" s="1">
        <v>1.0</v>
      </c>
      <c r="I2068" s="1">
        <v>0.0</v>
      </c>
      <c r="J2068" s="1">
        <v>955.0</v>
      </c>
      <c r="L2068" s="1">
        <v>4988054.0</v>
      </c>
      <c r="Q2068" s="1" t="s">
        <v>7490</v>
      </c>
      <c r="R2068" s="1" t="s">
        <v>7491</v>
      </c>
      <c r="S2068" s="1">
        <v>1.0</v>
      </c>
      <c r="T2068" s="1">
        <v>0.0</v>
      </c>
      <c r="X2068" s="1" t="s">
        <v>29</v>
      </c>
    </row>
    <row r="2069">
      <c r="A2069" s="3" t="str">
        <f>HYPERLINK("https://stackoverflow.com/q/32571070", "32571070")</f>
        <v>32571070</v>
      </c>
      <c r="B2069" s="1" t="s">
        <v>7337</v>
      </c>
      <c r="C2069" s="1" t="s">
        <v>7492</v>
      </c>
      <c r="D2069" s="2" t="s">
        <v>7493</v>
      </c>
      <c r="E2069" s="1">
        <v>1.0</v>
      </c>
      <c r="F2069" s="1">
        <v>3.2575808E7</v>
      </c>
      <c r="I2069" s="1">
        <v>0.0</v>
      </c>
      <c r="J2069" s="1">
        <v>281.0</v>
      </c>
      <c r="L2069" s="1">
        <v>3960999.0</v>
      </c>
      <c r="N2069" s="1">
        <v>3960999.0</v>
      </c>
      <c r="P2069" s="1" t="s">
        <v>7494</v>
      </c>
      <c r="Q2069" s="1" t="s">
        <v>7494</v>
      </c>
      <c r="R2069" s="1" t="s">
        <v>7354</v>
      </c>
      <c r="S2069" s="1">
        <v>1.0</v>
      </c>
      <c r="T2069" s="1">
        <v>0.0</v>
      </c>
      <c r="U2069" s="1">
        <v>1.0</v>
      </c>
      <c r="X2069" s="1" t="s">
        <v>29</v>
      </c>
      <c r="Z2069" s="1" t="s">
        <v>7495</v>
      </c>
    </row>
    <row r="2070">
      <c r="A2070" s="3" t="str">
        <f>HYPERLINK("https://stackoverflow.com/q/33086501", "33086501")</f>
        <v>33086501</v>
      </c>
      <c r="B2070" s="1" t="s">
        <v>7337</v>
      </c>
      <c r="C2070" s="1" t="s">
        <v>7496</v>
      </c>
      <c r="D2070" s="2" t="s">
        <v>7497</v>
      </c>
      <c r="E2070" s="1">
        <v>1.0</v>
      </c>
      <c r="I2070" s="1">
        <v>2.0</v>
      </c>
      <c r="J2070" s="1">
        <v>883.0</v>
      </c>
      <c r="L2070" s="1">
        <v>5437435.0</v>
      </c>
      <c r="Q2070" s="1" t="s">
        <v>7498</v>
      </c>
      <c r="R2070" s="1" t="s">
        <v>7499</v>
      </c>
      <c r="S2070" s="1">
        <v>1.0</v>
      </c>
      <c r="T2070" s="1">
        <v>0.0</v>
      </c>
      <c r="X2070" s="1" t="s">
        <v>29</v>
      </c>
    </row>
    <row r="2071">
      <c r="A2071" s="3" t="str">
        <f>HYPERLINK("https://stackoverflow.com/q/34228425", "34228425")</f>
        <v>34228425</v>
      </c>
      <c r="B2071" s="1" t="s">
        <v>7337</v>
      </c>
      <c r="C2071" s="1" t="s">
        <v>7500</v>
      </c>
      <c r="D2071" s="2" t="s">
        <v>7501</v>
      </c>
      <c r="E2071" s="1">
        <v>1.0</v>
      </c>
      <c r="I2071" s="1">
        <v>1.0</v>
      </c>
      <c r="J2071" s="1">
        <v>115.0</v>
      </c>
      <c r="M2071" s="1" t="s">
        <v>7502</v>
      </c>
      <c r="Q2071" s="1" t="s">
        <v>7503</v>
      </c>
      <c r="R2071" s="1" t="s">
        <v>7504</v>
      </c>
      <c r="S2071" s="1">
        <v>1.0</v>
      </c>
      <c r="T2071" s="1">
        <v>0.0</v>
      </c>
      <c r="U2071" s="1">
        <v>1.0</v>
      </c>
      <c r="X2071" s="1" t="s">
        <v>29</v>
      </c>
    </row>
    <row r="2072">
      <c r="A2072" s="3" t="str">
        <f>HYPERLINK("https://stackoverflow.com/q/35894935", "35894935")</f>
        <v>35894935</v>
      </c>
      <c r="B2072" s="1" t="s">
        <v>7337</v>
      </c>
      <c r="C2072" s="1" t="s">
        <v>7505</v>
      </c>
      <c r="D2072" s="2" t="s">
        <v>7506</v>
      </c>
      <c r="E2072" s="1">
        <v>1.0</v>
      </c>
      <c r="F2072" s="1">
        <v>3.5896046E7</v>
      </c>
      <c r="I2072" s="1">
        <v>0.0</v>
      </c>
      <c r="J2072" s="1">
        <v>467.0</v>
      </c>
      <c r="L2072" s="1">
        <v>4821283.0</v>
      </c>
      <c r="Q2072" s="1" t="s">
        <v>7507</v>
      </c>
      <c r="R2072" s="1" t="s">
        <v>7354</v>
      </c>
      <c r="S2072" s="1">
        <v>1.0</v>
      </c>
      <c r="T2072" s="1">
        <v>0.0</v>
      </c>
      <c r="X2072" s="1" t="s">
        <v>29</v>
      </c>
      <c r="Z2072" s="1" t="s">
        <v>7507</v>
      </c>
    </row>
    <row r="2073">
      <c r="A2073" s="3" t="str">
        <f>HYPERLINK("https://stackoverflow.com/q/36229215", "36229215")</f>
        <v>36229215</v>
      </c>
      <c r="B2073" s="1" t="s">
        <v>7337</v>
      </c>
      <c r="C2073" s="1" t="s">
        <v>7508</v>
      </c>
      <c r="D2073" s="2" t="s">
        <v>7509</v>
      </c>
      <c r="E2073" s="1">
        <v>1.0</v>
      </c>
      <c r="F2073" s="1">
        <v>3.6756651E7</v>
      </c>
      <c r="I2073" s="1">
        <v>0.0</v>
      </c>
      <c r="J2073" s="1">
        <v>195.0</v>
      </c>
      <c r="L2073" s="1">
        <v>5623543.0</v>
      </c>
      <c r="Q2073" s="1" t="s">
        <v>7510</v>
      </c>
      <c r="R2073" s="1" t="s">
        <v>7511</v>
      </c>
      <c r="S2073" s="1">
        <v>1.0</v>
      </c>
      <c r="T2073" s="1">
        <v>0.0</v>
      </c>
      <c r="X2073" s="1" t="s">
        <v>29</v>
      </c>
      <c r="Z2073" s="1" t="s">
        <v>7510</v>
      </c>
    </row>
    <row r="2074">
      <c r="A2074" s="3" t="str">
        <f>HYPERLINK("https://stackoverflow.com/q/36693712", "36693712")</f>
        <v>36693712</v>
      </c>
      <c r="B2074" s="1" t="s">
        <v>7337</v>
      </c>
      <c r="C2074" s="1" t="s">
        <v>7512</v>
      </c>
      <c r="D2074" s="2" t="s">
        <v>7513</v>
      </c>
      <c r="E2074" s="1">
        <v>1.0</v>
      </c>
      <c r="F2074" s="1">
        <v>3.6754986E7</v>
      </c>
      <c r="I2074" s="1">
        <v>0.0</v>
      </c>
      <c r="J2074" s="1">
        <v>482.0</v>
      </c>
      <c r="L2074" s="1">
        <v>2339535.0</v>
      </c>
      <c r="N2074" s="1">
        <v>2339535.0</v>
      </c>
      <c r="P2074" s="1" t="s">
        <v>7514</v>
      </c>
      <c r="Q2074" s="1" t="s">
        <v>7515</v>
      </c>
      <c r="R2074" s="1" t="s">
        <v>7380</v>
      </c>
      <c r="S2074" s="1">
        <v>2.0</v>
      </c>
      <c r="T2074" s="1">
        <v>0.0</v>
      </c>
      <c r="X2074" s="1" t="s">
        <v>29</v>
      </c>
      <c r="Z2074" s="1" t="s">
        <v>7516</v>
      </c>
    </row>
    <row r="2075">
      <c r="A2075" s="3" t="str">
        <f>HYPERLINK("https://stackoverflow.com/q/37306094", "37306094")</f>
        <v>37306094</v>
      </c>
      <c r="B2075" s="1" t="s">
        <v>7337</v>
      </c>
      <c r="C2075" s="1" t="s">
        <v>7517</v>
      </c>
      <c r="D2075" s="2" t="s">
        <v>7518</v>
      </c>
      <c r="E2075" s="1">
        <v>1.0</v>
      </c>
      <c r="F2075" s="1">
        <v>3.7352405E7</v>
      </c>
      <c r="I2075" s="1">
        <v>0.0</v>
      </c>
      <c r="J2075" s="1">
        <v>306.0</v>
      </c>
      <c r="L2075" s="1">
        <v>5623543.0</v>
      </c>
      <c r="Q2075" s="1" t="s">
        <v>7519</v>
      </c>
      <c r="R2075" s="1" t="s">
        <v>7354</v>
      </c>
      <c r="S2075" s="1">
        <v>1.0</v>
      </c>
      <c r="T2075" s="1">
        <v>0.0</v>
      </c>
      <c r="X2075" s="1" t="s">
        <v>29</v>
      </c>
      <c r="Z2075" s="1" t="s">
        <v>7519</v>
      </c>
    </row>
    <row r="2076">
      <c r="A2076" s="3" t="str">
        <f>HYPERLINK("https://stackoverflow.com/q/38112943", "38112943")</f>
        <v>38112943</v>
      </c>
      <c r="B2076" s="1" t="s">
        <v>7337</v>
      </c>
      <c r="C2076" s="1" t="s">
        <v>7520</v>
      </c>
      <c r="D2076" s="2" t="s">
        <v>7521</v>
      </c>
      <c r="E2076" s="1">
        <v>1.0</v>
      </c>
      <c r="F2076" s="1">
        <v>3.815623E7</v>
      </c>
      <c r="I2076" s="1">
        <v>0.0</v>
      </c>
      <c r="J2076" s="1">
        <v>207.0</v>
      </c>
      <c r="L2076" s="1">
        <v>5626203.0</v>
      </c>
      <c r="N2076" s="1">
        <v>5626203.0</v>
      </c>
      <c r="P2076" s="1" t="s">
        <v>7522</v>
      </c>
      <c r="Q2076" s="1" t="s">
        <v>7523</v>
      </c>
      <c r="R2076" s="1" t="s">
        <v>7524</v>
      </c>
      <c r="S2076" s="1">
        <v>1.0</v>
      </c>
      <c r="T2076" s="1">
        <v>1.0</v>
      </c>
      <c r="U2076" s="1">
        <v>1.0</v>
      </c>
      <c r="X2076" s="1" t="s">
        <v>29</v>
      </c>
      <c r="Z2076" s="1" t="s">
        <v>7523</v>
      </c>
    </row>
    <row r="2077">
      <c r="A2077" s="3" t="str">
        <f>HYPERLINK("https://stackoverflow.com/q/38376454", "38376454")</f>
        <v>38376454</v>
      </c>
      <c r="B2077" s="1" t="s">
        <v>7337</v>
      </c>
      <c r="C2077" s="1" t="s">
        <v>7525</v>
      </c>
      <c r="D2077" s="2" t="s">
        <v>7526</v>
      </c>
      <c r="E2077" s="1">
        <v>1.0</v>
      </c>
      <c r="F2077" s="1">
        <v>3.8380487E7</v>
      </c>
      <c r="I2077" s="1">
        <v>0.0</v>
      </c>
      <c r="J2077" s="1">
        <v>152.0</v>
      </c>
      <c r="L2077" s="1">
        <v>123759.0</v>
      </c>
      <c r="Q2077" s="1" t="s">
        <v>7527</v>
      </c>
      <c r="R2077" s="1" t="s">
        <v>7435</v>
      </c>
      <c r="S2077" s="1">
        <v>1.0</v>
      </c>
      <c r="T2077" s="1">
        <v>0.0</v>
      </c>
      <c r="X2077" s="1" t="s">
        <v>29</v>
      </c>
      <c r="Z2077" s="1" t="s">
        <v>7528</v>
      </c>
    </row>
    <row r="2078">
      <c r="A2078" s="3" t="str">
        <f>HYPERLINK("https://stackoverflow.com/q/38446394", "38446394")</f>
        <v>38446394</v>
      </c>
      <c r="B2078" s="1" t="s">
        <v>7337</v>
      </c>
      <c r="C2078" s="1" t="s">
        <v>7529</v>
      </c>
      <c r="D2078" s="2" t="s">
        <v>7530</v>
      </c>
      <c r="E2078" s="1">
        <v>1.0</v>
      </c>
      <c r="I2078" s="1">
        <v>1.0</v>
      </c>
      <c r="J2078" s="1">
        <v>135.0</v>
      </c>
      <c r="L2078" s="1">
        <v>3645448.0</v>
      </c>
      <c r="Q2078" s="1" t="s">
        <v>7531</v>
      </c>
      <c r="R2078" s="1" t="s">
        <v>7532</v>
      </c>
      <c r="S2078" s="1">
        <v>1.0</v>
      </c>
      <c r="T2078" s="1">
        <v>0.0</v>
      </c>
      <c r="X2078" s="1" t="s">
        <v>29</v>
      </c>
    </row>
    <row r="2079">
      <c r="A2079" s="3" t="str">
        <f>HYPERLINK("https://stackoverflow.com/q/38446585", "38446585")</f>
        <v>38446585</v>
      </c>
      <c r="B2079" s="1" t="s">
        <v>7337</v>
      </c>
      <c r="C2079" s="1" t="s">
        <v>7533</v>
      </c>
      <c r="D2079" s="2" t="s">
        <v>7534</v>
      </c>
      <c r="E2079" s="1">
        <v>1.0</v>
      </c>
      <c r="I2079" s="1">
        <v>0.0</v>
      </c>
      <c r="J2079" s="1">
        <v>60.0</v>
      </c>
      <c r="L2079" s="1">
        <v>123759.0</v>
      </c>
      <c r="Q2079" s="1" t="s">
        <v>7535</v>
      </c>
      <c r="R2079" s="1" t="s">
        <v>7536</v>
      </c>
      <c r="S2079" s="1">
        <v>1.0</v>
      </c>
      <c r="T2079" s="1">
        <v>0.0</v>
      </c>
      <c r="X2079" s="1" t="s">
        <v>29</v>
      </c>
    </row>
    <row r="2080">
      <c r="A2080" s="3" t="str">
        <f>HYPERLINK("https://stackoverflow.com/q/38532528", "38532528")</f>
        <v>38532528</v>
      </c>
      <c r="B2080" s="1" t="s">
        <v>7337</v>
      </c>
      <c r="C2080" s="1" t="s">
        <v>7537</v>
      </c>
      <c r="D2080" s="2" t="s">
        <v>7538</v>
      </c>
      <c r="E2080" s="1">
        <v>1.0</v>
      </c>
      <c r="I2080" s="1">
        <v>1.0</v>
      </c>
      <c r="J2080" s="1">
        <v>316.0</v>
      </c>
      <c r="L2080" s="1">
        <v>3645448.0</v>
      </c>
      <c r="N2080" s="1">
        <v>355230.0</v>
      </c>
      <c r="P2080" s="1" t="s">
        <v>7539</v>
      </c>
      <c r="Q2080" s="1" t="s">
        <v>7540</v>
      </c>
      <c r="R2080" s="1" t="s">
        <v>7532</v>
      </c>
      <c r="S2080" s="1">
        <v>1.0</v>
      </c>
      <c r="T2080" s="1">
        <v>0.0</v>
      </c>
      <c r="U2080" s="1">
        <v>1.0</v>
      </c>
      <c r="X2080" s="1" t="s">
        <v>29</v>
      </c>
    </row>
    <row r="2081">
      <c r="A2081" s="3" t="str">
        <f>HYPERLINK("https://stackoverflow.com/q/38688679", "38688679")</f>
        <v>38688679</v>
      </c>
      <c r="B2081" s="1" t="s">
        <v>7337</v>
      </c>
      <c r="C2081" s="1" t="s">
        <v>7541</v>
      </c>
      <c r="D2081" s="2" t="s">
        <v>7542</v>
      </c>
      <c r="E2081" s="1">
        <v>1.0</v>
      </c>
      <c r="I2081" s="1">
        <v>0.0</v>
      </c>
      <c r="J2081" s="1">
        <v>737.0</v>
      </c>
      <c r="L2081" s="1">
        <v>5626203.0</v>
      </c>
      <c r="N2081" s="1">
        <v>472495.0</v>
      </c>
      <c r="P2081" s="1" t="s">
        <v>7543</v>
      </c>
      <c r="Q2081" s="1" t="s">
        <v>7543</v>
      </c>
      <c r="R2081" s="1" t="s">
        <v>7544</v>
      </c>
      <c r="S2081" s="1">
        <v>1.0</v>
      </c>
      <c r="T2081" s="1">
        <v>2.0</v>
      </c>
      <c r="U2081" s="1">
        <v>1.0</v>
      </c>
      <c r="X2081" s="1" t="s">
        <v>29</v>
      </c>
    </row>
    <row r="2082">
      <c r="A2082" s="3" t="str">
        <f>HYPERLINK("https://stackoverflow.com/q/40555797", "40555797")</f>
        <v>40555797</v>
      </c>
      <c r="B2082" s="1" t="s">
        <v>7337</v>
      </c>
      <c r="C2082" s="1" t="s">
        <v>7545</v>
      </c>
      <c r="D2082" s="2" t="s">
        <v>7546</v>
      </c>
      <c r="E2082" s="1">
        <v>1.0</v>
      </c>
      <c r="I2082" s="1">
        <v>0.0</v>
      </c>
      <c r="J2082" s="1">
        <v>47.0</v>
      </c>
      <c r="L2082" s="1">
        <v>2619971.0</v>
      </c>
      <c r="N2082" s="1">
        <v>2619971.0</v>
      </c>
      <c r="P2082" s="1" t="s">
        <v>7547</v>
      </c>
      <c r="Q2082" s="1" t="s">
        <v>7548</v>
      </c>
      <c r="R2082" s="1" t="s">
        <v>7549</v>
      </c>
      <c r="S2082" s="1">
        <v>2.0</v>
      </c>
      <c r="T2082" s="1">
        <v>3.0</v>
      </c>
      <c r="V2082" s="1" t="s">
        <v>7550</v>
      </c>
      <c r="X2082" s="1" t="s">
        <v>29</v>
      </c>
    </row>
    <row r="2083">
      <c r="A2083" s="3" t="str">
        <f>HYPERLINK("https://stackoverflow.com/q/43243120", "43243120")</f>
        <v>43243120</v>
      </c>
      <c r="B2083" s="1" t="s">
        <v>7337</v>
      </c>
      <c r="C2083" s="1" t="s">
        <v>7551</v>
      </c>
      <c r="D2083" s="2" t="s">
        <v>7552</v>
      </c>
      <c r="E2083" s="1">
        <v>1.0</v>
      </c>
      <c r="F2083" s="1">
        <v>4.3271119E7</v>
      </c>
      <c r="I2083" s="1">
        <v>0.0</v>
      </c>
      <c r="J2083" s="1">
        <v>91.0</v>
      </c>
      <c r="L2083" s="1">
        <v>7823543.0</v>
      </c>
      <c r="Q2083" s="1" t="s">
        <v>7553</v>
      </c>
      <c r="R2083" s="1" t="s">
        <v>7554</v>
      </c>
      <c r="S2083" s="1">
        <v>1.0</v>
      </c>
      <c r="T2083" s="1">
        <v>0.0</v>
      </c>
      <c r="X2083" s="1" t="s">
        <v>29</v>
      </c>
      <c r="Z2083" s="1" t="s">
        <v>7553</v>
      </c>
    </row>
    <row r="2084">
      <c r="A2084" s="3" t="str">
        <f>HYPERLINK("https://stackoverflow.com/q/43401120", "43401120")</f>
        <v>43401120</v>
      </c>
      <c r="B2084" s="1" t="s">
        <v>7337</v>
      </c>
      <c r="C2084" s="1" t="s">
        <v>7555</v>
      </c>
      <c r="D2084" s="2" t="s">
        <v>7556</v>
      </c>
      <c r="E2084" s="1">
        <v>1.0</v>
      </c>
      <c r="I2084" s="1">
        <v>0.0</v>
      </c>
      <c r="J2084" s="1">
        <v>348.0</v>
      </c>
      <c r="L2084" s="1">
        <v>1340200.0</v>
      </c>
      <c r="Q2084" s="1" t="s">
        <v>7557</v>
      </c>
      <c r="R2084" s="1" t="s">
        <v>7469</v>
      </c>
      <c r="S2084" s="1">
        <v>1.0</v>
      </c>
      <c r="T2084" s="1">
        <v>0.0</v>
      </c>
      <c r="X2084" s="1" t="s">
        <v>29</v>
      </c>
    </row>
    <row r="2085">
      <c r="A2085" s="3" t="str">
        <f>HYPERLINK("https://stackoverflow.com/q/48185677", "48185677")</f>
        <v>48185677</v>
      </c>
      <c r="B2085" s="1" t="s">
        <v>7337</v>
      </c>
      <c r="C2085" s="1" t="s">
        <v>7558</v>
      </c>
      <c r="D2085" s="2" t="s">
        <v>7559</v>
      </c>
      <c r="E2085" s="1">
        <v>1.0</v>
      </c>
      <c r="I2085" s="1">
        <v>0.0</v>
      </c>
      <c r="J2085" s="1">
        <v>25.0</v>
      </c>
      <c r="L2085" s="1">
        <v>1883524.0</v>
      </c>
      <c r="Q2085" s="1" t="s">
        <v>7560</v>
      </c>
      <c r="R2085" s="1" t="s">
        <v>7354</v>
      </c>
      <c r="S2085" s="1">
        <v>1.0</v>
      </c>
      <c r="T2085" s="1">
        <v>0.0</v>
      </c>
      <c r="X2085" s="1" t="s">
        <v>29</v>
      </c>
    </row>
    <row r="2086">
      <c r="A2086" s="3" t="str">
        <f>HYPERLINK("https://stackoverflow.com/q/48913880", "48913880")</f>
        <v>48913880</v>
      </c>
      <c r="B2086" s="1" t="s">
        <v>7337</v>
      </c>
      <c r="C2086" s="1" t="s">
        <v>7561</v>
      </c>
      <c r="D2086" s="2" t="s">
        <v>7562</v>
      </c>
      <c r="E2086" s="1">
        <v>1.0</v>
      </c>
      <c r="I2086" s="1">
        <v>2.0</v>
      </c>
      <c r="J2086" s="1">
        <v>381.0</v>
      </c>
      <c r="L2086" s="1">
        <v>8364358.0</v>
      </c>
      <c r="Q2086" s="1" t="s">
        <v>7563</v>
      </c>
      <c r="R2086" s="1" t="s">
        <v>7564</v>
      </c>
      <c r="S2086" s="1">
        <v>1.0</v>
      </c>
      <c r="T2086" s="1">
        <v>2.0</v>
      </c>
      <c r="U2086" s="1">
        <v>0.0</v>
      </c>
      <c r="X2086" s="1" t="s">
        <v>29</v>
      </c>
    </row>
    <row r="2087">
      <c r="A2087" s="3" t="str">
        <f>HYPERLINK("https://stackoverflow.com/q/51352700", "51352700")</f>
        <v>51352700</v>
      </c>
      <c r="B2087" s="1" t="s">
        <v>7337</v>
      </c>
      <c r="C2087" s="1" t="s">
        <v>7565</v>
      </c>
      <c r="D2087" s="2" t="s">
        <v>7566</v>
      </c>
      <c r="E2087" s="1">
        <v>1.0</v>
      </c>
      <c r="F2087" s="1">
        <v>5.1352778E7</v>
      </c>
      <c r="I2087" s="1">
        <v>0.0</v>
      </c>
      <c r="J2087" s="1">
        <v>162.0</v>
      </c>
      <c r="L2087" s="1">
        <v>1.0085403E7</v>
      </c>
      <c r="Q2087" s="1" t="s">
        <v>7567</v>
      </c>
      <c r="R2087" s="1" t="s">
        <v>7568</v>
      </c>
      <c r="S2087" s="1">
        <v>2.0</v>
      </c>
      <c r="T2087" s="1">
        <v>1.0</v>
      </c>
      <c r="X2087" s="1" t="s">
        <v>56</v>
      </c>
      <c r="Z2087" s="1" t="s">
        <v>7569</v>
      </c>
    </row>
    <row r="2088">
      <c r="A2088" s="3" t="str">
        <f>HYPERLINK("https://stackoverflow.com/q/51865601", "51865601")</f>
        <v>51865601</v>
      </c>
      <c r="B2088" s="1" t="s">
        <v>7337</v>
      </c>
      <c r="C2088" s="1" t="s">
        <v>7570</v>
      </c>
      <c r="D2088" s="2" t="s">
        <v>7571</v>
      </c>
      <c r="E2088" s="1">
        <v>1.0</v>
      </c>
      <c r="I2088" s="1">
        <v>0.0</v>
      </c>
      <c r="J2088" s="1">
        <v>175.0</v>
      </c>
      <c r="L2088" s="1">
        <v>6212195.0</v>
      </c>
      <c r="Q2088" s="1" t="s">
        <v>7570</v>
      </c>
      <c r="R2088" s="1" t="s">
        <v>7572</v>
      </c>
      <c r="S2088" s="1">
        <v>0.0</v>
      </c>
      <c r="T2088" s="1">
        <v>2.0</v>
      </c>
      <c r="X2088" s="1" t="s">
        <v>56</v>
      </c>
    </row>
    <row r="2089">
      <c r="A2089" s="3" t="str">
        <f>HYPERLINK("https://stackoverflow.com/q/53170139", "53170139")</f>
        <v>53170139</v>
      </c>
      <c r="B2089" s="1" t="s">
        <v>7337</v>
      </c>
      <c r="C2089" s="1" t="s">
        <v>7573</v>
      </c>
      <c r="D2089" s="2" t="s">
        <v>7574</v>
      </c>
      <c r="E2089" s="1">
        <v>1.0</v>
      </c>
      <c r="I2089" s="1">
        <v>0.0</v>
      </c>
      <c r="J2089" s="1">
        <v>141.0</v>
      </c>
      <c r="L2089" s="1">
        <v>9744703.0</v>
      </c>
      <c r="Q2089" s="1" t="s">
        <v>7573</v>
      </c>
      <c r="R2089" s="1" t="s">
        <v>7354</v>
      </c>
      <c r="S2089" s="1">
        <v>0.0</v>
      </c>
      <c r="T2089" s="1">
        <v>3.0</v>
      </c>
      <c r="X2089" s="1" t="s">
        <v>56</v>
      </c>
    </row>
    <row r="2090">
      <c r="A2090" s="3" t="str">
        <f>HYPERLINK("https://stackoverflow.com/q/54577431", "54577431")</f>
        <v>54577431</v>
      </c>
      <c r="B2090" s="1" t="s">
        <v>7337</v>
      </c>
      <c r="C2090" s="1" t="s">
        <v>7575</v>
      </c>
      <c r="D2090" s="2" t="s">
        <v>7576</v>
      </c>
      <c r="E2090" s="1">
        <v>1.0</v>
      </c>
      <c r="I2090" s="1">
        <v>0.0</v>
      </c>
      <c r="J2090" s="1">
        <v>179.0</v>
      </c>
      <c r="L2090" s="1">
        <v>1.1029406E7</v>
      </c>
      <c r="Q2090" s="1" t="s">
        <v>7577</v>
      </c>
      <c r="R2090" s="1" t="s">
        <v>7578</v>
      </c>
      <c r="S2090" s="1">
        <v>1.0</v>
      </c>
      <c r="T2090" s="1">
        <v>1.0</v>
      </c>
      <c r="X2090" s="1" t="s">
        <v>56</v>
      </c>
    </row>
    <row r="2091">
      <c r="A2091" s="3" t="str">
        <f>HYPERLINK("https://stackoverflow.com/q/55617000", "55617000")</f>
        <v>55617000</v>
      </c>
      <c r="B2091" s="1" t="s">
        <v>7337</v>
      </c>
      <c r="C2091" s="1" t="s">
        <v>7579</v>
      </c>
      <c r="D2091" s="2" t="s">
        <v>7580</v>
      </c>
      <c r="E2091" s="1">
        <v>1.0</v>
      </c>
      <c r="F2091" s="1">
        <v>5.6059283E7</v>
      </c>
      <c r="I2091" s="1">
        <v>0.0</v>
      </c>
      <c r="J2091" s="1">
        <v>65.0</v>
      </c>
      <c r="L2091" s="1">
        <v>5791614.0</v>
      </c>
      <c r="Q2091" s="1" t="s">
        <v>7581</v>
      </c>
      <c r="R2091" s="1" t="s">
        <v>7354</v>
      </c>
      <c r="S2091" s="1">
        <v>1.0</v>
      </c>
      <c r="T2091" s="1">
        <v>0.0</v>
      </c>
      <c r="X2091" s="1" t="s">
        <v>56</v>
      </c>
      <c r="Z2091" s="1" t="s">
        <v>7581</v>
      </c>
    </row>
    <row r="2092">
      <c r="A2092" s="3" t="str">
        <f>HYPERLINK("https://stackoverflow.com/q/56043124", "56043124")</f>
        <v>56043124</v>
      </c>
      <c r="B2092" s="1" t="s">
        <v>7337</v>
      </c>
      <c r="C2092" s="1" t="s">
        <v>7582</v>
      </c>
      <c r="D2092" s="2" t="s">
        <v>7583</v>
      </c>
      <c r="E2092" s="1">
        <v>1.0</v>
      </c>
      <c r="F2092" s="1">
        <v>5.6059179E7</v>
      </c>
      <c r="I2092" s="1">
        <v>1.0</v>
      </c>
      <c r="J2092" s="1">
        <v>39.0</v>
      </c>
      <c r="L2092" s="1">
        <v>1.1470365E7</v>
      </c>
      <c r="Q2092" s="1" t="s">
        <v>7584</v>
      </c>
      <c r="R2092" s="1" t="s">
        <v>7469</v>
      </c>
      <c r="S2092" s="1">
        <v>1.0</v>
      </c>
      <c r="T2092" s="1">
        <v>0.0</v>
      </c>
      <c r="X2092" s="1" t="s">
        <v>56</v>
      </c>
      <c r="Z2092" s="1" t="s">
        <v>7584</v>
      </c>
    </row>
    <row r="2093">
      <c r="A2093" s="3" t="str">
        <f>HYPERLINK("https://stackoverflow.com/q/56078834", "56078834")</f>
        <v>56078834</v>
      </c>
      <c r="B2093" s="1" t="s">
        <v>7337</v>
      </c>
      <c r="C2093" s="1" t="s">
        <v>7585</v>
      </c>
      <c r="D2093" s="2" t="s">
        <v>7586</v>
      </c>
      <c r="E2093" s="1">
        <v>1.0</v>
      </c>
      <c r="F2093" s="1">
        <v>5.6308519E7</v>
      </c>
      <c r="I2093" s="1">
        <v>0.0</v>
      </c>
      <c r="J2093" s="1">
        <v>64.0</v>
      </c>
      <c r="L2093" s="1">
        <v>6130605.0</v>
      </c>
      <c r="Q2093" s="1" t="s">
        <v>7587</v>
      </c>
      <c r="R2093" s="1" t="s">
        <v>7588</v>
      </c>
      <c r="S2093" s="1">
        <v>2.0</v>
      </c>
      <c r="T2093" s="1">
        <v>2.0</v>
      </c>
      <c r="X2093" s="1" t="s">
        <v>56</v>
      </c>
      <c r="Z2093" s="1" t="s">
        <v>7587</v>
      </c>
    </row>
    <row r="2094">
      <c r="A2094" s="3" t="str">
        <f>HYPERLINK("https://stackoverflow.com/q/57016370", "57016370")</f>
        <v>57016370</v>
      </c>
      <c r="B2094" s="1" t="s">
        <v>7337</v>
      </c>
      <c r="C2094" s="1" t="s">
        <v>7589</v>
      </c>
      <c r="D2094" s="2" t="s">
        <v>7590</v>
      </c>
      <c r="E2094" s="1">
        <v>1.0</v>
      </c>
      <c r="F2094" s="1">
        <v>5.7041059E7</v>
      </c>
      <c r="I2094" s="1">
        <v>0.0</v>
      </c>
      <c r="J2094" s="1">
        <v>44.0</v>
      </c>
      <c r="L2094" s="1">
        <v>9035870.0</v>
      </c>
      <c r="N2094" s="1">
        <v>1.1716496E7</v>
      </c>
      <c r="P2094" s="1" t="s">
        <v>7591</v>
      </c>
      <c r="Q2094" s="1" t="s">
        <v>7592</v>
      </c>
      <c r="R2094" s="1" t="s">
        <v>7354</v>
      </c>
      <c r="S2094" s="1">
        <v>1.0</v>
      </c>
      <c r="T2094" s="1">
        <v>0.0</v>
      </c>
      <c r="X2094" s="1" t="s">
        <v>56</v>
      </c>
      <c r="Z2094" s="1" t="s">
        <v>7592</v>
      </c>
    </row>
    <row r="2095">
      <c r="A2095" s="3" t="str">
        <f>HYPERLINK("https://stackoverflow.com/q/57931047", "57931047")</f>
        <v>57931047</v>
      </c>
      <c r="B2095" s="1" t="s">
        <v>7337</v>
      </c>
      <c r="C2095" s="1" t="s">
        <v>7593</v>
      </c>
      <c r="D2095" s="2" t="s">
        <v>7594</v>
      </c>
      <c r="E2095" s="1">
        <v>1.0</v>
      </c>
      <c r="F2095" s="1">
        <v>5.793226E7</v>
      </c>
      <c r="I2095" s="1">
        <v>1.0</v>
      </c>
      <c r="J2095" s="1">
        <v>49.0</v>
      </c>
      <c r="L2095" s="1">
        <v>9035870.0</v>
      </c>
      <c r="Q2095" s="1" t="s">
        <v>7595</v>
      </c>
      <c r="R2095" s="1" t="s">
        <v>7596</v>
      </c>
      <c r="S2095" s="1">
        <v>1.0</v>
      </c>
      <c r="T2095" s="1">
        <v>0.0</v>
      </c>
      <c r="X2095" s="1" t="s">
        <v>56</v>
      </c>
      <c r="Z2095" s="1" t="s">
        <v>7597</v>
      </c>
    </row>
    <row r="2096">
      <c r="A2096" s="3" t="str">
        <f>HYPERLINK("https://stackoverflow.com/q/57977027", "57977027")</f>
        <v>57977027</v>
      </c>
      <c r="B2096" s="1" t="s">
        <v>7337</v>
      </c>
      <c r="C2096" s="1" t="s">
        <v>7598</v>
      </c>
      <c r="D2096" s="2" t="s">
        <v>7599</v>
      </c>
      <c r="E2096" s="1">
        <v>1.0</v>
      </c>
      <c r="F2096" s="1">
        <v>5.8000861E7</v>
      </c>
      <c r="I2096" s="1">
        <v>0.0</v>
      </c>
      <c r="J2096" s="1">
        <v>166.0</v>
      </c>
      <c r="L2096" s="1">
        <v>1.0633402E7</v>
      </c>
      <c r="Q2096" s="1" t="s">
        <v>7600</v>
      </c>
      <c r="R2096" s="1" t="s">
        <v>7601</v>
      </c>
      <c r="S2096" s="1">
        <v>2.0</v>
      </c>
      <c r="T2096" s="1">
        <v>2.0</v>
      </c>
      <c r="X2096" s="1" t="s">
        <v>56</v>
      </c>
      <c r="Z2096" s="1" t="s">
        <v>7600</v>
      </c>
    </row>
    <row r="2097">
      <c r="A2097" s="3" t="str">
        <f>HYPERLINK("https://stackoverflow.com/q/58346580", "58346580")</f>
        <v>58346580</v>
      </c>
      <c r="B2097" s="1" t="s">
        <v>7337</v>
      </c>
      <c r="C2097" s="1" t="s">
        <v>7602</v>
      </c>
      <c r="D2097" s="2" t="s">
        <v>7603</v>
      </c>
      <c r="E2097" s="1">
        <v>1.0</v>
      </c>
      <c r="I2097" s="1">
        <v>1.0</v>
      </c>
      <c r="J2097" s="1">
        <v>73.0</v>
      </c>
      <c r="L2097" s="1">
        <v>1.127456E7</v>
      </c>
      <c r="Q2097" s="1" t="s">
        <v>7604</v>
      </c>
      <c r="R2097" s="1" t="s">
        <v>7605</v>
      </c>
      <c r="S2097" s="1">
        <v>1.0</v>
      </c>
      <c r="T2097" s="1">
        <v>1.0</v>
      </c>
      <c r="X2097" s="1" t="s">
        <v>56</v>
      </c>
    </row>
    <row r="2098">
      <c r="A2098" s="3" t="str">
        <f>HYPERLINK("https://stackoverflow.com/q/61531008", "61531008")</f>
        <v>61531008</v>
      </c>
      <c r="B2098" s="1" t="s">
        <v>7337</v>
      </c>
      <c r="C2098" s="1" t="s">
        <v>7606</v>
      </c>
      <c r="D2098" s="2" t="s">
        <v>7607</v>
      </c>
      <c r="E2098" s="1">
        <v>1.0</v>
      </c>
      <c r="F2098" s="1">
        <v>6.1541899E7</v>
      </c>
      <c r="I2098" s="1">
        <v>2.0</v>
      </c>
      <c r="J2098" s="1">
        <v>24.0</v>
      </c>
      <c r="L2098" s="1">
        <v>9035870.0</v>
      </c>
      <c r="Q2098" s="1" t="s">
        <v>7608</v>
      </c>
      <c r="R2098" s="1" t="s">
        <v>7354</v>
      </c>
      <c r="S2098" s="1">
        <v>1.0</v>
      </c>
      <c r="T2098" s="1">
        <v>0.0</v>
      </c>
      <c r="X2098" s="1" t="s">
        <v>56</v>
      </c>
      <c r="Z2098" s="1" t="s">
        <v>7608</v>
      </c>
    </row>
    <row r="2099">
      <c r="A2099" s="3" t="str">
        <f>HYPERLINK("https://stackoverflow.com/q/61902973", "61902973")</f>
        <v>61902973</v>
      </c>
      <c r="B2099" s="1" t="s">
        <v>7337</v>
      </c>
      <c r="C2099" s="1" t="s">
        <v>7609</v>
      </c>
      <c r="D2099" s="2" t="s">
        <v>7610</v>
      </c>
      <c r="E2099" s="1">
        <v>1.0</v>
      </c>
      <c r="F2099" s="1">
        <v>6.1920024E7</v>
      </c>
      <c r="I2099" s="1">
        <v>1.0</v>
      </c>
      <c r="J2099" s="1">
        <v>27.0</v>
      </c>
      <c r="L2099" s="1">
        <v>4430123.0</v>
      </c>
      <c r="N2099" s="1">
        <v>743043.0</v>
      </c>
      <c r="P2099" s="1" t="s">
        <v>7611</v>
      </c>
      <c r="Q2099" s="1" t="s">
        <v>7611</v>
      </c>
      <c r="R2099" s="1" t="s">
        <v>7354</v>
      </c>
      <c r="S2099" s="1">
        <v>1.0</v>
      </c>
      <c r="T2099" s="1">
        <v>1.0</v>
      </c>
      <c r="X2099" s="1" t="s">
        <v>56</v>
      </c>
      <c r="Z2099" s="1" t="s">
        <v>7612</v>
      </c>
    </row>
    <row r="2100">
      <c r="A2100" s="3" t="str">
        <f>HYPERLINK("https://stackoverflow.com/q/544097", "544097")</f>
        <v>544097</v>
      </c>
      <c r="B2100" s="1" t="s">
        <v>7613</v>
      </c>
      <c r="C2100" s="1" t="s">
        <v>7614</v>
      </c>
      <c r="D2100" s="2" t="s">
        <v>7615</v>
      </c>
      <c r="E2100" s="1">
        <v>1.0</v>
      </c>
      <c r="F2100" s="1">
        <v>3325135.0</v>
      </c>
      <c r="I2100" s="1">
        <v>4.0</v>
      </c>
      <c r="J2100" s="1">
        <v>3207.0</v>
      </c>
      <c r="L2100" s="1">
        <v>50365.0</v>
      </c>
      <c r="M2100" s="1" t="s">
        <v>7616</v>
      </c>
      <c r="N2100" s="1">
        <v>-1.0</v>
      </c>
      <c r="P2100" s="1" t="s">
        <v>7617</v>
      </c>
      <c r="Q2100" s="1" t="s">
        <v>7618</v>
      </c>
      <c r="R2100" s="1" t="s">
        <v>7619</v>
      </c>
      <c r="S2100" s="1">
        <v>5.0</v>
      </c>
      <c r="T2100" s="1">
        <v>1.0</v>
      </c>
      <c r="U2100" s="1">
        <v>1.0</v>
      </c>
      <c r="X2100" s="1" t="s">
        <v>29</v>
      </c>
      <c r="Z2100" s="1" t="s">
        <v>7618</v>
      </c>
    </row>
    <row r="2101">
      <c r="A2101" s="3" t="str">
        <f>HYPERLINK("https://stackoverflow.com/q/2566385", "2566385")</f>
        <v>2566385</v>
      </c>
      <c r="B2101" s="1" t="s">
        <v>7613</v>
      </c>
      <c r="C2101" s="1" t="s">
        <v>7620</v>
      </c>
      <c r="D2101" s="2" t="s">
        <v>7621</v>
      </c>
      <c r="E2101" s="1">
        <v>1.0</v>
      </c>
      <c r="F2101" s="1">
        <v>4651814.0</v>
      </c>
      <c r="I2101" s="1">
        <v>0.0</v>
      </c>
      <c r="J2101" s="1">
        <v>1453.0</v>
      </c>
      <c r="L2101" s="1">
        <v>234018.0</v>
      </c>
      <c r="Q2101" s="1" t="s">
        <v>7622</v>
      </c>
      <c r="R2101" s="1" t="s">
        <v>7623</v>
      </c>
      <c r="S2101" s="1">
        <v>2.0</v>
      </c>
      <c r="T2101" s="1">
        <v>1.0</v>
      </c>
      <c r="X2101" s="1" t="s">
        <v>4078</v>
      </c>
      <c r="Z2101" s="1" t="s">
        <v>7622</v>
      </c>
    </row>
    <row r="2102">
      <c r="A2102" s="3" t="str">
        <f>HYPERLINK("https://stackoverflow.com/q/2615337", "2615337")</f>
        <v>2615337</v>
      </c>
      <c r="B2102" s="1" t="s">
        <v>7613</v>
      </c>
      <c r="C2102" s="1" t="s">
        <v>7624</v>
      </c>
      <c r="D2102" s="2" t="s">
        <v>7625</v>
      </c>
      <c r="E2102" s="1">
        <v>1.0</v>
      </c>
      <c r="I2102" s="1">
        <v>2.0</v>
      </c>
      <c r="J2102" s="1">
        <v>1315.0</v>
      </c>
      <c r="L2102" s="1">
        <v>313692.0</v>
      </c>
      <c r="N2102" s="1">
        <v>44729.0</v>
      </c>
      <c r="P2102" s="1" t="s">
        <v>7626</v>
      </c>
      <c r="Q2102" s="1" t="s">
        <v>7627</v>
      </c>
      <c r="R2102" s="1" t="s">
        <v>7628</v>
      </c>
      <c r="S2102" s="1">
        <v>2.0</v>
      </c>
      <c r="T2102" s="1">
        <v>1.0</v>
      </c>
      <c r="X2102" s="1" t="s">
        <v>4078</v>
      </c>
    </row>
    <row r="2103">
      <c r="A2103" s="3" t="str">
        <f>HYPERLINK("https://stackoverflow.com/q/3578981", "3578981")</f>
        <v>3578981</v>
      </c>
      <c r="B2103" s="1" t="s">
        <v>7613</v>
      </c>
      <c r="C2103" s="1" t="s">
        <v>7629</v>
      </c>
      <c r="D2103" s="2" t="s">
        <v>7630</v>
      </c>
      <c r="E2103" s="1">
        <v>1.0</v>
      </c>
      <c r="F2103" s="1">
        <v>3664842.0</v>
      </c>
      <c r="I2103" s="1">
        <v>6.0</v>
      </c>
      <c r="J2103" s="1">
        <v>3767.0</v>
      </c>
      <c r="L2103" s="1">
        <v>203898.0</v>
      </c>
      <c r="Q2103" s="1" t="s">
        <v>7631</v>
      </c>
      <c r="R2103" s="1" t="s">
        <v>7632</v>
      </c>
      <c r="S2103" s="1">
        <v>1.0</v>
      </c>
      <c r="T2103" s="1">
        <v>0.0</v>
      </c>
      <c r="U2103" s="1">
        <v>3.0</v>
      </c>
      <c r="X2103" s="1" t="s">
        <v>4078</v>
      </c>
      <c r="Z2103" s="1" t="s">
        <v>7633</v>
      </c>
    </row>
    <row r="2104">
      <c r="A2104" s="3" t="str">
        <f>HYPERLINK("https://stackoverflow.com/q/6580311", "6580311")</f>
        <v>6580311</v>
      </c>
      <c r="B2104" s="1" t="s">
        <v>7613</v>
      </c>
      <c r="C2104" s="1" t="s">
        <v>7634</v>
      </c>
      <c r="D2104" s="2" t="s">
        <v>7635</v>
      </c>
      <c r="E2104" s="1">
        <v>1.0</v>
      </c>
      <c r="F2104" s="1">
        <v>6593964.0</v>
      </c>
      <c r="I2104" s="1">
        <v>0.0</v>
      </c>
      <c r="J2104" s="1">
        <v>1295.0</v>
      </c>
      <c r="L2104" s="1">
        <v>822248.0</v>
      </c>
      <c r="N2104" s="1">
        <v>1000551.0</v>
      </c>
      <c r="P2104" s="1" t="s">
        <v>7636</v>
      </c>
      <c r="Q2104" s="1" t="s">
        <v>7636</v>
      </c>
      <c r="R2104" s="1" t="s">
        <v>7637</v>
      </c>
      <c r="S2104" s="1">
        <v>1.0</v>
      </c>
      <c r="T2104" s="1">
        <v>0.0</v>
      </c>
      <c r="X2104" s="1" t="s">
        <v>29</v>
      </c>
      <c r="Z2104" s="1" t="s">
        <v>7638</v>
      </c>
    </row>
    <row r="2105">
      <c r="A2105" s="3" t="str">
        <f>HYPERLINK("https://stackoverflow.com/q/6645196", "6645196")</f>
        <v>6645196</v>
      </c>
      <c r="B2105" s="1" t="s">
        <v>7613</v>
      </c>
      <c r="C2105" s="1" t="s">
        <v>7639</v>
      </c>
      <c r="D2105" s="2" t="s">
        <v>7640</v>
      </c>
      <c r="E2105" s="1">
        <v>1.0</v>
      </c>
      <c r="F2105" s="1">
        <v>6655416.0</v>
      </c>
      <c r="I2105" s="1">
        <v>1.0</v>
      </c>
      <c r="J2105" s="1">
        <v>424.0</v>
      </c>
      <c r="L2105" s="1">
        <v>822248.0</v>
      </c>
      <c r="N2105" s="1">
        <v>1000551.0</v>
      </c>
      <c r="P2105" s="1" t="s">
        <v>7641</v>
      </c>
      <c r="Q2105" s="1" t="s">
        <v>7641</v>
      </c>
      <c r="R2105" s="1" t="s">
        <v>7642</v>
      </c>
      <c r="S2105" s="1">
        <v>2.0</v>
      </c>
      <c r="T2105" s="1">
        <v>0.0</v>
      </c>
      <c r="X2105" s="1" t="s">
        <v>29</v>
      </c>
      <c r="Z2105" s="1" t="s">
        <v>7643</v>
      </c>
    </row>
    <row r="2106">
      <c r="A2106" s="3" t="str">
        <f>HYPERLINK("https://stackoverflow.com/q/7048854", "7048854")</f>
        <v>7048854</v>
      </c>
      <c r="B2106" s="1" t="s">
        <v>7613</v>
      </c>
      <c r="C2106" s="1" t="s">
        <v>7644</v>
      </c>
      <c r="D2106" s="2" t="s">
        <v>7645</v>
      </c>
      <c r="E2106" s="1">
        <v>1.0</v>
      </c>
      <c r="F2106" s="1">
        <v>7054864.0</v>
      </c>
      <c r="I2106" s="1">
        <v>2.0</v>
      </c>
      <c r="J2106" s="1">
        <v>1669.0</v>
      </c>
      <c r="L2106" s="1">
        <v>194345.0</v>
      </c>
      <c r="Q2106" s="1" t="s">
        <v>7646</v>
      </c>
      <c r="R2106" s="1" t="s">
        <v>7647</v>
      </c>
      <c r="S2106" s="1">
        <v>2.0</v>
      </c>
      <c r="T2106" s="1">
        <v>0.0</v>
      </c>
      <c r="U2106" s="1">
        <v>2.0</v>
      </c>
      <c r="X2106" s="1" t="s">
        <v>29</v>
      </c>
      <c r="Z2106" s="1" t="s">
        <v>7648</v>
      </c>
    </row>
    <row r="2107">
      <c r="A2107" s="3" t="str">
        <f>HYPERLINK("https://stackoverflow.com/q/7304006", "7304006")</f>
        <v>7304006</v>
      </c>
      <c r="B2107" s="1" t="s">
        <v>7613</v>
      </c>
      <c r="C2107" s="1" t="s">
        <v>7649</v>
      </c>
      <c r="D2107" s="2" t="s">
        <v>7650</v>
      </c>
      <c r="E2107" s="1">
        <v>1.0</v>
      </c>
      <c r="F2107" s="1">
        <v>7304926.0</v>
      </c>
      <c r="I2107" s="1">
        <v>0.0</v>
      </c>
      <c r="J2107" s="1">
        <v>3381.0</v>
      </c>
      <c r="L2107" s="1">
        <v>194345.0</v>
      </c>
      <c r="N2107" s="1">
        <v>571271.0</v>
      </c>
      <c r="P2107" s="1" t="s">
        <v>7651</v>
      </c>
      <c r="Q2107" s="1" t="s">
        <v>7652</v>
      </c>
      <c r="R2107" s="1" t="s">
        <v>7653</v>
      </c>
      <c r="S2107" s="1">
        <v>1.0</v>
      </c>
      <c r="T2107" s="1">
        <v>0.0</v>
      </c>
      <c r="X2107" s="1" t="s">
        <v>29</v>
      </c>
      <c r="Z2107" s="1" t="s">
        <v>7652</v>
      </c>
    </row>
    <row r="2108">
      <c r="A2108" s="3" t="str">
        <f>HYPERLINK("https://stackoverflow.com/q/7383641", "7383641")</f>
        <v>7383641</v>
      </c>
      <c r="B2108" s="1" t="s">
        <v>7613</v>
      </c>
      <c r="C2108" s="1" t="s">
        <v>7654</v>
      </c>
      <c r="D2108" s="2" t="s">
        <v>7655</v>
      </c>
      <c r="E2108" s="1">
        <v>1.0</v>
      </c>
      <c r="I2108" s="1">
        <v>0.0</v>
      </c>
      <c r="J2108" s="1">
        <v>250.0</v>
      </c>
      <c r="L2108" s="1">
        <v>733464.0</v>
      </c>
      <c r="Q2108" s="1" t="s">
        <v>7656</v>
      </c>
      <c r="R2108" s="1" t="s">
        <v>7657</v>
      </c>
      <c r="S2108" s="1">
        <v>1.0</v>
      </c>
      <c r="T2108" s="1">
        <v>0.0</v>
      </c>
      <c r="X2108" s="1" t="s">
        <v>29</v>
      </c>
    </row>
    <row r="2109">
      <c r="A2109" s="3" t="str">
        <f>HYPERLINK("https://stackoverflow.com/q/7699717", "7699717")</f>
        <v>7699717</v>
      </c>
      <c r="B2109" s="1" t="s">
        <v>7613</v>
      </c>
      <c r="C2109" s="1" t="s">
        <v>7658</v>
      </c>
      <c r="D2109" s="2" t="s">
        <v>7659</v>
      </c>
      <c r="E2109" s="1">
        <v>1.0</v>
      </c>
      <c r="F2109" s="1">
        <v>7699893.0</v>
      </c>
      <c r="I2109" s="1">
        <v>2.0</v>
      </c>
      <c r="J2109" s="1">
        <v>1205.0</v>
      </c>
      <c r="L2109" s="1">
        <v>180424.0</v>
      </c>
      <c r="N2109" s="1">
        <v>180424.0</v>
      </c>
      <c r="P2109" s="1" t="s">
        <v>7660</v>
      </c>
      <c r="Q2109" s="1" t="s">
        <v>7660</v>
      </c>
      <c r="R2109" s="1" t="s">
        <v>7661</v>
      </c>
      <c r="S2109" s="1">
        <v>1.0</v>
      </c>
      <c r="T2109" s="1">
        <v>0.0</v>
      </c>
      <c r="X2109" s="1" t="s">
        <v>29</v>
      </c>
      <c r="Z2109" s="1" t="s">
        <v>7662</v>
      </c>
    </row>
    <row r="2110">
      <c r="A2110" s="3" t="str">
        <f>HYPERLINK("https://stackoverflow.com/q/7839597", "7839597")</f>
        <v>7839597</v>
      </c>
      <c r="B2110" s="1" t="s">
        <v>7613</v>
      </c>
      <c r="C2110" s="1" t="s">
        <v>7663</v>
      </c>
      <c r="D2110" s="2" t="s">
        <v>7664</v>
      </c>
      <c r="E2110" s="1">
        <v>1.0</v>
      </c>
      <c r="F2110" s="1">
        <v>7840406.0</v>
      </c>
      <c r="I2110" s="1">
        <v>1.0</v>
      </c>
      <c r="J2110" s="1">
        <v>2237.0</v>
      </c>
      <c r="L2110" s="1">
        <v>16732.0</v>
      </c>
      <c r="Q2110" s="1" t="s">
        <v>7665</v>
      </c>
      <c r="R2110" s="1" t="s">
        <v>7661</v>
      </c>
      <c r="S2110" s="1">
        <v>2.0</v>
      </c>
      <c r="T2110" s="1">
        <v>0.0</v>
      </c>
      <c r="X2110" s="1" t="s">
        <v>29</v>
      </c>
      <c r="Z2110" s="1" t="s">
        <v>7666</v>
      </c>
    </row>
    <row r="2111">
      <c r="A2111" s="3" t="str">
        <f>HYPERLINK("https://stackoverflow.com/q/8040701", "8040701")</f>
        <v>8040701</v>
      </c>
      <c r="B2111" s="1" t="s">
        <v>7613</v>
      </c>
      <c r="C2111" s="1" t="s">
        <v>7667</v>
      </c>
      <c r="D2111" s="2" t="s">
        <v>7668</v>
      </c>
      <c r="E2111" s="1">
        <v>1.0</v>
      </c>
      <c r="I2111" s="1">
        <v>0.0</v>
      </c>
      <c r="J2111" s="1">
        <v>1119.0</v>
      </c>
      <c r="L2111" s="1">
        <v>138060.0</v>
      </c>
      <c r="Q2111" s="1" t="s">
        <v>7669</v>
      </c>
      <c r="R2111" s="1" t="s">
        <v>7661</v>
      </c>
      <c r="S2111" s="1">
        <v>1.0</v>
      </c>
      <c r="T2111" s="1">
        <v>0.0</v>
      </c>
      <c r="X2111" s="1" t="s">
        <v>29</v>
      </c>
    </row>
    <row r="2112">
      <c r="A2112" s="3" t="str">
        <f>HYPERLINK("https://stackoverflow.com/q/8067099", "8067099")</f>
        <v>8067099</v>
      </c>
      <c r="B2112" s="1" t="s">
        <v>7613</v>
      </c>
      <c r="C2112" s="1" t="s">
        <v>7670</v>
      </c>
      <c r="D2112" s="2" t="s">
        <v>7671</v>
      </c>
      <c r="E2112" s="1">
        <v>1.0</v>
      </c>
      <c r="I2112" s="1">
        <v>1.0</v>
      </c>
      <c r="J2112" s="1">
        <v>4143.0</v>
      </c>
      <c r="L2112" s="1">
        <v>946765.0</v>
      </c>
      <c r="Q2112" s="1" t="s">
        <v>7672</v>
      </c>
      <c r="R2112" s="1" t="s">
        <v>7673</v>
      </c>
      <c r="S2112" s="1">
        <v>2.0</v>
      </c>
      <c r="T2112" s="1">
        <v>0.0</v>
      </c>
      <c r="X2112" s="1" t="s">
        <v>29</v>
      </c>
    </row>
    <row r="2113">
      <c r="A2113" s="3" t="str">
        <f>HYPERLINK("https://stackoverflow.com/q/8430681", "8430681")</f>
        <v>8430681</v>
      </c>
      <c r="B2113" s="1" t="s">
        <v>7613</v>
      </c>
      <c r="C2113" s="1" t="s">
        <v>7674</v>
      </c>
      <c r="D2113" s="2" t="s">
        <v>7675</v>
      </c>
      <c r="E2113" s="1">
        <v>1.0</v>
      </c>
      <c r="I2113" s="1">
        <v>0.0</v>
      </c>
      <c r="J2113" s="1">
        <v>489.0</v>
      </c>
      <c r="L2113" s="1">
        <v>445594.0</v>
      </c>
      <c r="Q2113" s="1" t="s">
        <v>7676</v>
      </c>
      <c r="R2113" s="1" t="s">
        <v>7673</v>
      </c>
      <c r="S2113" s="1">
        <v>1.0</v>
      </c>
      <c r="T2113" s="1">
        <v>0.0</v>
      </c>
      <c r="X2113" s="1" t="s">
        <v>29</v>
      </c>
    </row>
    <row r="2114">
      <c r="A2114" s="3" t="str">
        <f>HYPERLINK("https://stackoverflow.com/q/8430696", "8430696")</f>
        <v>8430696</v>
      </c>
      <c r="B2114" s="1" t="s">
        <v>7613</v>
      </c>
      <c r="C2114" s="1" t="s">
        <v>7677</v>
      </c>
      <c r="D2114" s="2" t="s">
        <v>7678</v>
      </c>
      <c r="E2114" s="1">
        <v>1.0</v>
      </c>
      <c r="I2114" s="1">
        <v>2.0</v>
      </c>
      <c r="J2114" s="1">
        <v>2369.0</v>
      </c>
      <c r="L2114" s="1">
        <v>445594.0</v>
      </c>
      <c r="Q2114" s="1" t="s">
        <v>7679</v>
      </c>
      <c r="R2114" s="1" t="s">
        <v>7673</v>
      </c>
      <c r="S2114" s="1">
        <v>2.0</v>
      </c>
      <c r="T2114" s="1">
        <v>0.0</v>
      </c>
      <c r="X2114" s="1" t="s">
        <v>29</v>
      </c>
    </row>
    <row r="2115">
      <c r="A2115" s="3" t="str">
        <f>HYPERLINK("https://stackoverflow.com/q/8640940", "8640940")</f>
        <v>8640940</v>
      </c>
      <c r="B2115" s="1" t="s">
        <v>7613</v>
      </c>
      <c r="C2115" s="1" t="s">
        <v>7680</v>
      </c>
      <c r="D2115" s="2" t="s">
        <v>7681</v>
      </c>
      <c r="E2115" s="1">
        <v>1.0</v>
      </c>
      <c r="I2115" s="1">
        <v>2.0</v>
      </c>
      <c r="J2115" s="1">
        <v>6008.0</v>
      </c>
      <c r="L2115" s="1">
        <v>343965.0</v>
      </c>
      <c r="N2115" s="1">
        <v>343965.0</v>
      </c>
      <c r="P2115" s="1" t="s">
        <v>7682</v>
      </c>
      <c r="Q2115" s="1" t="s">
        <v>7683</v>
      </c>
      <c r="R2115" s="1" t="s">
        <v>7684</v>
      </c>
      <c r="S2115" s="1">
        <v>2.0</v>
      </c>
      <c r="T2115" s="1">
        <v>2.0</v>
      </c>
      <c r="U2115" s="1">
        <v>2.0</v>
      </c>
      <c r="X2115" s="1" t="s">
        <v>29</v>
      </c>
    </row>
    <row r="2116">
      <c r="A2116" s="3" t="str">
        <f>HYPERLINK("https://stackoverflow.com/q/8657698", "8657698")</f>
        <v>8657698</v>
      </c>
      <c r="B2116" s="1" t="s">
        <v>7613</v>
      </c>
      <c r="C2116" s="1" t="s">
        <v>7685</v>
      </c>
      <c r="D2116" s="2" t="s">
        <v>7686</v>
      </c>
      <c r="E2116" s="1">
        <v>1.0</v>
      </c>
      <c r="F2116" s="1">
        <v>8684270.0</v>
      </c>
      <c r="I2116" s="1">
        <v>0.0</v>
      </c>
      <c r="J2116" s="1">
        <v>634.0</v>
      </c>
      <c r="L2116" s="1">
        <v>75525.0</v>
      </c>
      <c r="Q2116" s="1" t="s">
        <v>7687</v>
      </c>
      <c r="R2116" s="1" t="s">
        <v>7688</v>
      </c>
      <c r="S2116" s="1">
        <v>1.0</v>
      </c>
      <c r="T2116" s="1">
        <v>0.0</v>
      </c>
      <c r="X2116" s="1" t="s">
        <v>29</v>
      </c>
      <c r="Z2116" s="1" t="s">
        <v>7687</v>
      </c>
    </row>
    <row r="2117">
      <c r="A2117" s="3" t="str">
        <f>HYPERLINK("https://stackoverflow.com/q/9054254", "9054254")</f>
        <v>9054254</v>
      </c>
      <c r="B2117" s="1" t="s">
        <v>7613</v>
      </c>
      <c r="C2117" s="1" t="s">
        <v>7689</v>
      </c>
      <c r="D2117" s="2" t="s">
        <v>7690</v>
      </c>
      <c r="E2117" s="1">
        <v>1.0</v>
      </c>
      <c r="F2117" s="1">
        <v>9265257.0</v>
      </c>
      <c r="I2117" s="1">
        <v>1.0</v>
      </c>
      <c r="J2117" s="1">
        <v>413.0</v>
      </c>
      <c r="L2117" s="1">
        <v>420558.0</v>
      </c>
      <c r="Q2117" s="1" t="s">
        <v>7691</v>
      </c>
      <c r="R2117" s="1" t="s">
        <v>7692</v>
      </c>
      <c r="S2117" s="1">
        <v>2.0</v>
      </c>
      <c r="T2117" s="1">
        <v>0.0</v>
      </c>
      <c r="U2117" s="1">
        <v>1.0</v>
      </c>
      <c r="X2117" s="1" t="s">
        <v>29</v>
      </c>
      <c r="Z2117" s="1" t="s">
        <v>7691</v>
      </c>
    </row>
    <row r="2118">
      <c r="A2118" s="3" t="str">
        <f>HYPERLINK("https://stackoverflow.com/q/9168994", "9168994")</f>
        <v>9168994</v>
      </c>
      <c r="B2118" s="1" t="s">
        <v>7613</v>
      </c>
      <c r="C2118" s="1" t="s">
        <v>7693</v>
      </c>
      <c r="D2118" s="2" t="s">
        <v>7694</v>
      </c>
      <c r="E2118" s="1">
        <v>1.0</v>
      </c>
      <c r="F2118" s="1">
        <v>9169068.0</v>
      </c>
      <c r="I2118" s="1">
        <v>2.0</v>
      </c>
      <c r="J2118" s="1">
        <v>14718.0</v>
      </c>
      <c r="L2118" s="1">
        <v>180516.0</v>
      </c>
      <c r="Q2118" s="1" t="s">
        <v>7695</v>
      </c>
      <c r="R2118" s="1" t="s">
        <v>7696</v>
      </c>
      <c r="S2118" s="1">
        <v>1.0</v>
      </c>
      <c r="T2118" s="1">
        <v>0.0</v>
      </c>
      <c r="U2118" s="1">
        <v>2.0</v>
      </c>
      <c r="X2118" s="1" t="s">
        <v>29</v>
      </c>
      <c r="Z2118" s="1" t="s">
        <v>7695</v>
      </c>
    </row>
    <row r="2119">
      <c r="A2119" s="3" t="str">
        <f>HYPERLINK("https://stackoverflow.com/q/9187799", "9187799")</f>
        <v>9187799</v>
      </c>
      <c r="B2119" s="1" t="s">
        <v>7613</v>
      </c>
      <c r="C2119" s="1" t="s">
        <v>7697</v>
      </c>
      <c r="D2119" s="2" t="s">
        <v>7698</v>
      </c>
      <c r="E2119" s="1">
        <v>1.0</v>
      </c>
      <c r="I2119" s="1">
        <v>0.0</v>
      </c>
      <c r="J2119" s="1">
        <v>431.0</v>
      </c>
      <c r="L2119" s="1">
        <v>1174484.0</v>
      </c>
      <c r="Q2119" s="1" t="s">
        <v>7699</v>
      </c>
      <c r="R2119" s="1" t="s">
        <v>7700</v>
      </c>
      <c r="S2119" s="1">
        <v>1.0</v>
      </c>
      <c r="T2119" s="1">
        <v>0.0</v>
      </c>
      <c r="X2119" s="1" t="s">
        <v>29</v>
      </c>
    </row>
    <row r="2120">
      <c r="A2120" s="3" t="str">
        <f>HYPERLINK("https://stackoverflow.com/q/9766725", "9766725")</f>
        <v>9766725</v>
      </c>
      <c r="B2120" s="1" t="s">
        <v>7613</v>
      </c>
      <c r="C2120" s="1" t="s">
        <v>7701</v>
      </c>
      <c r="D2120" s="2" t="s">
        <v>7702</v>
      </c>
      <c r="E2120" s="1">
        <v>1.0</v>
      </c>
      <c r="I2120" s="1">
        <v>0.0</v>
      </c>
      <c r="J2120" s="1">
        <v>1973.0</v>
      </c>
      <c r="L2120" s="1">
        <v>1278072.0</v>
      </c>
      <c r="Q2120" s="1" t="s">
        <v>7703</v>
      </c>
      <c r="R2120" s="1" t="s">
        <v>7688</v>
      </c>
      <c r="S2120" s="1">
        <v>1.0</v>
      </c>
      <c r="T2120" s="1">
        <v>0.0</v>
      </c>
      <c r="X2120" s="1" t="s">
        <v>29</v>
      </c>
    </row>
    <row r="2121">
      <c r="A2121" s="3" t="str">
        <f>HYPERLINK("https://stackoverflow.com/q/9802779", "9802779")</f>
        <v>9802779</v>
      </c>
      <c r="B2121" s="1" t="s">
        <v>7613</v>
      </c>
      <c r="C2121" s="1" t="s">
        <v>7704</v>
      </c>
      <c r="D2121" s="2" t="s">
        <v>7705</v>
      </c>
      <c r="E2121" s="1">
        <v>1.0</v>
      </c>
      <c r="F2121" s="1">
        <v>9819996.0</v>
      </c>
      <c r="I2121" s="1">
        <v>3.0</v>
      </c>
      <c r="J2121" s="1">
        <v>855.0</v>
      </c>
      <c r="M2121" s="1" t="s">
        <v>7706</v>
      </c>
      <c r="N2121" s="1">
        <v>517561.0</v>
      </c>
      <c r="P2121" s="1" t="s">
        <v>7707</v>
      </c>
      <c r="Q2121" s="1" t="s">
        <v>7707</v>
      </c>
      <c r="R2121" s="1" t="s">
        <v>7661</v>
      </c>
      <c r="S2121" s="1">
        <v>2.0</v>
      </c>
      <c r="T2121" s="1">
        <v>1.0</v>
      </c>
      <c r="X2121" s="1" t="s">
        <v>29</v>
      </c>
      <c r="Z2121" s="1" t="s">
        <v>7708</v>
      </c>
    </row>
    <row r="2122">
      <c r="A2122" s="3" t="str">
        <f>HYPERLINK("https://stackoverflow.com/q/10170940", "10170940")</f>
        <v>10170940</v>
      </c>
      <c r="B2122" s="1" t="s">
        <v>7613</v>
      </c>
      <c r="C2122" s="1" t="s">
        <v>7709</v>
      </c>
      <c r="D2122" s="2" t="s">
        <v>7710</v>
      </c>
      <c r="E2122" s="1">
        <v>1.0</v>
      </c>
      <c r="F2122" s="1">
        <v>1.0252355E7</v>
      </c>
      <c r="I2122" s="1">
        <v>4.0</v>
      </c>
      <c r="J2122" s="1">
        <v>5120.0</v>
      </c>
      <c r="L2122" s="1">
        <v>1210561.0</v>
      </c>
      <c r="N2122" s="1">
        <v>1210561.0</v>
      </c>
      <c r="P2122" s="1" t="s">
        <v>7711</v>
      </c>
      <c r="Q2122" s="1" t="s">
        <v>7712</v>
      </c>
      <c r="R2122" s="1" t="s">
        <v>7713</v>
      </c>
      <c r="S2122" s="1">
        <v>2.0</v>
      </c>
      <c r="T2122" s="1">
        <v>0.0</v>
      </c>
      <c r="U2122" s="1">
        <v>1.0</v>
      </c>
      <c r="X2122" s="1" t="s">
        <v>29</v>
      </c>
      <c r="Z2122" s="1" t="s">
        <v>7714</v>
      </c>
    </row>
    <row r="2123">
      <c r="A2123" s="3" t="str">
        <f>HYPERLINK("https://stackoverflow.com/q/10215293", "10215293")</f>
        <v>10215293</v>
      </c>
      <c r="B2123" s="1" t="s">
        <v>7613</v>
      </c>
      <c r="C2123" s="1" t="s">
        <v>7715</v>
      </c>
      <c r="D2123" s="2" t="s">
        <v>7716</v>
      </c>
      <c r="E2123" s="1">
        <v>1.0</v>
      </c>
      <c r="I2123" s="1">
        <v>2.0</v>
      </c>
      <c r="J2123" s="1">
        <v>2499.0</v>
      </c>
      <c r="L2123" s="1">
        <v>16732.0</v>
      </c>
      <c r="Q2123" s="1" t="s">
        <v>7717</v>
      </c>
      <c r="R2123" s="1" t="s">
        <v>7688</v>
      </c>
      <c r="S2123" s="1">
        <v>2.0</v>
      </c>
      <c r="T2123" s="1">
        <v>0.0</v>
      </c>
      <c r="X2123" s="1" t="s">
        <v>29</v>
      </c>
    </row>
    <row r="2124">
      <c r="A2124" s="3" t="str">
        <f>HYPERLINK("https://stackoverflow.com/q/10586848", "10586848")</f>
        <v>10586848</v>
      </c>
      <c r="B2124" s="1" t="s">
        <v>7613</v>
      </c>
      <c r="C2124" s="1" t="s">
        <v>7718</v>
      </c>
      <c r="D2124" s="2" t="s">
        <v>7719</v>
      </c>
      <c r="E2124" s="1">
        <v>1.0</v>
      </c>
      <c r="I2124" s="1">
        <v>0.0</v>
      </c>
      <c r="J2124" s="1">
        <v>812.0</v>
      </c>
      <c r="L2124" s="1">
        <v>32188.0</v>
      </c>
      <c r="Q2124" s="1" t="s">
        <v>7720</v>
      </c>
      <c r="R2124" s="1" t="s">
        <v>7688</v>
      </c>
      <c r="S2124" s="1">
        <v>1.0</v>
      </c>
      <c r="T2124" s="1">
        <v>0.0</v>
      </c>
      <c r="X2124" s="1" t="s">
        <v>29</v>
      </c>
    </row>
    <row r="2125">
      <c r="A2125" s="3" t="str">
        <f>HYPERLINK("https://stackoverflow.com/q/10761717", "10761717")</f>
        <v>10761717</v>
      </c>
      <c r="B2125" s="1" t="s">
        <v>7613</v>
      </c>
      <c r="C2125" s="1" t="s">
        <v>7721</v>
      </c>
      <c r="D2125" s="2" t="s">
        <v>7722</v>
      </c>
      <c r="E2125" s="1">
        <v>1.0</v>
      </c>
      <c r="I2125" s="1">
        <v>0.0</v>
      </c>
      <c r="J2125" s="1">
        <v>66.0</v>
      </c>
      <c r="L2125" s="1">
        <v>971935.0</v>
      </c>
      <c r="Q2125" s="1" t="s">
        <v>7723</v>
      </c>
      <c r="R2125" s="1" t="s">
        <v>7688</v>
      </c>
      <c r="S2125" s="1">
        <v>1.0</v>
      </c>
      <c r="T2125" s="1">
        <v>0.0</v>
      </c>
      <c r="X2125" s="1" t="s">
        <v>29</v>
      </c>
    </row>
    <row r="2126">
      <c r="A2126" s="3" t="str">
        <f>HYPERLINK("https://stackoverflow.com/q/10774183", "10774183")</f>
        <v>10774183</v>
      </c>
      <c r="B2126" s="1" t="s">
        <v>7613</v>
      </c>
      <c r="C2126" s="1" t="s">
        <v>7724</v>
      </c>
      <c r="D2126" s="2" t="s">
        <v>7725</v>
      </c>
      <c r="E2126" s="1">
        <v>1.0</v>
      </c>
      <c r="F2126" s="1">
        <v>1.079086E7</v>
      </c>
      <c r="I2126" s="1">
        <v>0.0</v>
      </c>
      <c r="J2126" s="1">
        <v>192.0</v>
      </c>
      <c r="L2126" s="1">
        <v>1331739.0</v>
      </c>
      <c r="N2126" s="1">
        <v>1331739.0</v>
      </c>
      <c r="P2126" s="1" t="s">
        <v>7726</v>
      </c>
      <c r="Q2126" s="1" t="s">
        <v>7727</v>
      </c>
      <c r="R2126" s="1" t="s">
        <v>7728</v>
      </c>
      <c r="S2126" s="1">
        <v>1.0</v>
      </c>
      <c r="T2126" s="1">
        <v>6.0</v>
      </c>
      <c r="X2126" s="1" t="s">
        <v>29</v>
      </c>
      <c r="Z2126" s="1" t="s">
        <v>7729</v>
      </c>
    </row>
    <row r="2127">
      <c r="A2127" s="3" t="str">
        <f>HYPERLINK("https://stackoverflow.com/q/10898993", "10898993")</f>
        <v>10898993</v>
      </c>
      <c r="B2127" s="1" t="s">
        <v>7613</v>
      </c>
      <c r="C2127" s="1" t="s">
        <v>7730</v>
      </c>
      <c r="D2127" s="2" t="s">
        <v>7731</v>
      </c>
      <c r="E2127" s="1">
        <v>1.0</v>
      </c>
      <c r="I2127" s="1">
        <v>0.0</v>
      </c>
      <c r="J2127" s="1">
        <v>1375.0</v>
      </c>
      <c r="L2127" s="1">
        <v>1437559.0</v>
      </c>
      <c r="Q2127" s="1" t="s">
        <v>7732</v>
      </c>
      <c r="R2127" s="1" t="s">
        <v>7700</v>
      </c>
      <c r="S2127" s="1">
        <v>1.0</v>
      </c>
      <c r="T2127" s="1">
        <v>2.0</v>
      </c>
      <c r="X2127" s="1" t="s">
        <v>29</v>
      </c>
    </row>
    <row r="2128">
      <c r="A2128" s="3" t="str">
        <f>HYPERLINK("https://stackoverflow.com/q/11064969", "11064969")</f>
        <v>11064969</v>
      </c>
      <c r="B2128" s="1" t="s">
        <v>7613</v>
      </c>
      <c r="C2128" s="1" t="s">
        <v>7733</v>
      </c>
      <c r="D2128" s="2" t="s">
        <v>7734</v>
      </c>
      <c r="E2128" s="1">
        <v>1.0</v>
      </c>
      <c r="F2128" s="1">
        <v>1.1094651E7</v>
      </c>
      <c r="I2128" s="1">
        <v>1.0</v>
      </c>
      <c r="J2128" s="1">
        <v>182.0</v>
      </c>
      <c r="L2128" s="1">
        <v>844872.0</v>
      </c>
      <c r="N2128" s="1">
        <v>102529.0</v>
      </c>
      <c r="P2128" s="1" t="s">
        <v>7735</v>
      </c>
      <c r="Q2128" s="1" t="s">
        <v>7735</v>
      </c>
      <c r="R2128" s="1" t="s">
        <v>7688</v>
      </c>
      <c r="S2128" s="1">
        <v>1.0</v>
      </c>
      <c r="T2128" s="1">
        <v>2.0</v>
      </c>
      <c r="V2128" s="1" t="s">
        <v>7736</v>
      </c>
      <c r="X2128" s="1" t="s">
        <v>29</v>
      </c>
      <c r="Z2128" s="1" t="s">
        <v>7737</v>
      </c>
    </row>
    <row r="2129">
      <c r="A2129" s="3" t="str">
        <f>HYPERLINK("https://stackoverflow.com/q/11248169", "11248169")</f>
        <v>11248169</v>
      </c>
      <c r="B2129" s="1" t="s">
        <v>7613</v>
      </c>
      <c r="C2129" s="1" t="s">
        <v>7738</v>
      </c>
      <c r="D2129" s="2" t="s">
        <v>7739</v>
      </c>
      <c r="E2129" s="1">
        <v>1.0</v>
      </c>
      <c r="F2129" s="1">
        <v>1.126158E7</v>
      </c>
      <c r="I2129" s="1">
        <v>1.0</v>
      </c>
      <c r="J2129" s="1">
        <v>509.0</v>
      </c>
      <c r="L2129" s="1">
        <v>1489052.0</v>
      </c>
      <c r="Q2129" s="1" t="s">
        <v>7740</v>
      </c>
      <c r="R2129" s="1" t="s">
        <v>7696</v>
      </c>
      <c r="S2129" s="1">
        <v>1.0</v>
      </c>
      <c r="T2129" s="1">
        <v>0.0</v>
      </c>
      <c r="X2129" s="1" t="s">
        <v>29</v>
      </c>
      <c r="Z2129" s="1" t="s">
        <v>7740</v>
      </c>
    </row>
    <row r="2130">
      <c r="A2130" s="3" t="str">
        <f>HYPERLINK("https://stackoverflow.com/q/11306027", "11306027")</f>
        <v>11306027</v>
      </c>
      <c r="B2130" s="1" t="s">
        <v>7613</v>
      </c>
      <c r="C2130" s="1" t="s">
        <v>7741</v>
      </c>
      <c r="D2130" s="2" t="s">
        <v>7742</v>
      </c>
      <c r="E2130" s="1">
        <v>1.0</v>
      </c>
      <c r="F2130" s="1">
        <v>1.1341045E7</v>
      </c>
      <c r="I2130" s="1">
        <v>0.0</v>
      </c>
      <c r="J2130" s="1">
        <v>348.0</v>
      </c>
      <c r="L2130" s="1">
        <v>611699.0</v>
      </c>
      <c r="N2130" s="1">
        <v>1482887.0</v>
      </c>
      <c r="P2130" s="1" t="s">
        <v>7743</v>
      </c>
      <c r="Q2130" s="1" t="s">
        <v>7743</v>
      </c>
      <c r="R2130" s="1" t="s">
        <v>7744</v>
      </c>
      <c r="S2130" s="1">
        <v>1.0</v>
      </c>
      <c r="T2130" s="1">
        <v>0.0</v>
      </c>
      <c r="X2130" s="1" t="s">
        <v>29</v>
      </c>
      <c r="Z2130" s="1" t="s">
        <v>7745</v>
      </c>
    </row>
    <row r="2131">
      <c r="A2131" s="3" t="str">
        <f>HYPERLINK("https://stackoverflow.com/q/11316689", "11316689")</f>
        <v>11316689</v>
      </c>
      <c r="B2131" s="1" t="s">
        <v>7613</v>
      </c>
      <c r="C2131" s="1" t="s">
        <v>7746</v>
      </c>
      <c r="D2131" s="2" t="s">
        <v>7747</v>
      </c>
      <c r="E2131" s="1">
        <v>1.0</v>
      </c>
      <c r="I2131" s="1">
        <v>1.0</v>
      </c>
      <c r="J2131" s="1">
        <v>303.0</v>
      </c>
      <c r="L2131" s="1">
        <v>98795.0</v>
      </c>
      <c r="Q2131" s="1" t="s">
        <v>7748</v>
      </c>
      <c r="R2131" s="1" t="s">
        <v>7749</v>
      </c>
      <c r="S2131" s="1">
        <v>2.0</v>
      </c>
      <c r="T2131" s="1">
        <v>0.0</v>
      </c>
      <c r="X2131" s="1" t="s">
        <v>29</v>
      </c>
    </row>
    <row r="2132">
      <c r="A2132" s="3" t="str">
        <f>HYPERLINK("https://stackoverflow.com/q/11446885", "11446885")</f>
        <v>11446885</v>
      </c>
      <c r="B2132" s="1" t="s">
        <v>7613</v>
      </c>
      <c r="C2132" s="1" t="s">
        <v>7750</v>
      </c>
      <c r="D2132" s="2" t="s">
        <v>7751</v>
      </c>
      <c r="E2132" s="1">
        <v>1.0</v>
      </c>
      <c r="I2132" s="1">
        <v>1.0</v>
      </c>
      <c r="J2132" s="1">
        <v>410.0</v>
      </c>
      <c r="L2132" s="1">
        <v>1513995.0</v>
      </c>
      <c r="Q2132" s="1" t="s">
        <v>7752</v>
      </c>
      <c r="R2132" s="1" t="s">
        <v>7713</v>
      </c>
      <c r="S2132" s="1">
        <v>1.0</v>
      </c>
      <c r="T2132" s="1">
        <v>3.0</v>
      </c>
      <c r="X2132" s="1" t="s">
        <v>29</v>
      </c>
    </row>
    <row r="2133">
      <c r="A2133" s="3" t="str">
        <f>HYPERLINK("https://stackoverflow.com/q/11698968", "11698968")</f>
        <v>11698968</v>
      </c>
      <c r="B2133" s="1" t="s">
        <v>7613</v>
      </c>
      <c r="C2133" s="1" t="s">
        <v>7753</v>
      </c>
      <c r="D2133" s="2" t="s">
        <v>7754</v>
      </c>
      <c r="E2133" s="1">
        <v>1.0</v>
      </c>
      <c r="F2133" s="1">
        <v>1.18296E7</v>
      </c>
      <c r="I2133" s="1">
        <v>7.0</v>
      </c>
      <c r="J2133" s="1">
        <v>1565.0</v>
      </c>
      <c r="L2133" s="1">
        <v>369708.0</v>
      </c>
      <c r="N2133" s="1">
        <v>359423.0</v>
      </c>
      <c r="P2133" s="1" t="s">
        <v>7755</v>
      </c>
      <c r="Q2133" s="1" t="s">
        <v>7756</v>
      </c>
      <c r="R2133" s="1" t="s">
        <v>7757</v>
      </c>
      <c r="S2133" s="1">
        <v>3.0</v>
      </c>
      <c r="T2133" s="1">
        <v>0.0</v>
      </c>
      <c r="U2133" s="1">
        <v>2.0</v>
      </c>
      <c r="X2133" s="1" t="s">
        <v>29</v>
      </c>
      <c r="Z2133" s="1" t="s">
        <v>7758</v>
      </c>
    </row>
    <row r="2134">
      <c r="A2134" s="3" t="str">
        <f>HYPERLINK("https://stackoverflow.com/q/11718933", "11718933")</f>
        <v>11718933</v>
      </c>
      <c r="B2134" s="1" t="s">
        <v>7613</v>
      </c>
      <c r="C2134" s="1" t="s">
        <v>7759</v>
      </c>
      <c r="D2134" s="2" t="s">
        <v>7760</v>
      </c>
      <c r="E2134" s="1">
        <v>1.0</v>
      </c>
      <c r="I2134" s="1">
        <v>0.0</v>
      </c>
      <c r="J2134" s="1">
        <v>114.0</v>
      </c>
      <c r="L2134" s="1">
        <v>369708.0</v>
      </c>
      <c r="Q2134" s="1" t="s">
        <v>7761</v>
      </c>
      <c r="R2134" s="1" t="s">
        <v>7661</v>
      </c>
      <c r="S2134" s="1">
        <v>0.0</v>
      </c>
      <c r="T2134" s="1">
        <v>2.0</v>
      </c>
      <c r="X2134" s="1" t="s">
        <v>29</v>
      </c>
    </row>
    <row r="2135">
      <c r="A2135" s="3" t="str">
        <f>HYPERLINK("https://stackoverflow.com/q/12020334", "12020334")</f>
        <v>12020334</v>
      </c>
      <c r="B2135" s="1" t="s">
        <v>7613</v>
      </c>
      <c r="C2135" s="1" t="s">
        <v>7762</v>
      </c>
      <c r="D2135" s="2" t="s">
        <v>7763</v>
      </c>
      <c r="E2135" s="1">
        <v>1.0</v>
      </c>
      <c r="F2135" s="1">
        <v>1.4780863E7</v>
      </c>
      <c r="I2135" s="1">
        <v>1.0</v>
      </c>
      <c r="J2135" s="1">
        <v>425.0</v>
      </c>
      <c r="L2135" s="1">
        <v>1219463.0</v>
      </c>
      <c r="Q2135" s="1" t="s">
        <v>7764</v>
      </c>
      <c r="R2135" s="1" t="s">
        <v>7765</v>
      </c>
      <c r="S2135" s="1">
        <v>1.0</v>
      </c>
      <c r="T2135" s="1">
        <v>0.0</v>
      </c>
      <c r="X2135" s="1" t="s">
        <v>29</v>
      </c>
      <c r="Z2135" s="1" t="s">
        <v>7764</v>
      </c>
    </row>
    <row r="2136">
      <c r="A2136" s="3" t="str">
        <f>HYPERLINK("https://stackoverflow.com/q/12028626", "12028626")</f>
        <v>12028626</v>
      </c>
      <c r="B2136" s="1" t="s">
        <v>7613</v>
      </c>
      <c r="C2136" s="1" t="s">
        <v>7766</v>
      </c>
      <c r="D2136" s="2" t="s">
        <v>7767</v>
      </c>
      <c r="E2136" s="1">
        <v>1.0</v>
      </c>
      <c r="F2136" s="1">
        <v>2.2038885E7</v>
      </c>
      <c r="I2136" s="1">
        <v>3.0</v>
      </c>
      <c r="J2136" s="1">
        <v>486.0</v>
      </c>
      <c r="L2136" s="1">
        <v>1219463.0</v>
      </c>
      <c r="Q2136" s="1" t="s">
        <v>7768</v>
      </c>
      <c r="R2136" s="1" t="s">
        <v>7769</v>
      </c>
      <c r="S2136" s="1">
        <v>4.0</v>
      </c>
      <c r="T2136" s="1">
        <v>0.0</v>
      </c>
      <c r="U2136" s="1">
        <v>3.0</v>
      </c>
      <c r="X2136" s="1" t="s">
        <v>29</v>
      </c>
      <c r="Z2136" s="1" t="s">
        <v>7770</v>
      </c>
    </row>
    <row r="2137">
      <c r="A2137" s="3" t="str">
        <f>HYPERLINK("https://stackoverflow.com/q/12504547", "12504547")</f>
        <v>12504547</v>
      </c>
      <c r="B2137" s="1" t="s">
        <v>7613</v>
      </c>
      <c r="C2137" s="1" t="s">
        <v>7771</v>
      </c>
      <c r="D2137" s="2" t="s">
        <v>7772</v>
      </c>
      <c r="E2137" s="1">
        <v>1.0</v>
      </c>
      <c r="F2137" s="1">
        <v>1.3324584E7</v>
      </c>
      <c r="I2137" s="1">
        <v>2.0</v>
      </c>
      <c r="J2137" s="1">
        <v>1298.0</v>
      </c>
      <c r="L2137" s="1">
        <v>1637301.0</v>
      </c>
      <c r="Q2137" s="1" t="s">
        <v>7773</v>
      </c>
      <c r="R2137" s="1" t="s">
        <v>7774</v>
      </c>
      <c r="S2137" s="1">
        <v>1.0</v>
      </c>
      <c r="T2137" s="1">
        <v>1.0</v>
      </c>
      <c r="U2137" s="1">
        <v>1.0</v>
      </c>
      <c r="X2137" s="1" t="s">
        <v>29</v>
      </c>
      <c r="Z2137" s="1" t="s">
        <v>7773</v>
      </c>
    </row>
    <row r="2138">
      <c r="A2138" s="3" t="str">
        <f>HYPERLINK("https://stackoverflow.com/q/12729100", "12729100")</f>
        <v>12729100</v>
      </c>
      <c r="B2138" s="1" t="s">
        <v>7613</v>
      </c>
      <c r="C2138" s="1" t="s">
        <v>7775</v>
      </c>
      <c r="D2138" s="2" t="s">
        <v>7776</v>
      </c>
      <c r="E2138" s="1">
        <v>1.0</v>
      </c>
      <c r="F2138" s="1">
        <v>1.2730363E7</v>
      </c>
      <c r="I2138" s="1">
        <v>0.0</v>
      </c>
      <c r="J2138" s="1">
        <v>2181.0</v>
      </c>
      <c r="L2138" s="1">
        <v>169034.0</v>
      </c>
      <c r="Q2138" s="1" t="s">
        <v>7777</v>
      </c>
      <c r="R2138" s="1" t="s">
        <v>7688</v>
      </c>
      <c r="S2138" s="1">
        <v>1.0</v>
      </c>
      <c r="T2138" s="1">
        <v>0.0</v>
      </c>
      <c r="X2138" s="1" t="s">
        <v>29</v>
      </c>
      <c r="Z2138" s="1" t="s">
        <v>7777</v>
      </c>
    </row>
    <row r="2139">
      <c r="A2139" s="3" t="str">
        <f>HYPERLINK("https://stackoverflow.com/q/13393253", "13393253")</f>
        <v>13393253</v>
      </c>
      <c r="B2139" s="1" t="s">
        <v>7613</v>
      </c>
      <c r="C2139" s="1" t="s">
        <v>7778</v>
      </c>
      <c r="D2139" s="2" t="s">
        <v>7779</v>
      </c>
      <c r="E2139" s="1">
        <v>1.0</v>
      </c>
      <c r="I2139" s="1">
        <v>0.0</v>
      </c>
      <c r="J2139" s="1">
        <v>388.0</v>
      </c>
      <c r="L2139" s="1">
        <v>1711717.0</v>
      </c>
      <c r="Q2139" s="1" t="s">
        <v>7778</v>
      </c>
      <c r="R2139" s="1" t="s">
        <v>7688</v>
      </c>
      <c r="S2139" s="1">
        <v>0.0</v>
      </c>
      <c r="T2139" s="1">
        <v>4.0</v>
      </c>
      <c r="X2139" s="1" t="s">
        <v>29</v>
      </c>
    </row>
    <row r="2140">
      <c r="A2140" s="3" t="str">
        <f>HYPERLINK("https://stackoverflow.com/q/13767870", "13767870")</f>
        <v>13767870</v>
      </c>
      <c r="B2140" s="1" t="s">
        <v>7613</v>
      </c>
      <c r="C2140" s="1" t="s">
        <v>7780</v>
      </c>
      <c r="D2140" s="2" t="s">
        <v>7781</v>
      </c>
      <c r="E2140" s="1">
        <v>1.0</v>
      </c>
      <c r="F2140" s="1">
        <v>1.3770391E7</v>
      </c>
      <c r="I2140" s="1">
        <v>0.0</v>
      </c>
      <c r="J2140" s="1">
        <v>3836.0</v>
      </c>
      <c r="L2140" s="1">
        <v>1839762.0</v>
      </c>
      <c r="N2140" s="1">
        <v>313628.0</v>
      </c>
      <c r="P2140" s="1" t="s">
        <v>7782</v>
      </c>
      <c r="Q2140" s="1" t="s">
        <v>7782</v>
      </c>
      <c r="R2140" s="1" t="s">
        <v>7783</v>
      </c>
      <c r="S2140" s="1">
        <v>1.0</v>
      </c>
      <c r="T2140" s="1">
        <v>0.0</v>
      </c>
      <c r="X2140" s="1" t="s">
        <v>29</v>
      </c>
      <c r="Z2140" s="1" t="s">
        <v>7784</v>
      </c>
    </row>
    <row r="2141">
      <c r="A2141" s="3" t="str">
        <f>HYPERLINK("https://stackoverflow.com/q/13929746", "13929746")</f>
        <v>13929746</v>
      </c>
      <c r="B2141" s="1" t="s">
        <v>7613</v>
      </c>
      <c r="C2141" s="1" t="s">
        <v>7785</v>
      </c>
      <c r="D2141" s="2" t="s">
        <v>7786</v>
      </c>
      <c r="E2141" s="1">
        <v>1.0</v>
      </c>
      <c r="I2141" s="1">
        <v>2.0</v>
      </c>
      <c r="J2141" s="1">
        <v>2658.0</v>
      </c>
      <c r="L2141" s="1">
        <v>1912238.0</v>
      </c>
      <c r="N2141" s="1">
        <v>-1.0</v>
      </c>
      <c r="P2141" s="1" t="s">
        <v>7787</v>
      </c>
      <c r="Q2141" s="1" t="s">
        <v>7788</v>
      </c>
      <c r="R2141" s="1" t="s">
        <v>7789</v>
      </c>
      <c r="S2141" s="1">
        <v>1.0</v>
      </c>
      <c r="T2141" s="1">
        <v>0.0</v>
      </c>
      <c r="X2141" s="1" t="s">
        <v>29</v>
      </c>
    </row>
    <row r="2142">
      <c r="A2142" s="3" t="str">
        <f>HYPERLINK("https://stackoverflow.com/q/13991036", "13991036")</f>
        <v>13991036</v>
      </c>
      <c r="B2142" s="1" t="s">
        <v>7613</v>
      </c>
      <c r="C2142" s="1" t="s">
        <v>7790</v>
      </c>
      <c r="D2142" s="2" t="s">
        <v>7791</v>
      </c>
      <c r="E2142" s="1">
        <v>1.0</v>
      </c>
      <c r="F2142" s="1">
        <v>1.3993121E7</v>
      </c>
      <c r="I2142" s="1">
        <v>2.0</v>
      </c>
      <c r="J2142" s="1">
        <v>5387.0</v>
      </c>
      <c r="L2142" s="1">
        <v>819814.0</v>
      </c>
      <c r="Q2142" s="1" t="s">
        <v>7792</v>
      </c>
      <c r="R2142" s="1" t="s">
        <v>7688</v>
      </c>
      <c r="S2142" s="1">
        <v>2.0</v>
      </c>
      <c r="T2142" s="1">
        <v>0.0</v>
      </c>
      <c r="X2142" s="1" t="s">
        <v>29</v>
      </c>
      <c r="Z2142" s="1" t="s">
        <v>7793</v>
      </c>
    </row>
    <row r="2143">
      <c r="A2143" s="3" t="str">
        <f>HYPERLINK("https://stackoverflow.com/q/14001746", "14001746")</f>
        <v>14001746</v>
      </c>
      <c r="B2143" s="1" t="s">
        <v>7613</v>
      </c>
      <c r="C2143" s="1" t="s">
        <v>7794</v>
      </c>
      <c r="D2143" s="2" t="s">
        <v>7795</v>
      </c>
      <c r="E2143" s="1">
        <v>1.0</v>
      </c>
      <c r="F2143" s="1">
        <v>1.4004283E7</v>
      </c>
      <c r="I2143" s="1">
        <v>1.0</v>
      </c>
      <c r="J2143" s="1">
        <v>776.0</v>
      </c>
      <c r="L2143" s="1">
        <v>819814.0</v>
      </c>
      <c r="N2143" s="1">
        <v>759866.0</v>
      </c>
      <c r="P2143" s="1" t="s">
        <v>7796</v>
      </c>
      <c r="Q2143" s="1" t="s">
        <v>7796</v>
      </c>
      <c r="R2143" s="1" t="s">
        <v>7688</v>
      </c>
      <c r="S2143" s="1">
        <v>2.0</v>
      </c>
      <c r="T2143" s="1">
        <v>0.0</v>
      </c>
      <c r="X2143" s="1" t="s">
        <v>29</v>
      </c>
      <c r="Z2143" s="1" t="s">
        <v>7797</v>
      </c>
    </row>
    <row r="2144">
      <c r="A2144" s="3" t="str">
        <f>HYPERLINK("https://stackoverflow.com/q/14281766", "14281766")</f>
        <v>14281766</v>
      </c>
      <c r="B2144" s="1" t="s">
        <v>7613</v>
      </c>
      <c r="C2144" s="1" t="s">
        <v>7798</v>
      </c>
      <c r="D2144" s="2" t="s">
        <v>7799</v>
      </c>
      <c r="E2144" s="1">
        <v>1.0</v>
      </c>
      <c r="I2144" s="1">
        <v>0.0</v>
      </c>
      <c r="J2144" s="1">
        <v>75.0</v>
      </c>
      <c r="L2144" s="1">
        <v>1275179.0</v>
      </c>
      <c r="Q2144" s="1" t="s">
        <v>7800</v>
      </c>
      <c r="R2144" s="1" t="s">
        <v>7688</v>
      </c>
      <c r="S2144" s="1">
        <v>1.0</v>
      </c>
      <c r="T2144" s="1">
        <v>4.0</v>
      </c>
      <c r="X2144" s="1" t="s">
        <v>29</v>
      </c>
    </row>
    <row r="2145">
      <c r="A2145" s="3" t="str">
        <f>HYPERLINK("https://stackoverflow.com/q/14487518", "14487518")</f>
        <v>14487518</v>
      </c>
      <c r="B2145" s="1" t="s">
        <v>7613</v>
      </c>
      <c r="C2145" s="1" t="s">
        <v>7801</v>
      </c>
      <c r="D2145" s="2" t="s">
        <v>7802</v>
      </c>
      <c r="E2145" s="1">
        <v>1.0</v>
      </c>
      <c r="F2145" s="1">
        <v>1.4499499E7</v>
      </c>
      <c r="I2145" s="1">
        <v>0.0</v>
      </c>
      <c r="J2145" s="1">
        <v>307.0</v>
      </c>
      <c r="L2145" s="1">
        <v>738448.0</v>
      </c>
      <c r="Q2145" s="1" t="s">
        <v>7803</v>
      </c>
      <c r="R2145" s="1" t="s">
        <v>7661</v>
      </c>
      <c r="S2145" s="1">
        <v>1.0</v>
      </c>
      <c r="T2145" s="1">
        <v>0.0</v>
      </c>
      <c r="X2145" s="1" t="s">
        <v>29</v>
      </c>
      <c r="Z2145" s="1" t="s">
        <v>7803</v>
      </c>
    </row>
    <row r="2146">
      <c r="A2146" s="3" t="str">
        <f>HYPERLINK("https://stackoverflow.com/q/14530767", "14530767")</f>
        <v>14530767</v>
      </c>
      <c r="B2146" s="1" t="s">
        <v>7613</v>
      </c>
      <c r="C2146" s="1" t="s">
        <v>7804</v>
      </c>
      <c r="D2146" s="2" t="s">
        <v>7805</v>
      </c>
      <c r="E2146" s="1">
        <v>1.0</v>
      </c>
      <c r="I2146" s="1">
        <v>1.0</v>
      </c>
      <c r="J2146" s="1">
        <v>580.0</v>
      </c>
      <c r="L2146" s="1">
        <v>2012443.0</v>
      </c>
      <c r="Q2146" s="1" t="s">
        <v>7806</v>
      </c>
      <c r="R2146" s="1" t="s">
        <v>7807</v>
      </c>
      <c r="S2146" s="1">
        <v>1.0</v>
      </c>
      <c r="T2146" s="1">
        <v>0.0</v>
      </c>
      <c r="X2146" s="1" t="s">
        <v>29</v>
      </c>
    </row>
    <row r="2147">
      <c r="A2147" s="3" t="str">
        <f>HYPERLINK("https://stackoverflow.com/q/14634758", "14634758")</f>
        <v>14634758</v>
      </c>
      <c r="B2147" s="1" t="s">
        <v>7613</v>
      </c>
      <c r="C2147" s="1" t="s">
        <v>7808</v>
      </c>
      <c r="D2147" s="2" t="s">
        <v>7809</v>
      </c>
      <c r="E2147" s="1">
        <v>1.0</v>
      </c>
      <c r="I2147" s="1">
        <v>1.0</v>
      </c>
      <c r="J2147" s="1">
        <v>94.0</v>
      </c>
      <c r="L2147" s="1">
        <v>309343.0</v>
      </c>
      <c r="N2147" s="1">
        <v>309343.0</v>
      </c>
      <c r="P2147" s="1" t="s">
        <v>7810</v>
      </c>
      <c r="Q2147" s="1" t="s">
        <v>7811</v>
      </c>
      <c r="R2147" s="1" t="s">
        <v>7812</v>
      </c>
      <c r="S2147" s="1">
        <v>1.0</v>
      </c>
      <c r="T2147" s="1">
        <v>0.0</v>
      </c>
      <c r="X2147" s="1" t="s">
        <v>29</v>
      </c>
    </row>
    <row r="2148">
      <c r="A2148" s="3" t="str">
        <f>HYPERLINK("https://stackoverflow.com/q/14907056", "14907056")</f>
        <v>14907056</v>
      </c>
      <c r="B2148" s="1" t="s">
        <v>7613</v>
      </c>
      <c r="C2148" s="1" t="s">
        <v>7813</v>
      </c>
      <c r="D2148" s="2" t="s">
        <v>7814</v>
      </c>
      <c r="E2148" s="1">
        <v>1.0</v>
      </c>
      <c r="I2148" s="1">
        <v>0.0</v>
      </c>
      <c r="J2148" s="1">
        <v>1189.0</v>
      </c>
      <c r="L2148" s="1">
        <v>1584693.0</v>
      </c>
      <c r="Q2148" s="1" t="s">
        <v>7815</v>
      </c>
      <c r="R2148" s="1" t="s">
        <v>7816</v>
      </c>
      <c r="S2148" s="1">
        <v>1.0</v>
      </c>
      <c r="T2148" s="1">
        <v>0.0</v>
      </c>
      <c r="X2148" s="1" t="s">
        <v>29</v>
      </c>
    </row>
    <row r="2149">
      <c r="A2149" s="3" t="str">
        <f>HYPERLINK("https://stackoverflow.com/q/15239231", "15239231")</f>
        <v>15239231</v>
      </c>
      <c r="B2149" s="1" t="s">
        <v>7613</v>
      </c>
      <c r="C2149" s="1" t="s">
        <v>7817</v>
      </c>
      <c r="D2149" s="2" t="s">
        <v>7818</v>
      </c>
      <c r="E2149" s="1">
        <v>1.0</v>
      </c>
      <c r="F2149" s="1">
        <v>1.5239965E7</v>
      </c>
      <c r="I2149" s="1">
        <v>2.0</v>
      </c>
      <c r="J2149" s="1">
        <v>197.0</v>
      </c>
      <c r="L2149" s="1">
        <v>1141343.0</v>
      </c>
      <c r="Q2149" s="1" t="s">
        <v>7819</v>
      </c>
      <c r="R2149" s="1" t="s">
        <v>7661</v>
      </c>
      <c r="S2149" s="1">
        <v>1.0</v>
      </c>
      <c r="T2149" s="1">
        <v>0.0</v>
      </c>
      <c r="X2149" s="1" t="s">
        <v>29</v>
      </c>
      <c r="Z2149" s="1" t="s">
        <v>7819</v>
      </c>
    </row>
    <row r="2150">
      <c r="A2150" s="3" t="str">
        <f>HYPERLINK("https://stackoverflow.com/q/15580847", "15580847")</f>
        <v>15580847</v>
      </c>
      <c r="B2150" s="1" t="s">
        <v>7613</v>
      </c>
      <c r="C2150" s="1" t="s">
        <v>7820</v>
      </c>
      <c r="D2150" s="2" t="s">
        <v>7821</v>
      </c>
      <c r="E2150" s="1">
        <v>1.0</v>
      </c>
      <c r="F2150" s="1">
        <v>1.6828645E7</v>
      </c>
      <c r="I2150" s="1">
        <v>0.0</v>
      </c>
      <c r="J2150" s="1">
        <v>177.0</v>
      </c>
      <c r="L2150" s="1">
        <v>411141.0</v>
      </c>
      <c r="N2150" s="1">
        <v>411141.0</v>
      </c>
      <c r="P2150" s="1" t="s">
        <v>7822</v>
      </c>
      <c r="Q2150" s="1" t="s">
        <v>7823</v>
      </c>
      <c r="R2150" s="1" t="s">
        <v>7824</v>
      </c>
      <c r="S2150" s="1">
        <v>1.0</v>
      </c>
      <c r="T2150" s="1">
        <v>3.0</v>
      </c>
      <c r="X2150" s="1" t="s">
        <v>29</v>
      </c>
      <c r="Z2150" s="1" t="s">
        <v>7823</v>
      </c>
    </row>
    <row r="2151">
      <c r="A2151" s="3" t="str">
        <f>HYPERLINK("https://stackoverflow.com/q/15919715", "15919715")</f>
        <v>15919715</v>
      </c>
      <c r="B2151" s="1" t="s">
        <v>7613</v>
      </c>
      <c r="C2151" s="1" t="s">
        <v>7825</v>
      </c>
      <c r="D2151" s="2" t="s">
        <v>7826</v>
      </c>
      <c r="E2151" s="1">
        <v>1.0</v>
      </c>
      <c r="F2151" s="1">
        <v>1.5921805E7</v>
      </c>
      <c r="I2151" s="1">
        <v>0.0</v>
      </c>
      <c r="J2151" s="1">
        <v>2644.0</v>
      </c>
      <c r="L2151" s="1">
        <v>2212378.0</v>
      </c>
      <c r="N2151" s="1">
        <v>2212378.0</v>
      </c>
      <c r="P2151" s="1" t="s">
        <v>7827</v>
      </c>
      <c r="Q2151" s="1" t="s">
        <v>7828</v>
      </c>
      <c r="R2151" s="1" t="s">
        <v>7829</v>
      </c>
      <c r="S2151" s="1">
        <v>1.0</v>
      </c>
      <c r="T2151" s="1">
        <v>0.0</v>
      </c>
      <c r="U2151" s="1">
        <v>1.0</v>
      </c>
      <c r="X2151" s="1" t="s">
        <v>29</v>
      </c>
      <c r="Z2151" s="1" t="s">
        <v>7830</v>
      </c>
    </row>
    <row r="2152">
      <c r="A2152" s="3" t="str">
        <f>HYPERLINK("https://stackoverflow.com/q/16045596", "16045596")</f>
        <v>16045596</v>
      </c>
      <c r="B2152" s="1" t="s">
        <v>7613</v>
      </c>
      <c r="C2152" s="1" t="s">
        <v>7831</v>
      </c>
      <c r="D2152" s="2" t="s">
        <v>7832</v>
      </c>
      <c r="E2152" s="1">
        <v>1.0</v>
      </c>
      <c r="F2152" s="1">
        <v>1.6059013E7</v>
      </c>
      <c r="I2152" s="1">
        <v>1.0</v>
      </c>
      <c r="J2152" s="1">
        <v>1512.0</v>
      </c>
      <c r="L2152" s="1">
        <v>592747.0</v>
      </c>
      <c r="Q2152" s="1" t="s">
        <v>7833</v>
      </c>
      <c r="R2152" s="1" t="s">
        <v>7834</v>
      </c>
      <c r="S2152" s="1">
        <v>1.0</v>
      </c>
      <c r="T2152" s="1">
        <v>0.0</v>
      </c>
      <c r="X2152" s="1" t="s">
        <v>29</v>
      </c>
      <c r="Z2152" s="1" t="s">
        <v>7833</v>
      </c>
    </row>
    <row r="2153">
      <c r="A2153" s="3" t="str">
        <f>HYPERLINK("https://stackoverflow.com/q/16437979", "16437979")</f>
        <v>16437979</v>
      </c>
      <c r="B2153" s="1" t="s">
        <v>7613</v>
      </c>
      <c r="C2153" s="1" t="s">
        <v>7835</v>
      </c>
      <c r="D2153" s="2" t="s">
        <v>7836</v>
      </c>
      <c r="E2153" s="1">
        <v>1.0</v>
      </c>
      <c r="I2153" s="1">
        <v>1.0</v>
      </c>
      <c r="J2153" s="1">
        <v>991.0</v>
      </c>
      <c r="L2153" s="1">
        <v>2361781.0</v>
      </c>
      <c r="N2153" s="1">
        <v>2361781.0</v>
      </c>
      <c r="P2153" s="1" t="s">
        <v>7837</v>
      </c>
      <c r="Q2153" s="1" t="s">
        <v>7837</v>
      </c>
      <c r="R2153" s="1" t="s">
        <v>7700</v>
      </c>
      <c r="S2153" s="1">
        <v>1.0</v>
      </c>
      <c r="T2153" s="1">
        <v>0.0</v>
      </c>
      <c r="X2153" s="1" t="s">
        <v>29</v>
      </c>
    </row>
    <row r="2154">
      <c r="A2154" s="3" t="str">
        <f>HYPERLINK("https://stackoverflow.com/q/16563253", "16563253")</f>
        <v>16563253</v>
      </c>
      <c r="B2154" s="1" t="s">
        <v>7613</v>
      </c>
      <c r="C2154" s="1" t="s">
        <v>7838</v>
      </c>
      <c r="D2154" s="2" t="s">
        <v>7839</v>
      </c>
      <c r="E2154" s="1">
        <v>1.0</v>
      </c>
      <c r="F2154" s="1">
        <v>1.6570139E7</v>
      </c>
      <c r="I2154" s="1">
        <v>0.0</v>
      </c>
      <c r="J2154" s="1">
        <v>483.0</v>
      </c>
      <c r="L2154" s="1">
        <v>2006533.0</v>
      </c>
      <c r="Q2154" s="1" t="s">
        <v>7840</v>
      </c>
      <c r="R2154" s="1" t="s">
        <v>7661</v>
      </c>
      <c r="S2154" s="1">
        <v>1.0</v>
      </c>
      <c r="T2154" s="1">
        <v>0.0</v>
      </c>
      <c r="X2154" s="1" t="s">
        <v>29</v>
      </c>
      <c r="Z2154" s="1" t="s">
        <v>7840</v>
      </c>
    </row>
    <row r="2155">
      <c r="A2155" s="3" t="str">
        <f>HYPERLINK("https://stackoverflow.com/q/16567269", "16567269")</f>
        <v>16567269</v>
      </c>
      <c r="B2155" s="1" t="s">
        <v>7613</v>
      </c>
      <c r="C2155" s="1" t="s">
        <v>7841</v>
      </c>
      <c r="D2155" s="2" t="s">
        <v>7842</v>
      </c>
      <c r="E2155" s="1">
        <v>1.0</v>
      </c>
      <c r="I2155" s="1">
        <v>3.0</v>
      </c>
      <c r="J2155" s="1">
        <v>1445.0</v>
      </c>
      <c r="L2155" s="1">
        <v>982542.0</v>
      </c>
      <c r="N2155" s="1">
        <v>982542.0</v>
      </c>
      <c r="P2155" s="1" t="s">
        <v>7843</v>
      </c>
      <c r="Q2155" s="1" t="s">
        <v>7843</v>
      </c>
      <c r="R2155" s="1" t="s">
        <v>7844</v>
      </c>
      <c r="S2155" s="1">
        <v>1.0</v>
      </c>
      <c r="T2155" s="1">
        <v>0.0</v>
      </c>
      <c r="X2155" s="1" t="s">
        <v>29</v>
      </c>
    </row>
    <row r="2156">
      <c r="A2156" s="3" t="str">
        <f>HYPERLINK("https://stackoverflow.com/q/16617053", "16617053")</f>
        <v>16617053</v>
      </c>
      <c r="B2156" s="1" t="s">
        <v>7613</v>
      </c>
      <c r="C2156" s="1" t="s">
        <v>7845</v>
      </c>
      <c r="D2156" s="2" t="s">
        <v>7846</v>
      </c>
      <c r="E2156" s="1">
        <v>1.0</v>
      </c>
      <c r="F2156" s="1">
        <v>1.66172E7</v>
      </c>
      <c r="I2156" s="1">
        <v>1.0</v>
      </c>
      <c r="J2156" s="1">
        <v>6965.0</v>
      </c>
      <c r="L2156" s="1">
        <v>1513995.0</v>
      </c>
      <c r="Q2156" s="1" t="s">
        <v>7847</v>
      </c>
      <c r="R2156" s="1" t="s">
        <v>7848</v>
      </c>
      <c r="S2156" s="1">
        <v>2.0</v>
      </c>
      <c r="T2156" s="1">
        <v>4.0</v>
      </c>
      <c r="X2156" s="1" t="s">
        <v>29</v>
      </c>
      <c r="Z2156" s="1" t="s">
        <v>7849</v>
      </c>
    </row>
    <row r="2157">
      <c r="A2157" s="3" t="str">
        <f>HYPERLINK("https://stackoverflow.com/q/16930202", "16930202")</f>
        <v>16930202</v>
      </c>
      <c r="B2157" s="1" t="s">
        <v>7613</v>
      </c>
      <c r="C2157" s="1" t="s">
        <v>7850</v>
      </c>
      <c r="D2157" s="2" t="s">
        <v>7851</v>
      </c>
      <c r="E2157" s="1">
        <v>1.0</v>
      </c>
      <c r="I2157" s="1">
        <v>2.0</v>
      </c>
      <c r="J2157" s="1">
        <v>3596.0</v>
      </c>
      <c r="L2157" s="1">
        <v>150252.0</v>
      </c>
      <c r="N2157" s="1">
        <v>150252.0</v>
      </c>
      <c r="P2157" s="1" t="s">
        <v>7852</v>
      </c>
      <c r="Q2157" s="1" t="s">
        <v>7853</v>
      </c>
      <c r="R2157" s="1" t="s">
        <v>7812</v>
      </c>
      <c r="S2157" s="1">
        <v>1.0</v>
      </c>
      <c r="T2157" s="1">
        <v>0.0</v>
      </c>
      <c r="X2157" s="1" t="s">
        <v>29</v>
      </c>
    </row>
    <row r="2158">
      <c r="A2158" s="3" t="str">
        <f>HYPERLINK("https://stackoverflow.com/q/16937042", "16937042")</f>
        <v>16937042</v>
      </c>
      <c r="B2158" s="1" t="s">
        <v>7613</v>
      </c>
      <c r="C2158" s="1" t="s">
        <v>7854</v>
      </c>
      <c r="D2158" s="2" t="s">
        <v>7855</v>
      </c>
      <c r="E2158" s="1">
        <v>1.0</v>
      </c>
      <c r="F2158" s="1">
        <v>1.6938606E7</v>
      </c>
      <c r="I2158" s="1">
        <v>1.0</v>
      </c>
      <c r="J2158" s="1">
        <v>955.0</v>
      </c>
      <c r="L2158" s="1">
        <v>2251935.0</v>
      </c>
      <c r="N2158" s="1">
        <v>833634.0</v>
      </c>
      <c r="P2158" s="1" t="s">
        <v>7856</v>
      </c>
      <c r="Q2158" s="1" t="s">
        <v>7857</v>
      </c>
      <c r="R2158" s="1" t="s">
        <v>7858</v>
      </c>
      <c r="S2158" s="1">
        <v>1.0</v>
      </c>
      <c r="T2158" s="1">
        <v>0.0</v>
      </c>
      <c r="U2158" s="1">
        <v>0.0</v>
      </c>
      <c r="X2158" s="1" t="s">
        <v>29</v>
      </c>
      <c r="Z2158" s="1" t="s">
        <v>7857</v>
      </c>
    </row>
    <row r="2159">
      <c r="A2159" s="3" t="str">
        <f>HYPERLINK("https://stackoverflow.com/q/16942433", "16942433")</f>
        <v>16942433</v>
      </c>
      <c r="B2159" s="1" t="s">
        <v>7613</v>
      </c>
      <c r="C2159" s="1" t="s">
        <v>7859</v>
      </c>
      <c r="D2159" s="2" t="s">
        <v>7860</v>
      </c>
      <c r="E2159" s="1">
        <v>1.0</v>
      </c>
      <c r="F2159" s="1">
        <v>1.6985508E7</v>
      </c>
      <c r="I2159" s="1">
        <v>0.0</v>
      </c>
      <c r="J2159" s="1">
        <v>874.0</v>
      </c>
      <c r="L2159" s="1">
        <v>2440908.0</v>
      </c>
      <c r="Q2159" s="1" t="s">
        <v>7861</v>
      </c>
      <c r="R2159" s="1" t="s">
        <v>7673</v>
      </c>
      <c r="S2159" s="1">
        <v>1.0</v>
      </c>
      <c r="T2159" s="1">
        <v>0.0</v>
      </c>
      <c r="X2159" s="1" t="s">
        <v>29</v>
      </c>
      <c r="Z2159" s="1" t="s">
        <v>7862</v>
      </c>
    </row>
    <row r="2160">
      <c r="A2160" s="3" t="str">
        <f>HYPERLINK("https://stackoverflow.com/q/16999224", "16999224")</f>
        <v>16999224</v>
      </c>
      <c r="B2160" s="1" t="s">
        <v>7613</v>
      </c>
      <c r="C2160" s="1" t="s">
        <v>7863</v>
      </c>
      <c r="D2160" s="2" t="s">
        <v>7864</v>
      </c>
      <c r="E2160" s="1">
        <v>1.0</v>
      </c>
      <c r="I2160" s="1">
        <v>0.0</v>
      </c>
      <c r="J2160" s="1">
        <v>467.0</v>
      </c>
      <c r="L2160" s="1">
        <v>2436274.0</v>
      </c>
      <c r="Q2160" s="1" t="s">
        <v>7863</v>
      </c>
      <c r="R2160" s="1" t="s">
        <v>7865</v>
      </c>
      <c r="S2160" s="1">
        <v>0.0</v>
      </c>
      <c r="T2160" s="1">
        <v>4.0</v>
      </c>
      <c r="X2160" s="1" t="s">
        <v>29</v>
      </c>
    </row>
    <row r="2161">
      <c r="A2161" s="3" t="str">
        <f>HYPERLINK("https://stackoverflow.com/q/17313690", "17313690")</f>
        <v>17313690</v>
      </c>
      <c r="B2161" s="1" t="s">
        <v>7613</v>
      </c>
      <c r="C2161" s="1" t="s">
        <v>7866</v>
      </c>
      <c r="D2161" s="2" t="s">
        <v>7867</v>
      </c>
      <c r="E2161" s="1">
        <v>1.0</v>
      </c>
      <c r="I2161" s="1">
        <v>1.0</v>
      </c>
      <c r="J2161" s="1">
        <v>335.0</v>
      </c>
      <c r="L2161" s="1">
        <v>1774231.0</v>
      </c>
      <c r="N2161" s="1">
        <v>774691.0</v>
      </c>
      <c r="P2161" s="1" t="s">
        <v>7868</v>
      </c>
      <c r="Q2161" s="1" t="s">
        <v>7869</v>
      </c>
      <c r="R2161" s="1" t="s">
        <v>7870</v>
      </c>
      <c r="S2161" s="1">
        <v>1.0</v>
      </c>
      <c r="T2161" s="1">
        <v>0.0</v>
      </c>
      <c r="X2161" s="1" t="s">
        <v>29</v>
      </c>
    </row>
    <row r="2162">
      <c r="A2162" s="3" t="str">
        <f>HYPERLINK("https://stackoverflow.com/q/17389702", "17389702")</f>
        <v>17389702</v>
      </c>
      <c r="B2162" s="1" t="s">
        <v>7613</v>
      </c>
      <c r="C2162" s="1" t="s">
        <v>7871</v>
      </c>
      <c r="D2162" s="2" t="s">
        <v>7872</v>
      </c>
      <c r="E2162" s="1">
        <v>1.0</v>
      </c>
      <c r="I2162" s="1">
        <v>0.0</v>
      </c>
      <c r="J2162" s="1">
        <v>1058.0</v>
      </c>
      <c r="L2162" s="1">
        <v>819814.0</v>
      </c>
      <c r="Q2162" s="1" t="s">
        <v>7873</v>
      </c>
      <c r="R2162" s="1" t="s">
        <v>7874</v>
      </c>
      <c r="S2162" s="1">
        <v>2.0</v>
      </c>
      <c r="T2162" s="1">
        <v>0.0</v>
      </c>
      <c r="X2162" s="1" t="s">
        <v>29</v>
      </c>
    </row>
    <row r="2163">
      <c r="A2163" s="3" t="str">
        <f>HYPERLINK("https://stackoverflow.com/q/17575941", "17575941")</f>
        <v>17575941</v>
      </c>
      <c r="B2163" s="1" t="s">
        <v>7613</v>
      </c>
      <c r="C2163" s="1" t="s">
        <v>7875</v>
      </c>
      <c r="D2163" s="2" t="s">
        <v>7876</v>
      </c>
      <c r="E2163" s="1">
        <v>1.0</v>
      </c>
      <c r="F2163" s="1">
        <v>1.8747668E7</v>
      </c>
      <c r="I2163" s="1">
        <v>0.0</v>
      </c>
      <c r="J2163" s="1">
        <v>858.0</v>
      </c>
      <c r="L2163" s="1">
        <v>132072.0</v>
      </c>
      <c r="N2163" s="1">
        <v>132072.0</v>
      </c>
      <c r="P2163" s="1" t="s">
        <v>7877</v>
      </c>
      <c r="Q2163" s="1" t="s">
        <v>7878</v>
      </c>
      <c r="R2163" s="1" t="s">
        <v>7879</v>
      </c>
      <c r="S2163" s="1">
        <v>2.0</v>
      </c>
      <c r="T2163" s="1">
        <v>0.0</v>
      </c>
      <c r="X2163" s="1" t="s">
        <v>29</v>
      </c>
      <c r="Z2163" s="1" t="s">
        <v>7878</v>
      </c>
    </row>
    <row r="2164">
      <c r="A2164" s="3" t="str">
        <f>HYPERLINK("https://stackoverflow.com/q/17758355", "17758355")</f>
        <v>17758355</v>
      </c>
      <c r="B2164" s="1" t="s">
        <v>7613</v>
      </c>
      <c r="C2164" s="1" t="s">
        <v>7880</v>
      </c>
      <c r="D2164" s="2" t="s">
        <v>7881</v>
      </c>
      <c r="E2164" s="1">
        <v>1.0</v>
      </c>
      <c r="I2164" s="1">
        <v>2.0</v>
      </c>
      <c r="J2164" s="1">
        <v>3444.0</v>
      </c>
      <c r="L2164" s="1">
        <v>819814.0</v>
      </c>
      <c r="N2164" s="1">
        <v>798335.0</v>
      </c>
      <c r="P2164" s="1" t="s">
        <v>7882</v>
      </c>
      <c r="Q2164" s="1" t="s">
        <v>7883</v>
      </c>
      <c r="R2164" s="1" t="s">
        <v>7874</v>
      </c>
      <c r="S2164" s="1">
        <v>1.0</v>
      </c>
      <c r="T2164" s="1">
        <v>0.0</v>
      </c>
      <c r="X2164" s="1" t="s">
        <v>29</v>
      </c>
    </row>
    <row r="2165">
      <c r="A2165" s="3" t="str">
        <f>HYPERLINK("https://stackoverflow.com/q/17801810", "17801810")</f>
        <v>17801810</v>
      </c>
      <c r="B2165" s="1" t="s">
        <v>7613</v>
      </c>
      <c r="C2165" s="1" t="s">
        <v>7884</v>
      </c>
      <c r="D2165" s="2" t="s">
        <v>7885</v>
      </c>
      <c r="E2165" s="1">
        <v>1.0</v>
      </c>
      <c r="I2165" s="1">
        <v>1.0</v>
      </c>
      <c r="J2165" s="1">
        <v>86.0</v>
      </c>
      <c r="L2165" s="1">
        <v>1340181.0</v>
      </c>
      <c r="Q2165" s="1" t="s">
        <v>7884</v>
      </c>
      <c r="R2165" s="1" t="s">
        <v>7886</v>
      </c>
      <c r="S2165" s="1">
        <v>0.0</v>
      </c>
      <c r="T2165" s="1">
        <v>0.0</v>
      </c>
      <c r="X2165" s="1" t="s">
        <v>29</v>
      </c>
    </row>
    <row r="2166">
      <c r="A2166" s="3" t="str">
        <f>HYPERLINK("https://stackoverflow.com/q/17886545", "17886545")</f>
        <v>17886545</v>
      </c>
      <c r="B2166" s="1" t="s">
        <v>7613</v>
      </c>
      <c r="C2166" s="1" t="s">
        <v>7887</v>
      </c>
      <c r="D2166" s="2" t="s">
        <v>7888</v>
      </c>
      <c r="E2166" s="1">
        <v>1.0</v>
      </c>
      <c r="F2166" s="1">
        <v>1.7886901E7</v>
      </c>
      <c r="I2166" s="1">
        <v>1.0</v>
      </c>
      <c r="J2166" s="1">
        <v>4176.0</v>
      </c>
      <c r="L2166" s="1">
        <v>1477388.0</v>
      </c>
      <c r="Q2166" s="1" t="s">
        <v>7889</v>
      </c>
      <c r="R2166" s="1" t="s">
        <v>7890</v>
      </c>
      <c r="S2166" s="1">
        <v>2.0</v>
      </c>
      <c r="T2166" s="1">
        <v>4.0</v>
      </c>
      <c r="U2166" s="1">
        <v>1.0</v>
      </c>
      <c r="X2166" s="1" t="s">
        <v>29</v>
      </c>
      <c r="Z2166" s="1" t="s">
        <v>7891</v>
      </c>
    </row>
    <row r="2167">
      <c r="A2167" s="3" t="str">
        <f>HYPERLINK("https://stackoverflow.com/q/17926933", "17926933")</f>
        <v>17926933</v>
      </c>
      <c r="B2167" s="1" t="s">
        <v>7613</v>
      </c>
      <c r="C2167" s="1" t="s">
        <v>7892</v>
      </c>
      <c r="D2167" s="2" t="s">
        <v>7893</v>
      </c>
      <c r="E2167" s="1">
        <v>1.0</v>
      </c>
      <c r="I2167" s="1">
        <v>1.0</v>
      </c>
      <c r="J2167" s="1">
        <v>347.0</v>
      </c>
      <c r="L2167" s="1">
        <v>1774231.0</v>
      </c>
      <c r="Q2167" s="1" t="s">
        <v>7894</v>
      </c>
      <c r="R2167" s="1" t="s">
        <v>7895</v>
      </c>
      <c r="S2167" s="1">
        <v>1.0</v>
      </c>
      <c r="T2167" s="1">
        <v>0.0</v>
      </c>
      <c r="X2167" s="1" t="s">
        <v>29</v>
      </c>
    </row>
    <row r="2168">
      <c r="A2168" s="3" t="str">
        <f>HYPERLINK("https://stackoverflow.com/q/17934697", "17934697")</f>
        <v>17934697</v>
      </c>
      <c r="B2168" s="1" t="s">
        <v>7613</v>
      </c>
      <c r="C2168" s="1" t="s">
        <v>7896</v>
      </c>
      <c r="D2168" s="2" t="s">
        <v>7897</v>
      </c>
      <c r="E2168" s="1">
        <v>1.0</v>
      </c>
      <c r="F2168" s="1">
        <v>1.7937655E7</v>
      </c>
      <c r="I2168" s="1">
        <v>1.0</v>
      </c>
      <c r="J2168" s="1">
        <v>1640.0</v>
      </c>
      <c r="L2168" s="1">
        <v>2631826.0</v>
      </c>
      <c r="N2168" s="1">
        <v>798335.0</v>
      </c>
      <c r="P2168" s="1" t="s">
        <v>7898</v>
      </c>
      <c r="Q2168" s="1" t="s">
        <v>7899</v>
      </c>
      <c r="R2168" s="1" t="s">
        <v>7900</v>
      </c>
      <c r="S2168" s="1">
        <v>1.0</v>
      </c>
      <c r="T2168" s="1">
        <v>0.0</v>
      </c>
      <c r="X2168" s="1" t="s">
        <v>29</v>
      </c>
      <c r="Z2168" s="1" t="s">
        <v>7899</v>
      </c>
    </row>
    <row r="2169">
      <c r="A2169" s="3" t="str">
        <f>HYPERLINK("https://stackoverflow.com/q/17969305", "17969305")</f>
        <v>17969305</v>
      </c>
      <c r="B2169" s="1" t="s">
        <v>7613</v>
      </c>
      <c r="C2169" s="1" t="s">
        <v>7901</v>
      </c>
      <c r="D2169" s="2" t="s">
        <v>7902</v>
      </c>
      <c r="E2169" s="1">
        <v>1.0</v>
      </c>
      <c r="I2169" s="1">
        <v>3.0</v>
      </c>
      <c r="J2169" s="1">
        <v>366.0</v>
      </c>
      <c r="L2169" s="1">
        <v>2595185.0</v>
      </c>
      <c r="Q2169" s="1" t="s">
        <v>7903</v>
      </c>
      <c r="R2169" s="1" t="s">
        <v>7904</v>
      </c>
      <c r="S2169" s="1">
        <v>1.0</v>
      </c>
      <c r="T2169" s="1">
        <v>0.0</v>
      </c>
      <c r="U2169" s="1">
        <v>1.0</v>
      </c>
      <c r="X2169" s="1" t="s">
        <v>29</v>
      </c>
    </row>
    <row r="2170">
      <c r="A2170" s="3" t="str">
        <f>HYPERLINK("https://stackoverflow.com/q/18041364", "18041364")</f>
        <v>18041364</v>
      </c>
      <c r="B2170" s="1" t="s">
        <v>7613</v>
      </c>
      <c r="C2170" s="1" t="s">
        <v>7905</v>
      </c>
      <c r="D2170" s="2" t="s">
        <v>7906</v>
      </c>
      <c r="E2170" s="1">
        <v>1.0</v>
      </c>
      <c r="I2170" s="1">
        <v>0.0</v>
      </c>
      <c r="J2170" s="1">
        <v>472.0</v>
      </c>
      <c r="L2170" s="1">
        <v>1118886.0</v>
      </c>
      <c r="N2170" s="1">
        <v>1118886.0</v>
      </c>
      <c r="P2170" s="1" t="s">
        <v>7907</v>
      </c>
      <c r="Q2170" s="1" t="s">
        <v>7908</v>
      </c>
      <c r="R2170" s="1" t="s">
        <v>7909</v>
      </c>
      <c r="S2170" s="1">
        <v>1.0</v>
      </c>
      <c r="T2170" s="1">
        <v>0.0</v>
      </c>
      <c r="X2170" s="1" t="s">
        <v>29</v>
      </c>
    </row>
    <row r="2171">
      <c r="A2171" s="3" t="str">
        <f>HYPERLINK("https://stackoverflow.com/q/18102800", "18102800")</f>
        <v>18102800</v>
      </c>
      <c r="B2171" s="1" t="s">
        <v>7613</v>
      </c>
      <c r="C2171" s="1" t="s">
        <v>7910</v>
      </c>
      <c r="D2171" s="2" t="s">
        <v>7911</v>
      </c>
      <c r="E2171" s="1">
        <v>1.0</v>
      </c>
      <c r="F2171" s="1">
        <v>2.3245989E7</v>
      </c>
      <c r="I2171" s="1">
        <v>0.0</v>
      </c>
      <c r="J2171" s="1">
        <v>326.0</v>
      </c>
      <c r="L2171" s="1">
        <v>173613.0</v>
      </c>
      <c r="Q2171" s="1" t="s">
        <v>7912</v>
      </c>
      <c r="R2171" s="1" t="s">
        <v>7688</v>
      </c>
      <c r="S2171" s="1">
        <v>1.0</v>
      </c>
      <c r="T2171" s="1">
        <v>1.0</v>
      </c>
      <c r="X2171" s="1" t="s">
        <v>29</v>
      </c>
      <c r="Z2171" s="1" t="s">
        <v>7912</v>
      </c>
    </row>
    <row r="2172">
      <c r="A2172" s="3" t="str">
        <f>HYPERLINK("https://stackoverflow.com/q/18368258", "18368258")</f>
        <v>18368258</v>
      </c>
      <c r="B2172" s="1" t="s">
        <v>7613</v>
      </c>
      <c r="C2172" s="1" t="s">
        <v>7913</v>
      </c>
      <c r="D2172" s="2" t="s">
        <v>7914</v>
      </c>
      <c r="E2172" s="1">
        <v>1.0</v>
      </c>
      <c r="F2172" s="1">
        <v>1.8371801E7</v>
      </c>
      <c r="I2172" s="1">
        <v>0.0</v>
      </c>
      <c r="J2172" s="1">
        <v>3472.0</v>
      </c>
      <c r="L2172" s="1">
        <v>819814.0</v>
      </c>
      <c r="N2172" s="1">
        <v>798335.0</v>
      </c>
      <c r="P2172" s="1" t="s">
        <v>7915</v>
      </c>
      <c r="Q2172" s="1" t="s">
        <v>7915</v>
      </c>
      <c r="R2172" s="1" t="s">
        <v>7673</v>
      </c>
      <c r="S2172" s="1">
        <v>1.0</v>
      </c>
      <c r="T2172" s="1">
        <v>0.0</v>
      </c>
      <c r="X2172" s="1" t="s">
        <v>29</v>
      </c>
      <c r="Z2172" s="1" t="s">
        <v>7916</v>
      </c>
    </row>
    <row r="2173">
      <c r="A2173" s="3" t="str">
        <f>HYPERLINK("https://stackoverflow.com/q/18440385", "18440385")</f>
        <v>18440385</v>
      </c>
      <c r="B2173" s="1" t="s">
        <v>7613</v>
      </c>
      <c r="C2173" s="1" t="s">
        <v>7917</v>
      </c>
      <c r="D2173" s="2" t="s">
        <v>7918</v>
      </c>
      <c r="E2173" s="1">
        <v>1.0</v>
      </c>
      <c r="F2173" s="1">
        <v>1.8448749E7</v>
      </c>
      <c r="I2173" s="1">
        <v>0.0</v>
      </c>
      <c r="J2173" s="1">
        <v>1755.0</v>
      </c>
      <c r="L2173" s="1">
        <v>921286.0</v>
      </c>
      <c r="N2173" s="1">
        <v>921286.0</v>
      </c>
      <c r="P2173" s="1" t="s">
        <v>7919</v>
      </c>
      <c r="Q2173" s="1" t="s">
        <v>7920</v>
      </c>
      <c r="R2173" s="1" t="s">
        <v>7700</v>
      </c>
      <c r="S2173" s="1">
        <v>1.0</v>
      </c>
      <c r="T2173" s="1">
        <v>0.0</v>
      </c>
      <c r="U2173" s="1">
        <v>2.0</v>
      </c>
      <c r="X2173" s="1" t="s">
        <v>29</v>
      </c>
      <c r="Z2173" s="1" t="s">
        <v>7921</v>
      </c>
    </row>
    <row r="2174">
      <c r="A2174" s="3" t="str">
        <f>HYPERLINK("https://stackoverflow.com/q/18580277", "18580277")</f>
        <v>18580277</v>
      </c>
      <c r="B2174" s="1" t="s">
        <v>7613</v>
      </c>
      <c r="C2174" s="1" t="s">
        <v>7922</v>
      </c>
      <c r="D2174" s="2" t="s">
        <v>7923</v>
      </c>
      <c r="E2174" s="1">
        <v>1.0</v>
      </c>
      <c r="I2174" s="1">
        <v>0.0</v>
      </c>
      <c r="J2174" s="1">
        <v>155.0</v>
      </c>
      <c r="L2174" s="1">
        <v>2274424.0</v>
      </c>
      <c r="Q2174" s="1" t="s">
        <v>7924</v>
      </c>
      <c r="R2174" s="1" t="s">
        <v>7925</v>
      </c>
      <c r="S2174" s="1">
        <v>1.0</v>
      </c>
      <c r="T2174" s="1">
        <v>0.0</v>
      </c>
      <c r="X2174" s="1" t="s">
        <v>29</v>
      </c>
    </row>
    <row r="2175">
      <c r="A2175" s="3" t="str">
        <f>HYPERLINK("https://stackoverflow.com/q/18933749", "18933749")</f>
        <v>18933749</v>
      </c>
      <c r="B2175" s="1" t="s">
        <v>7613</v>
      </c>
      <c r="C2175" s="1" t="s">
        <v>7926</v>
      </c>
      <c r="D2175" s="2" t="s">
        <v>7927</v>
      </c>
      <c r="E2175" s="1">
        <v>1.0</v>
      </c>
      <c r="I2175" s="1">
        <v>0.0</v>
      </c>
      <c r="J2175" s="1">
        <v>1547.0</v>
      </c>
      <c r="L2175" s="1">
        <v>819814.0</v>
      </c>
      <c r="N2175" s="1">
        <v>2441384.0</v>
      </c>
      <c r="P2175" s="1" t="s">
        <v>7928</v>
      </c>
      <c r="Q2175" s="1" t="s">
        <v>7929</v>
      </c>
      <c r="R2175" s="1" t="s">
        <v>7700</v>
      </c>
      <c r="S2175" s="1">
        <v>1.0</v>
      </c>
      <c r="T2175" s="1">
        <v>0.0</v>
      </c>
      <c r="X2175" s="1" t="s">
        <v>29</v>
      </c>
    </row>
    <row r="2176">
      <c r="A2176" s="3" t="str">
        <f>HYPERLINK("https://stackoverflow.com/q/19112286", "19112286")</f>
        <v>19112286</v>
      </c>
      <c r="B2176" s="1" t="s">
        <v>7613</v>
      </c>
      <c r="C2176" s="1" t="s">
        <v>7930</v>
      </c>
      <c r="D2176" s="2" t="s">
        <v>7931</v>
      </c>
      <c r="E2176" s="1">
        <v>1.0</v>
      </c>
      <c r="I2176" s="1">
        <v>0.0</v>
      </c>
      <c r="J2176" s="1">
        <v>444.0</v>
      </c>
      <c r="L2176" s="1">
        <v>919353.0</v>
      </c>
      <c r="Q2176" s="1" t="s">
        <v>7932</v>
      </c>
      <c r="R2176" s="1" t="s">
        <v>7933</v>
      </c>
      <c r="S2176" s="1">
        <v>2.0</v>
      </c>
      <c r="T2176" s="1">
        <v>0.0</v>
      </c>
      <c r="X2176" s="1" t="s">
        <v>29</v>
      </c>
    </row>
    <row r="2177">
      <c r="A2177" s="3" t="str">
        <f>HYPERLINK("https://stackoverflow.com/q/19223588", "19223588")</f>
        <v>19223588</v>
      </c>
      <c r="B2177" s="1" t="s">
        <v>7613</v>
      </c>
      <c r="C2177" s="1" t="s">
        <v>7934</v>
      </c>
      <c r="D2177" s="2" t="s">
        <v>7935</v>
      </c>
      <c r="E2177" s="1">
        <v>1.0</v>
      </c>
      <c r="I2177" s="1">
        <v>0.0</v>
      </c>
      <c r="J2177" s="1">
        <v>850.0</v>
      </c>
      <c r="L2177" s="1">
        <v>2014336.0</v>
      </c>
      <c r="N2177" s="1">
        <v>2014336.0</v>
      </c>
      <c r="P2177" s="1" t="s">
        <v>7936</v>
      </c>
      <c r="Q2177" s="1" t="s">
        <v>7937</v>
      </c>
      <c r="R2177" s="1" t="s">
        <v>7938</v>
      </c>
      <c r="S2177" s="1">
        <v>1.0</v>
      </c>
      <c r="T2177" s="1">
        <v>0.0</v>
      </c>
      <c r="X2177" s="1" t="s">
        <v>29</v>
      </c>
    </row>
    <row r="2178">
      <c r="A2178" s="3" t="str">
        <f>HYPERLINK("https://stackoverflow.com/q/19290354", "19290354")</f>
        <v>19290354</v>
      </c>
      <c r="B2178" s="1" t="s">
        <v>7613</v>
      </c>
      <c r="C2178" s="1" t="s">
        <v>7939</v>
      </c>
      <c r="D2178" s="2" t="s">
        <v>7940</v>
      </c>
      <c r="E2178" s="1">
        <v>1.0</v>
      </c>
      <c r="I2178" s="1">
        <v>1.0</v>
      </c>
      <c r="J2178" s="1">
        <v>311.0</v>
      </c>
      <c r="L2178" s="1">
        <v>376115.0</v>
      </c>
      <c r="Q2178" s="1" t="s">
        <v>7941</v>
      </c>
      <c r="R2178" s="1" t="s">
        <v>7942</v>
      </c>
      <c r="S2178" s="1">
        <v>1.0</v>
      </c>
      <c r="T2178" s="1">
        <v>0.0</v>
      </c>
      <c r="X2178" s="1" t="s">
        <v>29</v>
      </c>
    </row>
    <row r="2179">
      <c r="A2179" s="3" t="str">
        <f>HYPERLINK("https://stackoverflow.com/q/19438872", "19438872")</f>
        <v>19438872</v>
      </c>
      <c r="B2179" s="1" t="s">
        <v>7613</v>
      </c>
      <c r="C2179" s="1" t="s">
        <v>7943</v>
      </c>
      <c r="D2179" s="2" t="s">
        <v>7944</v>
      </c>
      <c r="E2179" s="1">
        <v>1.0</v>
      </c>
      <c r="I2179" s="1">
        <v>0.0</v>
      </c>
      <c r="J2179" s="1">
        <v>378.0</v>
      </c>
      <c r="L2179" s="1">
        <v>2736812.0</v>
      </c>
      <c r="Q2179" s="1" t="s">
        <v>7945</v>
      </c>
      <c r="R2179" s="1" t="s">
        <v>7946</v>
      </c>
      <c r="S2179" s="1">
        <v>1.0</v>
      </c>
      <c r="T2179" s="1">
        <v>1.0</v>
      </c>
      <c r="X2179" s="1" t="s">
        <v>29</v>
      </c>
    </row>
    <row r="2180">
      <c r="A2180" s="3" t="str">
        <f>HYPERLINK("https://stackoverflow.com/q/19478478", "19478478")</f>
        <v>19478478</v>
      </c>
      <c r="B2180" s="1" t="s">
        <v>7613</v>
      </c>
      <c r="C2180" s="1" t="s">
        <v>7947</v>
      </c>
      <c r="D2180" s="2" t="s">
        <v>7948</v>
      </c>
      <c r="E2180" s="1">
        <v>1.0</v>
      </c>
      <c r="I2180" s="1">
        <v>0.0</v>
      </c>
      <c r="J2180" s="1">
        <v>148.0</v>
      </c>
      <c r="L2180" s="1">
        <v>822397.0</v>
      </c>
      <c r="N2180" s="1">
        <v>822397.0</v>
      </c>
      <c r="P2180" s="1" t="s">
        <v>7949</v>
      </c>
      <c r="Q2180" s="1" t="s">
        <v>7950</v>
      </c>
      <c r="R2180" s="1" t="s">
        <v>7951</v>
      </c>
      <c r="S2180" s="1">
        <v>1.0</v>
      </c>
      <c r="T2180" s="1">
        <v>3.0</v>
      </c>
      <c r="X2180" s="1" t="s">
        <v>29</v>
      </c>
    </row>
    <row r="2181">
      <c r="A2181" s="3" t="str">
        <f>HYPERLINK("https://stackoverflow.com/q/19796320", "19796320")</f>
        <v>19796320</v>
      </c>
      <c r="B2181" s="1" t="s">
        <v>7613</v>
      </c>
      <c r="C2181" s="1" t="s">
        <v>7952</v>
      </c>
      <c r="D2181" s="2" t="s">
        <v>7953</v>
      </c>
      <c r="E2181" s="1">
        <v>1.0</v>
      </c>
      <c r="F2181" s="1">
        <v>1.9803841E7</v>
      </c>
      <c r="I2181" s="1">
        <v>0.0</v>
      </c>
      <c r="J2181" s="1">
        <v>1178.0</v>
      </c>
      <c r="L2181" s="1">
        <v>2364277.0</v>
      </c>
      <c r="Q2181" s="1" t="s">
        <v>7954</v>
      </c>
      <c r="R2181" s="1" t="s">
        <v>7955</v>
      </c>
      <c r="S2181" s="1">
        <v>1.0</v>
      </c>
      <c r="T2181" s="1">
        <v>0.0</v>
      </c>
      <c r="X2181" s="1" t="s">
        <v>29</v>
      </c>
      <c r="Z2181" s="1" t="s">
        <v>7956</v>
      </c>
    </row>
    <row r="2182">
      <c r="A2182" s="3" t="str">
        <f>HYPERLINK("https://stackoverflow.com/q/19802076", "19802076")</f>
        <v>19802076</v>
      </c>
      <c r="B2182" s="1" t="s">
        <v>7613</v>
      </c>
      <c r="C2182" s="1" t="s">
        <v>7957</v>
      </c>
      <c r="D2182" s="2" t="s">
        <v>7958</v>
      </c>
      <c r="E2182" s="1">
        <v>1.0</v>
      </c>
      <c r="F2182" s="1">
        <v>2.2351159E7</v>
      </c>
      <c r="I2182" s="1">
        <v>0.0</v>
      </c>
      <c r="J2182" s="1">
        <v>601.0</v>
      </c>
      <c r="L2182" s="1">
        <v>1530517.0</v>
      </c>
      <c r="Q2182" s="1" t="s">
        <v>7959</v>
      </c>
      <c r="R2182" s="1" t="s">
        <v>7688</v>
      </c>
      <c r="S2182" s="1">
        <v>2.0</v>
      </c>
      <c r="T2182" s="1">
        <v>1.0</v>
      </c>
      <c r="X2182" s="1" t="s">
        <v>29</v>
      </c>
      <c r="Z2182" s="1" t="s">
        <v>7959</v>
      </c>
    </row>
    <row r="2183">
      <c r="A2183" s="3" t="str">
        <f>HYPERLINK("https://stackoverflow.com/q/20089789", "20089789")</f>
        <v>20089789</v>
      </c>
      <c r="B2183" s="1" t="s">
        <v>7613</v>
      </c>
      <c r="C2183" s="1" t="s">
        <v>7960</v>
      </c>
      <c r="D2183" s="2" t="s">
        <v>7961</v>
      </c>
      <c r="E2183" s="1">
        <v>1.0</v>
      </c>
      <c r="I2183" s="1">
        <v>1.0</v>
      </c>
      <c r="J2183" s="1">
        <v>1451.0</v>
      </c>
      <c r="L2183" s="1">
        <v>474442.0</v>
      </c>
      <c r="N2183" s="1">
        <v>474442.0</v>
      </c>
      <c r="P2183" s="1" t="s">
        <v>7962</v>
      </c>
      <c r="Q2183" s="1" t="s">
        <v>7963</v>
      </c>
      <c r="R2183" s="1" t="s">
        <v>7964</v>
      </c>
      <c r="S2183" s="1">
        <v>1.0</v>
      </c>
      <c r="T2183" s="1">
        <v>0.0</v>
      </c>
      <c r="U2183" s="1">
        <v>1.0</v>
      </c>
      <c r="X2183" s="1" t="s">
        <v>29</v>
      </c>
    </row>
    <row r="2184">
      <c r="A2184" s="3" t="str">
        <f>HYPERLINK("https://stackoverflow.com/q/20287085", "20287085")</f>
        <v>20287085</v>
      </c>
      <c r="B2184" s="1" t="s">
        <v>7613</v>
      </c>
      <c r="C2184" s="1" t="s">
        <v>7965</v>
      </c>
      <c r="D2184" s="2" t="s">
        <v>7966</v>
      </c>
      <c r="E2184" s="1">
        <v>1.0</v>
      </c>
      <c r="F2184" s="1">
        <v>2.0287978E7</v>
      </c>
      <c r="I2184" s="1">
        <v>0.0</v>
      </c>
      <c r="J2184" s="1">
        <v>2015.0</v>
      </c>
      <c r="L2184" s="1">
        <v>1530517.0</v>
      </c>
      <c r="N2184" s="1">
        <v>798335.0</v>
      </c>
      <c r="P2184" s="1" t="s">
        <v>7967</v>
      </c>
      <c r="Q2184" s="1" t="s">
        <v>7968</v>
      </c>
      <c r="R2184" s="1" t="s">
        <v>7688</v>
      </c>
      <c r="S2184" s="1">
        <v>1.0</v>
      </c>
      <c r="T2184" s="1">
        <v>1.0</v>
      </c>
      <c r="X2184" s="1" t="s">
        <v>29</v>
      </c>
      <c r="Z2184" s="1" t="s">
        <v>7968</v>
      </c>
    </row>
    <row r="2185">
      <c r="A2185" s="3" t="str">
        <f>HYPERLINK("https://stackoverflow.com/q/20437820", "20437820")</f>
        <v>20437820</v>
      </c>
      <c r="B2185" s="1" t="s">
        <v>7613</v>
      </c>
      <c r="C2185" s="1" t="s">
        <v>7969</v>
      </c>
      <c r="D2185" s="2" t="s">
        <v>7970</v>
      </c>
      <c r="E2185" s="1">
        <v>1.0</v>
      </c>
      <c r="I2185" s="1">
        <v>1.0</v>
      </c>
      <c r="J2185" s="1">
        <v>4502.0</v>
      </c>
      <c r="L2185" s="1">
        <v>627569.0</v>
      </c>
      <c r="Q2185" s="1" t="s">
        <v>7971</v>
      </c>
      <c r="R2185" s="1" t="s">
        <v>7972</v>
      </c>
      <c r="S2185" s="1">
        <v>1.0</v>
      </c>
      <c r="T2185" s="1">
        <v>0.0</v>
      </c>
      <c r="X2185" s="1" t="s">
        <v>29</v>
      </c>
    </row>
    <row r="2186">
      <c r="A2186" s="3" t="str">
        <f>HYPERLINK("https://stackoverflow.com/q/20486048", "20486048")</f>
        <v>20486048</v>
      </c>
      <c r="B2186" s="1" t="s">
        <v>7613</v>
      </c>
      <c r="C2186" s="1" t="s">
        <v>7973</v>
      </c>
      <c r="D2186" s="2" t="s">
        <v>7974</v>
      </c>
      <c r="E2186" s="1">
        <v>1.0</v>
      </c>
      <c r="I2186" s="1">
        <v>2.0</v>
      </c>
      <c r="J2186" s="1">
        <v>1201.0</v>
      </c>
      <c r="L2186" s="1">
        <v>3085404.0</v>
      </c>
      <c r="Q2186" s="1" t="s">
        <v>7975</v>
      </c>
      <c r="R2186" s="1" t="s">
        <v>7976</v>
      </c>
      <c r="S2186" s="1">
        <v>2.0</v>
      </c>
      <c r="T2186" s="1">
        <v>0.0</v>
      </c>
      <c r="X2186" s="1" t="s">
        <v>29</v>
      </c>
    </row>
    <row r="2187">
      <c r="A2187" s="3" t="str">
        <f>HYPERLINK("https://stackoverflow.com/q/20628669", "20628669")</f>
        <v>20628669</v>
      </c>
      <c r="B2187" s="1" t="s">
        <v>7613</v>
      </c>
      <c r="C2187" s="1" t="s">
        <v>7977</v>
      </c>
      <c r="D2187" s="2" t="s">
        <v>7978</v>
      </c>
      <c r="E2187" s="1">
        <v>1.0</v>
      </c>
      <c r="I2187" s="1">
        <v>4.0</v>
      </c>
      <c r="J2187" s="1">
        <v>2335.0</v>
      </c>
      <c r="L2187" s="1">
        <v>1156798.0</v>
      </c>
      <c r="Q2187" s="1" t="s">
        <v>7979</v>
      </c>
      <c r="R2187" s="1" t="s">
        <v>7980</v>
      </c>
      <c r="S2187" s="1">
        <v>2.0</v>
      </c>
      <c r="T2187" s="1">
        <v>2.0</v>
      </c>
      <c r="X2187" s="1" t="s">
        <v>29</v>
      </c>
    </row>
    <row r="2188">
      <c r="A2188" s="3" t="str">
        <f>HYPERLINK("https://stackoverflow.com/q/20738551", "20738551")</f>
        <v>20738551</v>
      </c>
      <c r="B2188" s="1" t="s">
        <v>7613</v>
      </c>
      <c r="C2188" s="1" t="s">
        <v>7981</v>
      </c>
      <c r="D2188" s="2" t="s">
        <v>7982</v>
      </c>
      <c r="E2188" s="1">
        <v>1.0</v>
      </c>
      <c r="F2188" s="1">
        <v>2.0739237E7</v>
      </c>
      <c r="I2188" s="1">
        <v>0.0</v>
      </c>
      <c r="J2188" s="1">
        <v>1381.0</v>
      </c>
      <c r="L2188" s="1">
        <v>3128748.0</v>
      </c>
      <c r="Q2188" s="1" t="s">
        <v>7983</v>
      </c>
      <c r="R2188" s="1" t="s">
        <v>7984</v>
      </c>
      <c r="S2188" s="1">
        <v>1.0</v>
      </c>
      <c r="T2188" s="1">
        <v>0.0</v>
      </c>
      <c r="X2188" s="1" t="s">
        <v>29</v>
      </c>
      <c r="Z2188" s="1" t="s">
        <v>7983</v>
      </c>
    </row>
    <row r="2189">
      <c r="A2189" s="3" t="str">
        <f>HYPERLINK("https://stackoverflow.com/q/20755712", "20755712")</f>
        <v>20755712</v>
      </c>
      <c r="B2189" s="1" t="s">
        <v>7613</v>
      </c>
      <c r="C2189" s="1" t="s">
        <v>7985</v>
      </c>
      <c r="D2189" s="2" t="s">
        <v>7986</v>
      </c>
      <c r="E2189" s="1">
        <v>1.0</v>
      </c>
      <c r="I2189" s="1">
        <v>0.0</v>
      </c>
      <c r="J2189" s="1">
        <v>843.0</v>
      </c>
      <c r="L2189" s="1">
        <v>3129532.0</v>
      </c>
      <c r="N2189" s="1">
        <v>3129532.0</v>
      </c>
      <c r="P2189" s="1" t="s">
        <v>7987</v>
      </c>
      <c r="Q2189" s="1" t="s">
        <v>7987</v>
      </c>
      <c r="R2189" s="1" t="s">
        <v>7988</v>
      </c>
      <c r="S2189" s="1">
        <v>1.0</v>
      </c>
      <c r="T2189" s="1">
        <v>0.0</v>
      </c>
      <c r="X2189" s="1" t="s">
        <v>29</v>
      </c>
    </row>
    <row r="2190">
      <c r="A2190" s="3" t="str">
        <f>HYPERLINK("https://stackoverflow.com/q/20770100", "20770100")</f>
        <v>20770100</v>
      </c>
      <c r="B2190" s="1" t="s">
        <v>7613</v>
      </c>
      <c r="C2190" s="1" t="s">
        <v>7989</v>
      </c>
      <c r="D2190" s="2" t="s">
        <v>7990</v>
      </c>
      <c r="E2190" s="1">
        <v>1.0</v>
      </c>
      <c r="F2190" s="1">
        <v>2.0771114E7</v>
      </c>
      <c r="I2190" s="1">
        <v>1.0</v>
      </c>
      <c r="J2190" s="1">
        <v>696.0</v>
      </c>
      <c r="L2190" s="1">
        <v>3129532.0</v>
      </c>
      <c r="N2190" s="1">
        <v>387927.0</v>
      </c>
      <c r="P2190" s="1" t="s">
        <v>7991</v>
      </c>
      <c r="Q2190" s="1" t="s">
        <v>7991</v>
      </c>
      <c r="R2190" s="1" t="s">
        <v>7992</v>
      </c>
      <c r="S2190" s="1">
        <v>1.0</v>
      </c>
      <c r="T2190" s="1">
        <v>0.0</v>
      </c>
      <c r="X2190" s="1" t="s">
        <v>29</v>
      </c>
      <c r="Z2190" s="1" t="s">
        <v>7993</v>
      </c>
    </row>
    <row r="2191">
      <c r="A2191" s="3" t="str">
        <f>HYPERLINK("https://stackoverflow.com/q/21050053", "21050053")</f>
        <v>21050053</v>
      </c>
      <c r="B2191" s="1" t="s">
        <v>7613</v>
      </c>
      <c r="C2191" s="1" t="s">
        <v>7994</v>
      </c>
      <c r="D2191" s="2" t="s">
        <v>7995</v>
      </c>
      <c r="E2191" s="1">
        <v>1.0</v>
      </c>
      <c r="I2191" s="1">
        <v>3.0</v>
      </c>
      <c r="J2191" s="1">
        <v>167.0</v>
      </c>
      <c r="L2191" s="1">
        <v>3137493.0</v>
      </c>
      <c r="N2191" s="1">
        <v>962603.0</v>
      </c>
      <c r="P2191" s="1" t="s">
        <v>7996</v>
      </c>
      <c r="Q2191" s="1" t="s">
        <v>7996</v>
      </c>
      <c r="R2191" s="1" t="s">
        <v>7997</v>
      </c>
      <c r="S2191" s="1">
        <v>1.0</v>
      </c>
      <c r="T2191" s="1">
        <v>0.0</v>
      </c>
      <c r="X2191" s="1" t="s">
        <v>29</v>
      </c>
    </row>
    <row r="2192">
      <c r="A2192" s="3" t="str">
        <f>HYPERLINK("https://stackoverflow.com/q/21178560", "21178560")</f>
        <v>21178560</v>
      </c>
      <c r="B2192" s="1" t="s">
        <v>7613</v>
      </c>
      <c r="C2192" s="1" t="s">
        <v>7998</v>
      </c>
      <c r="D2192" s="2" t="s">
        <v>7999</v>
      </c>
      <c r="E2192" s="1">
        <v>1.0</v>
      </c>
      <c r="F2192" s="1">
        <v>2.1428212E7</v>
      </c>
      <c r="I2192" s="1">
        <v>1.0</v>
      </c>
      <c r="J2192" s="1">
        <v>3773.0</v>
      </c>
      <c r="L2192" s="1">
        <v>3129532.0</v>
      </c>
      <c r="Q2192" s="1" t="s">
        <v>8000</v>
      </c>
      <c r="R2192" s="1" t="s">
        <v>8001</v>
      </c>
      <c r="S2192" s="1">
        <v>1.0</v>
      </c>
      <c r="T2192" s="1">
        <v>0.0</v>
      </c>
      <c r="U2192" s="1">
        <v>0.0</v>
      </c>
      <c r="X2192" s="1" t="s">
        <v>29</v>
      </c>
      <c r="Z2192" s="1" t="s">
        <v>8000</v>
      </c>
    </row>
    <row r="2193">
      <c r="A2193" s="3" t="str">
        <f>HYPERLINK("https://stackoverflow.com/q/21333391", "21333391")</f>
        <v>21333391</v>
      </c>
      <c r="B2193" s="1" t="s">
        <v>7613</v>
      </c>
      <c r="C2193" s="1" t="s">
        <v>8002</v>
      </c>
      <c r="D2193" s="2" t="s">
        <v>8003</v>
      </c>
      <c r="E2193" s="1">
        <v>1.0</v>
      </c>
      <c r="I2193" s="1">
        <v>0.0</v>
      </c>
      <c r="J2193" s="1">
        <v>1110.0</v>
      </c>
      <c r="L2193" s="1">
        <v>979727.0</v>
      </c>
      <c r="Q2193" s="1" t="s">
        <v>8004</v>
      </c>
      <c r="R2193" s="1" t="s">
        <v>8005</v>
      </c>
      <c r="S2193" s="1">
        <v>1.0</v>
      </c>
      <c r="T2193" s="1">
        <v>0.0</v>
      </c>
      <c r="U2193" s="1">
        <v>1.0</v>
      </c>
      <c r="X2193" s="1" t="s">
        <v>29</v>
      </c>
    </row>
    <row r="2194">
      <c r="A2194" s="3" t="str">
        <f>HYPERLINK("https://stackoverflow.com/q/21404255", "21404255")</f>
        <v>21404255</v>
      </c>
      <c r="B2194" s="1" t="s">
        <v>7613</v>
      </c>
      <c r="C2194" s="1" t="s">
        <v>8006</v>
      </c>
      <c r="D2194" s="2" t="s">
        <v>8007</v>
      </c>
      <c r="E2194" s="1">
        <v>1.0</v>
      </c>
      <c r="I2194" s="1">
        <v>0.0</v>
      </c>
      <c r="J2194" s="1">
        <v>375.0</v>
      </c>
      <c r="L2194" s="1">
        <v>2283899.0</v>
      </c>
      <c r="Q2194" s="1" t="s">
        <v>8008</v>
      </c>
      <c r="R2194" s="1" t="s">
        <v>8009</v>
      </c>
      <c r="S2194" s="1">
        <v>1.0</v>
      </c>
      <c r="T2194" s="1">
        <v>0.0</v>
      </c>
      <c r="X2194" s="1" t="s">
        <v>29</v>
      </c>
    </row>
    <row r="2195">
      <c r="A2195" s="3" t="str">
        <f>HYPERLINK("https://stackoverflow.com/q/21422363", "21422363")</f>
        <v>21422363</v>
      </c>
      <c r="B2195" s="1" t="s">
        <v>7613</v>
      </c>
      <c r="C2195" s="1" t="s">
        <v>8010</v>
      </c>
      <c r="D2195" s="2" t="s">
        <v>8011</v>
      </c>
      <c r="E2195" s="1">
        <v>1.0</v>
      </c>
      <c r="F2195" s="1">
        <v>2.1586758E7</v>
      </c>
      <c r="I2195" s="1">
        <v>0.0</v>
      </c>
      <c r="J2195" s="1">
        <v>77.0</v>
      </c>
      <c r="L2195" s="1">
        <v>3247309.0</v>
      </c>
      <c r="Q2195" s="1" t="s">
        <v>8012</v>
      </c>
      <c r="R2195" s="1" t="s">
        <v>7925</v>
      </c>
      <c r="S2195" s="1">
        <v>1.0</v>
      </c>
      <c r="T2195" s="1">
        <v>0.0</v>
      </c>
      <c r="X2195" s="1" t="s">
        <v>29</v>
      </c>
      <c r="Z2195" s="1" t="s">
        <v>8012</v>
      </c>
    </row>
    <row r="2196">
      <c r="A2196" s="3" t="str">
        <f>HYPERLINK("https://stackoverflow.com/q/21492201", "21492201")</f>
        <v>21492201</v>
      </c>
      <c r="B2196" s="1" t="s">
        <v>7613</v>
      </c>
      <c r="C2196" s="1" t="s">
        <v>8013</v>
      </c>
      <c r="D2196" s="2" t="s">
        <v>8014</v>
      </c>
      <c r="E2196" s="1">
        <v>1.0</v>
      </c>
      <c r="F2196" s="1">
        <v>2.1559754E7</v>
      </c>
      <c r="I2196" s="1">
        <v>3.0</v>
      </c>
      <c r="J2196" s="1">
        <v>1516.0</v>
      </c>
      <c r="L2196" s="1">
        <v>2461509.0</v>
      </c>
      <c r="N2196" s="1">
        <v>2461509.0</v>
      </c>
      <c r="P2196" s="1" t="s">
        <v>8015</v>
      </c>
      <c r="Q2196" s="1" t="s">
        <v>8016</v>
      </c>
      <c r="R2196" s="1" t="s">
        <v>8017</v>
      </c>
      <c r="S2196" s="1">
        <v>4.0</v>
      </c>
      <c r="T2196" s="1">
        <v>4.0</v>
      </c>
      <c r="U2196" s="1">
        <v>1.0</v>
      </c>
      <c r="X2196" s="1" t="s">
        <v>29</v>
      </c>
      <c r="Z2196" s="1" t="s">
        <v>8018</v>
      </c>
    </row>
    <row r="2197">
      <c r="A2197" s="3" t="str">
        <f>HYPERLINK("https://stackoverflow.com/q/21896490", "21896490")</f>
        <v>21896490</v>
      </c>
      <c r="B2197" s="1" t="s">
        <v>7613</v>
      </c>
      <c r="C2197" s="1" t="s">
        <v>8019</v>
      </c>
      <c r="D2197" s="2" t="s">
        <v>8020</v>
      </c>
      <c r="E2197" s="1">
        <v>1.0</v>
      </c>
      <c r="I2197" s="1">
        <v>0.0</v>
      </c>
      <c r="J2197" s="1">
        <v>303.0</v>
      </c>
      <c r="L2197" s="1">
        <v>1626734.0</v>
      </c>
      <c r="Q2197" s="1" t="s">
        <v>8021</v>
      </c>
      <c r="R2197" s="1" t="s">
        <v>7807</v>
      </c>
      <c r="S2197" s="1">
        <v>1.0</v>
      </c>
      <c r="T2197" s="1">
        <v>5.0</v>
      </c>
      <c r="X2197" s="1" t="s">
        <v>29</v>
      </c>
    </row>
    <row r="2198">
      <c r="A2198" s="3" t="str">
        <f>HYPERLINK("https://stackoverflow.com/q/22008343", "22008343")</f>
        <v>22008343</v>
      </c>
      <c r="B2198" s="1" t="s">
        <v>7613</v>
      </c>
      <c r="C2198" s="1" t="s">
        <v>8022</v>
      </c>
      <c r="D2198" s="2" t="s">
        <v>8023</v>
      </c>
      <c r="E2198" s="1">
        <v>1.0</v>
      </c>
      <c r="F2198" s="1">
        <v>2.2019823E7</v>
      </c>
      <c r="I2198" s="1">
        <v>2.0</v>
      </c>
      <c r="J2198" s="1">
        <v>2072.0</v>
      </c>
      <c r="L2198" s="1">
        <v>3027299.0</v>
      </c>
      <c r="Q2198" s="1" t="s">
        <v>8024</v>
      </c>
      <c r="R2198" s="1" t="s">
        <v>7688</v>
      </c>
      <c r="S2198" s="1">
        <v>1.0</v>
      </c>
      <c r="T2198" s="1">
        <v>1.0</v>
      </c>
      <c r="X2198" s="1" t="s">
        <v>29</v>
      </c>
      <c r="Z2198" s="1" t="s">
        <v>8024</v>
      </c>
    </row>
    <row r="2199">
      <c r="A2199" s="3" t="str">
        <f>HYPERLINK("https://stackoverflow.com/q/22156204", "22156204")</f>
        <v>22156204</v>
      </c>
      <c r="B2199" s="1" t="s">
        <v>7613</v>
      </c>
      <c r="C2199" s="1" t="s">
        <v>8025</v>
      </c>
      <c r="D2199" s="2" t="s">
        <v>8026</v>
      </c>
      <c r="E2199" s="1">
        <v>1.0</v>
      </c>
      <c r="I2199" s="1">
        <v>2.0</v>
      </c>
      <c r="J2199" s="1">
        <v>2264.0</v>
      </c>
      <c r="L2199" s="1">
        <v>1124933.0</v>
      </c>
      <c r="Q2199" s="1" t="s">
        <v>8027</v>
      </c>
      <c r="R2199" s="1" t="s">
        <v>8028</v>
      </c>
      <c r="S2199" s="1">
        <v>2.0</v>
      </c>
      <c r="T2199" s="1">
        <v>2.0</v>
      </c>
      <c r="V2199" s="1" t="s">
        <v>8029</v>
      </c>
      <c r="X2199" s="1" t="s">
        <v>29</v>
      </c>
    </row>
    <row r="2200">
      <c r="A2200" s="3" t="str">
        <f>HYPERLINK("https://stackoverflow.com/q/22244681", "22244681")</f>
        <v>22244681</v>
      </c>
      <c r="B2200" s="1" t="s">
        <v>7613</v>
      </c>
      <c r="C2200" s="1" t="s">
        <v>8030</v>
      </c>
      <c r="D2200" s="2" t="s">
        <v>8031</v>
      </c>
      <c r="E2200" s="1">
        <v>1.0</v>
      </c>
      <c r="I2200" s="1">
        <v>0.0</v>
      </c>
      <c r="J2200" s="1">
        <v>893.0</v>
      </c>
      <c r="L2200" s="1">
        <v>1386712.0</v>
      </c>
      <c r="N2200" s="1">
        <v>2869784.0</v>
      </c>
      <c r="P2200" s="1" t="s">
        <v>8032</v>
      </c>
      <c r="Q2200" s="1" t="s">
        <v>8033</v>
      </c>
      <c r="R2200" s="1" t="s">
        <v>8034</v>
      </c>
      <c r="S2200" s="1">
        <v>1.0</v>
      </c>
      <c r="T2200" s="1">
        <v>2.0</v>
      </c>
      <c r="X2200" s="1" t="s">
        <v>29</v>
      </c>
    </row>
    <row r="2201">
      <c r="A2201" s="3" t="str">
        <f>HYPERLINK("https://stackoverflow.com/q/22351264", "22351264")</f>
        <v>22351264</v>
      </c>
      <c r="B2201" s="1" t="s">
        <v>7613</v>
      </c>
      <c r="C2201" s="1" t="s">
        <v>8035</v>
      </c>
      <c r="D2201" s="2" t="s">
        <v>8036</v>
      </c>
      <c r="E2201" s="1">
        <v>1.0</v>
      </c>
      <c r="I2201" s="1">
        <v>0.0</v>
      </c>
      <c r="J2201" s="1">
        <v>1203.0</v>
      </c>
      <c r="L2201" s="1">
        <v>2068718.0</v>
      </c>
      <c r="Q2201" s="1" t="s">
        <v>8037</v>
      </c>
      <c r="R2201" s="1" t="s">
        <v>8038</v>
      </c>
      <c r="S2201" s="1">
        <v>2.0</v>
      </c>
      <c r="T2201" s="1">
        <v>1.0</v>
      </c>
      <c r="X2201" s="1" t="s">
        <v>29</v>
      </c>
    </row>
    <row r="2202">
      <c r="A2202" s="3" t="str">
        <f>HYPERLINK("https://stackoverflow.com/q/22377933", "22377933")</f>
        <v>22377933</v>
      </c>
      <c r="B2202" s="1" t="s">
        <v>7613</v>
      </c>
      <c r="C2202" s="1" t="s">
        <v>8039</v>
      </c>
      <c r="D2202" s="2" t="s">
        <v>8040</v>
      </c>
      <c r="E2202" s="1">
        <v>1.0</v>
      </c>
      <c r="F2202" s="1">
        <v>2.2382772E7</v>
      </c>
      <c r="I2202" s="1">
        <v>1.0</v>
      </c>
      <c r="J2202" s="1">
        <v>2066.0</v>
      </c>
      <c r="L2202" s="1">
        <v>987825.0</v>
      </c>
      <c r="N2202" s="1">
        <v>987825.0</v>
      </c>
      <c r="P2202" s="1" t="s">
        <v>8041</v>
      </c>
      <c r="Q2202" s="1" t="s">
        <v>8042</v>
      </c>
      <c r="R2202" s="1" t="s">
        <v>8043</v>
      </c>
      <c r="S2202" s="1">
        <v>2.0</v>
      </c>
      <c r="T2202" s="1">
        <v>0.0</v>
      </c>
      <c r="X2202" s="1" t="s">
        <v>29</v>
      </c>
      <c r="Z2202" s="1" t="s">
        <v>8042</v>
      </c>
    </row>
    <row r="2203">
      <c r="A2203" s="3" t="str">
        <f>HYPERLINK("https://stackoverflow.com/q/22449283", "22449283")</f>
        <v>22449283</v>
      </c>
      <c r="B2203" s="1" t="s">
        <v>7613</v>
      </c>
      <c r="C2203" s="1" t="s">
        <v>8044</v>
      </c>
      <c r="D2203" s="2" t="s">
        <v>8045</v>
      </c>
      <c r="E2203" s="1">
        <v>1.0</v>
      </c>
      <c r="I2203" s="1">
        <v>1.0</v>
      </c>
      <c r="J2203" s="1">
        <v>146.0</v>
      </c>
      <c r="L2203" s="1">
        <v>551179.0</v>
      </c>
      <c r="N2203" s="1">
        <v>551179.0</v>
      </c>
      <c r="P2203" s="1" t="s">
        <v>8046</v>
      </c>
      <c r="Q2203" s="1" t="s">
        <v>8046</v>
      </c>
      <c r="R2203" s="1" t="s">
        <v>8047</v>
      </c>
      <c r="S2203" s="1">
        <v>0.0</v>
      </c>
      <c r="T2203" s="1">
        <v>1.0</v>
      </c>
      <c r="X2203" s="1" t="s">
        <v>29</v>
      </c>
    </row>
    <row r="2204">
      <c r="A2204" s="3" t="str">
        <f>HYPERLINK("https://stackoverflow.com/q/22562925", "22562925")</f>
        <v>22562925</v>
      </c>
      <c r="B2204" s="1" t="s">
        <v>7613</v>
      </c>
      <c r="C2204" s="1" t="s">
        <v>8048</v>
      </c>
      <c r="D2204" s="2" t="s">
        <v>8049</v>
      </c>
      <c r="E2204" s="1">
        <v>1.0</v>
      </c>
      <c r="I2204" s="1">
        <v>0.0</v>
      </c>
      <c r="J2204" s="1">
        <v>6852.0</v>
      </c>
      <c r="L2204" s="1">
        <v>3447077.0</v>
      </c>
      <c r="Q2204" s="1" t="s">
        <v>8050</v>
      </c>
      <c r="R2204" s="1" t="s">
        <v>7688</v>
      </c>
      <c r="S2204" s="1">
        <v>1.0</v>
      </c>
      <c r="T2204" s="1">
        <v>0.0</v>
      </c>
      <c r="X2204" s="1" t="s">
        <v>29</v>
      </c>
    </row>
    <row r="2205">
      <c r="A2205" s="3" t="str">
        <f>HYPERLINK("https://stackoverflow.com/q/22563944", "22563944")</f>
        <v>22563944</v>
      </c>
      <c r="B2205" s="1" t="s">
        <v>7613</v>
      </c>
      <c r="C2205" s="1" t="s">
        <v>8051</v>
      </c>
      <c r="D2205" s="2" t="s">
        <v>8052</v>
      </c>
      <c r="E2205" s="1">
        <v>1.0</v>
      </c>
      <c r="F2205" s="1">
        <v>2.2564021E7</v>
      </c>
      <c r="I2205" s="1">
        <v>0.0</v>
      </c>
      <c r="J2205" s="1">
        <v>1436.0</v>
      </c>
      <c r="L2205" s="1">
        <v>2107722.0</v>
      </c>
      <c r="Q2205" s="1" t="s">
        <v>8053</v>
      </c>
      <c r="R2205" s="1" t="s">
        <v>8054</v>
      </c>
      <c r="S2205" s="1">
        <v>6.0</v>
      </c>
      <c r="T2205" s="1">
        <v>0.0</v>
      </c>
      <c r="U2205" s="1">
        <v>1.0</v>
      </c>
      <c r="X2205" s="1" t="s">
        <v>29</v>
      </c>
      <c r="Z2205" s="1" t="s">
        <v>8055</v>
      </c>
    </row>
    <row r="2206">
      <c r="A2206" s="3" t="str">
        <f>HYPERLINK("https://stackoverflow.com/q/22707093", "22707093")</f>
        <v>22707093</v>
      </c>
      <c r="B2206" s="1" t="s">
        <v>7613</v>
      </c>
      <c r="C2206" s="1" t="s">
        <v>8056</v>
      </c>
      <c r="D2206" s="2" t="s">
        <v>8057</v>
      </c>
      <c r="E2206" s="1">
        <v>1.0</v>
      </c>
      <c r="I2206" s="1">
        <v>0.0</v>
      </c>
      <c r="J2206" s="1">
        <v>466.0</v>
      </c>
      <c r="L2206" s="1">
        <v>3221992.0</v>
      </c>
      <c r="Q2206" s="1" t="s">
        <v>8058</v>
      </c>
      <c r="R2206" s="1" t="s">
        <v>8059</v>
      </c>
      <c r="S2206" s="1">
        <v>0.0</v>
      </c>
      <c r="T2206" s="1">
        <v>3.0</v>
      </c>
      <c r="X2206" s="1" t="s">
        <v>29</v>
      </c>
    </row>
    <row r="2207">
      <c r="A2207" s="3" t="str">
        <f>HYPERLINK("https://stackoverflow.com/q/22887879", "22887879")</f>
        <v>22887879</v>
      </c>
      <c r="B2207" s="1" t="s">
        <v>7613</v>
      </c>
      <c r="C2207" s="1" t="s">
        <v>8060</v>
      </c>
      <c r="D2207" s="2" t="s">
        <v>8061</v>
      </c>
      <c r="E2207" s="1">
        <v>1.0</v>
      </c>
      <c r="F2207" s="1">
        <v>2.2950701E7</v>
      </c>
      <c r="I2207" s="1">
        <v>0.0</v>
      </c>
      <c r="J2207" s="1">
        <v>1708.0</v>
      </c>
      <c r="L2207" s="1">
        <v>3502323.0</v>
      </c>
      <c r="N2207" s="1">
        <v>3502323.0</v>
      </c>
      <c r="P2207" s="1" t="s">
        <v>8062</v>
      </c>
      <c r="Q2207" s="1" t="s">
        <v>8063</v>
      </c>
      <c r="R2207" s="1" t="s">
        <v>8064</v>
      </c>
      <c r="S2207" s="1">
        <v>2.0</v>
      </c>
      <c r="T2207" s="1">
        <v>0.0</v>
      </c>
      <c r="X2207" s="1" t="s">
        <v>29</v>
      </c>
      <c r="Z2207" s="1" t="s">
        <v>8063</v>
      </c>
    </row>
    <row r="2208">
      <c r="A2208" s="3" t="str">
        <f>HYPERLINK("https://stackoverflow.com/q/23135039", "23135039")</f>
        <v>23135039</v>
      </c>
      <c r="B2208" s="1" t="s">
        <v>7613</v>
      </c>
      <c r="C2208" s="1" t="s">
        <v>8065</v>
      </c>
      <c r="D2208" s="2" t="s">
        <v>8066</v>
      </c>
      <c r="E2208" s="1">
        <v>1.0</v>
      </c>
      <c r="I2208" s="1">
        <v>1.0</v>
      </c>
      <c r="J2208" s="1">
        <v>1918.0</v>
      </c>
      <c r="L2208" s="1">
        <v>1631462.0</v>
      </c>
      <c r="N2208" s="1">
        <v>1631462.0</v>
      </c>
      <c r="P2208" s="1" t="s">
        <v>8067</v>
      </c>
      <c r="Q2208" s="1" t="s">
        <v>8068</v>
      </c>
      <c r="R2208" s="1" t="s">
        <v>8069</v>
      </c>
      <c r="S2208" s="1">
        <v>1.0</v>
      </c>
      <c r="T2208" s="1">
        <v>0.0</v>
      </c>
      <c r="X2208" s="1" t="s">
        <v>29</v>
      </c>
    </row>
    <row r="2209">
      <c r="A2209" s="3" t="str">
        <f>HYPERLINK("https://stackoverflow.com/q/23261369", "23261369")</f>
        <v>23261369</v>
      </c>
      <c r="B2209" s="1" t="s">
        <v>7613</v>
      </c>
      <c r="C2209" s="1" t="s">
        <v>8070</v>
      </c>
      <c r="D2209" s="2" t="s">
        <v>8071</v>
      </c>
      <c r="E2209" s="1">
        <v>1.0</v>
      </c>
      <c r="F2209" s="1">
        <v>2.3261757E7</v>
      </c>
      <c r="I2209" s="1">
        <v>3.0</v>
      </c>
      <c r="J2209" s="1">
        <v>852.0</v>
      </c>
      <c r="L2209" s="1">
        <v>3383000.0</v>
      </c>
      <c r="N2209" s="1">
        <v>3383000.0</v>
      </c>
      <c r="P2209" s="1" t="s">
        <v>8072</v>
      </c>
      <c r="Q2209" s="1" t="s">
        <v>8072</v>
      </c>
      <c r="R2209" s="1" t="s">
        <v>8073</v>
      </c>
      <c r="S2209" s="1">
        <v>1.0</v>
      </c>
      <c r="T2209" s="1">
        <v>0.0</v>
      </c>
      <c r="U2209" s="1">
        <v>2.0</v>
      </c>
      <c r="X2209" s="1" t="s">
        <v>29</v>
      </c>
      <c r="Z2209" s="1" t="s">
        <v>8074</v>
      </c>
    </row>
    <row r="2210">
      <c r="A2210" s="3" t="str">
        <f>HYPERLINK("https://stackoverflow.com/q/23265831", "23265831")</f>
        <v>23265831</v>
      </c>
      <c r="B2210" s="1" t="s">
        <v>7613</v>
      </c>
      <c r="C2210" s="1" t="s">
        <v>8075</v>
      </c>
      <c r="D2210" s="2" t="s">
        <v>8076</v>
      </c>
      <c r="E2210" s="1">
        <v>1.0</v>
      </c>
      <c r="F2210" s="1">
        <v>2.3308734E7</v>
      </c>
      <c r="I2210" s="1">
        <v>1.0</v>
      </c>
      <c r="J2210" s="1">
        <v>529.0</v>
      </c>
      <c r="L2210" s="1">
        <v>3383000.0</v>
      </c>
      <c r="N2210" s="1">
        <v>3383000.0</v>
      </c>
      <c r="P2210" s="1" t="s">
        <v>8077</v>
      </c>
      <c r="Q2210" s="1" t="s">
        <v>8078</v>
      </c>
      <c r="R2210" s="1" t="s">
        <v>8079</v>
      </c>
      <c r="S2210" s="1">
        <v>1.0</v>
      </c>
      <c r="T2210" s="1">
        <v>5.0</v>
      </c>
      <c r="U2210" s="1">
        <v>1.0</v>
      </c>
      <c r="X2210" s="1" t="s">
        <v>29</v>
      </c>
      <c r="Z2210" s="1" t="s">
        <v>8078</v>
      </c>
    </row>
    <row r="2211">
      <c r="A2211" s="3" t="str">
        <f>HYPERLINK("https://stackoverflow.com/q/23539254", "23539254")</f>
        <v>23539254</v>
      </c>
      <c r="B2211" s="1" t="s">
        <v>7613</v>
      </c>
      <c r="C2211" s="1" t="s">
        <v>8080</v>
      </c>
      <c r="D2211" s="2" t="s">
        <v>8081</v>
      </c>
      <c r="E2211" s="1">
        <v>1.0</v>
      </c>
      <c r="I2211" s="1">
        <v>0.0</v>
      </c>
      <c r="J2211" s="1">
        <v>137.0</v>
      </c>
      <c r="L2211" s="1">
        <v>3615473.0</v>
      </c>
      <c r="N2211" s="1">
        <v>3615473.0</v>
      </c>
      <c r="P2211" s="1" t="s">
        <v>8082</v>
      </c>
      <c r="Q2211" s="1" t="s">
        <v>8082</v>
      </c>
      <c r="R2211" s="1" t="s">
        <v>8083</v>
      </c>
      <c r="S2211" s="1">
        <v>2.0</v>
      </c>
      <c r="T2211" s="1">
        <v>1.0</v>
      </c>
      <c r="X2211" s="1" t="s">
        <v>29</v>
      </c>
    </row>
    <row r="2212">
      <c r="A2212" s="3" t="str">
        <f>HYPERLINK("https://stackoverflow.com/q/23554357", "23554357")</f>
        <v>23554357</v>
      </c>
      <c r="B2212" s="1" t="s">
        <v>7613</v>
      </c>
      <c r="C2212" s="1" t="s">
        <v>8084</v>
      </c>
      <c r="D2212" s="2" t="s">
        <v>8085</v>
      </c>
      <c r="E2212" s="1">
        <v>1.0</v>
      </c>
      <c r="F2212" s="1">
        <v>2.3569191E7</v>
      </c>
      <c r="I2212" s="1">
        <v>2.0</v>
      </c>
      <c r="J2212" s="1">
        <v>714.0</v>
      </c>
      <c r="L2212" s="1">
        <v>2255760.0</v>
      </c>
      <c r="N2212" s="1">
        <v>-1.0</v>
      </c>
      <c r="P2212" s="1" t="s">
        <v>8086</v>
      </c>
      <c r="Q2212" s="1" t="s">
        <v>8087</v>
      </c>
      <c r="R2212" s="1" t="s">
        <v>8088</v>
      </c>
      <c r="S2212" s="1">
        <v>1.0</v>
      </c>
      <c r="T2212" s="1">
        <v>0.0</v>
      </c>
      <c r="X2212" s="1" t="s">
        <v>29</v>
      </c>
      <c r="Z2212" s="1" t="s">
        <v>8089</v>
      </c>
    </row>
    <row r="2213">
      <c r="A2213" s="3" t="str">
        <f>HYPERLINK("https://stackoverflow.com/q/23695745", "23695745")</f>
        <v>23695745</v>
      </c>
      <c r="B2213" s="1" t="s">
        <v>7613</v>
      </c>
      <c r="C2213" s="1" t="s">
        <v>8090</v>
      </c>
      <c r="D2213" s="2" t="s">
        <v>8091</v>
      </c>
      <c r="E2213" s="1">
        <v>1.0</v>
      </c>
      <c r="F2213" s="1">
        <v>2.3870804E7</v>
      </c>
      <c r="I2213" s="1">
        <v>1.0</v>
      </c>
      <c r="J2213" s="1">
        <v>381.0</v>
      </c>
      <c r="L2213" s="1">
        <v>30955.0</v>
      </c>
      <c r="Q2213" s="1" t="s">
        <v>8092</v>
      </c>
      <c r="R2213" s="1" t="s">
        <v>8093</v>
      </c>
      <c r="S2213" s="1">
        <v>1.0</v>
      </c>
      <c r="T2213" s="1">
        <v>0.0</v>
      </c>
      <c r="X2213" s="1" t="s">
        <v>29</v>
      </c>
      <c r="Z2213" s="1" t="s">
        <v>8094</v>
      </c>
    </row>
    <row r="2214">
      <c r="A2214" s="3" t="str">
        <f>HYPERLINK("https://stackoverflow.com/q/23786385", "23786385")</f>
        <v>23786385</v>
      </c>
      <c r="B2214" s="1" t="s">
        <v>7613</v>
      </c>
      <c r="C2214" s="1" t="s">
        <v>8095</v>
      </c>
      <c r="D2214" s="2" t="s">
        <v>8096</v>
      </c>
      <c r="E2214" s="1">
        <v>1.0</v>
      </c>
      <c r="I2214" s="1">
        <v>0.0</v>
      </c>
      <c r="J2214" s="1">
        <v>831.0</v>
      </c>
      <c r="L2214" s="1">
        <v>3661301.0</v>
      </c>
      <c r="Q2214" s="1" t="s">
        <v>8097</v>
      </c>
      <c r="R2214" s="1" t="s">
        <v>7688</v>
      </c>
      <c r="S2214" s="1">
        <v>1.0</v>
      </c>
      <c r="T2214" s="1">
        <v>1.0</v>
      </c>
      <c r="X2214" s="1" t="s">
        <v>29</v>
      </c>
    </row>
    <row r="2215">
      <c r="A2215" s="3" t="str">
        <f>HYPERLINK("https://stackoverflow.com/q/23813639", "23813639")</f>
        <v>23813639</v>
      </c>
      <c r="B2215" s="1" t="s">
        <v>7613</v>
      </c>
      <c r="C2215" s="1" t="s">
        <v>8098</v>
      </c>
      <c r="D2215" s="2" t="s">
        <v>8099</v>
      </c>
      <c r="E2215" s="1">
        <v>1.0</v>
      </c>
      <c r="I2215" s="1">
        <v>1.0</v>
      </c>
      <c r="J2215" s="1">
        <v>2795.0</v>
      </c>
      <c r="L2215" s="1">
        <v>3582197.0</v>
      </c>
      <c r="N2215" s="1">
        <v>3582197.0</v>
      </c>
      <c r="P2215" s="1" t="s">
        <v>8100</v>
      </c>
      <c r="Q2215" s="1" t="s">
        <v>8101</v>
      </c>
      <c r="R2215" s="1" t="s">
        <v>8102</v>
      </c>
      <c r="S2215" s="1">
        <v>1.0</v>
      </c>
      <c r="T2215" s="1">
        <v>2.0</v>
      </c>
      <c r="X2215" s="1" t="s">
        <v>29</v>
      </c>
    </row>
    <row r="2216">
      <c r="A2216" s="3" t="str">
        <f>HYPERLINK("https://stackoverflow.com/q/23984516", "23984516")</f>
        <v>23984516</v>
      </c>
      <c r="B2216" s="1" t="s">
        <v>7613</v>
      </c>
      <c r="C2216" s="1" t="s">
        <v>8103</v>
      </c>
      <c r="D2216" s="2" t="s">
        <v>8104</v>
      </c>
      <c r="E2216" s="1">
        <v>1.0</v>
      </c>
      <c r="F2216" s="1">
        <v>2.3998976E7</v>
      </c>
      <c r="I2216" s="1">
        <v>3.0</v>
      </c>
      <c r="J2216" s="1">
        <v>1844.0</v>
      </c>
      <c r="L2216" s="1">
        <v>2663353.0</v>
      </c>
      <c r="N2216" s="1">
        <v>1587329.0</v>
      </c>
      <c r="P2216" s="1" t="s">
        <v>8105</v>
      </c>
      <c r="Q2216" s="1" t="s">
        <v>8106</v>
      </c>
      <c r="R2216" s="1" t="s">
        <v>8107</v>
      </c>
      <c r="S2216" s="1">
        <v>1.0</v>
      </c>
      <c r="T2216" s="1">
        <v>1.0</v>
      </c>
      <c r="U2216" s="1">
        <v>2.0</v>
      </c>
      <c r="X2216" s="1" t="s">
        <v>29</v>
      </c>
      <c r="Z2216" s="1" t="s">
        <v>8108</v>
      </c>
    </row>
    <row r="2217">
      <c r="A2217" s="3" t="str">
        <f>HYPERLINK("https://stackoverflow.com/q/24064506", "24064506")</f>
        <v>24064506</v>
      </c>
      <c r="B2217" s="1" t="s">
        <v>7613</v>
      </c>
      <c r="C2217" s="1" t="s">
        <v>8109</v>
      </c>
      <c r="D2217" s="2" t="s">
        <v>8110</v>
      </c>
      <c r="E2217" s="1">
        <v>1.0</v>
      </c>
      <c r="I2217" s="1">
        <v>0.0</v>
      </c>
      <c r="J2217" s="1">
        <v>660.0</v>
      </c>
      <c r="L2217" s="1">
        <v>3700622.0</v>
      </c>
      <c r="Q2217" s="1" t="s">
        <v>8111</v>
      </c>
      <c r="R2217" s="1" t="s">
        <v>7661</v>
      </c>
      <c r="S2217" s="1">
        <v>0.0</v>
      </c>
      <c r="T2217" s="1">
        <v>3.0</v>
      </c>
      <c r="X2217" s="1" t="s">
        <v>29</v>
      </c>
    </row>
    <row r="2218">
      <c r="A2218" s="3" t="str">
        <f>HYPERLINK("https://stackoverflow.com/q/24135734", "24135734")</f>
        <v>24135734</v>
      </c>
      <c r="B2218" s="1" t="s">
        <v>7613</v>
      </c>
      <c r="C2218" s="1" t="s">
        <v>8112</v>
      </c>
      <c r="D2218" s="2" t="s">
        <v>8113</v>
      </c>
      <c r="E2218" s="1">
        <v>1.0</v>
      </c>
      <c r="I2218" s="1">
        <v>0.0</v>
      </c>
      <c r="J2218" s="1">
        <v>609.0</v>
      </c>
      <c r="L2218" s="1">
        <v>896315.0</v>
      </c>
      <c r="Q2218" s="1" t="s">
        <v>8114</v>
      </c>
      <c r="R2218" s="1" t="s">
        <v>7688</v>
      </c>
      <c r="S2218" s="1">
        <v>1.0</v>
      </c>
      <c r="T2218" s="1">
        <v>4.0</v>
      </c>
      <c r="X2218" s="1" t="s">
        <v>29</v>
      </c>
    </row>
    <row r="2219">
      <c r="A2219" s="3" t="str">
        <f>HYPERLINK("https://stackoverflow.com/q/24365142", "24365142")</f>
        <v>24365142</v>
      </c>
      <c r="B2219" s="1" t="s">
        <v>7613</v>
      </c>
      <c r="C2219" s="1" t="s">
        <v>8115</v>
      </c>
      <c r="D2219" s="2" t="s">
        <v>8116</v>
      </c>
      <c r="E2219" s="1">
        <v>1.0</v>
      </c>
      <c r="I2219" s="1">
        <v>0.0</v>
      </c>
      <c r="J2219" s="1">
        <v>320.0</v>
      </c>
      <c r="L2219" s="1">
        <v>2830120.0</v>
      </c>
      <c r="N2219" s="1">
        <v>2830120.0</v>
      </c>
      <c r="P2219" s="1" t="s">
        <v>8117</v>
      </c>
      <c r="Q2219" s="1" t="s">
        <v>8118</v>
      </c>
      <c r="R2219" s="1" t="s">
        <v>8119</v>
      </c>
      <c r="S2219" s="1">
        <v>1.0</v>
      </c>
      <c r="T2219" s="1">
        <v>4.0</v>
      </c>
      <c r="X2219" s="1" t="s">
        <v>29</v>
      </c>
    </row>
    <row r="2220">
      <c r="A2220" s="3" t="str">
        <f>HYPERLINK("https://stackoverflow.com/q/24808967", "24808967")</f>
        <v>24808967</v>
      </c>
      <c r="B2220" s="1" t="s">
        <v>7613</v>
      </c>
      <c r="C2220" s="1" t="s">
        <v>8120</v>
      </c>
      <c r="D2220" s="2" t="s">
        <v>8121</v>
      </c>
      <c r="E2220" s="1">
        <v>1.0</v>
      </c>
      <c r="I2220" s="1">
        <v>0.0</v>
      </c>
      <c r="J2220" s="1">
        <v>5925.0</v>
      </c>
      <c r="L2220" s="1">
        <v>3827145.0</v>
      </c>
      <c r="N2220" s="1">
        <v>3059514.0</v>
      </c>
      <c r="P2220" s="1" t="s">
        <v>8122</v>
      </c>
      <c r="Q2220" s="1" t="s">
        <v>8123</v>
      </c>
      <c r="R2220" s="1" t="s">
        <v>7673</v>
      </c>
      <c r="S2220" s="1">
        <v>1.0</v>
      </c>
      <c r="T2220" s="1">
        <v>0.0</v>
      </c>
      <c r="U2220" s="1">
        <v>1.0</v>
      </c>
      <c r="X2220" s="1" t="s">
        <v>29</v>
      </c>
    </row>
    <row r="2221">
      <c r="A2221" s="3" t="str">
        <f>HYPERLINK("https://stackoverflow.com/q/24821180", "24821180")</f>
        <v>24821180</v>
      </c>
      <c r="B2221" s="1" t="s">
        <v>7613</v>
      </c>
      <c r="C2221" s="1" t="s">
        <v>8124</v>
      </c>
      <c r="D2221" s="2" t="s">
        <v>8125</v>
      </c>
      <c r="E2221" s="1">
        <v>1.0</v>
      </c>
      <c r="I2221" s="1">
        <v>0.0</v>
      </c>
      <c r="J2221" s="1">
        <v>563.0</v>
      </c>
      <c r="L2221" s="1">
        <v>3280674.0</v>
      </c>
      <c r="N2221" s="1">
        <v>970263.0</v>
      </c>
      <c r="P2221" s="1" t="s">
        <v>8126</v>
      </c>
      <c r="Q2221" s="1" t="s">
        <v>8127</v>
      </c>
      <c r="R2221" s="1" t="s">
        <v>7688</v>
      </c>
      <c r="S2221" s="1">
        <v>1.0</v>
      </c>
      <c r="T2221" s="1">
        <v>0.0</v>
      </c>
      <c r="X2221" s="1" t="s">
        <v>29</v>
      </c>
    </row>
    <row r="2222">
      <c r="A2222" s="3" t="str">
        <f>HYPERLINK("https://stackoverflow.com/q/25262060", "25262060")</f>
        <v>25262060</v>
      </c>
      <c r="B2222" s="1" t="s">
        <v>7613</v>
      </c>
      <c r="C2222" s="1" t="s">
        <v>8128</v>
      </c>
      <c r="D2222" s="2" t="s">
        <v>8129</v>
      </c>
      <c r="E2222" s="1">
        <v>1.0</v>
      </c>
      <c r="I2222" s="1">
        <v>1.0</v>
      </c>
      <c r="J2222" s="1">
        <v>33.0</v>
      </c>
      <c r="L2222" s="1">
        <v>3068937.0</v>
      </c>
      <c r="Q2222" s="1" t="s">
        <v>8128</v>
      </c>
      <c r="R2222" s="1" t="s">
        <v>8130</v>
      </c>
      <c r="S2222" s="1">
        <v>0.0</v>
      </c>
      <c r="T2222" s="1">
        <v>0.0</v>
      </c>
      <c r="X2222" s="1" t="s">
        <v>29</v>
      </c>
    </row>
    <row r="2223">
      <c r="A2223" s="3" t="str">
        <f>HYPERLINK("https://stackoverflow.com/q/25279217", "25279217")</f>
        <v>25279217</v>
      </c>
      <c r="B2223" s="1" t="s">
        <v>7613</v>
      </c>
      <c r="C2223" s="1" t="s">
        <v>8131</v>
      </c>
      <c r="D2223" s="2" t="s">
        <v>8132</v>
      </c>
      <c r="E2223" s="1">
        <v>1.0</v>
      </c>
      <c r="I2223" s="1">
        <v>1.0</v>
      </c>
      <c r="J2223" s="1">
        <v>33.0</v>
      </c>
      <c r="L2223" s="1">
        <v>3646405.0</v>
      </c>
      <c r="Q2223" s="1" t="s">
        <v>8133</v>
      </c>
      <c r="R2223" s="1" t="s">
        <v>8134</v>
      </c>
      <c r="S2223" s="1">
        <v>1.0</v>
      </c>
      <c r="T2223" s="1">
        <v>0.0</v>
      </c>
      <c r="X2223" s="1" t="s">
        <v>29</v>
      </c>
    </row>
    <row r="2224">
      <c r="A2224" s="3" t="str">
        <f>HYPERLINK("https://stackoverflow.com/q/25499141", "25499141")</f>
        <v>25499141</v>
      </c>
      <c r="B2224" s="1" t="s">
        <v>7613</v>
      </c>
      <c r="C2224" s="1" t="s">
        <v>8135</v>
      </c>
      <c r="D2224" s="2" t="s">
        <v>8136</v>
      </c>
      <c r="E2224" s="1">
        <v>1.0</v>
      </c>
      <c r="I2224" s="1">
        <v>0.0</v>
      </c>
      <c r="J2224" s="1">
        <v>358.0</v>
      </c>
      <c r="L2224" s="1">
        <v>3977703.0</v>
      </c>
      <c r="N2224" s="1">
        <v>3977703.0</v>
      </c>
      <c r="P2224" s="1" t="s">
        <v>8137</v>
      </c>
      <c r="Q2224" s="1" t="s">
        <v>8138</v>
      </c>
      <c r="R2224" s="1" t="s">
        <v>8102</v>
      </c>
      <c r="S2224" s="1">
        <v>1.0</v>
      </c>
      <c r="T2224" s="1">
        <v>0.0</v>
      </c>
      <c r="X2224" s="1" t="s">
        <v>29</v>
      </c>
    </row>
    <row r="2225">
      <c r="A2225" s="3" t="str">
        <f>HYPERLINK("https://stackoverflow.com/q/25560603", "25560603")</f>
        <v>25560603</v>
      </c>
      <c r="B2225" s="1" t="s">
        <v>7613</v>
      </c>
      <c r="C2225" s="1" t="s">
        <v>8139</v>
      </c>
      <c r="D2225" s="2" t="s">
        <v>8140</v>
      </c>
      <c r="E2225" s="1">
        <v>1.0</v>
      </c>
      <c r="I2225" s="1">
        <v>0.0</v>
      </c>
      <c r="J2225" s="1">
        <v>372.0</v>
      </c>
      <c r="L2225" s="1">
        <v>215005.0</v>
      </c>
      <c r="Q2225" s="1" t="s">
        <v>8141</v>
      </c>
      <c r="R2225" s="1" t="s">
        <v>8142</v>
      </c>
      <c r="S2225" s="1">
        <v>1.0</v>
      </c>
      <c r="T2225" s="1">
        <v>0.0</v>
      </c>
      <c r="X2225" s="1" t="s">
        <v>29</v>
      </c>
    </row>
    <row r="2226">
      <c r="A2226" s="3" t="str">
        <f>HYPERLINK("https://stackoverflow.com/q/25617442", "25617442")</f>
        <v>25617442</v>
      </c>
      <c r="B2226" s="1" t="s">
        <v>7613</v>
      </c>
      <c r="C2226" s="1" t="s">
        <v>8143</v>
      </c>
      <c r="D2226" s="2" t="s">
        <v>8144</v>
      </c>
      <c r="E2226" s="1">
        <v>1.0</v>
      </c>
      <c r="I2226" s="1">
        <v>0.0</v>
      </c>
      <c r="J2226" s="1">
        <v>1214.0</v>
      </c>
      <c r="L2226" s="1">
        <v>3997860.0</v>
      </c>
      <c r="N2226" s="1">
        <v>-1.0</v>
      </c>
      <c r="P2226" s="1" t="s">
        <v>8145</v>
      </c>
      <c r="Q2226" s="1" t="s">
        <v>8146</v>
      </c>
      <c r="R2226" s="1" t="s">
        <v>7688</v>
      </c>
      <c r="S2226" s="1">
        <v>1.0</v>
      </c>
      <c r="T2226" s="1">
        <v>1.0</v>
      </c>
      <c r="X2226" s="1" t="s">
        <v>29</v>
      </c>
    </row>
    <row r="2227">
      <c r="A2227" s="3" t="str">
        <f>HYPERLINK("https://stackoverflow.com/q/25801442", "25801442")</f>
        <v>25801442</v>
      </c>
      <c r="B2227" s="1" t="s">
        <v>7613</v>
      </c>
      <c r="C2227" s="1" t="s">
        <v>8147</v>
      </c>
      <c r="D2227" s="2" t="s">
        <v>8148</v>
      </c>
      <c r="E2227" s="1">
        <v>1.0</v>
      </c>
      <c r="I2227" s="1">
        <v>3.0</v>
      </c>
      <c r="J2227" s="1">
        <v>1930.0</v>
      </c>
      <c r="L2227" s="1">
        <v>4033475.0</v>
      </c>
      <c r="N2227" s="1">
        <v>2137269.0</v>
      </c>
      <c r="P2227" s="1" t="s">
        <v>8149</v>
      </c>
      <c r="Q2227" s="1" t="s">
        <v>8150</v>
      </c>
      <c r="R2227" s="1" t="s">
        <v>8151</v>
      </c>
      <c r="S2227" s="1">
        <v>2.0</v>
      </c>
      <c r="T2227" s="1">
        <v>1.0</v>
      </c>
      <c r="X2227" s="1" t="s">
        <v>29</v>
      </c>
    </row>
    <row r="2228">
      <c r="A2228" s="3" t="str">
        <f>HYPERLINK("https://stackoverflow.com/q/25926998", "25926998")</f>
        <v>25926998</v>
      </c>
      <c r="B2228" s="1" t="s">
        <v>7613</v>
      </c>
      <c r="C2228" s="1" t="s">
        <v>8152</v>
      </c>
      <c r="D2228" s="2" t="s">
        <v>8153</v>
      </c>
      <c r="E2228" s="1">
        <v>1.0</v>
      </c>
      <c r="F2228" s="1">
        <v>2.6032244E7</v>
      </c>
      <c r="I2228" s="1">
        <v>0.0</v>
      </c>
      <c r="J2228" s="1">
        <v>87.0</v>
      </c>
      <c r="L2228" s="1">
        <v>1025307.0</v>
      </c>
      <c r="Q2228" s="1" t="s">
        <v>8154</v>
      </c>
      <c r="R2228" s="1" t="s">
        <v>7980</v>
      </c>
      <c r="S2228" s="1">
        <v>3.0</v>
      </c>
      <c r="T2228" s="1">
        <v>1.0</v>
      </c>
      <c r="X2228" s="1" t="s">
        <v>29</v>
      </c>
      <c r="Z2228" s="1" t="s">
        <v>8154</v>
      </c>
    </row>
    <row r="2229">
      <c r="A2229" s="3" t="str">
        <f>HYPERLINK("https://stackoverflow.com/q/25950980", "25950980")</f>
        <v>25950980</v>
      </c>
      <c r="B2229" s="1" t="s">
        <v>7613</v>
      </c>
      <c r="C2229" s="1" t="s">
        <v>8155</v>
      </c>
      <c r="D2229" s="2" t="s">
        <v>8156</v>
      </c>
      <c r="E2229" s="1">
        <v>1.0</v>
      </c>
      <c r="I2229" s="1">
        <v>2.0</v>
      </c>
      <c r="J2229" s="1">
        <v>178.0</v>
      </c>
      <c r="L2229" s="1">
        <v>4061639.0</v>
      </c>
      <c r="Q2229" s="1" t="s">
        <v>8155</v>
      </c>
      <c r="R2229" s="1" t="s">
        <v>7661</v>
      </c>
      <c r="S2229" s="1">
        <v>0.0</v>
      </c>
      <c r="T2229" s="1">
        <v>1.0</v>
      </c>
      <c r="X2229" s="1" t="s">
        <v>29</v>
      </c>
    </row>
    <row r="2230">
      <c r="A2230" s="3" t="str">
        <f>HYPERLINK("https://stackoverflow.com/q/25971699", "25971699")</f>
        <v>25971699</v>
      </c>
      <c r="B2230" s="1" t="s">
        <v>7613</v>
      </c>
      <c r="C2230" s="1" t="s">
        <v>8157</v>
      </c>
      <c r="D2230" s="2" t="s">
        <v>8158</v>
      </c>
      <c r="E2230" s="1">
        <v>1.0</v>
      </c>
      <c r="I2230" s="1">
        <v>0.0</v>
      </c>
      <c r="J2230" s="1">
        <v>1519.0</v>
      </c>
      <c r="L2230" s="1">
        <v>3793223.0</v>
      </c>
      <c r="N2230" s="1">
        <v>970263.0</v>
      </c>
      <c r="P2230" s="1" t="s">
        <v>8159</v>
      </c>
      <c r="Q2230" s="1" t="s">
        <v>8160</v>
      </c>
      <c r="R2230" s="1" t="s">
        <v>8161</v>
      </c>
      <c r="S2230" s="1">
        <v>1.0</v>
      </c>
      <c r="T2230" s="1">
        <v>0.0</v>
      </c>
      <c r="X2230" s="1" t="s">
        <v>29</v>
      </c>
    </row>
    <row r="2231">
      <c r="A2231" s="3" t="str">
        <f>HYPERLINK("https://stackoverflow.com/q/26043809", "26043809")</f>
        <v>26043809</v>
      </c>
      <c r="B2231" s="1" t="s">
        <v>7613</v>
      </c>
      <c r="C2231" s="1" t="s">
        <v>8162</v>
      </c>
      <c r="D2231" s="2" t="s">
        <v>8163</v>
      </c>
      <c r="E2231" s="1">
        <v>1.0</v>
      </c>
      <c r="I2231" s="1">
        <v>0.0</v>
      </c>
      <c r="J2231" s="1">
        <v>1309.0</v>
      </c>
      <c r="L2231" s="1">
        <v>4080282.0</v>
      </c>
      <c r="Q2231" s="1" t="s">
        <v>8164</v>
      </c>
      <c r="R2231" s="1" t="s">
        <v>8102</v>
      </c>
      <c r="S2231" s="1">
        <v>1.0</v>
      </c>
      <c r="T2231" s="1">
        <v>0.0</v>
      </c>
      <c r="X2231" s="1" t="s">
        <v>29</v>
      </c>
    </row>
    <row r="2232">
      <c r="A2232" s="3" t="str">
        <f>HYPERLINK("https://stackoverflow.com/q/26585466", "26585466")</f>
        <v>26585466</v>
      </c>
      <c r="B2232" s="1" t="s">
        <v>7613</v>
      </c>
      <c r="C2232" s="1" t="s">
        <v>8165</v>
      </c>
      <c r="D2232" s="2" t="s">
        <v>8166</v>
      </c>
      <c r="E2232" s="1">
        <v>1.0</v>
      </c>
      <c r="I2232" s="1">
        <v>0.0</v>
      </c>
      <c r="J2232" s="1">
        <v>693.0</v>
      </c>
      <c r="L2232" s="1">
        <v>3058047.0</v>
      </c>
      <c r="N2232" s="1">
        <v>3058047.0</v>
      </c>
      <c r="P2232" s="1" t="s">
        <v>8167</v>
      </c>
      <c r="Q2232" s="1" t="s">
        <v>8168</v>
      </c>
      <c r="R2232" s="1" t="s">
        <v>8169</v>
      </c>
      <c r="S2232" s="1">
        <v>1.0</v>
      </c>
      <c r="T2232" s="1">
        <v>0.0</v>
      </c>
      <c r="U2232" s="1">
        <v>1.0</v>
      </c>
      <c r="X2232" s="1" t="s">
        <v>29</v>
      </c>
    </row>
    <row r="2233">
      <c r="A2233" s="3" t="str">
        <f>HYPERLINK("https://stackoverflow.com/q/26655087", "26655087")</f>
        <v>26655087</v>
      </c>
      <c r="B2233" s="1" t="s">
        <v>7613</v>
      </c>
      <c r="C2233" s="1" t="s">
        <v>8170</v>
      </c>
      <c r="D2233" s="2" t="s">
        <v>8171</v>
      </c>
      <c r="E2233" s="1">
        <v>1.0</v>
      </c>
      <c r="I2233" s="1">
        <v>3.0</v>
      </c>
      <c r="J2233" s="1">
        <v>8252.0</v>
      </c>
      <c r="L2233" s="1">
        <v>837342.0</v>
      </c>
      <c r="Q2233" s="1" t="s">
        <v>8172</v>
      </c>
      <c r="R2233" s="1" t="s">
        <v>7688</v>
      </c>
      <c r="S2233" s="1">
        <v>2.0</v>
      </c>
      <c r="T2233" s="1">
        <v>0.0</v>
      </c>
      <c r="U2233" s="1">
        <v>1.0</v>
      </c>
      <c r="X2233" s="1" t="s">
        <v>29</v>
      </c>
    </row>
    <row r="2234">
      <c r="A2234" s="3" t="str">
        <f>HYPERLINK("https://stackoverflow.com/q/26779046", "26779046")</f>
        <v>26779046</v>
      </c>
      <c r="B2234" s="1" t="s">
        <v>7613</v>
      </c>
      <c r="C2234" s="1" t="s">
        <v>8173</v>
      </c>
      <c r="D2234" s="2" t="s">
        <v>8174</v>
      </c>
      <c r="E2234" s="1">
        <v>1.0</v>
      </c>
      <c r="I2234" s="1">
        <v>1.0</v>
      </c>
      <c r="J2234" s="1">
        <v>216.0</v>
      </c>
      <c r="L2234" s="1">
        <v>1844202.0</v>
      </c>
      <c r="Q2234" s="1" t="s">
        <v>8173</v>
      </c>
      <c r="R2234" s="1" t="s">
        <v>8175</v>
      </c>
      <c r="S2234" s="1">
        <v>0.0</v>
      </c>
      <c r="T2234" s="1">
        <v>0.0</v>
      </c>
      <c r="U2234" s="1">
        <v>1.0</v>
      </c>
      <c r="X2234" s="1" t="s">
        <v>29</v>
      </c>
    </row>
    <row r="2235">
      <c r="A2235" s="3" t="str">
        <f>HYPERLINK("https://stackoverflow.com/q/27223147", "27223147")</f>
        <v>27223147</v>
      </c>
      <c r="B2235" s="1" t="s">
        <v>7613</v>
      </c>
      <c r="C2235" s="1" t="s">
        <v>8176</v>
      </c>
      <c r="D2235" s="2" t="s">
        <v>8177</v>
      </c>
      <c r="E2235" s="1">
        <v>1.0</v>
      </c>
      <c r="I2235" s="1">
        <v>0.0</v>
      </c>
      <c r="J2235" s="1">
        <v>1576.0</v>
      </c>
      <c r="L2235" s="1">
        <v>3478678.0</v>
      </c>
      <c r="Q2235" s="1" t="s">
        <v>8178</v>
      </c>
      <c r="R2235" s="1" t="s">
        <v>8179</v>
      </c>
      <c r="S2235" s="1">
        <v>1.0</v>
      </c>
      <c r="T2235" s="1">
        <v>0.0</v>
      </c>
      <c r="X2235" s="1" t="s">
        <v>29</v>
      </c>
    </row>
    <row r="2236">
      <c r="A2236" s="3" t="str">
        <f>HYPERLINK("https://stackoverflow.com/q/27364108", "27364108")</f>
        <v>27364108</v>
      </c>
      <c r="B2236" s="1" t="s">
        <v>7613</v>
      </c>
      <c r="C2236" s="1" t="s">
        <v>8180</v>
      </c>
      <c r="D2236" s="2" t="s">
        <v>8181</v>
      </c>
      <c r="E2236" s="1">
        <v>1.0</v>
      </c>
      <c r="I2236" s="1">
        <v>0.0</v>
      </c>
      <c r="J2236" s="1">
        <v>122.0</v>
      </c>
      <c r="L2236" s="1">
        <v>4338422.0</v>
      </c>
      <c r="Q2236" s="1" t="s">
        <v>8182</v>
      </c>
      <c r="R2236" s="1" t="s">
        <v>7688</v>
      </c>
      <c r="S2236" s="1">
        <v>1.0</v>
      </c>
      <c r="T2236" s="1">
        <v>0.0</v>
      </c>
      <c r="X2236" s="1" t="s">
        <v>29</v>
      </c>
    </row>
    <row r="2237">
      <c r="A2237" s="3" t="str">
        <f>HYPERLINK("https://stackoverflow.com/q/27398134", "27398134")</f>
        <v>27398134</v>
      </c>
      <c r="B2237" s="1" t="s">
        <v>7613</v>
      </c>
      <c r="C2237" s="1" t="s">
        <v>8183</v>
      </c>
      <c r="D2237" s="2" t="s">
        <v>8184</v>
      </c>
      <c r="E2237" s="1">
        <v>1.0</v>
      </c>
      <c r="F2237" s="1">
        <v>2.740927E7</v>
      </c>
      <c r="I2237" s="1">
        <v>0.0</v>
      </c>
      <c r="J2237" s="1">
        <v>16.0</v>
      </c>
      <c r="L2237" s="1">
        <v>379732.0</v>
      </c>
      <c r="Q2237" s="1" t="s">
        <v>8185</v>
      </c>
      <c r="R2237" s="1" t="s">
        <v>8186</v>
      </c>
      <c r="S2237" s="1">
        <v>1.0</v>
      </c>
      <c r="T2237" s="1">
        <v>0.0</v>
      </c>
      <c r="X2237" s="1" t="s">
        <v>29</v>
      </c>
      <c r="Z2237" s="1" t="s">
        <v>8185</v>
      </c>
    </row>
    <row r="2238">
      <c r="A2238" s="3" t="str">
        <f>HYPERLINK("https://stackoverflow.com/q/27426874", "27426874")</f>
        <v>27426874</v>
      </c>
      <c r="B2238" s="1" t="s">
        <v>7613</v>
      </c>
      <c r="C2238" s="1" t="s">
        <v>8187</v>
      </c>
      <c r="D2238" s="2" t="s">
        <v>8188</v>
      </c>
      <c r="E2238" s="1">
        <v>1.0</v>
      </c>
      <c r="I2238" s="1">
        <v>1.0</v>
      </c>
      <c r="J2238" s="1">
        <v>434.0</v>
      </c>
      <c r="L2238" s="1">
        <v>3591605.0</v>
      </c>
      <c r="Q2238" s="1" t="s">
        <v>8189</v>
      </c>
      <c r="R2238" s="1" t="s">
        <v>8190</v>
      </c>
      <c r="S2238" s="1">
        <v>2.0</v>
      </c>
      <c r="T2238" s="1">
        <v>0.0</v>
      </c>
      <c r="X2238" s="1" t="s">
        <v>29</v>
      </c>
    </row>
    <row r="2239">
      <c r="A2239" s="3" t="str">
        <f>HYPERLINK("https://stackoverflow.com/q/27793944", "27793944")</f>
        <v>27793944</v>
      </c>
      <c r="B2239" s="1" t="s">
        <v>7613</v>
      </c>
      <c r="C2239" s="1" t="s">
        <v>8191</v>
      </c>
      <c r="D2239" s="2" t="s">
        <v>8192</v>
      </c>
      <c r="E2239" s="1">
        <v>1.0</v>
      </c>
      <c r="I2239" s="1">
        <v>1.0</v>
      </c>
      <c r="J2239" s="1">
        <v>1119.0</v>
      </c>
      <c r="L2239" s="1">
        <v>4399223.0</v>
      </c>
      <c r="N2239" s="1">
        <v>4952806.0</v>
      </c>
      <c r="P2239" s="1" t="s">
        <v>8193</v>
      </c>
      <c r="Q2239" s="1" t="s">
        <v>8194</v>
      </c>
      <c r="R2239" s="1" t="s">
        <v>8195</v>
      </c>
      <c r="S2239" s="1">
        <v>1.0</v>
      </c>
      <c r="T2239" s="1">
        <v>0.0</v>
      </c>
      <c r="X2239" s="1" t="s">
        <v>29</v>
      </c>
    </row>
    <row r="2240">
      <c r="A2240" s="3" t="str">
        <f>HYPERLINK("https://stackoverflow.com/q/28474243", "28474243")</f>
        <v>28474243</v>
      </c>
      <c r="B2240" s="1" t="s">
        <v>7613</v>
      </c>
      <c r="C2240" s="1" t="s">
        <v>8196</v>
      </c>
      <c r="D2240" s="2" t="s">
        <v>8197</v>
      </c>
      <c r="E2240" s="1">
        <v>1.0</v>
      </c>
      <c r="I2240" s="1">
        <v>1.0</v>
      </c>
      <c r="J2240" s="1">
        <v>201.0</v>
      </c>
      <c r="L2240" s="1">
        <v>3182102.0</v>
      </c>
      <c r="Q2240" s="1" t="s">
        <v>8198</v>
      </c>
      <c r="R2240" s="1" t="s">
        <v>8199</v>
      </c>
      <c r="S2240" s="1">
        <v>1.0</v>
      </c>
      <c r="T2240" s="1">
        <v>1.0</v>
      </c>
      <c r="X2240" s="1" t="s">
        <v>29</v>
      </c>
    </row>
    <row r="2241">
      <c r="A2241" s="3" t="str">
        <f>HYPERLINK("https://stackoverflow.com/q/28769714", "28769714")</f>
        <v>28769714</v>
      </c>
      <c r="B2241" s="1" t="s">
        <v>7613</v>
      </c>
      <c r="C2241" s="1" t="s">
        <v>8200</v>
      </c>
      <c r="D2241" s="2" t="s">
        <v>8201</v>
      </c>
      <c r="E2241" s="1">
        <v>1.0</v>
      </c>
      <c r="I2241" s="1">
        <v>0.0</v>
      </c>
      <c r="J2241" s="1">
        <v>794.0</v>
      </c>
      <c r="L2241" s="1">
        <v>2244989.0</v>
      </c>
      <c r="Q2241" s="1" t="s">
        <v>8200</v>
      </c>
      <c r="R2241" s="1" t="s">
        <v>7688</v>
      </c>
      <c r="S2241" s="1">
        <v>0.0</v>
      </c>
      <c r="T2241" s="1">
        <v>3.0</v>
      </c>
      <c r="X2241" s="1" t="s">
        <v>29</v>
      </c>
    </row>
    <row r="2242">
      <c r="A2242" s="3" t="str">
        <f>HYPERLINK("https://stackoverflow.com/q/28991453", "28991453")</f>
        <v>28991453</v>
      </c>
      <c r="B2242" s="1" t="s">
        <v>7613</v>
      </c>
      <c r="C2242" s="1" t="s">
        <v>8202</v>
      </c>
      <c r="D2242" s="2" t="s">
        <v>8203</v>
      </c>
      <c r="E2242" s="1">
        <v>1.0</v>
      </c>
      <c r="F2242" s="1">
        <v>3.1678351E7</v>
      </c>
      <c r="I2242" s="1">
        <v>1.0</v>
      </c>
      <c r="J2242" s="1">
        <v>105.0</v>
      </c>
      <c r="L2242" s="1">
        <v>4288327.0</v>
      </c>
      <c r="Q2242" s="1" t="s">
        <v>8204</v>
      </c>
      <c r="R2242" s="1" t="s">
        <v>8205</v>
      </c>
      <c r="S2242" s="1">
        <v>1.0</v>
      </c>
      <c r="T2242" s="1">
        <v>0.0</v>
      </c>
      <c r="X2242" s="1" t="s">
        <v>29</v>
      </c>
      <c r="Z2242" s="1" t="s">
        <v>8204</v>
      </c>
    </row>
    <row r="2243">
      <c r="A2243" s="3" t="str">
        <f>HYPERLINK("https://stackoverflow.com/q/29060765", "29060765")</f>
        <v>29060765</v>
      </c>
      <c r="B2243" s="1" t="s">
        <v>7613</v>
      </c>
      <c r="C2243" s="1" t="s">
        <v>8206</v>
      </c>
      <c r="D2243" s="2" t="s">
        <v>8207</v>
      </c>
      <c r="E2243" s="1">
        <v>1.0</v>
      </c>
      <c r="I2243" s="1">
        <v>0.0</v>
      </c>
      <c r="J2243" s="1">
        <v>142.0</v>
      </c>
      <c r="M2243" s="1" t="s">
        <v>8208</v>
      </c>
      <c r="N2243" s="1">
        <v>2227834.0</v>
      </c>
      <c r="P2243" s="1" t="s">
        <v>8209</v>
      </c>
      <c r="Q2243" s="1" t="s">
        <v>8210</v>
      </c>
      <c r="R2243" s="1" t="s">
        <v>8211</v>
      </c>
      <c r="S2243" s="1">
        <v>3.0</v>
      </c>
      <c r="T2243" s="1">
        <v>0.0</v>
      </c>
      <c r="X2243" s="1" t="s">
        <v>29</v>
      </c>
    </row>
    <row r="2244">
      <c r="A2244" s="3" t="str">
        <f>HYPERLINK("https://stackoverflow.com/q/29606122", "29606122")</f>
        <v>29606122</v>
      </c>
      <c r="B2244" s="1" t="s">
        <v>7613</v>
      </c>
      <c r="C2244" s="1" t="s">
        <v>8212</v>
      </c>
      <c r="D2244" s="2" t="s">
        <v>8213</v>
      </c>
      <c r="E2244" s="1">
        <v>1.0</v>
      </c>
      <c r="F2244" s="1">
        <v>2.9628716E7</v>
      </c>
      <c r="I2244" s="1">
        <v>2.0</v>
      </c>
      <c r="J2244" s="1">
        <v>287.0</v>
      </c>
      <c r="L2244" s="1">
        <v>1986072.0</v>
      </c>
      <c r="Q2244" s="1" t="s">
        <v>8214</v>
      </c>
      <c r="R2244" s="1" t="s">
        <v>7688</v>
      </c>
      <c r="S2244" s="1">
        <v>1.0</v>
      </c>
      <c r="T2244" s="1">
        <v>0.0</v>
      </c>
      <c r="X2244" s="1" t="s">
        <v>29</v>
      </c>
      <c r="Z2244" s="1" t="s">
        <v>8214</v>
      </c>
    </row>
    <row r="2245">
      <c r="A2245" s="3" t="str">
        <f>HYPERLINK("https://stackoverflow.com/q/29623135", "29623135")</f>
        <v>29623135</v>
      </c>
      <c r="B2245" s="1" t="s">
        <v>7613</v>
      </c>
      <c r="C2245" s="1" t="s">
        <v>8215</v>
      </c>
      <c r="D2245" s="2" t="s">
        <v>8216</v>
      </c>
      <c r="E2245" s="1">
        <v>1.0</v>
      </c>
      <c r="I2245" s="1">
        <v>1.0</v>
      </c>
      <c r="J2245" s="1">
        <v>2765.0</v>
      </c>
      <c r="L2245" s="1">
        <v>4786462.0</v>
      </c>
      <c r="Q2245" s="1" t="s">
        <v>8217</v>
      </c>
      <c r="R2245" s="1" t="s">
        <v>8218</v>
      </c>
      <c r="S2245" s="1">
        <v>1.0</v>
      </c>
      <c r="T2245" s="1">
        <v>0.0</v>
      </c>
      <c r="U2245" s="1">
        <v>1.0</v>
      </c>
      <c r="X2245" s="1" t="s">
        <v>29</v>
      </c>
    </row>
    <row r="2246">
      <c r="A2246" s="3" t="str">
        <f>HYPERLINK("https://stackoverflow.com/q/30531307", "30531307")</f>
        <v>30531307</v>
      </c>
      <c r="B2246" s="1" t="s">
        <v>7613</v>
      </c>
      <c r="C2246" s="1" t="s">
        <v>8219</v>
      </c>
      <c r="D2246" s="2" t="s">
        <v>8220</v>
      </c>
      <c r="E2246" s="1">
        <v>1.0</v>
      </c>
      <c r="I2246" s="1">
        <v>0.0</v>
      </c>
      <c r="J2246" s="1">
        <v>316.0</v>
      </c>
      <c r="L2246" s="1">
        <v>765552.0</v>
      </c>
      <c r="Q2246" s="1" t="s">
        <v>8221</v>
      </c>
      <c r="R2246" s="1" t="s">
        <v>8222</v>
      </c>
      <c r="S2246" s="1">
        <v>1.0</v>
      </c>
      <c r="T2246" s="1">
        <v>0.0</v>
      </c>
      <c r="X2246" s="1" t="s">
        <v>29</v>
      </c>
    </row>
    <row r="2247">
      <c r="A2247" s="3" t="str">
        <f>HYPERLINK("https://stackoverflow.com/q/30874436", "30874436")</f>
        <v>30874436</v>
      </c>
      <c r="B2247" s="1" t="s">
        <v>7613</v>
      </c>
      <c r="C2247" s="1" t="s">
        <v>8223</v>
      </c>
      <c r="D2247" s="2" t="s">
        <v>8224</v>
      </c>
      <c r="E2247" s="1">
        <v>1.0</v>
      </c>
      <c r="I2247" s="1">
        <v>0.0</v>
      </c>
      <c r="J2247" s="1">
        <v>1223.0</v>
      </c>
      <c r="L2247" s="1">
        <v>3229470.0</v>
      </c>
      <c r="Q2247" s="1" t="s">
        <v>8225</v>
      </c>
      <c r="R2247" s="1" t="s">
        <v>8226</v>
      </c>
      <c r="S2247" s="1">
        <v>2.0</v>
      </c>
      <c r="T2247" s="1">
        <v>0.0</v>
      </c>
      <c r="X2247" s="1" t="s">
        <v>29</v>
      </c>
    </row>
    <row r="2248">
      <c r="A2248" s="3" t="str">
        <f>HYPERLINK("https://stackoverflow.com/q/31139620", "31139620")</f>
        <v>31139620</v>
      </c>
      <c r="B2248" s="1" t="s">
        <v>7613</v>
      </c>
      <c r="C2248" s="1" t="s">
        <v>8227</v>
      </c>
      <c r="D2248" s="2" t="s">
        <v>8228</v>
      </c>
      <c r="E2248" s="1">
        <v>1.0</v>
      </c>
      <c r="I2248" s="1">
        <v>0.0</v>
      </c>
      <c r="J2248" s="1">
        <v>414.0</v>
      </c>
      <c r="L2248" s="1">
        <v>3133923.0</v>
      </c>
      <c r="N2248" s="1">
        <v>3133923.0</v>
      </c>
      <c r="P2248" s="1" t="s">
        <v>8229</v>
      </c>
      <c r="Q2248" s="1" t="s">
        <v>8230</v>
      </c>
      <c r="R2248" s="1" t="s">
        <v>8231</v>
      </c>
      <c r="S2248" s="1">
        <v>1.0</v>
      </c>
      <c r="T2248" s="1">
        <v>0.0</v>
      </c>
      <c r="X2248" s="1" t="s">
        <v>29</v>
      </c>
    </row>
    <row r="2249">
      <c r="A2249" s="3" t="str">
        <f>HYPERLINK("https://stackoverflow.com/q/31190469", "31190469")</f>
        <v>31190469</v>
      </c>
      <c r="B2249" s="1" t="s">
        <v>7613</v>
      </c>
      <c r="C2249" s="1" t="s">
        <v>8232</v>
      </c>
      <c r="D2249" s="2" t="s">
        <v>8233</v>
      </c>
      <c r="E2249" s="1">
        <v>1.0</v>
      </c>
      <c r="I2249" s="1">
        <v>0.0</v>
      </c>
      <c r="J2249" s="1">
        <v>193.0</v>
      </c>
      <c r="L2249" s="1">
        <v>5074754.0</v>
      </c>
      <c r="N2249" s="1">
        <v>1307905.0</v>
      </c>
      <c r="P2249" s="1" t="s">
        <v>8234</v>
      </c>
      <c r="Q2249" s="1" t="s">
        <v>8235</v>
      </c>
      <c r="R2249" s="1" t="s">
        <v>7925</v>
      </c>
      <c r="S2249" s="1">
        <v>2.0</v>
      </c>
      <c r="T2249" s="1">
        <v>0.0</v>
      </c>
      <c r="X2249" s="1" t="s">
        <v>29</v>
      </c>
    </row>
    <row r="2250">
      <c r="A2250" s="3" t="str">
        <f>HYPERLINK("https://stackoverflow.com/q/31335575", "31335575")</f>
        <v>31335575</v>
      </c>
      <c r="B2250" s="1" t="s">
        <v>7613</v>
      </c>
      <c r="C2250" s="1" t="s">
        <v>8236</v>
      </c>
      <c r="D2250" s="2" t="s">
        <v>8237</v>
      </c>
      <c r="E2250" s="1">
        <v>1.0</v>
      </c>
      <c r="I2250" s="1">
        <v>1.0</v>
      </c>
      <c r="J2250" s="1">
        <v>202.0</v>
      </c>
      <c r="L2250" s="1">
        <v>3518616.0</v>
      </c>
      <c r="Q2250" s="1" t="s">
        <v>8236</v>
      </c>
      <c r="R2250" s="1" t="s">
        <v>8238</v>
      </c>
      <c r="S2250" s="1">
        <v>0.0</v>
      </c>
      <c r="T2250" s="1">
        <v>3.0</v>
      </c>
      <c r="X2250" s="1" t="s">
        <v>29</v>
      </c>
    </row>
    <row r="2251">
      <c r="A2251" s="3" t="str">
        <f>HYPERLINK("https://stackoverflow.com/q/31481379", "31481379")</f>
        <v>31481379</v>
      </c>
      <c r="B2251" s="1" t="s">
        <v>7613</v>
      </c>
      <c r="C2251" s="1" t="s">
        <v>8239</v>
      </c>
      <c r="D2251" s="2" t="s">
        <v>8240</v>
      </c>
      <c r="E2251" s="1">
        <v>1.0</v>
      </c>
      <c r="I2251" s="1">
        <v>4.0</v>
      </c>
      <c r="J2251" s="1">
        <v>147.0</v>
      </c>
      <c r="L2251" s="1">
        <v>1282552.0</v>
      </c>
      <c r="N2251" s="1">
        <v>1282552.0</v>
      </c>
      <c r="P2251" s="1" t="s">
        <v>8241</v>
      </c>
      <c r="Q2251" s="1" t="s">
        <v>8242</v>
      </c>
      <c r="R2251" s="1" t="s">
        <v>8243</v>
      </c>
      <c r="S2251" s="1">
        <v>1.0</v>
      </c>
      <c r="T2251" s="1">
        <v>0.0</v>
      </c>
      <c r="U2251" s="1">
        <v>2.0</v>
      </c>
      <c r="X2251" s="1" t="s">
        <v>29</v>
      </c>
    </row>
    <row r="2252">
      <c r="A2252" s="3" t="str">
        <f>HYPERLINK("https://stackoverflow.com/q/31545374", "31545374")</f>
        <v>31545374</v>
      </c>
      <c r="B2252" s="1" t="s">
        <v>7613</v>
      </c>
      <c r="C2252" s="1" t="s">
        <v>8244</v>
      </c>
      <c r="D2252" s="2" t="s">
        <v>8245</v>
      </c>
      <c r="E2252" s="1">
        <v>1.0</v>
      </c>
      <c r="I2252" s="1">
        <v>3.0</v>
      </c>
      <c r="J2252" s="1">
        <v>2456.0</v>
      </c>
      <c r="L2252" s="1">
        <v>1964030.0</v>
      </c>
      <c r="Q2252" s="1" t="s">
        <v>8246</v>
      </c>
      <c r="R2252" s="1" t="s">
        <v>8247</v>
      </c>
      <c r="S2252" s="1">
        <v>1.0</v>
      </c>
      <c r="T2252" s="1">
        <v>0.0</v>
      </c>
      <c r="U2252" s="1">
        <v>1.0</v>
      </c>
      <c r="X2252" s="1" t="s">
        <v>29</v>
      </c>
    </row>
    <row r="2253">
      <c r="A2253" s="3" t="str">
        <f>HYPERLINK("https://stackoverflow.com/q/31593793", "31593793")</f>
        <v>31593793</v>
      </c>
      <c r="B2253" s="1" t="s">
        <v>7613</v>
      </c>
      <c r="C2253" s="1" t="s">
        <v>8248</v>
      </c>
      <c r="D2253" s="2" t="s">
        <v>8249</v>
      </c>
      <c r="E2253" s="1">
        <v>1.0</v>
      </c>
      <c r="I2253" s="1">
        <v>0.0</v>
      </c>
      <c r="J2253" s="1">
        <v>959.0</v>
      </c>
      <c r="L2253" s="1">
        <v>1186560.0</v>
      </c>
      <c r="Q2253" s="1" t="s">
        <v>8248</v>
      </c>
      <c r="R2253" s="1" t="s">
        <v>8250</v>
      </c>
      <c r="S2253" s="1">
        <v>0.0</v>
      </c>
      <c r="T2253" s="1">
        <v>2.0</v>
      </c>
      <c r="X2253" s="1" t="s">
        <v>29</v>
      </c>
    </row>
    <row r="2254">
      <c r="A2254" s="3" t="str">
        <f>HYPERLINK("https://stackoverflow.com/q/31980317", "31980317")</f>
        <v>31980317</v>
      </c>
      <c r="B2254" s="1" t="s">
        <v>7613</v>
      </c>
      <c r="C2254" s="1" t="s">
        <v>8251</v>
      </c>
      <c r="D2254" s="2" t="s">
        <v>8252</v>
      </c>
      <c r="E2254" s="1">
        <v>1.0</v>
      </c>
      <c r="I2254" s="1">
        <v>0.0</v>
      </c>
      <c r="J2254" s="1">
        <v>161.0</v>
      </c>
      <c r="L2254" s="1">
        <v>3133923.0</v>
      </c>
      <c r="N2254" s="1">
        <v>-1.0</v>
      </c>
      <c r="P2254" s="1" t="s">
        <v>8253</v>
      </c>
      <c r="Q2254" s="1" t="s">
        <v>8254</v>
      </c>
      <c r="R2254" s="1" t="s">
        <v>8255</v>
      </c>
      <c r="S2254" s="1">
        <v>1.0</v>
      </c>
      <c r="T2254" s="1">
        <v>1.0</v>
      </c>
      <c r="U2254" s="1">
        <v>1.0</v>
      </c>
      <c r="X2254" s="1" t="s">
        <v>29</v>
      </c>
    </row>
    <row r="2255">
      <c r="A2255" s="3" t="str">
        <f>HYPERLINK("https://stackoverflow.com/q/32247953", "32247953")</f>
        <v>32247953</v>
      </c>
      <c r="B2255" s="1" t="s">
        <v>7613</v>
      </c>
      <c r="C2255" s="1" t="s">
        <v>8256</v>
      </c>
      <c r="D2255" s="2" t="s">
        <v>8257</v>
      </c>
      <c r="E2255" s="1">
        <v>1.0</v>
      </c>
      <c r="I2255" s="1">
        <v>0.0</v>
      </c>
      <c r="J2255" s="1">
        <v>2439.0</v>
      </c>
      <c r="L2255" s="1">
        <v>4219397.0</v>
      </c>
      <c r="Q2255" s="1" t="s">
        <v>8258</v>
      </c>
      <c r="R2255" s="1" t="s">
        <v>8259</v>
      </c>
      <c r="S2255" s="1">
        <v>1.0</v>
      </c>
      <c r="T2255" s="1">
        <v>2.0</v>
      </c>
      <c r="X2255" s="1" t="s">
        <v>29</v>
      </c>
    </row>
    <row r="2256">
      <c r="A2256" s="3" t="str">
        <f>HYPERLINK("https://stackoverflow.com/q/32512054", "32512054")</f>
        <v>32512054</v>
      </c>
      <c r="B2256" s="1" t="s">
        <v>7613</v>
      </c>
      <c r="C2256" s="1" t="s">
        <v>8260</v>
      </c>
      <c r="D2256" s="2" t="s">
        <v>8261</v>
      </c>
      <c r="E2256" s="1">
        <v>1.0</v>
      </c>
      <c r="I2256" s="1">
        <v>0.0</v>
      </c>
      <c r="J2256" s="1">
        <v>600.0</v>
      </c>
      <c r="L2256" s="1">
        <v>5323061.0</v>
      </c>
      <c r="Q2256" s="1" t="s">
        <v>8262</v>
      </c>
      <c r="R2256" s="1" t="s">
        <v>8263</v>
      </c>
      <c r="S2256" s="1">
        <v>1.0</v>
      </c>
      <c r="T2256" s="1">
        <v>0.0</v>
      </c>
      <c r="X2256" s="1" t="s">
        <v>29</v>
      </c>
    </row>
    <row r="2257">
      <c r="A2257" s="3" t="str">
        <f>HYPERLINK("https://stackoverflow.com/q/32523590", "32523590")</f>
        <v>32523590</v>
      </c>
      <c r="B2257" s="1" t="s">
        <v>7613</v>
      </c>
      <c r="C2257" s="1" t="s">
        <v>8264</v>
      </c>
      <c r="D2257" s="2" t="s">
        <v>8265</v>
      </c>
      <c r="E2257" s="1">
        <v>1.0</v>
      </c>
      <c r="I2257" s="1">
        <v>0.0</v>
      </c>
      <c r="J2257" s="1">
        <v>605.0</v>
      </c>
      <c r="L2257" s="1">
        <v>5290937.0</v>
      </c>
      <c r="N2257" s="1">
        <v>5290909.0</v>
      </c>
      <c r="P2257" s="1" t="s">
        <v>8266</v>
      </c>
      <c r="Q2257" s="1" t="s">
        <v>8266</v>
      </c>
      <c r="R2257" s="1" t="s">
        <v>8267</v>
      </c>
      <c r="S2257" s="1">
        <v>1.0</v>
      </c>
      <c r="T2257" s="1">
        <v>1.0</v>
      </c>
      <c r="X2257" s="1" t="s">
        <v>29</v>
      </c>
    </row>
    <row r="2258">
      <c r="A2258" s="3" t="str">
        <f>HYPERLINK("https://stackoverflow.com/q/32706271", "32706271")</f>
        <v>32706271</v>
      </c>
      <c r="B2258" s="1" t="s">
        <v>7613</v>
      </c>
      <c r="C2258" s="1" t="s">
        <v>8268</v>
      </c>
      <c r="D2258" s="2" t="s">
        <v>8269</v>
      </c>
      <c r="E2258" s="1">
        <v>1.0</v>
      </c>
      <c r="I2258" s="1">
        <v>0.0</v>
      </c>
      <c r="J2258" s="1">
        <v>1275.0</v>
      </c>
      <c r="L2258" s="1">
        <v>5361279.0</v>
      </c>
      <c r="Q2258" s="1" t="s">
        <v>8270</v>
      </c>
      <c r="R2258" s="1" t="s">
        <v>8271</v>
      </c>
      <c r="S2258" s="1">
        <v>2.0</v>
      </c>
      <c r="T2258" s="1">
        <v>1.0</v>
      </c>
      <c r="X2258" s="1" t="s">
        <v>29</v>
      </c>
    </row>
    <row r="2259">
      <c r="A2259" s="3" t="str">
        <f>HYPERLINK("https://stackoverflow.com/q/32726040", "32726040")</f>
        <v>32726040</v>
      </c>
      <c r="B2259" s="1" t="s">
        <v>7613</v>
      </c>
      <c r="C2259" s="1" t="s">
        <v>8272</v>
      </c>
      <c r="D2259" s="2" t="s">
        <v>8273</v>
      </c>
      <c r="E2259" s="1">
        <v>1.0</v>
      </c>
      <c r="F2259" s="1">
        <v>3.2739169E7</v>
      </c>
      <c r="I2259" s="1">
        <v>0.0</v>
      </c>
      <c r="J2259" s="1">
        <v>47.0</v>
      </c>
      <c r="L2259" s="1">
        <v>5305576.0</v>
      </c>
      <c r="Q2259" s="1" t="s">
        <v>8274</v>
      </c>
      <c r="R2259" s="1" t="s">
        <v>8275</v>
      </c>
      <c r="S2259" s="1">
        <v>1.0</v>
      </c>
      <c r="T2259" s="1">
        <v>0.0</v>
      </c>
      <c r="X2259" s="1" t="s">
        <v>29</v>
      </c>
      <c r="Z2259" s="1" t="s">
        <v>8274</v>
      </c>
    </row>
    <row r="2260">
      <c r="A2260" s="3" t="str">
        <f>HYPERLINK("https://stackoverflow.com/q/32738016", "32738016")</f>
        <v>32738016</v>
      </c>
      <c r="B2260" s="1" t="s">
        <v>7613</v>
      </c>
      <c r="C2260" s="1" t="s">
        <v>8276</v>
      </c>
      <c r="D2260" s="2" t="s">
        <v>8277</v>
      </c>
      <c r="E2260" s="1">
        <v>1.0</v>
      </c>
      <c r="I2260" s="1">
        <v>0.0</v>
      </c>
      <c r="J2260" s="1">
        <v>126.0</v>
      </c>
      <c r="L2260" s="1">
        <v>5167944.0</v>
      </c>
      <c r="N2260" s="1">
        <v>3401555.0</v>
      </c>
      <c r="P2260" s="1" t="s">
        <v>8278</v>
      </c>
      <c r="Q2260" s="1" t="s">
        <v>8278</v>
      </c>
      <c r="R2260" s="1" t="s">
        <v>8218</v>
      </c>
      <c r="S2260" s="1">
        <v>0.0</v>
      </c>
      <c r="T2260" s="1">
        <v>3.0</v>
      </c>
      <c r="X2260" s="1" t="s">
        <v>29</v>
      </c>
    </row>
    <row r="2261">
      <c r="A2261" s="3" t="str">
        <f>HYPERLINK("https://stackoverflow.com/q/32837080", "32837080")</f>
        <v>32837080</v>
      </c>
      <c r="B2261" s="1" t="s">
        <v>7613</v>
      </c>
      <c r="C2261" s="1" t="s">
        <v>8279</v>
      </c>
      <c r="D2261" s="2" t="s">
        <v>8280</v>
      </c>
      <c r="E2261" s="1">
        <v>1.0</v>
      </c>
      <c r="I2261" s="1">
        <v>0.0</v>
      </c>
      <c r="J2261" s="1">
        <v>998.0</v>
      </c>
      <c r="L2261" s="1">
        <v>5167944.0</v>
      </c>
      <c r="N2261" s="1">
        <v>211627.0</v>
      </c>
      <c r="P2261" s="1" t="s">
        <v>8281</v>
      </c>
      <c r="Q2261" s="1" t="s">
        <v>8282</v>
      </c>
      <c r="R2261" s="1" t="s">
        <v>7661</v>
      </c>
      <c r="S2261" s="1">
        <v>1.0</v>
      </c>
      <c r="T2261" s="1">
        <v>0.0</v>
      </c>
      <c r="X2261" s="1" t="s">
        <v>29</v>
      </c>
    </row>
    <row r="2262">
      <c r="A2262" s="3" t="str">
        <f>HYPERLINK("https://stackoverflow.com/q/32863735", "32863735")</f>
        <v>32863735</v>
      </c>
      <c r="B2262" s="1" t="s">
        <v>7613</v>
      </c>
      <c r="C2262" s="1" t="s">
        <v>8283</v>
      </c>
      <c r="D2262" s="2" t="s">
        <v>8284</v>
      </c>
      <c r="E2262" s="1">
        <v>1.0</v>
      </c>
      <c r="I2262" s="1">
        <v>0.0</v>
      </c>
      <c r="J2262" s="1">
        <v>29.0</v>
      </c>
      <c r="L2262" s="1">
        <v>5167944.0</v>
      </c>
      <c r="Q2262" s="1" t="s">
        <v>8285</v>
      </c>
      <c r="R2262" s="1" t="s">
        <v>7661</v>
      </c>
      <c r="S2262" s="1">
        <v>1.0</v>
      </c>
      <c r="T2262" s="1">
        <v>0.0</v>
      </c>
      <c r="X2262" s="1" t="s">
        <v>29</v>
      </c>
    </row>
    <row r="2263">
      <c r="A2263" s="3" t="str">
        <f>HYPERLINK("https://stackoverflow.com/q/32971342", "32971342")</f>
        <v>32971342</v>
      </c>
      <c r="B2263" s="1" t="s">
        <v>7613</v>
      </c>
      <c r="C2263" s="1" t="s">
        <v>8286</v>
      </c>
      <c r="D2263" s="2" t="s">
        <v>8287</v>
      </c>
      <c r="E2263" s="1">
        <v>1.0</v>
      </c>
      <c r="F2263" s="1">
        <v>3.2974412E7</v>
      </c>
      <c r="I2263" s="1">
        <v>1.0</v>
      </c>
      <c r="J2263" s="1">
        <v>63.0</v>
      </c>
      <c r="L2263" s="1">
        <v>5305576.0</v>
      </c>
      <c r="Q2263" s="1" t="s">
        <v>8288</v>
      </c>
      <c r="R2263" s="1" t="s">
        <v>8289</v>
      </c>
      <c r="S2263" s="1">
        <v>1.0</v>
      </c>
      <c r="T2263" s="1">
        <v>0.0</v>
      </c>
      <c r="X2263" s="1" t="s">
        <v>29</v>
      </c>
      <c r="Z2263" s="1" t="s">
        <v>8288</v>
      </c>
    </row>
    <row r="2264">
      <c r="A2264" s="3" t="str">
        <f>HYPERLINK("https://stackoverflow.com/q/32987050", "32987050")</f>
        <v>32987050</v>
      </c>
      <c r="B2264" s="1" t="s">
        <v>7613</v>
      </c>
      <c r="C2264" s="1" t="s">
        <v>8290</v>
      </c>
      <c r="D2264" s="2" t="s">
        <v>8291</v>
      </c>
      <c r="E2264" s="1">
        <v>1.0</v>
      </c>
      <c r="I2264" s="1">
        <v>1.0</v>
      </c>
      <c r="J2264" s="1">
        <v>107.0</v>
      </c>
      <c r="L2264" s="1">
        <v>2605690.0</v>
      </c>
      <c r="N2264" s="1">
        <v>1752114.0</v>
      </c>
      <c r="P2264" s="1" t="s">
        <v>8292</v>
      </c>
      <c r="Q2264" s="1" t="s">
        <v>8292</v>
      </c>
      <c r="R2264" s="1" t="s">
        <v>8293</v>
      </c>
      <c r="S2264" s="1">
        <v>0.0</v>
      </c>
      <c r="T2264" s="1">
        <v>0.0</v>
      </c>
      <c r="X2264" s="1" t="s">
        <v>29</v>
      </c>
    </row>
    <row r="2265">
      <c r="A2265" s="3" t="str">
        <f>HYPERLINK("https://stackoverflow.com/q/33282820", "33282820")</f>
        <v>33282820</v>
      </c>
      <c r="B2265" s="1" t="s">
        <v>7613</v>
      </c>
      <c r="C2265" s="1" t="s">
        <v>8294</v>
      </c>
      <c r="D2265" s="2" t="s">
        <v>8295</v>
      </c>
      <c r="E2265" s="1">
        <v>1.0</v>
      </c>
      <c r="I2265" s="1">
        <v>2.0</v>
      </c>
      <c r="J2265" s="1">
        <v>357.0</v>
      </c>
      <c r="L2265" s="1">
        <v>1145792.0</v>
      </c>
      <c r="Q2265" s="1" t="s">
        <v>8294</v>
      </c>
      <c r="R2265" s="1" t="s">
        <v>8296</v>
      </c>
      <c r="S2265" s="1">
        <v>0.0</v>
      </c>
      <c r="T2265" s="1">
        <v>4.0</v>
      </c>
      <c r="U2265" s="1">
        <v>1.0</v>
      </c>
      <c r="X2265" s="1" t="s">
        <v>29</v>
      </c>
    </row>
    <row r="2266">
      <c r="A2266" s="3" t="str">
        <f>HYPERLINK("https://stackoverflow.com/q/33616877", "33616877")</f>
        <v>33616877</v>
      </c>
      <c r="B2266" s="1" t="s">
        <v>7613</v>
      </c>
      <c r="C2266" s="1" t="s">
        <v>8297</v>
      </c>
      <c r="D2266" s="2" t="s">
        <v>8298</v>
      </c>
      <c r="E2266" s="1">
        <v>1.0</v>
      </c>
      <c r="I2266" s="1">
        <v>1.0</v>
      </c>
      <c r="J2266" s="1">
        <v>676.0</v>
      </c>
      <c r="L2266" s="1">
        <v>3179537.0</v>
      </c>
      <c r="Q2266" s="1" t="s">
        <v>8299</v>
      </c>
      <c r="R2266" s="1" t="s">
        <v>8300</v>
      </c>
      <c r="S2266" s="1">
        <v>1.0</v>
      </c>
      <c r="T2266" s="1">
        <v>0.0</v>
      </c>
      <c r="X2266" s="1" t="s">
        <v>29</v>
      </c>
    </row>
    <row r="2267">
      <c r="A2267" s="3" t="str">
        <f>HYPERLINK("https://stackoverflow.com/q/33879085", "33879085")</f>
        <v>33879085</v>
      </c>
      <c r="B2267" s="1" t="s">
        <v>7613</v>
      </c>
      <c r="C2267" s="1" t="s">
        <v>8301</v>
      </c>
      <c r="D2267" s="2" t="s">
        <v>8302</v>
      </c>
      <c r="E2267" s="1">
        <v>1.0</v>
      </c>
      <c r="F2267" s="1">
        <v>3.3897961E7</v>
      </c>
      <c r="I2267" s="1">
        <v>1.0</v>
      </c>
      <c r="J2267" s="1">
        <v>714.0</v>
      </c>
      <c r="L2267" s="1">
        <v>3031069.0</v>
      </c>
      <c r="Q2267" s="1" t="s">
        <v>8303</v>
      </c>
      <c r="R2267" s="1" t="s">
        <v>8304</v>
      </c>
      <c r="S2267" s="1">
        <v>1.0</v>
      </c>
      <c r="T2267" s="1">
        <v>0.0</v>
      </c>
      <c r="U2267" s="1">
        <v>1.0</v>
      </c>
      <c r="X2267" s="1" t="s">
        <v>29</v>
      </c>
      <c r="Z2267" s="1" t="s">
        <v>8303</v>
      </c>
    </row>
    <row r="2268">
      <c r="A2268" s="3" t="str">
        <f>HYPERLINK("https://stackoverflow.com/q/33952130", "33952130")</f>
        <v>33952130</v>
      </c>
      <c r="B2268" s="1" t="s">
        <v>7613</v>
      </c>
      <c r="C2268" s="1" t="s">
        <v>8305</v>
      </c>
      <c r="D2268" s="2" t="s">
        <v>8306</v>
      </c>
      <c r="E2268" s="1">
        <v>1.0</v>
      </c>
      <c r="F2268" s="1">
        <v>3.426632E7</v>
      </c>
      <c r="I2268" s="1">
        <v>0.0</v>
      </c>
      <c r="J2268" s="1">
        <v>115.0</v>
      </c>
      <c r="L2268" s="1">
        <v>1394359.0</v>
      </c>
      <c r="Q2268" s="1" t="s">
        <v>8307</v>
      </c>
      <c r="R2268" s="1" t="s">
        <v>8308</v>
      </c>
      <c r="S2268" s="1">
        <v>1.0</v>
      </c>
      <c r="T2268" s="1">
        <v>0.0</v>
      </c>
      <c r="X2268" s="1" t="s">
        <v>29</v>
      </c>
      <c r="Z2268" s="1" t="s">
        <v>8307</v>
      </c>
    </row>
    <row r="2269">
      <c r="A2269" s="3" t="str">
        <f>HYPERLINK("https://stackoverflow.com/q/34179466", "34179466")</f>
        <v>34179466</v>
      </c>
      <c r="B2269" s="1" t="s">
        <v>7613</v>
      </c>
      <c r="C2269" s="1" t="s">
        <v>8309</v>
      </c>
      <c r="D2269" s="2" t="s">
        <v>8310</v>
      </c>
      <c r="E2269" s="1">
        <v>1.0</v>
      </c>
      <c r="I2269" s="1">
        <v>1.0</v>
      </c>
      <c r="J2269" s="1">
        <v>8061.0</v>
      </c>
      <c r="L2269" s="1">
        <v>5657868.0</v>
      </c>
      <c r="N2269" s="1">
        <v>1202025.0</v>
      </c>
      <c r="P2269" s="1" t="s">
        <v>8311</v>
      </c>
      <c r="Q2269" s="1" t="s">
        <v>8312</v>
      </c>
      <c r="R2269" s="1" t="s">
        <v>8313</v>
      </c>
      <c r="S2269" s="1">
        <v>2.0</v>
      </c>
      <c r="T2269" s="1">
        <v>0.0</v>
      </c>
      <c r="X2269" s="1" t="s">
        <v>29</v>
      </c>
    </row>
    <row r="2270">
      <c r="A2270" s="3" t="str">
        <f>HYPERLINK("https://stackoverflow.com/q/34305838", "34305838")</f>
        <v>34305838</v>
      </c>
      <c r="B2270" s="1" t="s">
        <v>7613</v>
      </c>
      <c r="C2270" s="1" t="s">
        <v>8314</v>
      </c>
      <c r="D2270" s="2" t="s">
        <v>8315</v>
      </c>
      <c r="E2270" s="1">
        <v>1.0</v>
      </c>
      <c r="I2270" s="1">
        <v>0.0</v>
      </c>
      <c r="J2270" s="1">
        <v>404.0</v>
      </c>
      <c r="L2270" s="1">
        <v>5685267.0</v>
      </c>
      <c r="Q2270" s="1" t="s">
        <v>8316</v>
      </c>
      <c r="R2270" s="1" t="s">
        <v>8317</v>
      </c>
      <c r="S2270" s="1">
        <v>1.0</v>
      </c>
      <c r="T2270" s="1">
        <v>0.0</v>
      </c>
      <c r="X2270" s="1" t="s">
        <v>29</v>
      </c>
    </row>
    <row r="2271">
      <c r="A2271" s="3" t="str">
        <f>HYPERLINK("https://stackoverflow.com/q/34445962", "34445962")</f>
        <v>34445962</v>
      </c>
      <c r="B2271" s="1" t="s">
        <v>7613</v>
      </c>
      <c r="C2271" s="1" t="s">
        <v>8318</v>
      </c>
      <c r="D2271" s="2" t="s">
        <v>8319</v>
      </c>
      <c r="E2271" s="1">
        <v>1.0</v>
      </c>
      <c r="I2271" s="1">
        <v>2.0</v>
      </c>
      <c r="J2271" s="1">
        <v>659.0</v>
      </c>
      <c r="L2271" s="1">
        <v>75944.0</v>
      </c>
      <c r="N2271" s="1">
        <v>77409.0</v>
      </c>
      <c r="P2271" s="1" t="s">
        <v>8320</v>
      </c>
      <c r="Q2271" s="1" t="s">
        <v>8320</v>
      </c>
      <c r="R2271" s="1" t="s">
        <v>8321</v>
      </c>
      <c r="S2271" s="1">
        <v>1.0</v>
      </c>
      <c r="T2271" s="1">
        <v>0.0</v>
      </c>
      <c r="X2271" s="1" t="s">
        <v>29</v>
      </c>
    </row>
    <row r="2272">
      <c r="A2272" s="3" t="str">
        <f>HYPERLINK("https://stackoverflow.com/q/34545785", "34545785")</f>
        <v>34545785</v>
      </c>
      <c r="B2272" s="1" t="s">
        <v>7613</v>
      </c>
      <c r="C2272" s="1" t="s">
        <v>8322</v>
      </c>
      <c r="D2272" s="2" t="s">
        <v>8323</v>
      </c>
      <c r="E2272" s="1">
        <v>1.0</v>
      </c>
      <c r="I2272" s="1">
        <v>1.0</v>
      </c>
      <c r="J2272" s="1">
        <v>484.0</v>
      </c>
      <c r="L2272" s="1">
        <v>5733818.0</v>
      </c>
      <c r="Q2272" s="1" t="s">
        <v>8322</v>
      </c>
      <c r="R2272" s="1" t="s">
        <v>8324</v>
      </c>
      <c r="S2272" s="1">
        <v>0.0</v>
      </c>
      <c r="T2272" s="1">
        <v>0.0</v>
      </c>
      <c r="X2272" s="1" t="s">
        <v>29</v>
      </c>
    </row>
    <row r="2273">
      <c r="A2273" s="3" t="str">
        <f>HYPERLINK("https://stackoverflow.com/q/34679862", "34679862")</f>
        <v>34679862</v>
      </c>
      <c r="B2273" s="1" t="s">
        <v>7613</v>
      </c>
      <c r="C2273" s="1" t="s">
        <v>8325</v>
      </c>
      <c r="D2273" s="2" t="s">
        <v>8326</v>
      </c>
      <c r="E2273" s="1">
        <v>1.0</v>
      </c>
      <c r="F2273" s="1">
        <v>3.4691418E7</v>
      </c>
      <c r="I2273" s="1">
        <v>0.0</v>
      </c>
      <c r="J2273" s="1">
        <v>301.0</v>
      </c>
      <c r="L2273" s="1">
        <v>5527959.0</v>
      </c>
      <c r="N2273" s="1">
        <v>2382792.0</v>
      </c>
      <c r="P2273" s="1" t="s">
        <v>8327</v>
      </c>
      <c r="Q2273" s="1" t="s">
        <v>8328</v>
      </c>
      <c r="R2273" s="1" t="s">
        <v>7749</v>
      </c>
      <c r="S2273" s="1">
        <v>2.0</v>
      </c>
      <c r="T2273" s="1">
        <v>0.0</v>
      </c>
      <c r="X2273" s="1" t="s">
        <v>29</v>
      </c>
      <c r="Z2273" s="1" t="s">
        <v>8329</v>
      </c>
    </row>
    <row r="2274">
      <c r="A2274" s="3" t="str">
        <f>HYPERLINK("https://stackoverflow.com/q/34819005", "34819005")</f>
        <v>34819005</v>
      </c>
      <c r="B2274" s="1" t="s">
        <v>7613</v>
      </c>
      <c r="C2274" s="1" t="s">
        <v>8330</v>
      </c>
      <c r="D2274" s="2" t="s">
        <v>8331</v>
      </c>
      <c r="E2274" s="1">
        <v>1.0</v>
      </c>
      <c r="I2274" s="1">
        <v>0.0</v>
      </c>
      <c r="J2274" s="1">
        <v>132.0</v>
      </c>
      <c r="L2274" s="1">
        <v>5759854.0</v>
      </c>
      <c r="Q2274" s="1" t="s">
        <v>8332</v>
      </c>
      <c r="R2274" s="1" t="s">
        <v>8333</v>
      </c>
      <c r="S2274" s="1">
        <v>1.0</v>
      </c>
      <c r="T2274" s="1">
        <v>0.0</v>
      </c>
      <c r="U2274" s="1">
        <v>1.0</v>
      </c>
      <c r="X2274" s="1" t="s">
        <v>29</v>
      </c>
    </row>
    <row r="2275">
      <c r="A2275" s="3" t="str">
        <f>HYPERLINK("https://stackoverflow.com/q/34881746", "34881746")</f>
        <v>34881746</v>
      </c>
      <c r="B2275" s="1" t="s">
        <v>7613</v>
      </c>
      <c r="C2275" s="1" t="s">
        <v>8334</v>
      </c>
      <c r="D2275" s="2" t="s">
        <v>8335</v>
      </c>
      <c r="E2275" s="1">
        <v>1.0</v>
      </c>
      <c r="I2275" s="1">
        <v>0.0</v>
      </c>
      <c r="J2275" s="1">
        <v>21.0</v>
      </c>
      <c r="L2275" s="1">
        <v>1151131.0</v>
      </c>
      <c r="Q2275" s="1" t="s">
        <v>8334</v>
      </c>
      <c r="R2275" s="1" t="s">
        <v>8336</v>
      </c>
      <c r="S2275" s="1">
        <v>0.0</v>
      </c>
      <c r="T2275" s="1">
        <v>2.0</v>
      </c>
      <c r="X2275" s="1" t="s">
        <v>29</v>
      </c>
    </row>
    <row r="2276">
      <c r="A2276" s="3" t="str">
        <f>HYPERLINK("https://stackoverflow.com/q/34916160", "34916160")</f>
        <v>34916160</v>
      </c>
      <c r="B2276" s="1" t="s">
        <v>7613</v>
      </c>
      <c r="C2276" s="1" t="s">
        <v>8337</v>
      </c>
      <c r="D2276" s="2" t="s">
        <v>8338</v>
      </c>
      <c r="E2276" s="1">
        <v>1.0</v>
      </c>
      <c r="I2276" s="1">
        <v>0.0</v>
      </c>
      <c r="J2276" s="1">
        <v>84.0</v>
      </c>
      <c r="L2276" s="1">
        <v>5134048.0</v>
      </c>
      <c r="Q2276" s="1" t="s">
        <v>8337</v>
      </c>
      <c r="R2276" s="1" t="s">
        <v>8339</v>
      </c>
      <c r="S2276" s="1">
        <v>0.0</v>
      </c>
      <c r="T2276" s="1">
        <v>5.0</v>
      </c>
      <c r="X2276" s="1" t="s">
        <v>29</v>
      </c>
    </row>
    <row r="2277">
      <c r="A2277" s="3" t="str">
        <f>HYPERLINK("https://stackoverflow.com/q/34920892", "34920892")</f>
        <v>34920892</v>
      </c>
      <c r="B2277" s="1" t="s">
        <v>7613</v>
      </c>
      <c r="C2277" s="1" t="s">
        <v>8340</v>
      </c>
      <c r="D2277" s="2" t="s">
        <v>8341</v>
      </c>
      <c r="E2277" s="1">
        <v>1.0</v>
      </c>
      <c r="F2277" s="1">
        <v>3.5080556E7</v>
      </c>
      <c r="I2277" s="1">
        <v>0.0</v>
      </c>
      <c r="J2277" s="1">
        <v>19.0</v>
      </c>
      <c r="L2277" s="1">
        <v>5134048.0</v>
      </c>
      <c r="Q2277" s="1" t="s">
        <v>8342</v>
      </c>
      <c r="R2277" s="1" t="s">
        <v>7925</v>
      </c>
      <c r="S2277" s="1">
        <v>1.0</v>
      </c>
      <c r="T2277" s="1">
        <v>0.0</v>
      </c>
      <c r="X2277" s="1" t="s">
        <v>29</v>
      </c>
      <c r="Z2277" s="1" t="s">
        <v>8342</v>
      </c>
    </row>
    <row r="2278">
      <c r="A2278" s="3" t="str">
        <f>HYPERLINK("https://stackoverflow.com/q/35117639", "35117639")</f>
        <v>35117639</v>
      </c>
      <c r="B2278" s="1" t="s">
        <v>7613</v>
      </c>
      <c r="C2278" s="1" t="s">
        <v>8343</v>
      </c>
      <c r="D2278" s="2" t="s">
        <v>8344</v>
      </c>
      <c r="E2278" s="1">
        <v>1.0</v>
      </c>
      <c r="F2278" s="1">
        <v>3.5134609E7</v>
      </c>
      <c r="I2278" s="1">
        <v>0.0</v>
      </c>
      <c r="J2278" s="1">
        <v>557.0</v>
      </c>
      <c r="L2278" s="1">
        <v>5247891.0</v>
      </c>
      <c r="Q2278" s="1" t="s">
        <v>8345</v>
      </c>
      <c r="R2278" s="1" t="s">
        <v>8346</v>
      </c>
      <c r="S2278" s="1">
        <v>1.0</v>
      </c>
      <c r="T2278" s="1">
        <v>0.0</v>
      </c>
      <c r="X2278" s="1" t="s">
        <v>29</v>
      </c>
      <c r="Z2278" s="1" t="s">
        <v>8345</v>
      </c>
    </row>
    <row r="2279">
      <c r="A2279" s="3" t="str">
        <f>HYPERLINK("https://stackoverflow.com/q/35250844", "35250844")</f>
        <v>35250844</v>
      </c>
      <c r="B2279" s="1" t="s">
        <v>7613</v>
      </c>
      <c r="C2279" s="1" t="s">
        <v>8347</v>
      </c>
      <c r="D2279" s="2" t="s">
        <v>8348</v>
      </c>
      <c r="E2279" s="1">
        <v>1.0</v>
      </c>
      <c r="I2279" s="1">
        <v>1.0</v>
      </c>
      <c r="J2279" s="1">
        <v>564.0</v>
      </c>
      <c r="L2279" s="1">
        <v>5894263.0</v>
      </c>
      <c r="N2279" s="1">
        <v>472495.0</v>
      </c>
      <c r="P2279" s="1" t="s">
        <v>8349</v>
      </c>
      <c r="Q2279" s="1" t="s">
        <v>8349</v>
      </c>
      <c r="R2279" s="1" t="s">
        <v>8267</v>
      </c>
      <c r="S2279" s="1">
        <v>0.0</v>
      </c>
      <c r="T2279" s="1">
        <v>1.0</v>
      </c>
      <c r="X2279" s="1" t="s">
        <v>29</v>
      </c>
    </row>
    <row r="2280">
      <c r="A2280" s="3" t="str">
        <f>HYPERLINK("https://stackoverflow.com/q/35302025", "35302025")</f>
        <v>35302025</v>
      </c>
      <c r="B2280" s="1" t="s">
        <v>7613</v>
      </c>
      <c r="C2280" s="1" t="s">
        <v>8350</v>
      </c>
      <c r="D2280" s="2" t="s">
        <v>8351</v>
      </c>
      <c r="E2280" s="1">
        <v>1.0</v>
      </c>
      <c r="I2280" s="1">
        <v>0.0</v>
      </c>
      <c r="J2280" s="1">
        <v>1012.0</v>
      </c>
      <c r="L2280" s="1">
        <v>2942295.0</v>
      </c>
      <c r="Q2280" s="1" t="s">
        <v>8352</v>
      </c>
      <c r="R2280" s="1" t="s">
        <v>8353</v>
      </c>
      <c r="S2280" s="1">
        <v>1.0</v>
      </c>
      <c r="T2280" s="1">
        <v>0.0</v>
      </c>
      <c r="X2280" s="1" t="s">
        <v>29</v>
      </c>
    </row>
    <row r="2281">
      <c r="A2281" s="3" t="str">
        <f>HYPERLINK("https://stackoverflow.com/q/35578153", "35578153")</f>
        <v>35578153</v>
      </c>
      <c r="B2281" s="1" t="s">
        <v>7613</v>
      </c>
      <c r="C2281" s="1" t="s">
        <v>8354</v>
      </c>
      <c r="D2281" s="2" t="s">
        <v>8355</v>
      </c>
      <c r="E2281" s="1">
        <v>1.0</v>
      </c>
      <c r="F2281" s="1">
        <v>3.558143E7</v>
      </c>
      <c r="I2281" s="1">
        <v>0.0</v>
      </c>
      <c r="J2281" s="1">
        <v>440.0</v>
      </c>
      <c r="L2281" s="1">
        <v>5290937.0</v>
      </c>
      <c r="N2281" s="1">
        <v>3266847.0</v>
      </c>
      <c r="P2281" s="1" t="s">
        <v>8356</v>
      </c>
      <c r="Q2281" s="1" t="s">
        <v>8357</v>
      </c>
      <c r="R2281" s="1" t="s">
        <v>8358</v>
      </c>
      <c r="S2281" s="1">
        <v>1.0</v>
      </c>
      <c r="T2281" s="1">
        <v>0.0</v>
      </c>
      <c r="X2281" s="1" t="s">
        <v>29</v>
      </c>
      <c r="Z2281" s="1" t="s">
        <v>8359</v>
      </c>
    </row>
    <row r="2282">
      <c r="A2282" s="3" t="str">
        <f>HYPERLINK("https://stackoverflow.com/q/35645102", "35645102")</f>
        <v>35645102</v>
      </c>
      <c r="B2282" s="1" t="s">
        <v>7613</v>
      </c>
      <c r="C2282" s="1" t="s">
        <v>8360</v>
      </c>
      <c r="D2282" s="2" t="s">
        <v>8361</v>
      </c>
      <c r="E2282" s="1">
        <v>1.0</v>
      </c>
      <c r="I2282" s="1">
        <v>0.0</v>
      </c>
      <c r="J2282" s="1">
        <v>1099.0</v>
      </c>
      <c r="L2282" s="1">
        <v>5290937.0</v>
      </c>
      <c r="Q2282" s="1" t="s">
        <v>8362</v>
      </c>
      <c r="R2282" s="1" t="s">
        <v>8267</v>
      </c>
      <c r="S2282" s="1">
        <v>1.0</v>
      </c>
      <c r="T2282" s="1">
        <v>0.0</v>
      </c>
      <c r="X2282" s="1" t="s">
        <v>29</v>
      </c>
    </row>
    <row r="2283">
      <c r="A2283" s="3" t="str">
        <f>HYPERLINK("https://stackoverflow.com/q/35677362", "35677362")</f>
        <v>35677362</v>
      </c>
      <c r="B2283" s="1" t="s">
        <v>7613</v>
      </c>
      <c r="C2283" s="1" t="s">
        <v>8363</v>
      </c>
      <c r="D2283" s="2" t="s">
        <v>8364</v>
      </c>
      <c r="E2283" s="1">
        <v>1.0</v>
      </c>
      <c r="I2283" s="1">
        <v>0.0</v>
      </c>
      <c r="J2283" s="1">
        <v>608.0</v>
      </c>
      <c r="L2283" s="1">
        <v>5183645.0</v>
      </c>
      <c r="Q2283" s="1" t="s">
        <v>8363</v>
      </c>
      <c r="R2283" s="1" t="s">
        <v>7688</v>
      </c>
      <c r="S2283" s="1">
        <v>0.0</v>
      </c>
      <c r="T2283" s="1">
        <v>2.0</v>
      </c>
      <c r="U2283" s="1">
        <v>1.0</v>
      </c>
      <c r="X2283" s="1" t="s">
        <v>29</v>
      </c>
    </row>
    <row r="2284">
      <c r="A2284" s="3" t="str">
        <f>HYPERLINK("https://stackoverflow.com/q/35764295", "35764295")</f>
        <v>35764295</v>
      </c>
      <c r="B2284" s="1" t="s">
        <v>7613</v>
      </c>
      <c r="C2284" s="1" t="s">
        <v>8365</v>
      </c>
      <c r="D2284" s="2" t="s">
        <v>8366</v>
      </c>
      <c r="E2284" s="1">
        <v>1.0</v>
      </c>
      <c r="I2284" s="1">
        <v>0.0</v>
      </c>
      <c r="J2284" s="1">
        <v>300.0</v>
      </c>
      <c r="L2284" s="1">
        <v>6011464.0</v>
      </c>
      <c r="Q2284" s="1" t="s">
        <v>8367</v>
      </c>
      <c r="R2284" s="1" t="s">
        <v>7688</v>
      </c>
      <c r="S2284" s="1">
        <v>1.0</v>
      </c>
      <c r="T2284" s="1">
        <v>0.0</v>
      </c>
      <c r="X2284" s="1" t="s">
        <v>29</v>
      </c>
    </row>
    <row r="2285">
      <c r="A2285" s="3" t="str">
        <f>HYPERLINK("https://stackoverflow.com/q/35837025", "35837025")</f>
        <v>35837025</v>
      </c>
      <c r="B2285" s="1" t="s">
        <v>7613</v>
      </c>
      <c r="C2285" s="1" t="s">
        <v>8368</v>
      </c>
      <c r="D2285" s="2" t="s">
        <v>8369</v>
      </c>
      <c r="E2285" s="1">
        <v>1.0</v>
      </c>
      <c r="F2285" s="1">
        <v>3.5900101E7</v>
      </c>
      <c r="I2285" s="1">
        <v>0.0</v>
      </c>
      <c r="J2285" s="1">
        <v>1103.0</v>
      </c>
      <c r="L2285" s="1">
        <v>5290937.0</v>
      </c>
      <c r="Q2285" s="1" t="s">
        <v>8370</v>
      </c>
      <c r="R2285" s="1" t="s">
        <v>8267</v>
      </c>
      <c r="S2285" s="1">
        <v>1.0</v>
      </c>
      <c r="T2285" s="1">
        <v>0.0</v>
      </c>
      <c r="X2285" s="1" t="s">
        <v>29</v>
      </c>
      <c r="Z2285" s="1" t="s">
        <v>8370</v>
      </c>
    </row>
    <row r="2286">
      <c r="A2286" s="3" t="str">
        <f>HYPERLINK("https://stackoverflow.com/q/35974311", "35974311")</f>
        <v>35974311</v>
      </c>
      <c r="B2286" s="1" t="s">
        <v>7613</v>
      </c>
      <c r="C2286" s="1" t="s">
        <v>8371</v>
      </c>
      <c r="D2286" s="2" t="s">
        <v>8372</v>
      </c>
      <c r="E2286" s="1">
        <v>1.0</v>
      </c>
      <c r="I2286" s="1">
        <v>0.0</v>
      </c>
      <c r="J2286" s="1">
        <v>388.0</v>
      </c>
      <c r="L2286" s="1">
        <v>3763577.0</v>
      </c>
      <c r="Q2286" s="1" t="s">
        <v>8373</v>
      </c>
      <c r="R2286" s="1" t="s">
        <v>8374</v>
      </c>
      <c r="S2286" s="1">
        <v>2.0</v>
      </c>
      <c r="T2286" s="1">
        <v>0.0</v>
      </c>
      <c r="X2286" s="1" t="s">
        <v>29</v>
      </c>
    </row>
    <row r="2287">
      <c r="A2287" s="3" t="str">
        <f>HYPERLINK("https://stackoverflow.com/q/36070513", "36070513")</f>
        <v>36070513</v>
      </c>
      <c r="B2287" s="1" t="s">
        <v>7613</v>
      </c>
      <c r="C2287" s="1" t="s">
        <v>8375</v>
      </c>
      <c r="D2287" s="2" t="s">
        <v>8376</v>
      </c>
      <c r="E2287" s="1">
        <v>1.0</v>
      </c>
      <c r="I2287" s="1">
        <v>0.0</v>
      </c>
      <c r="J2287" s="1">
        <v>260.0</v>
      </c>
      <c r="L2287" s="1">
        <v>2250263.0</v>
      </c>
      <c r="Q2287" s="1" t="s">
        <v>8377</v>
      </c>
      <c r="R2287" s="1" t="s">
        <v>7749</v>
      </c>
      <c r="S2287" s="1">
        <v>1.0</v>
      </c>
      <c r="T2287" s="1">
        <v>0.0</v>
      </c>
      <c r="X2287" s="1" t="s">
        <v>29</v>
      </c>
    </row>
    <row r="2288">
      <c r="A2288" s="3" t="str">
        <f>HYPERLINK("https://stackoverflow.com/q/36089525", "36089525")</f>
        <v>36089525</v>
      </c>
      <c r="B2288" s="1" t="s">
        <v>7613</v>
      </c>
      <c r="C2288" s="1" t="s">
        <v>8378</v>
      </c>
      <c r="D2288" s="2" t="s">
        <v>8379</v>
      </c>
      <c r="E2288" s="1">
        <v>1.0</v>
      </c>
      <c r="I2288" s="1">
        <v>0.0</v>
      </c>
      <c r="J2288" s="1">
        <v>950.0</v>
      </c>
      <c r="L2288" s="1">
        <v>5050535.0</v>
      </c>
      <c r="Q2288" s="1" t="s">
        <v>8380</v>
      </c>
      <c r="R2288" s="1" t="s">
        <v>8381</v>
      </c>
      <c r="S2288" s="1">
        <v>1.0</v>
      </c>
      <c r="T2288" s="1">
        <v>0.0</v>
      </c>
      <c r="X2288" s="1" t="s">
        <v>29</v>
      </c>
    </row>
    <row r="2289">
      <c r="A2289" s="3" t="str">
        <f>HYPERLINK("https://stackoverflow.com/q/36257435", "36257435")</f>
        <v>36257435</v>
      </c>
      <c r="B2289" s="1" t="s">
        <v>7613</v>
      </c>
      <c r="C2289" s="1" t="s">
        <v>8382</v>
      </c>
      <c r="D2289" s="2" t="s">
        <v>8383</v>
      </c>
      <c r="E2289" s="1">
        <v>1.0</v>
      </c>
      <c r="F2289" s="1">
        <v>3.67683E7</v>
      </c>
      <c r="I2289" s="1">
        <v>1.0</v>
      </c>
      <c r="J2289" s="1">
        <v>85.0</v>
      </c>
      <c r="L2289" s="1">
        <v>6123024.0</v>
      </c>
      <c r="N2289" s="1">
        <v>6123024.0</v>
      </c>
      <c r="P2289" s="1" t="s">
        <v>8384</v>
      </c>
      <c r="Q2289" s="1" t="s">
        <v>8385</v>
      </c>
      <c r="R2289" s="1" t="s">
        <v>8386</v>
      </c>
      <c r="S2289" s="1">
        <v>1.0</v>
      </c>
      <c r="T2289" s="1">
        <v>0.0</v>
      </c>
      <c r="X2289" s="1" t="s">
        <v>29</v>
      </c>
      <c r="Z2289" s="1" t="s">
        <v>8385</v>
      </c>
    </row>
    <row r="2290">
      <c r="A2290" s="3" t="str">
        <f>HYPERLINK("https://stackoverflow.com/q/36287339", "36287339")</f>
        <v>36287339</v>
      </c>
      <c r="B2290" s="1" t="s">
        <v>7613</v>
      </c>
      <c r="C2290" s="1" t="s">
        <v>8387</v>
      </c>
      <c r="D2290" s="2" t="s">
        <v>8388</v>
      </c>
      <c r="E2290" s="1">
        <v>1.0</v>
      </c>
      <c r="I2290" s="1">
        <v>0.0</v>
      </c>
      <c r="J2290" s="1">
        <v>393.0</v>
      </c>
      <c r="L2290" s="1">
        <v>6129842.0</v>
      </c>
      <c r="Q2290" s="1" t="s">
        <v>8389</v>
      </c>
      <c r="R2290" s="1" t="s">
        <v>8390</v>
      </c>
      <c r="S2290" s="1">
        <v>1.0</v>
      </c>
      <c r="T2290" s="1">
        <v>0.0</v>
      </c>
      <c r="X2290" s="1" t="s">
        <v>29</v>
      </c>
    </row>
    <row r="2291">
      <c r="A2291" s="3" t="str">
        <f>HYPERLINK("https://stackoverflow.com/q/36610727", "36610727")</f>
        <v>36610727</v>
      </c>
      <c r="B2291" s="1" t="s">
        <v>7613</v>
      </c>
      <c r="C2291" s="1" t="s">
        <v>8391</v>
      </c>
      <c r="D2291" s="2" t="s">
        <v>8392</v>
      </c>
      <c r="E2291" s="1">
        <v>1.0</v>
      </c>
      <c r="I2291" s="1">
        <v>1.0</v>
      </c>
      <c r="J2291" s="1">
        <v>943.0</v>
      </c>
      <c r="L2291" s="1">
        <v>4005309.0</v>
      </c>
      <c r="Q2291" s="1" t="s">
        <v>8393</v>
      </c>
      <c r="R2291" s="1" t="s">
        <v>8394</v>
      </c>
      <c r="S2291" s="1">
        <v>0.0</v>
      </c>
      <c r="T2291" s="1">
        <v>2.0</v>
      </c>
      <c r="X2291" s="1" t="s">
        <v>29</v>
      </c>
    </row>
    <row r="2292">
      <c r="A2292" s="3" t="str">
        <f>HYPERLINK("https://stackoverflow.com/q/36643655", "36643655")</f>
        <v>36643655</v>
      </c>
      <c r="B2292" s="1" t="s">
        <v>7613</v>
      </c>
      <c r="C2292" s="1" t="s">
        <v>8395</v>
      </c>
      <c r="D2292" s="2" t="s">
        <v>8396</v>
      </c>
      <c r="E2292" s="1">
        <v>1.0</v>
      </c>
      <c r="I2292" s="1">
        <v>1.0</v>
      </c>
      <c r="J2292" s="1">
        <v>106.0</v>
      </c>
      <c r="L2292" s="1">
        <v>6204313.0</v>
      </c>
      <c r="Q2292" s="1" t="s">
        <v>8397</v>
      </c>
      <c r="R2292" s="1" t="s">
        <v>8398</v>
      </c>
      <c r="S2292" s="1">
        <v>1.0</v>
      </c>
      <c r="T2292" s="1">
        <v>0.0</v>
      </c>
      <c r="X2292" s="1" t="s">
        <v>29</v>
      </c>
    </row>
    <row r="2293">
      <c r="A2293" s="3" t="str">
        <f>HYPERLINK("https://stackoverflow.com/q/36751056", "36751056")</f>
        <v>36751056</v>
      </c>
      <c r="B2293" s="1" t="s">
        <v>7613</v>
      </c>
      <c r="C2293" s="1" t="s">
        <v>8399</v>
      </c>
      <c r="D2293" s="2" t="s">
        <v>8400</v>
      </c>
      <c r="E2293" s="1">
        <v>1.0</v>
      </c>
      <c r="I2293" s="1">
        <v>0.0</v>
      </c>
      <c r="J2293" s="1">
        <v>483.0</v>
      </c>
      <c r="L2293" s="1">
        <v>3218194.0</v>
      </c>
      <c r="Q2293" s="1" t="s">
        <v>8401</v>
      </c>
      <c r="R2293" s="1" t="s">
        <v>8402</v>
      </c>
      <c r="S2293" s="1">
        <v>1.0</v>
      </c>
      <c r="T2293" s="1">
        <v>0.0</v>
      </c>
      <c r="X2293" s="1" t="s">
        <v>29</v>
      </c>
    </row>
    <row r="2294">
      <c r="A2294" s="3" t="str">
        <f>HYPERLINK("https://stackoverflow.com/q/36760509", "36760509")</f>
        <v>36760509</v>
      </c>
      <c r="B2294" s="1" t="s">
        <v>7613</v>
      </c>
      <c r="C2294" s="1" t="s">
        <v>8403</v>
      </c>
      <c r="D2294" s="2" t="s">
        <v>8404</v>
      </c>
      <c r="E2294" s="1">
        <v>1.0</v>
      </c>
      <c r="I2294" s="1">
        <v>0.0</v>
      </c>
      <c r="J2294" s="1">
        <v>35.0</v>
      </c>
      <c r="L2294" s="1">
        <v>2272958.0</v>
      </c>
      <c r="Q2294" s="1" t="s">
        <v>8403</v>
      </c>
      <c r="R2294" s="1" t="s">
        <v>8405</v>
      </c>
      <c r="S2294" s="1">
        <v>0.0</v>
      </c>
      <c r="T2294" s="1">
        <v>2.0</v>
      </c>
      <c r="X2294" s="1" t="s">
        <v>29</v>
      </c>
    </row>
    <row r="2295">
      <c r="A2295" s="3" t="str">
        <f>HYPERLINK("https://stackoverflow.com/q/36813793", "36813793")</f>
        <v>36813793</v>
      </c>
      <c r="B2295" s="1" t="s">
        <v>7613</v>
      </c>
      <c r="C2295" s="1" t="s">
        <v>8406</v>
      </c>
      <c r="D2295" s="2" t="s">
        <v>8407</v>
      </c>
      <c r="E2295" s="1">
        <v>1.0</v>
      </c>
      <c r="F2295" s="1">
        <v>3.683798E7</v>
      </c>
      <c r="I2295" s="1">
        <v>0.0</v>
      </c>
      <c r="J2295" s="1">
        <v>350.0</v>
      </c>
      <c r="L2295" s="1">
        <v>5894263.0</v>
      </c>
      <c r="Q2295" s="1" t="s">
        <v>8408</v>
      </c>
      <c r="R2295" s="1" t="s">
        <v>8267</v>
      </c>
      <c r="S2295" s="1">
        <v>1.0</v>
      </c>
      <c r="T2295" s="1">
        <v>0.0</v>
      </c>
      <c r="X2295" s="1" t="s">
        <v>29</v>
      </c>
      <c r="Z2295" s="1" t="s">
        <v>8408</v>
      </c>
    </row>
    <row r="2296">
      <c r="A2296" s="3" t="str">
        <f>HYPERLINK("https://stackoverflow.com/q/36936830", "36936830")</f>
        <v>36936830</v>
      </c>
      <c r="B2296" s="1" t="s">
        <v>7613</v>
      </c>
      <c r="C2296" s="1" t="s">
        <v>8409</v>
      </c>
      <c r="D2296" s="2" t="s">
        <v>8410</v>
      </c>
      <c r="E2296" s="1">
        <v>1.0</v>
      </c>
      <c r="I2296" s="1">
        <v>1.0</v>
      </c>
      <c r="J2296" s="1">
        <v>327.0</v>
      </c>
      <c r="L2296" s="1">
        <v>2982874.0</v>
      </c>
      <c r="Q2296" s="1" t="s">
        <v>8411</v>
      </c>
      <c r="R2296" s="1" t="s">
        <v>8412</v>
      </c>
      <c r="S2296" s="1">
        <v>1.0</v>
      </c>
      <c r="T2296" s="1">
        <v>0.0</v>
      </c>
      <c r="U2296" s="1">
        <v>1.0</v>
      </c>
      <c r="X2296" s="1" t="s">
        <v>29</v>
      </c>
    </row>
    <row r="2297">
      <c r="A2297" s="3" t="str">
        <f>HYPERLINK("https://stackoverflow.com/q/36986164", "36986164")</f>
        <v>36986164</v>
      </c>
      <c r="B2297" s="1" t="s">
        <v>7613</v>
      </c>
      <c r="C2297" s="1" t="s">
        <v>8413</v>
      </c>
      <c r="D2297" s="2" t="s">
        <v>8414</v>
      </c>
      <c r="E2297" s="1">
        <v>1.0</v>
      </c>
      <c r="I2297" s="1">
        <v>0.0</v>
      </c>
      <c r="J2297" s="1">
        <v>68.0</v>
      </c>
      <c r="L2297" s="1">
        <v>6199672.0</v>
      </c>
      <c r="Q2297" s="1" t="s">
        <v>8413</v>
      </c>
      <c r="R2297" s="1" t="s">
        <v>8415</v>
      </c>
      <c r="S2297" s="1">
        <v>0.0</v>
      </c>
      <c r="T2297" s="1">
        <v>2.0</v>
      </c>
      <c r="X2297" s="1" t="s">
        <v>29</v>
      </c>
    </row>
    <row r="2298">
      <c r="A2298" s="3" t="str">
        <f>HYPERLINK("https://stackoverflow.com/q/37001598", "37001598")</f>
        <v>37001598</v>
      </c>
      <c r="B2298" s="1" t="s">
        <v>7613</v>
      </c>
      <c r="C2298" s="1" t="s">
        <v>8416</v>
      </c>
      <c r="D2298" s="2" t="s">
        <v>8417</v>
      </c>
      <c r="E2298" s="1">
        <v>1.0</v>
      </c>
      <c r="I2298" s="1">
        <v>1.0</v>
      </c>
      <c r="J2298" s="1">
        <v>322.0</v>
      </c>
      <c r="L2298" s="1">
        <v>3989068.0</v>
      </c>
      <c r="Q2298" s="1" t="s">
        <v>8416</v>
      </c>
      <c r="R2298" s="1" t="s">
        <v>8418</v>
      </c>
      <c r="S2298" s="1">
        <v>0.0</v>
      </c>
      <c r="T2298" s="1">
        <v>0.0</v>
      </c>
      <c r="X2298" s="1" t="s">
        <v>29</v>
      </c>
    </row>
    <row r="2299">
      <c r="A2299" s="3" t="str">
        <f>HYPERLINK("https://stackoverflow.com/q/37604407", "37604407")</f>
        <v>37604407</v>
      </c>
      <c r="B2299" s="1" t="s">
        <v>7613</v>
      </c>
      <c r="C2299" s="1" t="s">
        <v>8419</v>
      </c>
      <c r="D2299" s="2" t="s">
        <v>8420</v>
      </c>
      <c r="E2299" s="1">
        <v>1.0</v>
      </c>
      <c r="F2299" s="1">
        <v>3.7608794E7</v>
      </c>
      <c r="I2299" s="1">
        <v>0.0</v>
      </c>
      <c r="J2299" s="1">
        <v>1000.0</v>
      </c>
      <c r="L2299" s="1">
        <v>273212.0</v>
      </c>
      <c r="N2299" s="1">
        <v>2278844.0</v>
      </c>
      <c r="P2299" s="1" t="s">
        <v>8421</v>
      </c>
      <c r="Q2299" s="1" t="s">
        <v>8421</v>
      </c>
      <c r="R2299" s="1" t="s">
        <v>7749</v>
      </c>
      <c r="S2299" s="1">
        <v>1.0</v>
      </c>
      <c r="T2299" s="1">
        <v>1.0</v>
      </c>
      <c r="X2299" s="1" t="s">
        <v>29</v>
      </c>
      <c r="Z2299" s="1" t="s">
        <v>8422</v>
      </c>
    </row>
    <row r="2300">
      <c r="A2300" s="3" t="str">
        <f>HYPERLINK("https://stackoverflow.com/q/37837215", "37837215")</f>
        <v>37837215</v>
      </c>
      <c r="B2300" s="1" t="s">
        <v>7613</v>
      </c>
      <c r="C2300" s="1" t="s">
        <v>8423</v>
      </c>
      <c r="D2300" s="2" t="s">
        <v>8424</v>
      </c>
      <c r="E2300" s="1">
        <v>1.0</v>
      </c>
      <c r="I2300" s="1">
        <v>0.0</v>
      </c>
      <c r="J2300" s="1">
        <v>3291.0</v>
      </c>
      <c r="L2300" s="1">
        <v>4273118.0</v>
      </c>
      <c r="N2300" s="1">
        <v>4273118.0</v>
      </c>
      <c r="P2300" s="1" t="s">
        <v>8425</v>
      </c>
      <c r="Q2300" s="1" t="s">
        <v>8426</v>
      </c>
      <c r="R2300" s="1" t="s">
        <v>8427</v>
      </c>
      <c r="S2300" s="1">
        <v>3.0</v>
      </c>
      <c r="T2300" s="1">
        <v>0.0</v>
      </c>
      <c r="X2300" s="1" t="s">
        <v>29</v>
      </c>
    </row>
    <row r="2301">
      <c r="A2301" s="3" t="str">
        <f>HYPERLINK("https://stackoverflow.com/q/37945129", "37945129")</f>
        <v>37945129</v>
      </c>
      <c r="B2301" s="1" t="s">
        <v>7613</v>
      </c>
      <c r="C2301" s="1" t="s">
        <v>8428</v>
      </c>
      <c r="D2301" s="2" t="s">
        <v>8429</v>
      </c>
      <c r="E2301" s="1">
        <v>1.0</v>
      </c>
      <c r="I2301" s="1">
        <v>1.0</v>
      </c>
      <c r="J2301" s="1">
        <v>2404.0</v>
      </c>
      <c r="L2301" s="1">
        <v>6271571.0</v>
      </c>
      <c r="N2301" s="1">
        <v>3919009.0</v>
      </c>
      <c r="P2301" s="1" t="s">
        <v>8430</v>
      </c>
      <c r="Q2301" s="1" t="s">
        <v>8431</v>
      </c>
      <c r="R2301" s="1" t="s">
        <v>8432</v>
      </c>
      <c r="S2301" s="1">
        <v>2.0</v>
      </c>
      <c r="T2301" s="1">
        <v>1.0</v>
      </c>
      <c r="X2301" s="1" t="s">
        <v>29</v>
      </c>
    </row>
    <row r="2302">
      <c r="A2302" s="3" t="str">
        <f>HYPERLINK("https://stackoverflow.com/q/38071825", "38071825")</f>
        <v>38071825</v>
      </c>
      <c r="B2302" s="1" t="s">
        <v>7613</v>
      </c>
      <c r="C2302" s="1" t="s">
        <v>8433</v>
      </c>
      <c r="D2302" s="2" t="s">
        <v>8434</v>
      </c>
      <c r="E2302" s="1">
        <v>1.0</v>
      </c>
      <c r="I2302" s="1">
        <v>1.0</v>
      </c>
      <c r="J2302" s="1">
        <v>648.0</v>
      </c>
      <c r="L2302" s="1">
        <v>4213681.0</v>
      </c>
      <c r="N2302" s="1">
        <v>4213681.0</v>
      </c>
      <c r="P2302" s="1" t="s">
        <v>8435</v>
      </c>
      <c r="Q2302" s="1" t="s">
        <v>8436</v>
      </c>
      <c r="R2302" s="1" t="s">
        <v>8437</v>
      </c>
      <c r="S2302" s="1">
        <v>1.0</v>
      </c>
      <c r="T2302" s="1">
        <v>0.0</v>
      </c>
      <c r="X2302" s="1" t="s">
        <v>29</v>
      </c>
    </row>
    <row r="2303">
      <c r="A2303" s="3" t="str">
        <f>HYPERLINK("https://stackoverflow.com/q/38136654", "38136654")</f>
        <v>38136654</v>
      </c>
      <c r="B2303" s="1" t="s">
        <v>7613</v>
      </c>
      <c r="C2303" s="1" t="s">
        <v>8438</v>
      </c>
      <c r="D2303" s="2" t="s">
        <v>8439</v>
      </c>
      <c r="E2303" s="1">
        <v>1.0</v>
      </c>
      <c r="I2303" s="1">
        <v>4.0</v>
      </c>
      <c r="J2303" s="1">
        <v>2545.0</v>
      </c>
      <c r="L2303" s="1">
        <v>5421487.0</v>
      </c>
      <c r="N2303" s="1">
        <v>5421487.0</v>
      </c>
      <c r="P2303" s="1" t="s">
        <v>8440</v>
      </c>
      <c r="Q2303" s="1" t="s">
        <v>8441</v>
      </c>
      <c r="R2303" s="1" t="s">
        <v>8442</v>
      </c>
      <c r="S2303" s="1">
        <v>3.0</v>
      </c>
      <c r="T2303" s="1">
        <v>0.0</v>
      </c>
      <c r="X2303" s="1" t="s">
        <v>29</v>
      </c>
    </row>
    <row r="2304">
      <c r="A2304" s="3" t="str">
        <f>HYPERLINK("https://stackoverflow.com/q/38168927", "38168927")</f>
        <v>38168927</v>
      </c>
      <c r="B2304" s="1" t="s">
        <v>7613</v>
      </c>
      <c r="C2304" s="1" t="s">
        <v>8443</v>
      </c>
      <c r="D2304" s="2" t="s">
        <v>8444</v>
      </c>
      <c r="E2304" s="1">
        <v>1.0</v>
      </c>
      <c r="F2304" s="1">
        <v>3.8172051E7</v>
      </c>
      <c r="I2304" s="1">
        <v>0.0</v>
      </c>
      <c r="J2304" s="1">
        <v>407.0</v>
      </c>
      <c r="L2304" s="1">
        <v>5894263.0</v>
      </c>
      <c r="N2304" s="1">
        <v>5894263.0</v>
      </c>
      <c r="P2304" s="1" t="s">
        <v>8445</v>
      </c>
      <c r="Q2304" s="1" t="s">
        <v>8446</v>
      </c>
      <c r="R2304" s="1" t="s">
        <v>8447</v>
      </c>
      <c r="S2304" s="1">
        <v>1.0</v>
      </c>
      <c r="T2304" s="1">
        <v>0.0</v>
      </c>
      <c r="X2304" s="1" t="s">
        <v>29</v>
      </c>
      <c r="Z2304" s="1" t="s">
        <v>8446</v>
      </c>
    </row>
    <row r="2305">
      <c r="A2305" s="3" t="str">
        <f>HYPERLINK("https://stackoverflow.com/q/38194847", "38194847")</f>
        <v>38194847</v>
      </c>
      <c r="B2305" s="1" t="s">
        <v>7613</v>
      </c>
      <c r="C2305" s="1" t="s">
        <v>8448</v>
      </c>
      <c r="D2305" s="2" t="s">
        <v>8449</v>
      </c>
      <c r="E2305" s="1">
        <v>1.0</v>
      </c>
      <c r="I2305" s="1">
        <v>0.0</v>
      </c>
      <c r="J2305" s="1">
        <v>34.0</v>
      </c>
      <c r="L2305" s="1">
        <v>3141140.0</v>
      </c>
      <c r="Q2305" s="1" t="s">
        <v>8450</v>
      </c>
      <c r="R2305" s="1" t="s">
        <v>7688</v>
      </c>
      <c r="S2305" s="1">
        <v>1.0</v>
      </c>
      <c r="T2305" s="1">
        <v>0.0</v>
      </c>
      <c r="X2305" s="1" t="s">
        <v>29</v>
      </c>
    </row>
    <row r="2306">
      <c r="A2306" s="3" t="str">
        <f>HYPERLINK("https://stackoverflow.com/q/38233602", "38233602")</f>
        <v>38233602</v>
      </c>
      <c r="B2306" s="1" t="s">
        <v>7613</v>
      </c>
      <c r="C2306" s="1" t="s">
        <v>8451</v>
      </c>
      <c r="D2306" s="2" t="s">
        <v>8452</v>
      </c>
      <c r="E2306" s="1">
        <v>1.0</v>
      </c>
      <c r="F2306" s="1">
        <v>3.8444595E7</v>
      </c>
      <c r="I2306" s="1">
        <v>1.0</v>
      </c>
      <c r="J2306" s="1">
        <v>648.0</v>
      </c>
      <c r="L2306" s="1">
        <v>3277133.0</v>
      </c>
      <c r="Q2306" s="1" t="s">
        <v>8453</v>
      </c>
      <c r="R2306" s="1" t="s">
        <v>8454</v>
      </c>
      <c r="S2306" s="1">
        <v>1.0</v>
      </c>
      <c r="T2306" s="1">
        <v>0.0</v>
      </c>
      <c r="X2306" s="1" t="s">
        <v>29</v>
      </c>
      <c r="Z2306" s="1" t="s">
        <v>8455</v>
      </c>
    </row>
    <row r="2307">
      <c r="A2307" s="3" t="str">
        <f>HYPERLINK("https://stackoverflow.com/q/38265464", "38265464")</f>
        <v>38265464</v>
      </c>
      <c r="B2307" s="1" t="s">
        <v>7613</v>
      </c>
      <c r="C2307" s="1" t="s">
        <v>8456</v>
      </c>
      <c r="D2307" s="2" t="s">
        <v>8457</v>
      </c>
      <c r="E2307" s="1">
        <v>1.0</v>
      </c>
      <c r="I2307" s="1">
        <v>1.0</v>
      </c>
      <c r="J2307" s="1">
        <v>1223.0</v>
      </c>
      <c r="L2307" s="1">
        <v>3378683.0</v>
      </c>
      <c r="N2307" s="1">
        <v>6565191.0</v>
      </c>
      <c r="P2307" s="1" t="s">
        <v>8458</v>
      </c>
      <c r="Q2307" s="1" t="s">
        <v>8459</v>
      </c>
      <c r="R2307" s="1" t="s">
        <v>8412</v>
      </c>
      <c r="S2307" s="1">
        <v>3.0</v>
      </c>
      <c r="T2307" s="1">
        <v>0.0</v>
      </c>
      <c r="X2307" s="1" t="s">
        <v>29</v>
      </c>
    </row>
    <row r="2308">
      <c r="A2308" s="3" t="str">
        <f>HYPERLINK("https://stackoverflow.com/q/38320665", "38320665")</f>
        <v>38320665</v>
      </c>
      <c r="B2308" s="1" t="s">
        <v>7613</v>
      </c>
      <c r="C2308" s="1" t="s">
        <v>8460</v>
      </c>
      <c r="D2308" s="2" t="s">
        <v>8461</v>
      </c>
      <c r="E2308" s="1">
        <v>1.0</v>
      </c>
      <c r="I2308" s="1">
        <v>1.0</v>
      </c>
      <c r="J2308" s="1">
        <v>1666.0</v>
      </c>
      <c r="L2308" s="1">
        <v>6565191.0</v>
      </c>
      <c r="N2308" s="1">
        <v>6565191.0</v>
      </c>
      <c r="P2308" s="1" t="s">
        <v>8462</v>
      </c>
      <c r="Q2308" s="1" t="s">
        <v>8463</v>
      </c>
      <c r="R2308" s="1" t="s">
        <v>8464</v>
      </c>
      <c r="S2308" s="1">
        <v>1.0</v>
      </c>
      <c r="T2308" s="1">
        <v>0.0</v>
      </c>
      <c r="U2308" s="1">
        <v>0.0</v>
      </c>
      <c r="X2308" s="1" t="s">
        <v>29</v>
      </c>
    </row>
    <row r="2309">
      <c r="A2309" s="3" t="str">
        <f>HYPERLINK("https://stackoverflow.com/q/38327633", "38327633")</f>
        <v>38327633</v>
      </c>
      <c r="B2309" s="1" t="s">
        <v>7613</v>
      </c>
      <c r="C2309" s="1" t="s">
        <v>8465</v>
      </c>
      <c r="D2309" s="2" t="s">
        <v>8466</v>
      </c>
      <c r="E2309" s="1">
        <v>1.0</v>
      </c>
      <c r="I2309" s="1">
        <v>0.0</v>
      </c>
      <c r="J2309" s="1">
        <v>466.0</v>
      </c>
      <c r="L2309" s="1">
        <v>346057.0</v>
      </c>
      <c r="N2309" s="1">
        <v>346057.0</v>
      </c>
      <c r="P2309" s="1" t="s">
        <v>8467</v>
      </c>
      <c r="Q2309" s="1" t="s">
        <v>8468</v>
      </c>
      <c r="R2309" s="1" t="s">
        <v>8469</v>
      </c>
      <c r="S2309" s="1">
        <v>1.0</v>
      </c>
      <c r="T2309" s="1">
        <v>0.0</v>
      </c>
      <c r="X2309" s="1" t="s">
        <v>29</v>
      </c>
    </row>
    <row r="2310">
      <c r="A2310" s="3" t="str">
        <f>HYPERLINK("https://stackoverflow.com/q/38434097", "38434097")</f>
        <v>38434097</v>
      </c>
      <c r="B2310" s="1" t="s">
        <v>7613</v>
      </c>
      <c r="C2310" s="1" t="s">
        <v>8470</v>
      </c>
      <c r="D2310" s="2" t="s">
        <v>8471</v>
      </c>
      <c r="E2310" s="1">
        <v>1.0</v>
      </c>
      <c r="F2310" s="1">
        <v>3.84381E7</v>
      </c>
      <c r="I2310" s="1">
        <v>0.0</v>
      </c>
      <c r="J2310" s="1">
        <v>149.0</v>
      </c>
      <c r="L2310" s="1">
        <v>346057.0</v>
      </c>
      <c r="Q2310" s="1" t="s">
        <v>8472</v>
      </c>
      <c r="R2310" s="1" t="s">
        <v>8473</v>
      </c>
      <c r="S2310" s="1">
        <v>1.0</v>
      </c>
      <c r="T2310" s="1">
        <v>0.0</v>
      </c>
      <c r="U2310" s="1">
        <v>0.0</v>
      </c>
      <c r="X2310" s="1" t="s">
        <v>29</v>
      </c>
      <c r="Z2310" s="1" t="s">
        <v>8474</v>
      </c>
    </row>
    <row r="2311">
      <c r="A2311" s="3" t="str">
        <f>HYPERLINK("https://stackoverflow.com/q/38568792", "38568792")</f>
        <v>38568792</v>
      </c>
      <c r="B2311" s="1" t="s">
        <v>7613</v>
      </c>
      <c r="C2311" s="1" t="s">
        <v>8475</v>
      </c>
      <c r="D2311" s="2" t="s">
        <v>8476</v>
      </c>
      <c r="E2311" s="1">
        <v>1.0</v>
      </c>
      <c r="I2311" s="1">
        <v>0.0</v>
      </c>
      <c r="J2311" s="1">
        <v>350.0</v>
      </c>
      <c r="L2311" s="1">
        <v>3355173.0</v>
      </c>
      <c r="N2311" s="1">
        <v>-1.0</v>
      </c>
      <c r="P2311" s="1" t="s">
        <v>8477</v>
      </c>
      <c r="Q2311" s="1" t="s">
        <v>8478</v>
      </c>
      <c r="R2311" s="1" t="s">
        <v>8479</v>
      </c>
      <c r="S2311" s="1">
        <v>1.0</v>
      </c>
      <c r="T2311" s="1">
        <v>0.0</v>
      </c>
      <c r="X2311" s="1" t="s">
        <v>29</v>
      </c>
    </row>
    <row r="2312">
      <c r="A2312" s="3" t="str">
        <f>HYPERLINK("https://stackoverflow.com/q/38733792", "38733792")</f>
        <v>38733792</v>
      </c>
      <c r="B2312" s="1" t="s">
        <v>7613</v>
      </c>
      <c r="C2312" s="1" t="s">
        <v>8480</v>
      </c>
      <c r="D2312" s="2" t="s">
        <v>8481</v>
      </c>
      <c r="E2312" s="1">
        <v>1.0</v>
      </c>
      <c r="I2312" s="1">
        <v>0.0</v>
      </c>
      <c r="J2312" s="1">
        <v>84.0</v>
      </c>
      <c r="L2312" s="1">
        <v>2480362.0</v>
      </c>
      <c r="Q2312" s="1" t="s">
        <v>8482</v>
      </c>
      <c r="R2312" s="1" t="s">
        <v>8483</v>
      </c>
      <c r="S2312" s="1">
        <v>1.0</v>
      </c>
      <c r="T2312" s="1">
        <v>0.0</v>
      </c>
      <c r="X2312" s="1" t="s">
        <v>29</v>
      </c>
    </row>
    <row r="2313">
      <c r="A2313" s="3" t="str">
        <f>HYPERLINK("https://stackoverflow.com/q/38736141", "38736141")</f>
        <v>38736141</v>
      </c>
      <c r="B2313" s="1" t="s">
        <v>7613</v>
      </c>
      <c r="C2313" s="1" t="s">
        <v>8484</v>
      </c>
      <c r="D2313" s="2" t="s">
        <v>8485</v>
      </c>
      <c r="E2313" s="1">
        <v>1.0</v>
      </c>
      <c r="I2313" s="1">
        <v>0.0</v>
      </c>
      <c r="J2313" s="1">
        <v>631.0</v>
      </c>
      <c r="L2313" s="1">
        <v>6670872.0</v>
      </c>
      <c r="N2313" s="1">
        <v>3292482.0</v>
      </c>
      <c r="P2313" s="1" t="s">
        <v>8486</v>
      </c>
      <c r="Q2313" s="1" t="s">
        <v>8487</v>
      </c>
      <c r="R2313" s="1" t="s">
        <v>8488</v>
      </c>
      <c r="S2313" s="1">
        <v>1.0</v>
      </c>
      <c r="T2313" s="1">
        <v>0.0</v>
      </c>
      <c r="X2313" s="1" t="s">
        <v>29</v>
      </c>
    </row>
    <row r="2314">
      <c r="A2314" s="3" t="str">
        <f>HYPERLINK("https://stackoverflow.com/q/38842894", "38842894")</f>
        <v>38842894</v>
      </c>
      <c r="B2314" s="1" t="s">
        <v>7613</v>
      </c>
      <c r="C2314" s="1" t="s">
        <v>8489</v>
      </c>
      <c r="D2314" s="2" t="s">
        <v>8490</v>
      </c>
      <c r="E2314" s="1">
        <v>1.0</v>
      </c>
      <c r="I2314" s="1">
        <v>1.0</v>
      </c>
      <c r="J2314" s="1">
        <v>216.0</v>
      </c>
      <c r="L2314" s="1">
        <v>6693918.0</v>
      </c>
      <c r="Q2314" s="1" t="s">
        <v>8491</v>
      </c>
      <c r="R2314" s="1" t="s">
        <v>8492</v>
      </c>
      <c r="S2314" s="1">
        <v>1.0</v>
      </c>
      <c r="T2314" s="1">
        <v>0.0</v>
      </c>
      <c r="U2314" s="1">
        <v>1.0</v>
      </c>
      <c r="X2314" s="1" t="s">
        <v>29</v>
      </c>
    </row>
    <row r="2315">
      <c r="A2315" s="3" t="str">
        <f>HYPERLINK("https://stackoverflow.com/q/38968308", "38968308")</f>
        <v>38968308</v>
      </c>
      <c r="B2315" s="1" t="s">
        <v>7613</v>
      </c>
      <c r="C2315" s="1" t="s">
        <v>8493</v>
      </c>
      <c r="D2315" s="2" t="s">
        <v>8494</v>
      </c>
      <c r="E2315" s="1">
        <v>1.0</v>
      </c>
      <c r="I2315" s="1">
        <v>0.0</v>
      </c>
      <c r="J2315" s="1">
        <v>1706.0</v>
      </c>
      <c r="L2315" s="1">
        <v>6550693.0</v>
      </c>
      <c r="N2315" s="1">
        <v>431140.0</v>
      </c>
      <c r="P2315" s="1" t="s">
        <v>8495</v>
      </c>
      <c r="Q2315" s="1" t="s">
        <v>8496</v>
      </c>
      <c r="R2315" s="1" t="s">
        <v>7688</v>
      </c>
      <c r="S2315" s="1">
        <v>1.0</v>
      </c>
      <c r="T2315" s="1">
        <v>3.0</v>
      </c>
      <c r="X2315" s="1" t="s">
        <v>29</v>
      </c>
    </row>
    <row r="2316">
      <c r="A2316" s="3" t="str">
        <f>HYPERLINK("https://stackoverflow.com/q/39040345", "39040345")</f>
        <v>39040345</v>
      </c>
      <c r="B2316" s="1" t="s">
        <v>7613</v>
      </c>
      <c r="C2316" s="1" t="s">
        <v>8497</v>
      </c>
      <c r="D2316" s="2" t="s">
        <v>8498</v>
      </c>
      <c r="E2316" s="1">
        <v>1.0</v>
      </c>
      <c r="I2316" s="1">
        <v>1.0</v>
      </c>
      <c r="J2316" s="1">
        <v>593.0</v>
      </c>
      <c r="L2316" s="1">
        <v>4242131.0</v>
      </c>
      <c r="Q2316" s="1" t="s">
        <v>8499</v>
      </c>
      <c r="R2316" s="1" t="s">
        <v>7700</v>
      </c>
      <c r="S2316" s="1">
        <v>2.0</v>
      </c>
      <c r="T2316" s="1">
        <v>0.0</v>
      </c>
      <c r="X2316" s="1" t="s">
        <v>29</v>
      </c>
    </row>
    <row r="2317">
      <c r="A2317" s="3" t="str">
        <f>HYPERLINK("https://stackoverflow.com/q/39537567", "39537567")</f>
        <v>39537567</v>
      </c>
      <c r="B2317" s="1" t="s">
        <v>7613</v>
      </c>
      <c r="C2317" s="1" t="s">
        <v>8500</v>
      </c>
      <c r="D2317" s="2" t="s">
        <v>8501</v>
      </c>
      <c r="E2317" s="1">
        <v>1.0</v>
      </c>
      <c r="I2317" s="1">
        <v>2.0</v>
      </c>
      <c r="J2317" s="1">
        <v>734.0</v>
      </c>
      <c r="L2317" s="1">
        <v>3313753.0</v>
      </c>
      <c r="N2317" s="1">
        <v>3313753.0</v>
      </c>
      <c r="P2317" s="1" t="s">
        <v>8502</v>
      </c>
      <c r="Q2317" s="1" t="s">
        <v>8503</v>
      </c>
      <c r="R2317" s="1" t="s">
        <v>8308</v>
      </c>
      <c r="S2317" s="1">
        <v>2.0</v>
      </c>
      <c r="T2317" s="1">
        <v>1.0</v>
      </c>
      <c r="X2317" s="1" t="s">
        <v>29</v>
      </c>
    </row>
    <row r="2318">
      <c r="A2318" s="3" t="str">
        <f>HYPERLINK("https://stackoverflow.com/q/39566021", "39566021")</f>
        <v>39566021</v>
      </c>
      <c r="B2318" s="1" t="s">
        <v>7613</v>
      </c>
      <c r="C2318" s="1" t="s">
        <v>8504</v>
      </c>
      <c r="D2318" s="2" t="s">
        <v>8505</v>
      </c>
      <c r="E2318" s="1">
        <v>1.0</v>
      </c>
      <c r="F2318" s="1">
        <v>4.1010716E7</v>
      </c>
      <c r="I2318" s="1">
        <v>0.0</v>
      </c>
      <c r="J2318" s="1">
        <v>704.0</v>
      </c>
      <c r="L2318" s="1">
        <v>2556858.0</v>
      </c>
      <c r="N2318" s="1">
        <v>77409.0</v>
      </c>
      <c r="P2318" s="1" t="s">
        <v>8506</v>
      </c>
      <c r="Q2318" s="1" t="s">
        <v>8507</v>
      </c>
      <c r="R2318" s="1" t="s">
        <v>8508</v>
      </c>
      <c r="S2318" s="1">
        <v>2.0</v>
      </c>
      <c r="T2318" s="1">
        <v>1.0</v>
      </c>
      <c r="X2318" s="1" t="s">
        <v>29</v>
      </c>
      <c r="Z2318" s="1" t="s">
        <v>8509</v>
      </c>
    </row>
    <row r="2319">
      <c r="A2319" s="3" t="str">
        <f>HYPERLINK("https://stackoverflow.com/q/39590785", "39590785")</f>
        <v>39590785</v>
      </c>
      <c r="B2319" s="1" t="s">
        <v>7613</v>
      </c>
      <c r="C2319" s="1" t="s">
        <v>8510</v>
      </c>
      <c r="D2319" s="2" t="s">
        <v>8511</v>
      </c>
      <c r="E2319" s="1">
        <v>1.0</v>
      </c>
      <c r="I2319" s="1">
        <v>1.0</v>
      </c>
      <c r="J2319" s="1">
        <v>699.0</v>
      </c>
      <c r="L2319" s="1">
        <v>6852661.0</v>
      </c>
      <c r="Q2319" s="1" t="s">
        <v>8512</v>
      </c>
      <c r="R2319" s="1" t="s">
        <v>8513</v>
      </c>
      <c r="S2319" s="1">
        <v>0.0</v>
      </c>
      <c r="T2319" s="1">
        <v>3.0</v>
      </c>
      <c r="U2319" s="1">
        <v>1.0</v>
      </c>
      <c r="X2319" s="1" t="s">
        <v>29</v>
      </c>
    </row>
    <row r="2320">
      <c r="A2320" s="3" t="str">
        <f>HYPERLINK("https://stackoverflow.com/q/39875139", "39875139")</f>
        <v>39875139</v>
      </c>
      <c r="B2320" s="1" t="s">
        <v>7613</v>
      </c>
      <c r="C2320" s="1" t="s">
        <v>8514</v>
      </c>
      <c r="D2320" s="2" t="s">
        <v>8515</v>
      </c>
      <c r="E2320" s="1">
        <v>1.0</v>
      </c>
      <c r="F2320" s="1">
        <v>3.9875368E7</v>
      </c>
      <c r="I2320" s="1">
        <v>2.0</v>
      </c>
      <c r="J2320" s="1">
        <v>91.0</v>
      </c>
      <c r="L2320" s="1">
        <v>5230702.0</v>
      </c>
      <c r="Q2320" s="1" t="s">
        <v>8516</v>
      </c>
      <c r="R2320" s="1" t="s">
        <v>8517</v>
      </c>
      <c r="S2320" s="1">
        <v>1.0</v>
      </c>
      <c r="T2320" s="1">
        <v>1.0</v>
      </c>
      <c r="X2320" s="1" t="s">
        <v>29</v>
      </c>
      <c r="Z2320" s="1" t="s">
        <v>8516</v>
      </c>
    </row>
    <row r="2321">
      <c r="A2321" s="3" t="str">
        <f>HYPERLINK("https://stackoverflow.com/q/39895345", "39895345")</f>
        <v>39895345</v>
      </c>
      <c r="B2321" s="1" t="s">
        <v>7613</v>
      </c>
      <c r="C2321" s="1" t="s">
        <v>8518</v>
      </c>
      <c r="D2321" s="2" t="s">
        <v>8519</v>
      </c>
      <c r="E2321" s="1">
        <v>1.0</v>
      </c>
      <c r="I2321" s="1">
        <v>1.0</v>
      </c>
      <c r="J2321" s="1">
        <v>1631.0</v>
      </c>
      <c r="L2321" s="1">
        <v>3441151.0</v>
      </c>
      <c r="Q2321" s="1" t="s">
        <v>8520</v>
      </c>
      <c r="R2321" s="1" t="s">
        <v>8521</v>
      </c>
      <c r="S2321" s="1">
        <v>3.0</v>
      </c>
      <c r="T2321" s="1">
        <v>0.0</v>
      </c>
      <c r="U2321" s="1">
        <v>1.0</v>
      </c>
      <c r="X2321" s="1" t="s">
        <v>29</v>
      </c>
    </row>
    <row r="2322">
      <c r="A2322" s="3" t="str">
        <f>HYPERLINK("https://stackoverflow.com/q/40233484", "40233484")</f>
        <v>40233484</v>
      </c>
      <c r="B2322" s="1" t="s">
        <v>7613</v>
      </c>
      <c r="C2322" s="1" t="s">
        <v>8522</v>
      </c>
      <c r="D2322" s="2" t="s">
        <v>8523</v>
      </c>
      <c r="E2322" s="1">
        <v>1.0</v>
      </c>
      <c r="I2322" s="1">
        <v>1.0</v>
      </c>
      <c r="J2322" s="1">
        <v>1394.0</v>
      </c>
      <c r="L2322" s="1">
        <v>6239567.0</v>
      </c>
      <c r="Q2322" s="1" t="s">
        <v>8524</v>
      </c>
      <c r="R2322" s="1" t="s">
        <v>8525</v>
      </c>
      <c r="S2322" s="1">
        <v>1.0</v>
      </c>
      <c r="T2322" s="1">
        <v>0.0</v>
      </c>
      <c r="U2322" s="1">
        <v>1.0</v>
      </c>
      <c r="X2322" s="1" t="s">
        <v>29</v>
      </c>
    </row>
    <row r="2323">
      <c r="A2323" s="3" t="str">
        <f>HYPERLINK("https://stackoverflow.com/q/40375194", "40375194")</f>
        <v>40375194</v>
      </c>
      <c r="B2323" s="1" t="s">
        <v>7613</v>
      </c>
      <c r="C2323" s="1" t="s">
        <v>8526</v>
      </c>
      <c r="D2323" s="2" t="s">
        <v>8527</v>
      </c>
      <c r="E2323" s="1">
        <v>1.0</v>
      </c>
      <c r="I2323" s="1">
        <v>0.0</v>
      </c>
      <c r="J2323" s="1">
        <v>1059.0</v>
      </c>
      <c r="L2323" s="1">
        <v>5173024.0</v>
      </c>
      <c r="Q2323" s="1" t="s">
        <v>8528</v>
      </c>
      <c r="R2323" s="1" t="s">
        <v>8525</v>
      </c>
      <c r="S2323" s="1">
        <v>1.0</v>
      </c>
      <c r="T2323" s="1">
        <v>0.0</v>
      </c>
      <c r="X2323" s="1" t="s">
        <v>29</v>
      </c>
    </row>
    <row r="2324">
      <c r="A2324" s="3" t="str">
        <f>HYPERLINK("https://stackoverflow.com/q/40395921", "40395921")</f>
        <v>40395921</v>
      </c>
      <c r="B2324" s="1" t="s">
        <v>7613</v>
      </c>
      <c r="C2324" s="1" t="s">
        <v>8529</v>
      </c>
      <c r="D2324" s="2" t="s">
        <v>8530</v>
      </c>
      <c r="E2324" s="1">
        <v>1.0</v>
      </c>
      <c r="I2324" s="1">
        <v>0.0</v>
      </c>
      <c r="J2324" s="1">
        <v>1025.0</v>
      </c>
      <c r="L2324" s="1">
        <v>5856652.0</v>
      </c>
      <c r="N2324" s="1">
        <v>2431702.0</v>
      </c>
      <c r="P2324" s="1" t="s">
        <v>8531</v>
      </c>
      <c r="Q2324" s="1" t="s">
        <v>8532</v>
      </c>
      <c r="R2324" s="1" t="s">
        <v>8432</v>
      </c>
      <c r="S2324" s="1">
        <v>1.0</v>
      </c>
      <c r="T2324" s="1">
        <v>0.0</v>
      </c>
      <c r="X2324" s="1" t="s">
        <v>29</v>
      </c>
    </row>
    <row r="2325">
      <c r="A2325" s="3" t="str">
        <f>HYPERLINK("https://stackoverflow.com/q/40461083", "40461083")</f>
        <v>40461083</v>
      </c>
      <c r="B2325" s="1" t="s">
        <v>7613</v>
      </c>
      <c r="C2325" s="1" t="s">
        <v>8533</v>
      </c>
      <c r="D2325" s="2" t="s">
        <v>8534</v>
      </c>
      <c r="E2325" s="1">
        <v>1.0</v>
      </c>
      <c r="I2325" s="1">
        <v>1.0</v>
      </c>
      <c r="J2325" s="1">
        <v>654.0</v>
      </c>
      <c r="L2325" s="1">
        <v>4242131.0</v>
      </c>
      <c r="Q2325" s="1" t="s">
        <v>8535</v>
      </c>
      <c r="R2325" s="1" t="s">
        <v>8308</v>
      </c>
      <c r="S2325" s="1">
        <v>2.0</v>
      </c>
      <c r="T2325" s="1">
        <v>1.0</v>
      </c>
      <c r="X2325" s="1" t="s">
        <v>29</v>
      </c>
    </row>
    <row r="2326">
      <c r="A2326" s="3" t="str">
        <f>HYPERLINK("https://stackoverflow.com/q/40525663", "40525663")</f>
        <v>40525663</v>
      </c>
      <c r="B2326" s="1" t="s">
        <v>7613</v>
      </c>
      <c r="C2326" s="1" t="s">
        <v>8536</v>
      </c>
      <c r="D2326" s="2" t="s">
        <v>8537</v>
      </c>
      <c r="E2326" s="1">
        <v>1.0</v>
      </c>
      <c r="F2326" s="1">
        <v>4.0525918E7</v>
      </c>
      <c r="I2326" s="1">
        <v>0.0</v>
      </c>
      <c r="J2326" s="1">
        <v>78.0</v>
      </c>
      <c r="L2326" s="1">
        <v>7131522.0</v>
      </c>
      <c r="N2326" s="1">
        <v>5809511.0</v>
      </c>
      <c r="P2326" s="1" t="s">
        <v>8538</v>
      </c>
      <c r="Q2326" s="1" t="s">
        <v>8539</v>
      </c>
      <c r="R2326" s="1" t="s">
        <v>8540</v>
      </c>
      <c r="S2326" s="1">
        <v>2.0</v>
      </c>
      <c r="T2326" s="1">
        <v>3.0</v>
      </c>
      <c r="X2326" s="1" t="s">
        <v>29</v>
      </c>
      <c r="Z2326" s="1" t="s">
        <v>8539</v>
      </c>
    </row>
    <row r="2327">
      <c r="A2327" s="3" t="str">
        <f>HYPERLINK("https://stackoverflow.com/q/40589959", "40589959")</f>
        <v>40589959</v>
      </c>
      <c r="B2327" s="1" t="s">
        <v>7613</v>
      </c>
      <c r="C2327" s="1" t="s">
        <v>8541</v>
      </c>
      <c r="D2327" s="2" t="s">
        <v>8542</v>
      </c>
      <c r="E2327" s="1">
        <v>1.0</v>
      </c>
      <c r="I2327" s="1">
        <v>1.0</v>
      </c>
      <c r="J2327" s="1">
        <v>889.0</v>
      </c>
      <c r="L2327" s="1">
        <v>908984.0</v>
      </c>
      <c r="N2327" s="1">
        <v>908984.0</v>
      </c>
      <c r="P2327" s="1" t="s">
        <v>8543</v>
      </c>
      <c r="Q2327" s="1" t="s">
        <v>8544</v>
      </c>
      <c r="R2327" s="1" t="s">
        <v>8545</v>
      </c>
      <c r="S2327" s="1">
        <v>2.0</v>
      </c>
      <c r="T2327" s="1">
        <v>2.0</v>
      </c>
      <c r="X2327" s="1" t="s">
        <v>29</v>
      </c>
    </row>
    <row r="2328">
      <c r="A2328" s="3" t="str">
        <f>HYPERLINK("https://stackoverflow.com/q/40596332", "40596332")</f>
        <v>40596332</v>
      </c>
      <c r="B2328" s="1" t="s">
        <v>7613</v>
      </c>
      <c r="C2328" s="1" t="s">
        <v>8546</v>
      </c>
      <c r="D2328" s="2" t="s">
        <v>8547</v>
      </c>
      <c r="E2328" s="1">
        <v>1.0</v>
      </c>
      <c r="I2328" s="1">
        <v>0.0</v>
      </c>
      <c r="J2328" s="1">
        <v>465.0</v>
      </c>
      <c r="L2328" s="1">
        <v>281730.0</v>
      </c>
      <c r="Q2328" s="1" t="s">
        <v>8548</v>
      </c>
      <c r="R2328" s="1" t="s">
        <v>8549</v>
      </c>
      <c r="S2328" s="1">
        <v>1.0</v>
      </c>
      <c r="T2328" s="1">
        <v>0.0</v>
      </c>
      <c r="X2328" s="1" t="s">
        <v>29</v>
      </c>
    </row>
    <row r="2329">
      <c r="A2329" s="3" t="str">
        <f>HYPERLINK("https://stackoverflow.com/q/40605620", "40605620")</f>
        <v>40605620</v>
      </c>
      <c r="B2329" s="1" t="s">
        <v>7613</v>
      </c>
      <c r="C2329" s="1" t="s">
        <v>8550</v>
      </c>
      <c r="D2329" s="2" t="s">
        <v>8551</v>
      </c>
      <c r="E2329" s="1">
        <v>1.0</v>
      </c>
      <c r="I2329" s="1">
        <v>1.0</v>
      </c>
      <c r="J2329" s="1">
        <v>200.0</v>
      </c>
      <c r="L2329" s="1">
        <v>4745154.0</v>
      </c>
      <c r="N2329" s="1">
        <v>4420967.0</v>
      </c>
      <c r="P2329" s="1" t="s">
        <v>8552</v>
      </c>
      <c r="Q2329" s="1" t="s">
        <v>8552</v>
      </c>
      <c r="R2329" s="1" t="s">
        <v>8553</v>
      </c>
      <c r="S2329" s="1">
        <v>1.0</v>
      </c>
      <c r="T2329" s="1">
        <v>0.0</v>
      </c>
      <c r="X2329" s="1" t="s">
        <v>29</v>
      </c>
    </row>
    <row r="2330">
      <c r="A2330" s="3" t="str">
        <f>HYPERLINK("https://stackoverflow.com/q/40775150", "40775150")</f>
        <v>40775150</v>
      </c>
      <c r="B2330" s="1" t="s">
        <v>7613</v>
      </c>
      <c r="C2330" s="1" t="s">
        <v>8554</v>
      </c>
      <c r="D2330" s="2" t="s">
        <v>8555</v>
      </c>
      <c r="E2330" s="1">
        <v>1.0</v>
      </c>
      <c r="I2330" s="1">
        <v>0.0</v>
      </c>
      <c r="J2330" s="1">
        <v>113.0</v>
      </c>
      <c r="L2330" s="1">
        <v>1723348.0</v>
      </c>
      <c r="Q2330" s="1" t="s">
        <v>8556</v>
      </c>
      <c r="R2330" s="1" t="s">
        <v>7688</v>
      </c>
      <c r="S2330" s="1">
        <v>1.0</v>
      </c>
      <c r="T2330" s="1">
        <v>0.0</v>
      </c>
      <c r="X2330" s="1" t="s">
        <v>29</v>
      </c>
    </row>
    <row r="2331">
      <c r="A2331" s="3" t="str">
        <f>HYPERLINK("https://stackoverflow.com/q/40844174", "40844174")</f>
        <v>40844174</v>
      </c>
      <c r="B2331" s="1" t="s">
        <v>7613</v>
      </c>
      <c r="C2331" s="1" t="s">
        <v>8557</v>
      </c>
      <c r="D2331" s="2" t="s">
        <v>8558</v>
      </c>
      <c r="E2331" s="1">
        <v>1.0</v>
      </c>
      <c r="I2331" s="1">
        <v>0.0</v>
      </c>
      <c r="J2331" s="1">
        <v>219.0</v>
      </c>
      <c r="L2331" s="1">
        <v>7219908.0</v>
      </c>
      <c r="N2331" s="1">
        <v>178163.0</v>
      </c>
      <c r="P2331" s="1" t="s">
        <v>8559</v>
      </c>
      <c r="Q2331" s="1" t="s">
        <v>8560</v>
      </c>
      <c r="R2331" s="1" t="s">
        <v>8561</v>
      </c>
      <c r="S2331" s="1">
        <v>2.0</v>
      </c>
      <c r="T2331" s="1">
        <v>0.0</v>
      </c>
      <c r="X2331" s="1" t="s">
        <v>29</v>
      </c>
    </row>
    <row r="2332">
      <c r="A2332" s="3" t="str">
        <f>HYPERLINK("https://stackoverflow.com/q/41063794", "41063794")</f>
        <v>41063794</v>
      </c>
      <c r="B2332" s="1" t="s">
        <v>7613</v>
      </c>
      <c r="C2332" s="1" t="s">
        <v>8562</v>
      </c>
      <c r="D2332" s="2" t="s">
        <v>8563</v>
      </c>
      <c r="E2332" s="1">
        <v>1.0</v>
      </c>
      <c r="I2332" s="1">
        <v>0.0</v>
      </c>
      <c r="J2332" s="1">
        <v>2899.0</v>
      </c>
      <c r="L2332" s="1">
        <v>3165854.0</v>
      </c>
      <c r="N2332" s="1">
        <v>3165854.0</v>
      </c>
      <c r="P2332" s="1" t="s">
        <v>8564</v>
      </c>
      <c r="Q2332" s="1" t="s">
        <v>8564</v>
      </c>
      <c r="R2332" s="1" t="s">
        <v>8565</v>
      </c>
      <c r="S2332" s="1">
        <v>0.0</v>
      </c>
      <c r="T2332" s="1">
        <v>0.0</v>
      </c>
      <c r="X2332" s="1" t="s">
        <v>29</v>
      </c>
    </row>
    <row r="2333">
      <c r="A2333" s="3" t="str">
        <f>HYPERLINK("https://stackoverflow.com/q/41201796", "41201796")</f>
        <v>41201796</v>
      </c>
      <c r="B2333" s="1" t="s">
        <v>7613</v>
      </c>
      <c r="C2333" s="1" t="s">
        <v>8566</v>
      </c>
      <c r="D2333" s="2" t="s">
        <v>8567</v>
      </c>
      <c r="E2333" s="1">
        <v>1.0</v>
      </c>
      <c r="I2333" s="1">
        <v>0.0</v>
      </c>
      <c r="J2333" s="1">
        <v>888.0</v>
      </c>
      <c r="L2333" s="1">
        <v>2133847.0</v>
      </c>
      <c r="N2333" s="1">
        <v>77409.0</v>
      </c>
      <c r="P2333" s="1" t="s">
        <v>8568</v>
      </c>
      <c r="Q2333" s="1" t="s">
        <v>8568</v>
      </c>
      <c r="R2333" s="1" t="s">
        <v>8321</v>
      </c>
      <c r="S2333" s="1">
        <v>0.0</v>
      </c>
      <c r="T2333" s="1">
        <v>2.0</v>
      </c>
      <c r="U2333" s="1">
        <v>1.0</v>
      </c>
      <c r="X2333" s="1" t="s">
        <v>29</v>
      </c>
    </row>
    <row r="2334">
      <c r="A2334" s="3" t="str">
        <f>HYPERLINK("https://stackoverflow.com/q/41277345", "41277345")</f>
        <v>41277345</v>
      </c>
      <c r="B2334" s="1" t="s">
        <v>7613</v>
      </c>
      <c r="C2334" s="1" t="s">
        <v>8569</v>
      </c>
      <c r="D2334" s="2" t="s">
        <v>8570</v>
      </c>
      <c r="E2334" s="1">
        <v>1.0</v>
      </c>
      <c r="I2334" s="1">
        <v>0.0</v>
      </c>
      <c r="J2334" s="1">
        <v>713.0</v>
      </c>
      <c r="L2334" s="1">
        <v>6891813.0</v>
      </c>
      <c r="N2334" s="1">
        <v>6891813.0</v>
      </c>
      <c r="P2334" s="1" t="s">
        <v>8571</v>
      </c>
      <c r="Q2334" s="1" t="s">
        <v>8571</v>
      </c>
      <c r="R2334" s="1" t="s">
        <v>8271</v>
      </c>
      <c r="S2334" s="1">
        <v>1.0</v>
      </c>
      <c r="T2334" s="1">
        <v>0.0</v>
      </c>
      <c r="X2334" s="1" t="s">
        <v>29</v>
      </c>
    </row>
    <row r="2335">
      <c r="A2335" s="3" t="str">
        <f>HYPERLINK("https://stackoverflow.com/q/41281189", "41281189")</f>
        <v>41281189</v>
      </c>
      <c r="B2335" s="1" t="s">
        <v>7613</v>
      </c>
      <c r="C2335" s="1" t="s">
        <v>8572</v>
      </c>
      <c r="D2335" s="2" t="s">
        <v>8573</v>
      </c>
      <c r="E2335" s="1">
        <v>1.0</v>
      </c>
      <c r="I2335" s="1">
        <v>2.0</v>
      </c>
      <c r="J2335" s="1">
        <v>484.0</v>
      </c>
      <c r="L2335" s="1">
        <v>7329887.0</v>
      </c>
      <c r="Q2335" s="1" t="s">
        <v>8572</v>
      </c>
      <c r="R2335" s="1" t="s">
        <v>8574</v>
      </c>
      <c r="S2335" s="1">
        <v>0.0</v>
      </c>
      <c r="T2335" s="1">
        <v>0.0</v>
      </c>
      <c r="X2335" s="1" t="s">
        <v>29</v>
      </c>
    </row>
    <row r="2336">
      <c r="A2336" s="3" t="str">
        <f>HYPERLINK("https://stackoverflow.com/q/41420363", "41420363")</f>
        <v>41420363</v>
      </c>
      <c r="B2336" s="1" t="s">
        <v>7613</v>
      </c>
      <c r="C2336" s="1" t="s">
        <v>8575</v>
      </c>
      <c r="D2336" s="2" t="s">
        <v>8576</v>
      </c>
      <c r="E2336" s="1">
        <v>1.0</v>
      </c>
      <c r="I2336" s="1">
        <v>0.0</v>
      </c>
      <c r="J2336" s="1">
        <v>511.0</v>
      </c>
      <c r="L2336" s="1">
        <v>4635242.0</v>
      </c>
      <c r="N2336" s="1">
        <v>4635242.0</v>
      </c>
      <c r="P2336" s="1" t="s">
        <v>8577</v>
      </c>
      <c r="Q2336" s="1" t="s">
        <v>8578</v>
      </c>
      <c r="R2336" s="1" t="s">
        <v>8579</v>
      </c>
      <c r="S2336" s="1">
        <v>1.0</v>
      </c>
      <c r="T2336" s="1">
        <v>0.0</v>
      </c>
      <c r="X2336" s="1" t="s">
        <v>29</v>
      </c>
    </row>
    <row r="2337">
      <c r="A2337" s="3" t="str">
        <f>HYPERLINK("https://stackoverflow.com/q/41438021", "41438021")</f>
        <v>41438021</v>
      </c>
      <c r="B2337" s="1" t="s">
        <v>7613</v>
      </c>
      <c r="C2337" s="1" t="s">
        <v>8580</v>
      </c>
      <c r="D2337" s="2" t="s">
        <v>8581</v>
      </c>
      <c r="E2337" s="1">
        <v>1.0</v>
      </c>
      <c r="F2337" s="1">
        <v>4.1438099E7</v>
      </c>
      <c r="I2337" s="1">
        <v>0.0</v>
      </c>
      <c r="J2337" s="1">
        <v>2377.0</v>
      </c>
      <c r="L2337" s="1">
        <v>1954835.0</v>
      </c>
      <c r="N2337" s="1">
        <v>1059101.0</v>
      </c>
      <c r="P2337" s="1" t="s">
        <v>8582</v>
      </c>
      <c r="Q2337" s="1" t="s">
        <v>8583</v>
      </c>
      <c r="R2337" s="1" t="s">
        <v>8584</v>
      </c>
      <c r="S2337" s="1">
        <v>1.0</v>
      </c>
      <c r="T2337" s="1">
        <v>3.0</v>
      </c>
      <c r="X2337" s="1" t="s">
        <v>29</v>
      </c>
      <c r="Z2337" s="1" t="s">
        <v>8583</v>
      </c>
    </row>
    <row r="2338">
      <c r="A2338" s="3" t="str">
        <f>HYPERLINK("https://stackoverflow.com/q/41542609", "41542609")</f>
        <v>41542609</v>
      </c>
      <c r="B2338" s="1" t="s">
        <v>7613</v>
      </c>
      <c r="C2338" s="1" t="s">
        <v>8585</v>
      </c>
      <c r="D2338" s="2" t="s">
        <v>8586</v>
      </c>
      <c r="E2338" s="1">
        <v>1.0</v>
      </c>
      <c r="I2338" s="1">
        <v>0.0</v>
      </c>
      <c r="J2338" s="1">
        <v>1750.0</v>
      </c>
      <c r="L2338" s="1">
        <v>2160924.0</v>
      </c>
      <c r="N2338" s="1">
        <v>1025328.0</v>
      </c>
      <c r="P2338" s="1" t="s">
        <v>8587</v>
      </c>
      <c r="Q2338" s="1" t="s">
        <v>8588</v>
      </c>
      <c r="R2338" s="1" t="s">
        <v>8412</v>
      </c>
      <c r="S2338" s="1">
        <v>1.0</v>
      </c>
      <c r="T2338" s="1">
        <v>0.0</v>
      </c>
      <c r="X2338" s="1" t="s">
        <v>29</v>
      </c>
    </row>
    <row r="2339">
      <c r="A2339" s="3" t="str">
        <f>HYPERLINK("https://stackoverflow.com/q/41574944", "41574944")</f>
        <v>41574944</v>
      </c>
      <c r="B2339" s="1" t="s">
        <v>7613</v>
      </c>
      <c r="C2339" s="1" t="s">
        <v>8589</v>
      </c>
      <c r="D2339" s="2" t="s">
        <v>8590</v>
      </c>
      <c r="E2339" s="1">
        <v>1.0</v>
      </c>
      <c r="I2339" s="1">
        <v>0.0</v>
      </c>
      <c r="J2339" s="1">
        <v>408.0</v>
      </c>
      <c r="L2339" s="1">
        <v>5658281.0</v>
      </c>
      <c r="N2339" s="1">
        <v>5156280.0</v>
      </c>
      <c r="P2339" s="1" t="s">
        <v>8591</v>
      </c>
      <c r="Q2339" s="1" t="s">
        <v>8592</v>
      </c>
      <c r="R2339" s="1" t="s">
        <v>8593</v>
      </c>
      <c r="S2339" s="1">
        <v>1.0</v>
      </c>
      <c r="T2339" s="1">
        <v>0.0</v>
      </c>
      <c r="X2339" s="1" t="s">
        <v>29</v>
      </c>
    </row>
    <row r="2340">
      <c r="A2340" s="3" t="str">
        <f>HYPERLINK("https://stackoverflow.com/q/41800137", "41800137")</f>
        <v>41800137</v>
      </c>
      <c r="B2340" s="1" t="s">
        <v>7613</v>
      </c>
      <c r="C2340" s="1" t="s">
        <v>8594</v>
      </c>
      <c r="D2340" s="2" t="s">
        <v>8595</v>
      </c>
      <c r="E2340" s="1">
        <v>1.0</v>
      </c>
      <c r="I2340" s="1">
        <v>0.0</v>
      </c>
      <c r="J2340" s="1">
        <v>566.0</v>
      </c>
      <c r="L2340" s="1">
        <v>7436906.0</v>
      </c>
      <c r="Q2340" s="1" t="s">
        <v>8596</v>
      </c>
      <c r="R2340" s="1" t="s">
        <v>8473</v>
      </c>
      <c r="S2340" s="1">
        <v>1.0</v>
      </c>
      <c r="T2340" s="1">
        <v>0.0</v>
      </c>
      <c r="X2340" s="1" t="s">
        <v>29</v>
      </c>
    </row>
    <row r="2341">
      <c r="A2341" s="3" t="str">
        <f>HYPERLINK("https://stackoverflow.com/q/41827855", "41827855")</f>
        <v>41827855</v>
      </c>
      <c r="B2341" s="1" t="s">
        <v>7613</v>
      </c>
      <c r="C2341" s="1" t="s">
        <v>8597</v>
      </c>
      <c r="D2341" s="2" t="s">
        <v>8598</v>
      </c>
      <c r="E2341" s="1">
        <v>1.0</v>
      </c>
      <c r="I2341" s="1">
        <v>0.0</v>
      </c>
      <c r="J2341" s="1">
        <v>919.0</v>
      </c>
      <c r="L2341" s="1">
        <v>1149919.0</v>
      </c>
      <c r="N2341" s="1">
        <v>1149919.0</v>
      </c>
      <c r="P2341" s="1" t="s">
        <v>8599</v>
      </c>
      <c r="Q2341" s="1" t="s">
        <v>8600</v>
      </c>
      <c r="R2341" s="1" t="s">
        <v>8601</v>
      </c>
      <c r="S2341" s="1">
        <v>1.0</v>
      </c>
      <c r="T2341" s="1">
        <v>4.0</v>
      </c>
      <c r="X2341" s="1" t="s">
        <v>29</v>
      </c>
    </row>
    <row r="2342">
      <c r="A2342" s="3" t="str">
        <f>HYPERLINK("https://stackoverflow.com/q/42024359", "42024359")</f>
        <v>42024359</v>
      </c>
      <c r="B2342" s="1" t="s">
        <v>7613</v>
      </c>
      <c r="C2342" s="1" t="s">
        <v>8602</v>
      </c>
      <c r="D2342" s="2" t="s">
        <v>8603</v>
      </c>
      <c r="E2342" s="1">
        <v>1.0</v>
      </c>
      <c r="I2342" s="1">
        <v>2.0</v>
      </c>
      <c r="J2342" s="1">
        <v>1736.0</v>
      </c>
      <c r="L2342" s="1">
        <v>7511230.0</v>
      </c>
      <c r="N2342" s="1">
        <v>4284627.0</v>
      </c>
      <c r="P2342" s="1" t="s">
        <v>8604</v>
      </c>
      <c r="Q2342" s="1" t="s">
        <v>8604</v>
      </c>
      <c r="R2342" s="1" t="s">
        <v>8605</v>
      </c>
      <c r="S2342" s="1">
        <v>0.0</v>
      </c>
      <c r="T2342" s="1">
        <v>0.0</v>
      </c>
      <c r="U2342" s="1">
        <v>1.0</v>
      </c>
      <c r="X2342" s="1" t="s">
        <v>29</v>
      </c>
    </row>
    <row r="2343">
      <c r="A2343" s="3" t="str">
        <f>HYPERLINK("https://stackoverflow.com/q/42053998", "42053998")</f>
        <v>42053998</v>
      </c>
      <c r="B2343" s="1" t="s">
        <v>7613</v>
      </c>
      <c r="C2343" s="1" t="s">
        <v>8606</v>
      </c>
      <c r="D2343" s="2" t="s">
        <v>8607</v>
      </c>
      <c r="E2343" s="1">
        <v>1.0</v>
      </c>
      <c r="F2343" s="1">
        <v>4.2334075E7</v>
      </c>
      <c r="I2343" s="1">
        <v>0.0</v>
      </c>
      <c r="J2343" s="1">
        <v>1449.0</v>
      </c>
      <c r="L2343" s="1">
        <v>130045.0</v>
      </c>
      <c r="N2343" s="1">
        <v>130045.0</v>
      </c>
      <c r="P2343" s="1" t="s">
        <v>8608</v>
      </c>
      <c r="Q2343" s="1" t="s">
        <v>8609</v>
      </c>
      <c r="R2343" s="1" t="s">
        <v>8321</v>
      </c>
      <c r="S2343" s="1">
        <v>1.0</v>
      </c>
      <c r="T2343" s="1">
        <v>0.0</v>
      </c>
      <c r="X2343" s="1" t="s">
        <v>29</v>
      </c>
      <c r="Z2343" s="1" t="s">
        <v>8610</v>
      </c>
    </row>
    <row r="2344">
      <c r="A2344" s="3" t="str">
        <f>HYPERLINK("https://stackoverflow.com/q/42106471", "42106471")</f>
        <v>42106471</v>
      </c>
      <c r="B2344" s="1" t="s">
        <v>7613</v>
      </c>
      <c r="C2344" s="1" t="s">
        <v>8611</v>
      </c>
      <c r="D2344" s="2" t="s">
        <v>8612</v>
      </c>
      <c r="E2344" s="1">
        <v>1.0</v>
      </c>
      <c r="I2344" s="1">
        <v>0.0</v>
      </c>
      <c r="J2344" s="1">
        <v>111.0</v>
      </c>
      <c r="L2344" s="1">
        <v>5895596.0</v>
      </c>
      <c r="Q2344" s="1" t="s">
        <v>8611</v>
      </c>
      <c r="R2344" s="1" t="s">
        <v>8613</v>
      </c>
      <c r="S2344" s="1">
        <v>0.0</v>
      </c>
      <c r="T2344" s="1">
        <v>8.0</v>
      </c>
      <c r="X2344" s="1" t="s">
        <v>29</v>
      </c>
    </row>
    <row r="2345">
      <c r="A2345" s="3" t="str">
        <f>HYPERLINK("https://stackoverflow.com/q/42148587", "42148587")</f>
        <v>42148587</v>
      </c>
      <c r="B2345" s="1" t="s">
        <v>7613</v>
      </c>
      <c r="C2345" s="1" t="s">
        <v>8614</v>
      </c>
      <c r="D2345" s="2" t="s">
        <v>8615</v>
      </c>
      <c r="E2345" s="1">
        <v>1.0</v>
      </c>
      <c r="I2345" s="1">
        <v>0.0</v>
      </c>
      <c r="J2345" s="1">
        <v>1305.0</v>
      </c>
      <c r="L2345" s="1">
        <v>7376331.0</v>
      </c>
      <c r="Q2345" s="1" t="s">
        <v>8616</v>
      </c>
      <c r="R2345" s="1" t="s">
        <v>8617</v>
      </c>
      <c r="S2345" s="1">
        <v>1.0</v>
      </c>
      <c r="T2345" s="1">
        <v>0.0</v>
      </c>
      <c r="X2345" s="1" t="s">
        <v>29</v>
      </c>
    </row>
    <row r="2346">
      <c r="A2346" s="3" t="str">
        <f>HYPERLINK("https://stackoverflow.com/q/42169656", "42169656")</f>
        <v>42169656</v>
      </c>
      <c r="B2346" s="1" t="s">
        <v>7613</v>
      </c>
      <c r="C2346" s="1" t="s">
        <v>8618</v>
      </c>
      <c r="D2346" s="2" t="s">
        <v>8619</v>
      </c>
      <c r="E2346" s="1">
        <v>1.0</v>
      </c>
      <c r="I2346" s="1">
        <v>1.0</v>
      </c>
      <c r="J2346" s="1">
        <v>1546.0</v>
      </c>
      <c r="L2346" s="1">
        <v>7376331.0</v>
      </c>
      <c r="N2346" s="1">
        <v>2349082.0</v>
      </c>
      <c r="P2346" s="1" t="s">
        <v>8620</v>
      </c>
      <c r="Q2346" s="1" t="s">
        <v>8621</v>
      </c>
      <c r="R2346" s="1" t="s">
        <v>8622</v>
      </c>
      <c r="S2346" s="1">
        <v>2.0</v>
      </c>
      <c r="T2346" s="1">
        <v>0.0</v>
      </c>
      <c r="X2346" s="1" t="s">
        <v>29</v>
      </c>
    </row>
    <row r="2347">
      <c r="A2347" s="3" t="str">
        <f>HYPERLINK("https://stackoverflow.com/q/42238738", "42238738")</f>
        <v>42238738</v>
      </c>
      <c r="B2347" s="1" t="s">
        <v>7613</v>
      </c>
      <c r="C2347" s="1" t="s">
        <v>8623</v>
      </c>
      <c r="D2347" s="2" t="s">
        <v>8624</v>
      </c>
      <c r="E2347" s="1">
        <v>1.0</v>
      </c>
      <c r="F2347" s="1">
        <v>4.2258002E7</v>
      </c>
      <c r="I2347" s="1">
        <v>0.0</v>
      </c>
      <c r="J2347" s="1">
        <v>448.0</v>
      </c>
      <c r="L2347" s="1">
        <v>537126.0</v>
      </c>
      <c r="N2347" s="1">
        <v>537126.0</v>
      </c>
      <c r="P2347" s="1" t="s">
        <v>8625</v>
      </c>
      <c r="Q2347" s="1" t="s">
        <v>8626</v>
      </c>
      <c r="R2347" s="1" t="s">
        <v>8627</v>
      </c>
      <c r="S2347" s="1">
        <v>3.0</v>
      </c>
      <c r="T2347" s="1">
        <v>1.0</v>
      </c>
      <c r="U2347" s="1">
        <v>1.0</v>
      </c>
      <c r="X2347" s="1" t="s">
        <v>29</v>
      </c>
      <c r="Z2347" s="1" t="s">
        <v>8626</v>
      </c>
    </row>
    <row r="2348">
      <c r="A2348" s="3" t="str">
        <f>HYPERLINK("https://stackoverflow.com/q/42277585", "42277585")</f>
        <v>42277585</v>
      </c>
      <c r="B2348" s="1" t="s">
        <v>7613</v>
      </c>
      <c r="C2348" s="1" t="s">
        <v>8628</v>
      </c>
      <c r="D2348" s="2" t="s">
        <v>8629</v>
      </c>
      <c r="E2348" s="1">
        <v>1.0</v>
      </c>
      <c r="I2348" s="1">
        <v>0.0</v>
      </c>
      <c r="J2348" s="1">
        <v>563.0</v>
      </c>
      <c r="L2348" s="1">
        <v>2932244.0</v>
      </c>
      <c r="N2348" s="1">
        <v>2932244.0</v>
      </c>
      <c r="P2348" s="1" t="s">
        <v>8630</v>
      </c>
      <c r="Q2348" s="1" t="s">
        <v>8631</v>
      </c>
      <c r="R2348" s="1" t="s">
        <v>8632</v>
      </c>
      <c r="S2348" s="1">
        <v>1.0</v>
      </c>
      <c r="T2348" s="1">
        <v>1.0</v>
      </c>
      <c r="X2348" s="1" t="s">
        <v>29</v>
      </c>
    </row>
    <row r="2349">
      <c r="A2349" s="3" t="str">
        <f>HYPERLINK("https://stackoverflow.com/q/42375516", "42375516")</f>
        <v>42375516</v>
      </c>
      <c r="B2349" s="1" t="s">
        <v>7613</v>
      </c>
      <c r="C2349" s="1" t="s">
        <v>8633</v>
      </c>
      <c r="D2349" s="2" t="s">
        <v>8634</v>
      </c>
      <c r="E2349" s="1">
        <v>1.0</v>
      </c>
      <c r="I2349" s="1">
        <v>0.0</v>
      </c>
      <c r="J2349" s="1">
        <v>50.0</v>
      </c>
      <c r="L2349" s="1">
        <v>5969990.0</v>
      </c>
      <c r="Q2349" s="1" t="s">
        <v>8635</v>
      </c>
      <c r="R2349" s="1" t="s">
        <v>7688</v>
      </c>
      <c r="S2349" s="1">
        <v>1.0</v>
      </c>
      <c r="T2349" s="1">
        <v>0.0</v>
      </c>
      <c r="X2349" s="1" t="s">
        <v>29</v>
      </c>
    </row>
    <row r="2350">
      <c r="A2350" s="3" t="str">
        <f>HYPERLINK("https://stackoverflow.com/q/42444198", "42444198")</f>
        <v>42444198</v>
      </c>
      <c r="B2350" s="1" t="s">
        <v>7613</v>
      </c>
      <c r="C2350" s="1" t="s">
        <v>8636</v>
      </c>
      <c r="D2350" s="2" t="s">
        <v>8637</v>
      </c>
      <c r="E2350" s="1">
        <v>1.0</v>
      </c>
      <c r="I2350" s="1">
        <v>0.0</v>
      </c>
      <c r="J2350" s="1">
        <v>942.0</v>
      </c>
      <c r="L2350" s="1">
        <v>1711717.0</v>
      </c>
      <c r="Q2350" s="1" t="s">
        <v>8638</v>
      </c>
      <c r="R2350" s="1" t="s">
        <v>8639</v>
      </c>
      <c r="S2350" s="1">
        <v>1.0</v>
      </c>
      <c r="T2350" s="1">
        <v>1.0</v>
      </c>
      <c r="X2350" s="1" t="s">
        <v>29</v>
      </c>
    </row>
    <row r="2351">
      <c r="A2351" s="3" t="str">
        <f>HYPERLINK("https://stackoverflow.com/q/42484228", "42484228")</f>
        <v>42484228</v>
      </c>
      <c r="B2351" s="1" t="s">
        <v>7613</v>
      </c>
      <c r="C2351" s="1" t="s">
        <v>8640</v>
      </c>
      <c r="D2351" s="2" t="s">
        <v>8641</v>
      </c>
      <c r="E2351" s="1">
        <v>1.0</v>
      </c>
      <c r="I2351" s="1">
        <v>1.0</v>
      </c>
      <c r="J2351" s="1">
        <v>56.0</v>
      </c>
      <c r="L2351" s="1">
        <v>7583339.0</v>
      </c>
      <c r="N2351" s="1">
        <v>63550.0</v>
      </c>
      <c r="P2351" s="1" t="s">
        <v>8642</v>
      </c>
      <c r="Q2351" s="1" t="s">
        <v>8643</v>
      </c>
      <c r="R2351" s="1" t="s">
        <v>8644</v>
      </c>
      <c r="S2351" s="1">
        <v>0.0</v>
      </c>
      <c r="T2351" s="1">
        <v>0.0</v>
      </c>
      <c r="U2351" s="1">
        <v>1.0</v>
      </c>
      <c r="X2351" s="1" t="s">
        <v>29</v>
      </c>
    </row>
    <row r="2352">
      <c r="A2352" s="3" t="str">
        <f>HYPERLINK("https://stackoverflow.com/q/42503229", "42503229")</f>
        <v>42503229</v>
      </c>
      <c r="B2352" s="1" t="s">
        <v>7613</v>
      </c>
      <c r="C2352" s="1" t="s">
        <v>8645</v>
      </c>
      <c r="D2352" s="2" t="s">
        <v>8646</v>
      </c>
      <c r="E2352" s="1">
        <v>1.0</v>
      </c>
      <c r="I2352" s="1">
        <v>1.0</v>
      </c>
      <c r="J2352" s="1">
        <v>215.0</v>
      </c>
      <c r="L2352" s="1">
        <v>7366253.0</v>
      </c>
      <c r="Q2352" s="1" t="s">
        <v>8647</v>
      </c>
      <c r="R2352" s="1" t="s">
        <v>8648</v>
      </c>
      <c r="S2352" s="1">
        <v>1.0</v>
      </c>
      <c r="T2352" s="1">
        <v>1.0</v>
      </c>
      <c r="X2352" s="1" t="s">
        <v>29</v>
      </c>
    </row>
    <row r="2353">
      <c r="A2353" s="3" t="str">
        <f>HYPERLINK("https://stackoverflow.com/q/42577224", "42577224")</f>
        <v>42577224</v>
      </c>
      <c r="B2353" s="1" t="s">
        <v>7613</v>
      </c>
      <c r="C2353" s="1" t="s">
        <v>8649</v>
      </c>
      <c r="D2353" s="2" t="s">
        <v>8650</v>
      </c>
      <c r="E2353" s="1">
        <v>1.0</v>
      </c>
      <c r="I2353" s="1">
        <v>0.0</v>
      </c>
      <c r="J2353" s="1">
        <v>728.0</v>
      </c>
      <c r="L2353" s="1">
        <v>7603377.0</v>
      </c>
      <c r="N2353" s="1">
        <v>7603377.0</v>
      </c>
      <c r="P2353" s="1" t="s">
        <v>8651</v>
      </c>
      <c r="Q2353" s="1" t="s">
        <v>8651</v>
      </c>
      <c r="R2353" s="1" t="s">
        <v>8652</v>
      </c>
      <c r="S2353" s="1">
        <v>0.0</v>
      </c>
      <c r="T2353" s="1">
        <v>4.0</v>
      </c>
      <c r="X2353" s="1" t="s">
        <v>29</v>
      </c>
    </row>
    <row r="2354">
      <c r="A2354" s="3" t="str">
        <f>HYPERLINK("https://stackoverflow.com/q/42642927", "42642927")</f>
        <v>42642927</v>
      </c>
      <c r="B2354" s="1" t="s">
        <v>7613</v>
      </c>
      <c r="C2354" s="1" t="s">
        <v>8653</v>
      </c>
      <c r="D2354" s="2" t="s">
        <v>8654</v>
      </c>
      <c r="E2354" s="1">
        <v>1.0</v>
      </c>
      <c r="I2354" s="1">
        <v>0.0</v>
      </c>
      <c r="J2354" s="1">
        <v>56.0</v>
      </c>
      <c r="L2354" s="1">
        <v>7301982.0</v>
      </c>
      <c r="N2354" s="1">
        <v>1544715.0</v>
      </c>
      <c r="P2354" s="1" t="s">
        <v>8655</v>
      </c>
      <c r="Q2354" s="1" t="s">
        <v>8655</v>
      </c>
      <c r="R2354" s="1" t="s">
        <v>8412</v>
      </c>
      <c r="S2354" s="1">
        <v>2.0</v>
      </c>
      <c r="T2354" s="1">
        <v>0.0</v>
      </c>
      <c r="X2354" s="1" t="s">
        <v>29</v>
      </c>
    </row>
    <row r="2355">
      <c r="A2355" s="3" t="str">
        <f>HYPERLINK("https://stackoverflow.com/q/42658036", "42658036")</f>
        <v>42658036</v>
      </c>
      <c r="B2355" s="1" t="s">
        <v>7613</v>
      </c>
      <c r="C2355" s="1" t="s">
        <v>8656</v>
      </c>
      <c r="D2355" s="2" t="s">
        <v>8657</v>
      </c>
      <c r="E2355" s="1">
        <v>1.0</v>
      </c>
      <c r="I2355" s="1">
        <v>0.0</v>
      </c>
      <c r="J2355" s="1">
        <v>22.0</v>
      </c>
      <c r="L2355" s="1">
        <v>1904306.0</v>
      </c>
      <c r="Q2355" s="1" t="s">
        <v>8658</v>
      </c>
      <c r="R2355" s="1" t="s">
        <v>7688</v>
      </c>
      <c r="S2355" s="1">
        <v>1.0</v>
      </c>
      <c r="T2355" s="1">
        <v>2.0</v>
      </c>
      <c r="X2355" s="1" t="s">
        <v>29</v>
      </c>
    </row>
    <row r="2356">
      <c r="A2356" s="3" t="str">
        <f>HYPERLINK("https://stackoverflow.com/q/42784576", "42784576")</f>
        <v>42784576</v>
      </c>
      <c r="B2356" s="1" t="s">
        <v>7613</v>
      </c>
      <c r="C2356" s="1" t="s">
        <v>8659</v>
      </c>
      <c r="D2356" s="2" t="s">
        <v>8660</v>
      </c>
      <c r="E2356" s="1">
        <v>1.0</v>
      </c>
      <c r="I2356" s="1">
        <v>0.0</v>
      </c>
      <c r="J2356" s="1">
        <v>843.0</v>
      </c>
      <c r="L2356" s="1">
        <v>7366253.0</v>
      </c>
      <c r="N2356" s="1">
        <v>-1.0</v>
      </c>
      <c r="P2356" s="1" t="s">
        <v>8661</v>
      </c>
      <c r="Q2356" s="1" t="s">
        <v>8662</v>
      </c>
      <c r="R2356" s="1" t="s">
        <v>8663</v>
      </c>
      <c r="S2356" s="1">
        <v>1.0</v>
      </c>
      <c r="T2356" s="1">
        <v>0.0</v>
      </c>
      <c r="X2356" s="1" t="s">
        <v>29</v>
      </c>
    </row>
    <row r="2357">
      <c r="A2357" s="3" t="str">
        <f>HYPERLINK("https://stackoverflow.com/q/42809056", "42809056")</f>
        <v>42809056</v>
      </c>
      <c r="B2357" s="1" t="s">
        <v>7613</v>
      </c>
      <c r="C2357" s="1" t="s">
        <v>8664</v>
      </c>
      <c r="D2357" s="2" t="s">
        <v>8665</v>
      </c>
      <c r="E2357" s="1">
        <v>1.0</v>
      </c>
      <c r="I2357" s="1">
        <v>1.0</v>
      </c>
      <c r="J2357" s="1">
        <v>103.0</v>
      </c>
      <c r="L2357" s="1">
        <v>3839295.0</v>
      </c>
      <c r="Q2357" s="1" t="s">
        <v>8664</v>
      </c>
      <c r="R2357" s="1" t="s">
        <v>8666</v>
      </c>
      <c r="S2357" s="1">
        <v>0.0</v>
      </c>
      <c r="T2357" s="1">
        <v>0.0</v>
      </c>
      <c r="X2357" s="1" t="s">
        <v>29</v>
      </c>
    </row>
    <row r="2358">
      <c r="A2358" s="3" t="str">
        <f>HYPERLINK("https://stackoverflow.com/q/42908516", "42908516")</f>
        <v>42908516</v>
      </c>
      <c r="B2358" s="1" t="s">
        <v>7613</v>
      </c>
      <c r="C2358" s="1" t="s">
        <v>8667</v>
      </c>
      <c r="D2358" s="2" t="s">
        <v>8668</v>
      </c>
      <c r="E2358" s="1">
        <v>1.0</v>
      </c>
      <c r="I2358" s="1">
        <v>1.0</v>
      </c>
      <c r="J2358" s="1">
        <v>140.0</v>
      </c>
      <c r="L2358" s="1">
        <v>7366253.0</v>
      </c>
      <c r="Q2358" s="1" t="s">
        <v>8669</v>
      </c>
      <c r="R2358" s="1" t="s">
        <v>8670</v>
      </c>
      <c r="S2358" s="1">
        <v>2.0</v>
      </c>
      <c r="T2358" s="1">
        <v>0.0</v>
      </c>
      <c r="X2358" s="1" t="s">
        <v>29</v>
      </c>
    </row>
    <row r="2359">
      <c r="A2359" s="3" t="str">
        <f>HYPERLINK("https://stackoverflow.com/q/42959530", "42959530")</f>
        <v>42959530</v>
      </c>
      <c r="B2359" s="1" t="s">
        <v>7613</v>
      </c>
      <c r="C2359" s="1" t="s">
        <v>8671</v>
      </c>
      <c r="D2359" s="2" t="s">
        <v>8672</v>
      </c>
      <c r="E2359" s="1">
        <v>1.0</v>
      </c>
      <c r="I2359" s="1">
        <v>0.0</v>
      </c>
      <c r="J2359" s="1">
        <v>472.0</v>
      </c>
      <c r="L2359" s="1">
        <v>393978.0</v>
      </c>
      <c r="Q2359" s="1" t="s">
        <v>8673</v>
      </c>
      <c r="R2359" s="1" t="s">
        <v>8674</v>
      </c>
      <c r="S2359" s="1">
        <v>1.0</v>
      </c>
      <c r="T2359" s="1">
        <v>0.0</v>
      </c>
      <c r="X2359" s="1" t="s">
        <v>29</v>
      </c>
    </row>
    <row r="2360">
      <c r="A2360" s="3" t="str">
        <f>HYPERLINK("https://stackoverflow.com/q/43061699", "43061699")</f>
        <v>43061699</v>
      </c>
      <c r="B2360" s="1" t="s">
        <v>7613</v>
      </c>
      <c r="C2360" s="1" t="s">
        <v>8675</v>
      </c>
      <c r="D2360" s="2" t="s">
        <v>8676</v>
      </c>
      <c r="E2360" s="1">
        <v>1.0</v>
      </c>
      <c r="I2360" s="1">
        <v>0.0</v>
      </c>
      <c r="J2360" s="1">
        <v>68.0</v>
      </c>
      <c r="L2360" s="1">
        <v>2615241.0</v>
      </c>
      <c r="Q2360" s="1" t="s">
        <v>8675</v>
      </c>
      <c r="R2360" s="1" t="s">
        <v>8677</v>
      </c>
      <c r="S2360" s="1">
        <v>0.0</v>
      </c>
      <c r="T2360" s="1">
        <v>3.0</v>
      </c>
      <c r="X2360" s="1" t="s">
        <v>29</v>
      </c>
    </row>
    <row r="2361">
      <c r="A2361" s="3" t="str">
        <f>HYPERLINK("https://stackoverflow.com/q/43096166", "43096166")</f>
        <v>43096166</v>
      </c>
      <c r="B2361" s="1" t="s">
        <v>7613</v>
      </c>
      <c r="C2361" s="1" t="s">
        <v>8678</v>
      </c>
      <c r="D2361" s="2" t="s">
        <v>8679</v>
      </c>
      <c r="E2361" s="1">
        <v>1.0</v>
      </c>
      <c r="I2361" s="1">
        <v>0.0</v>
      </c>
      <c r="J2361" s="1">
        <v>3888.0</v>
      </c>
      <c r="L2361" s="1">
        <v>3378683.0</v>
      </c>
      <c r="Q2361" s="1" t="s">
        <v>8680</v>
      </c>
      <c r="R2361" s="1" t="s">
        <v>8321</v>
      </c>
      <c r="S2361" s="1">
        <v>2.0</v>
      </c>
      <c r="T2361" s="1">
        <v>0.0</v>
      </c>
      <c r="X2361" s="1" t="s">
        <v>29</v>
      </c>
    </row>
    <row r="2362">
      <c r="A2362" s="3" t="str">
        <f>HYPERLINK("https://stackoverflow.com/q/43164321", "43164321")</f>
        <v>43164321</v>
      </c>
      <c r="B2362" s="1" t="s">
        <v>7613</v>
      </c>
      <c r="C2362" s="1" t="s">
        <v>8681</v>
      </c>
      <c r="D2362" s="2" t="s">
        <v>8682</v>
      </c>
      <c r="E2362" s="1">
        <v>1.0</v>
      </c>
      <c r="I2362" s="1">
        <v>0.0</v>
      </c>
      <c r="J2362" s="1">
        <v>282.0</v>
      </c>
      <c r="L2362" s="1">
        <v>4481703.0</v>
      </c>
      <c r="Q2362" s="1" t="s">
        <v>8681</v>
      </c>
      <c r="R2362" s="1" t="s">
        <v>8683</v>
      </c>
      <c r="S2362" s="1">
        <v>0.0</v>
      </c>
      <c r="T2362" s="1">
        <v>2.0</v>
      </c>
      <c r="X2362" s="1" t="s">
        <v>29</v>
      </c>
    </row>
    <row r="2363">
      <c r="A2363" s="3" t="str">
        <f>HYPERLINK("https://stackoverflow.com/q/43261170", "43261170")</f>
        <v>43261170</v>
      </c>
      <c r="B2363" s="1" t="s">
        <v>7613</v>
      </c>
      <c r="C2363" s="1" t="s">
        <v>8684</v>
      </c>
      <c r="D2363" s="2" t="s">
        <v>8685</v>
      </c>
      <c r="E2363" s="1">
        <v>1.0</v>
      </c>
      <c r="F2363" s="1">
        <v>4.3264152E7</v>
      </c>
      <c r="I2363" s="1">
        <v>0.0</v>
      </c>
      <c r="J2363" s="1">
        <v>3783.0</v>
      </c>
      <c r="L2363" s="1">
        <v>7828060.0</v>
      </c>
      <c r="Q2363" s="1" t="s">
        <v>8686</v>
      </c>
      <c r="R2363" s="1" t="s">
        <v>8687</v>
      </c>
      <c r="S2363" s="1">
        <v>1.0</v>
      </c>
      <c r="T2363" s="1">
        <v>0.0</v>
      </c>
      <c r="X2363" s="1" t="s">
        <v>29</v>
      </c>
      <c r="Z2363" s="1" t="s">
        <v>8686</v>
      </c>
    </row>
    <row r="2364">
      <c r="A2364" s="3" t="str">
        <f>HYPERLINK("https://stackoverflow.com/q/43317136", "43317136")</f>
        <v>43317136</v>
      </c>
      <c r="B2364" s="1" t="s">
        <v>7613</v>
      </c>
      <c r="C2364" s="1" t="s">
        <v>8688</v>
      </c>
      <c r="D2364" s="2" t="s">
        <v>8689</v>
      </c>
      <c r="E2364" s="1">
        <v>1.0</v>
      </c>
      <c r="I2364" s="1">
        <v>1.0</v>
      </c>
      <c r="J2364" s="1">
        <v>978.0</v>
      </c>
      <c r="L2364" s="1">
        <v>4171201.0</v>
      </c>
      <c r="N2364" s="1">
        <v>4171201.0</v>
      </c>
      <c r="P2364" s="1" t="s">
        <v>8690</v>
      </c>
      <c r="Q2364" s="1" t="s">
        <v>8691</v>
      </c>
      <c r="R2364" s="1" t="s">
        <v>8692</v>
      </c>
      <c r="S2364" s="1">
        <v>0.0</v>
      </c>
      <c r="T2364" s="1">
        <v>0.0</v>
      </c>
      <c r="U2364" s="1">
        <v>2.0</v>
      </c>
      <c r="X2364" s="1" t="s">
        <v>29</v>
      </c>
    </row>
    <row r="2365">
      <c r="A2365" s="3" t="str">
        <f>HYPERLINK("https://stackoverflow.com/q/43332875", "43332875")</f>
        <v>43332875</v>
      </c>
      <c r="B2365" s="1" t="s">
        <v>7613</v>
      </c>
      <c r="C2365" s="1" t="s">
        <v>8693</v>
      </c>
      <c r="D2365" s="2" t="s">
        <v>8694</v>
      </c>
      <c r="E2365" s="1">
        <v>1.0</v>
      </c>
      <c r="F2365" s="1">
        <v>4.3342104E7</v>
      </c>
      <c r="I2365" s="1">
        <v>0.0</v>
      </c>
      <c r="J2365" s="1">
        <v>1112.0</v>
      </c>
      <c r="L2365" s="1">
        <v>894671.0</v>
      </c>
      <c r="Q2365" s="1" t="s">
        <v>8695</v>
      </c>
      <c r="R2365" s="1" t="s">
        <v>8696</v>
      </c>
      <c r="S2365" s="1">
        <v>1.0</v>
      </c>
      <c r="T2365" s="1">
        <v>0.0</v>
      </c>
      <c r="U2365" s="1">
        <v>1.0</v>
      </c>
      <c r="X2365" s="1" t="s">
        <v>29</v>
      </c>
      <c r="Z2365" s="1" t="s">
        <v>8697</v>
      </c>
    </row>
    <row r="2366">
      <c r="A2366" s="3" t="str">
        <f>HYPERLINK("https://stackoverflow.com/q/43454540", "43454540")</f>
        <v>43454540</v>
      </c>
      <c r="B2366" s="1" t="s">
        <v>7613</v>
      </c>
      <c r="C2366" s="1" t="s">
        <v>8698</v>
      </c>
      <c r="D2366" s="2" t="s">
        <v>8699</v>
      </c>
      <c r="E2366" s="1">
        <v>1.0</v>
      </c>
      <c r="I2366" s="1">
        <v>0.0</v>
      </c>
      <c r="J2366" s="1">
        <v>564.0</v>
      </c>
      <c r="L2366" s="1">
        <v>4522773.0</v>
      </c>
      <c r="Q2366" s="1" t="s">
        <v>8700</v>
      </c>
      <c r="R2366" s="1" t="s">
        <v>8701</v>
      </c>
      <c r="S2366" s="1">
        <v>1.0</v>
      </c>
      <c r="T2366" s="1">
        <v>0.0</v>
      </c>
      <c r="X2366" s="1" t="s">
        <v>29</v>
      </c>
    </row>
    <row r="2367">
      <c r="A2367" s="3" t="str">
        <f>HYPERLINK("https://stackoverflow.com/q/43462940", "43462940")</f>
        <v>43462940</v>
      </c>
      <c r="B2367" s="1" t="s">
        <v>7613</v>
      </c>
      <c r="C2367" s="1" t="s">
        <v>8702</v>
      </c>
      <c r="D2367" s="2" t="s">
        <v>8703</v>
      </c>
      <c r="E2367" s="1">
        <v>1.0</v>
      </c>
      <c r="F2367" s="1">
        <v>4.3469841E7</v>
      </c>
      <c r="I2367" s="1">
        <v>0.0</v>
      </c>
      <c r="J2367" s="1">
        <v>834.0</v>
      </c>
      <c r="L2367" s="1">
        <v>4428031.0</v>
      </c>
      <c r="Q2367" s="1" t="s">
        <v>8704</v>
      </c>
      <c r="R2367" s="1" t="s">
        <v>8705</v>
      </c>
      <c r="S2367" s="1">
        <v>1.0</v>
      </c>
      <c r="T2367" s="1">
        <v>0.0</v>
      </c>
      <c r="X2367" s="1" t="s">
        <v>29</v>
      </c>
      <c r="Z2367" s="1" t="s">
        <v>8704</v>
      </c>
    </row>
    <row r="2368">
      <c r="A2368" s="3" t="str">
        <f>HYPERLINK("https://stackoverflow.com/q/43535377", "43535377")</f>
        <v>43535377</v>
      </c>
      <c r="B2368" s="1" t="s">
        <v>7613</v>
      </c>
      <c r="C2368" s="1" t="s">
        <v>8706</v>
      </c>
      <c r="D2368" s="2" t="s">
        <v>8707</v>
      </c>
      <c r="E2368" s="1">
        <v>1.0</v>
      </c>
      <c r="I2368" s="1">
        <v>0.0</v>
      </c>
      <c r="J2368" s="1">
        <v>5718.0</v>
      </c>
      <c r="L2368" s="1">
        <v>7645001.0</v>
      </c>
      <c r="N2368" s="1">
        <v>7645001.0</v>
      </c>
      <c r="P2368" s="1" t="s">
        <v>8708</v>
      </c>
      <c r="Q2368" s="1" t="s">
        <v>8709</v>
      </c>
      <c r="R2368" s="1" t="s">
        <v>8710</v>
      </c>
      <c r="S2368" s="1">
        <v>2.0</v>
      </c>
      <c r="T2368" s="1">
        <v>3.0</v>
      </c>
      <c r="X2368" s="1" t="s">
        <v>29</v>
      </c>
    </row>
    <row r="2369">
      <c r="A2369" s="3" t="str">
        <f>HYPERLINK("https://stackoverflow.com/q/43549104", "43549104")</f>
        <v>43549104</v>
      </c>
      <c r="B2369" s="1" t="s">
        <v>7613</v>
      </c>
      <c r="C2369" s="1" t="s">
        <v>8711</v>
      </c>
      <c r="D2369" s="2" t="s">
        <v>8712</v>
      </c>
      <c r="E2369" s="1">
        <v>1.0</v>
      </c>
      <c r="F2369" s="1">
        <v>4.3875715E7</v>
      </c>
      <c r="I2369" s="1">
        <v>0.0</v>
      </c>
      <c r="J2369" s="1">
        <v>1891.0</v>
      </c>
      <c r="M2369" s="1" t="s">
        <v>8713</v>
      </c>
      <c r="O2369" s="1" t="s">
        <v>8713</v>
      </c>
      <c r="P2369" s="1" t="s">
        <v>8714</v>
      </c>
      <c r="Q2369" s="1" t="s">
        <v>8714</v>
      </c>
      <c r="R2369" s="1" t="s">
        <v>8715</v>
      </c>
      <c r="S2369" s="1">
        <v>2.0</v>
      </c>
      <c r="T2369" s="1">
        <v>0.0</v>
      </c>
      <c r="X2369" s="1" t="s">
        <v>29</v>
      </c>
      <c r="Z2369" s="1" t="s">
        <v>8716</v>
      </c>
    </row>
    <row r="2370">
      <c r="A2370" s="3" t="str">
        <f>HYPERLINK("https://stackoverflow.com/q/43589592", "43589592")</f>
        <v>43589592</v>
      </c>
      <c r="B2370" s="1" t="s">
        <v>7613</v>
      </c>
      <c r="C2370" s="1" t="s">
        <v>8717</v>
      </c>
      <c r="D2370" s="2" t="s">
        <v>8718</v>
      </c>
      <c r="E2370" s="1">
        <v>1.0</v>
      </c>
      <c r="I2370" s="1">
        <v>0.0</v>
      </c>
      <c r="J2370" s="1">
        <v>590.0</v>
      </c>
      <c r="L2370" s="1">
        <v>7913904.0</v>
      </c>
      <c r="Q2370" s="1" t="s">
        <v>8719</v>
      </c>
      <c r="R2370" s="1" t="s">
        <v>8561</v>
      </c>
      <c r="S2370" s="1">
        <v>2.0</v>
      </c>
      <c r="T2370" s="1">
        <v>0.0</v>
      </c>
      <c r="X2370" s="1" t="s">
        <v>29</v>
      </c>
    </row>
    <row r="2371">
      <c r="A2371" s="3" t="str">
        <f>HYPERLINK("https://stackoverflow.com/q/43655581", "43655581")</f>
        <v>43655581</v>
      </c>
      <c r="B2371" s="1" t="s">
        <v>7613</v>
      </c>
      <c r="C2371" s="1" t="s">
        <v>8720</v>
      </c>
      <c r="D2371" s="2" t="s">
        <v>8721</v>
      </c>
      <c r="E2371" s="1">
        <v>1.0</v>
      </c>
      <c r="I2371" s="1">
        <v>0.0</v>
      </c>
      <c r="J2371" s="1">
        <v>3514.0</v>
      </c>
      <c r="L2371" s="1">
        <v>5110770.0</v>
      </c>
      <c r="Q2371" s="1" t="s">
        <v>8722</v>
      </c>
      <c r="R2371" s="1" t="s">
        <v>8723</v>
      </c>
      <c r="S2371" s="1">
        <v>1.0</v>
      </c>
      <c r="T2371" s="1">
        <v>0.0</v>
      </c>
      <c r="X2371" s="1" t="s">
        <v>29</v>
      </c>
    </row>
    <row r="2372">
      <c r="A2372" s="3" t="str">
        <f>HYPERLINK("https://stackoverflow.com/q/43733425", "43733425")</f>
        <v>43733425</v>
      </c>
      <c r="B2372" s="1" t="s">
        <v>7613</v>
      </c>
      <c r="C2372" s="1" t="s">
        <v>8724</v>
      </c>
      <c r="D2372" s="2" t="s">
        <v>8725</v>
      </c>
      <c r="E2372" s="1">
        <v>1.0</v>
      </c>
      <c r="I2372" s="1">
        <v>0.0</v>
      </c>
      <c r="J2372" s="1">
        <v>231.0</v>
      </c>
      <c r="L2372" s="1">
        <v>4630703.0</v>
      </c>
      <c r="N2372" s="1">
        <v>4630703.0</v>
      </c>
      <c r="P2372" s="1" t="s">
        <v>8726</v>
      </c>
      <c r="Q2372" s="1" t="s">
        <v>8727</v>
      </c>
      <c r="R2372" s="1" t="s">
        <v>8728</v>
      </c>
      <c r="S2372" s="1">
        <v>1.0</v>
      </c>
      <c r="T2372" s="1">
        <v>0.0</v>
      </c>
      <c r="X2372" s="1" t="s">
        <v>29</v>
      </c>
    </row>
    <row r="2373">
      <c r="A2373" s="3" t="str">
        <f>HYPERLINK("https://stackoverflow.com/q/43734104", "43734104")</f>
        <v>43734104</v>
      </c>
      <c r="B2373" s="1" t="s">
        <v>7613</v>
      </c>
      <c r="C2373" s="1" t="s">
        <v>8729</v>
      </c>
      <c r="D2373" s="2" t="s">
        <v>8730</v>
      </c>
      <c r="E2373" s="1">
        <v>1.0</v>
      </c>
      <c r="F2373" s="1">
        <v>4.5004786E7</v>
      </c>
      <c r="I2373" s="1">
        <v>0.0</v>
      </c>
      <c r="J2373" s="1">
        <v>910.0</v>
      </c>
      <c r="L2373" s="1">
        <v>7645001.0</v>
      </c>
      <c r="Q2373" s="1" t="s">
        <v>8731</v>
      </c>
      <c r="R2373" s="1" t="s">
        <v>8710</v>
      </c>
      <c r="S2373" s="1">
        <v>1.0</v>
      </c>
      <c r="T2373" s="1">
        <v>0.0</v>
      </c>
      <c r="X2373" s="1" t="s">
        <v>29</v>
      </c>
      <c r="Z2373" s="1" t="s">
        <v>8732</v>
      </c>
    </row>
    <row r="2374">
      <c r="A2374" s="3" t="str">
        <f>HYPERLINK("https://stackoverflow.com/q/43737787", "43737787")</f>
        <v>43737787</v>
      </c>
      <c r="B2374" s="1" t="s">
        <v>7613</v>
      </c>
      <c r="C2374" s="1" t="s">
        <v>8733</v>
      </c>
      <c r="D2374" s="2" t="s">
        <v>8734</v>
      </c>
      <c r="E2374" s="1">
        <v>1.0</v>
      </c>
      <c r="I2374" s="1">
        <v>0.0</v>
      </c>
      <c r="J2374" s="1">
        <v>884.0</v>
      </c>
      <c r="L2374" s="1">
        <v>5315934.0</v>
      </c>
      <c r="Q2374" s="1" t="s">
        <v>8733</v>
      </c>
      <c r="R2374" s="1" t="s">
        <v>8735</v>
      </c>
      <c r="S2374" s="1">
        <v>0.0</v>
      </c>
      <c r="T2374" s="1">
        <v>2.0</v>
      </c>
      <c r="X2374" s="1" t="s">
        <v>29</v>
      </c>
    </row>
    <row r="2375">
      <c r="A2375" s="3" t="str">
        <f>HYPERLINK("https://stackoverflow.com/q/44041037", "44041037")</f>
        <v>44041037</v>
      </c>
      <c r="B2375" s="1" t="s">
        <v>7613</v>
      </c>
      <c r="C2375" s="1" t="s">
        <v>8736</v>
      </c>
      <c r="D2375" s="2" t="s">
        <v>8737</v>
      </c>
      <c r="E2375" s="1">
        <v>1.0</v>
      </c>
      <c r="I2375" s="1">
        <v>1.0</v>
      </c>
      <c r="J2375" s="1">
        <v>83.0</v>
      </c>
      <c r="L2375" s="1">
        <v>2523714.0</v>
      </c>
      <c r="Q2375" s="1" t="s">
        <v>8736</v>
      </c>
      <c r="R2375" s="1" t="s">
        <v>8418</v>
      </c>
      <c r="S2375" s="1">
        <v>0.0</v>
      </c>
      <c r="T2375" s="1">
        <v>0.0</v>
      </c>
      <c r="U2375" s="1">
        <v>3.0</v>
      </c>
      <c r="X2375" s="1" t="s">
        <v>29</v>
      </c>
    </row>
    <row r="2376">
      <c r="A2376" s="3" t="str">
        <f>HYPERLINK("https://stackoverflow.com/q/44131065", "44131065")</f>
        <v>44131065</v>
      </c>
      <c r="B2376" s="1" t="s">
        <v>7613</v>
      </c>
      <c r="C2376" s="1" t="s">
        <v>8738</v>
      </c>
      <c r="D2376" s="2" t="s">
        <v>8739</v>
      </c>
      <c r="E2376" s="1">
        <v>1.0</v>
      </c>
      <c r="I2376" s="1">
        <v>0.0</v>
      </c>
      <c r="J2376" s="1">
        <v>6909.0</v>
      </c>
      <c r="L2376" s="1">
        <v>8013276.0</v>
      </c>
      <c r="N2376" s="1">
        <v>8013276.0</v>
      </c>
      <c r="P2376" s="1" t="s">
        <v>8740</v>
      </c>
      <c r="Q2376" s="1" t="s">
        <v>8741</v>
      </c>
      <c r="R2376" s="1" t="s">
        <v>8742</v>
      </c>
      <c r="S2376" s="1">
        <v>4.0</v>
      </c>
      <c r="T2376" s="1">
        <v>2.0</v>
      </c>
      <c r="U2376" s="1">
        <v>1.0</v>
      </c>
      <c r="X2376" s="1" t="s">
        <v>29</v>
      </c>
    </row>
    <row r="2377">
      <c r="A2377" s="3" t="str">
        <f>HYPERLINK("https://stackoverflow.com/q/44233707", "44233707")</f>
        <v>44233707</v>
      </c>
      <c r="B2377" s="1" t="s">
        <v>7613</v>
      </c>
      <c r="C2377" s="1" t="s">
        <v>8743</v>
      </c>
      <c r="D2377" s="2" t="s">
        <v>8744</v>
      </c>
      <c r="E2377" s="1">
        <v>1.0</v>
      </c>
      <c r="F2377" s="1">
        <v>4.4257006E7</v>
      </c>
      <c r="I2377" s="1">
        <v>1.0</v>
      </c>
      <c r="J2377" s="1">
        <v>12439.0</v>
      </c>
      <c r="L2377" s="1">
        <v>5449509.0</v>
      </c>
      <c r="N2377" s="1">
        <v>5906789.0</v>
      </c>
      <c r="P2377" s="1" t="s">
        <v>8745</v>
      </c>
      <c r="Q2377" s="1" t="s">
        <v>8746</v>
      </c>
      <c r="R2377" s="1" t="s">
        <v>8321</v>
      </c>
      <c r="S2377" s="1">
        <v>2.0</v>
      </c>
      <c r="T2377" s="1">
        <v>0.0</v>
      </c>
      <c r="U2377" s="1">
        <v>1.0</v>
      </c>
      <c r="X2377" s="1" t="s">
        <v>29</v>
      </c>
      <c r="Z2377" s="1" t="s">
        <v>8747</v>
      </c>
    </row>
    <row r="2378">
      <c r="A2378" s="3" t="str">
        <f>HYPERLINK("https://stackoverflow.com/q/44366011", "44366011")</f>
        <v>44366011</v>
      </c>
      <c r="B2378" s="1" t="s">
        <v>7613</v>
      </c>
      <c r="C2378" s="1" t="s">
        <v>8748</v>
      </c>
      <c r="D2378" s="2" t="s">
        <v>8749</v>
      </c>
      <c r="E2378" s="1">
        <v>1.0</v>
      </c>
      <c r="I2378" s="1">
        <v>1.0</v>
      </c>
      <c r="J2378" s="1">
        <v>492.0</v>
      </c>
      <c r="L2378" s="1">
        <v>5899549.0</v>
      </c>
      <c r="Q2378" s="1" t="s">
        <v>8748</v>
      </c>
      <c r="R2378" s="1" t="s">
        <v>8750</v>
      </c>
      <c r="S2378" s="1">
        <v>0.0</v>
      </c>
      <c r="T2378" s="1">
        <v>5.0</v>
      </c>
      <c r="X2378" s="1" t="s">
        <v>29</v>
      </c>
    </row>
    <row r="2379">
      <c r="A2379" s="3" t="str">
        <f>HYPERLINK("https://stackoverflow.com/q/44394501", "44394501")</f>
        <v>44394501</v>
      </c>
      <c r="B2379" s="1" t="s">
        <v>7613</v>
      </c>
      <c r="C2379" s="1" t="s">
        <v>8751</v>
      </c>
      <c r="D2379" s="2" t="s">
        <v>8752</v>
      </c>
      <c r="E2379" s="1">
        <v>1.0</v>
      </c>
      <c r="F2379" s="1">
        <v>4.4398719E7</v>
      </c>
      <c r="I2379" s="1">
        <v>0.0</v>
      </c>
      <c r="J2379" s="1">
        <v>79.0</v>
      </c>
      <c r="L2379" s="1">
        <v>5495947.0</v>
      </c>
      <c r="Q2379" s="1" t="s">
        <v>8753</v>
      </c>
      <c r="R2379" s="1" t="s">
        <v>8754</v>
      </c>
      <c r="S2379" s="1">
        <v>1.0</v>
      </c>
      <c r="T2379" s="1">
        <v>0.0</v>
      </c>
      <c r="X2379" s="1" t="s">
        <v>29</v>
      </c>
      <c r="Z2379" s="1" t="s">
        <v>8753</v>
      </c>
    </row>
    <row r="2380">
      <c r="A2380" s="3" t="str">
        <f>HYPERLINK("https://stackoverflow.com/q/44416531", "44416531")</f>
        <v>44416531</v>
      </c>
      <c r="B2380" s="1" t="s">
        <v>7613</v>
      </c>
      <c r="C2380" s="1" t="s">
        <v>8755</v>
      </c>
      <c r="D2380" s="2" t="s">
        <v>8756</v>
      </c>
      <c r="E2380" s="1">
        <v>1.0</v>
      </c>
      <c r="F2380" s="1">
        <v>4.4440134E7</v>
      </c>
      <c r="I2380" s="1">
        <v>1.0</v>
      </c>
      <c r="J2380" s="1">
        <v>1500.0</v>
      </c>
      <c r="L2380" s="1">
        <v>5495947.0</v>
      </c>
      <c r="Q2380" s="1" t="s">
        <v>8757</v>
      </c>
      <c r="R2380" s="1" t="s">
        <v>8525</v>
      </c>
      <c r="S2380" s="1">
        <v>1.0</v>
      </c>
      <c r="T2380" s="1">
        <v>0.0</v>
      </c>
      <c r="U2380" s="1">
        <v>0.0</v>
      </c>
      <c r="X2380" s="1" t="s">
        <v>29</v>
      </c>
      <c r="Z2380" s="1" t="s">
        <v>8757</v>
      </c>
    </row>
    <row r="2381">
      <c r="A2381" s="3" t="str">
        <f>HYPERLINK("https://stackoverflow.com/q/44419262", "44419262")</f>
        <v>44419262</v>
      </c>
      <c r="B2381" s="1" t="s">
        <v>7613</v>
      </c>
      <c r="C2381" s="1" t="s">
        <v>8758</v>
      </c>
      <c r="D2381" s="2" t="s">
        <v>8759</v>
      </c>
      <c r="E2381" s="1">
        <v>1.0</v>
      </c>
      <c r="I2381" s="1">
        <v>0.0</v>
      </c>
      <c r="J2381" s="1">
        <v>1262.0</v>
      </c>
      <c r="L2381" s="1">
        <v>4381286.0</v>
      </c>
      <c r="Q2381" s="1" t="s">
        <v>8760</v>
      </c>
      <c r="R2381" s="1" t="s">
        <v>8761</v>
      </c>
      <c r="S2381" s="1">
        <v>1.0</v>
      </c>
      <c r="T2381" s="1">
        <v>1.0</v>
      </c>
      <c r="X2381" s="1" t="s">
        <v>29</v>
      </c>
    </row>
    <row r="2382">
      <c r="A2382" s="3" t="str">
        <f>HYPERLINK("https://stackoverflow.com/q/44497664", "44497664")</f>
        <v>44497664</v>
      </c>
      <c r="B2382" s="1" t="s">
        <v>7613</v>
      </c>
      <c r="C2382" s="1" t="s">
        <v>8762</v>
      </c>
      <c r="D2382" s="2" t="s">
        <v>8763</v>
      </c>
      <c r="E2382" s="1">
        <v>1.0</v>
      </c>
      <c r="F2382" s="1">
        <v>4.5798686E7</v>
      </c>
      <c r="I2382" s="1">
        <v>0.0</v>
      </c>
      <c r="J2382" s="1">
        <v>773.0</v>
      </c>
      <c r="L2382" s="1">
        <v>8148398.0</v>
      </c>
      <c r="Q2382" s="1" t="s">
        <v>8764</v>
      </c>
      <c r="R2382" s="1" t="s">
        <v>8648</v>
      </c>
      <c r="S2382" s="1">
        <v>2.0</v>
      </c>
      <c r="T2382" s="1">
        <v>0.0</v>
      </c>
      <c r="X2382" s="1" t="s">
        <v>29</v>
      </c>
      <c r="Z2382" s="1" t="s">
        <v>8764</v>
      </c>
    </row>
    <row r="2383">
      <c r="A2383" s="3" t="str">
        <f>HYPERLINK("https://stackoverflow.com/q/44565423", "44565423")</f>
        <v>44565423</v>
      </c>
      <c r="B2383" s="1" t="s">
        <v>7613</v>
      </c>
      <c r="C2383" s="1" t="s">
        <v>8765</v>
      </c>
      <c r="D2383" s="2" t="s">
        <v>8766</v>
      </c>
      <c r="E2383" s="1">
        <v>1.0</v>
      </c>
      <c r="I2383" s="1">
        <v>3.0</v>
      </c>
      <c r="J2383" s="1">
        <v>5347.0</v>
      </c>
      <c r="L2383" s="1">
        <v>5526080.0</v>
      </c>
      <c r="Q2383" s="1" t="s">
        <v>8765</v>
      </c>
      <c r="R2383" s="1" t="s">
        <v>8767</v>
      </c>
      <c r="S2383" s="1">
        <v>0.0</v>
      </c>
      <c r="T2383" s="1">
        <v>2.0</v>
      </c>
      <c r="X2383" s="1" t="s">
        <v>29</v>
      </c>
    </row>
    <row r="2384">
      <c r="A2384" s="3" t="str">
        <f>HYPERLINK("https://stackoverflow.com/q/44588246", "44588246")</f>
        <v>44588246</v>
      </c>
      <c r="B2384" s="1" t="s">
        <v>7613</v>
      </c>
      <c r="C2384" s="1" t="s">
        <v>8768</v>
      </c>
      <c r="D2384" s="2" t="s">
        <v>8769</v>
      </c>
      <c r="E2384" s="1">
        <v>1.0</v>
      </c>
      <c r="I2384" s="1">
        <v>0.0</v>
      </c>
      <c r="J2384" s="1">
        <v>387.0</v>
      </c>
      <c r="L2384" s="1">
        <v>8171430.0</v>
      </c>
      <c r="Q2384" s="1" t="s">
        <v>8768</v>
      </c>
      <c r="R2384" s="1" t="s">
        <v>8770</v>
      </c>
      <c r="S2384" s="1">
        <v>0.0</v>
      </c>
      <c r="T2384" s="1">
        <v>2.0</v>
      </c>
      <c r="X2384" s="1" t="s">
        <v>29</v>
      </c>
    </row>
    <row r="2385">
      <c r="A2385" s="3" t="str">
        <f>HYPERLINK("https://stackoverflow.com/q/44694808", "44694808")</f>
        <v>44694808</v>
      </c>
      <c r="B2385" s="1" t="s">
        <v>7613</v>
      </c>
      <c r="C2385" s="1" t="s">
        <v>8771</v>
      </c>
      <c r="D2385" s="2" t="s">
        <v>8772</v>
      </c>
      <c r="E2385" s="1">
        <v>1.0</v>
      </c>
      <c r="F2385" s="1">
        <v>4.4705495E7</v>
      </c>
      <c r="I2385" s="1">
        <v>0.0</v>
      </c>
      <c r="J2385" s="1">
        <v>335.0</v>
      </c>
      <c r="L2385" s="1">
        <v>5449509.0</v>
      </c>
      <c r="Q2385" s="1" t="s">
        <v>8773</v>
      </c>
      <c r="R2385" s="1" t="s">
        <v>8774</v>
      </c>
      <c r="S2385" s="1">
        <v>1.0</v>
      </c>
      <c r="T2385" s="1">
        <v>0.0</v>
      </c>
      <c r="X2385" s="1" t="s">
        <v>29</v>
      </c>
      <c r="Z2385" s="1" t="s">
        <v>8773</v>
      </c>
    </row>
    <row r="2386">
      <c r="A2386" s="3" t="str">
        <f>HYPERLINK("https://stackoverflow.com/q/44727285", "44727285")</f>
        <v>44727285</v>
      </c>
      <c r="B2386" s="1" t="s">
        <v>7613</v>
      </c>
      <c r="C2386" s="1" t="s">
        <v>8775</v>
      </c>
      <c r="D2386" s="2" t="s">
        <v>8776</v>
      </c>
      <c r="E2386" s="1">
        <v>1.0</v>
      </c>
      <c r="I2386" s="1">
        <v>0.0</v>
      </c>
      <c r="J2386" s="1">
        <v>1998.0</v>
      </c>
      <c r="L2386" s="1">
        <v>5054359.0</v>
      </c>
      <c r="Q2386" s="1" t="s">
        <v>8777</v>
      </c>
      <c r="R2386" s="1" t="s">
        <v>8778</v>
      </c>
      <c r="S2386" s="1">
        <v>2.0</v>
      </c>
      <c r="T2386" s="1">
        <v>0.0</v>
      </c>
      <c r="U2386" s="1">
        <v>1.0</v>
      </c>
      <c r="X2386" s="1" t="s">
        <v>29</v>
      </c>
    </row>
    <row r="2387">
      <c r="A2387" s="3" t="str">
        <f>HYPERLINK("https://stackoverflow.com/q/44794852", "44794852")</f>
        <v>44794852</v>
      </c>
      <c r="B2387" s="1" t="s">
        <v>7613</v>
      </c>
      <c r="C2387" s="1" t="s">
        <v>8779</v>
      </c>
      <c r="D2387" s="2" t="s">
        <v>8780</v>
      </c>
      <c r="E2387" s="1">
        <v>1.0</v>
      </c>
      <c r="I2387" s="1">
        <v>0.0</v>
      </c>
      <c r="J2387" s="1">
        <v>494.0</v>
      </c>
      <c r="L2387" s="1">
        <v>5449509.0</v>
      </c>
      <c r="Q2387" s="1" t="s">
        <v>8781</v>
      </c>
      <c r="R2387" s="1" t="s">
        <v>8321</v>
      </c>
      <c r="S2387" s="1">
        <v>1.0</v>
      </c>
      <c r="T2387" s="1">
        <v>0.0</v>
      </c>
      <c r="X2387" s="1" t="s">
        <v>29</v>
      </c>
    </row>
    <row r="2388">
      <c r="A2388" s="3" t="str">
        <f>HYPERLINK("https://stackoverflow.com/q/44931104", "44931104")</f>
        <v>44931104</v>
      </c>
      <c r="B2388" s="1" t="s">
        <v>7613</v>
      </c>
      <c r="C2388" s="1" t="s">
        <v>8782</v>
      </c>
      <c r="D2388" s="2" t="s">
        <v>8783</v>
      </c>
      <c r="E2388" s="1">
        <v>1.0</v>
      </c>
      <c r="I2388" s="1">
        <v>2.0</v>
      </c>
      <c r="J2388" s="1">
        <v>832.0</v>
      </c>
      <c r="L2388" s="1">
        <v>5786543.0</v>
      </c>
      <c r="N2388" s="1">
        <v>570190.0</v>
      </c>
      <c r="P2388" s="1" t="s">
        <v>8784</v>
      </c>
      <c r="Q2388" s="1" t="s">
        <v>8784</v>
      </c>
      <c r="R2388" s="1" t="s">
        <v>8525</v>
      </c>
      <c r="S2388" s="1">
        <v>0.0</v>
      </c>
      <c r="T2388" s="1">
        <v>2.0</v>
      </c>
      <c r="X2388" s="1" t="s">
        <v>29</v>
      </c>
    </row>
    <row r="2389">
      <c r="A2389" s="3" t="str">
        <f>HYPERLINK("https://stackoverflow.com/q/45310234", "45310234")</f>
        <v>45310234</v>
      </c>
      <c r="B2389" s="1" t="s">
        <v>7613</v>
      </c>
      <c r="C2389" s="1" t="s">
        <v>8785</v>
      </c>
      <c r="D2389" s="2" t="s">
        <v>8786</v>
      </c>
      <c r="E2389" s="1">
        <v>1.0</v>
      </c>
      <c r="I2389" s="1">
        <v>1.0</v>
      </c>
      <c r="J2389" s="1">
        <v>2355.0</v>
      </c>
      <c r="L2389" s="1">
        <v>530972.0</v>
      </c>
      <c r="Q2389" s="1" t="s">
        <v>8787</v>
      </c>
      <c r="R2389" s="1" t="s">
        <v>8788</v>
      </c>
      <c r="S2389" s="1">
        <v>1.0</v>
      </c>
      <c r="T2389" s="1">
        <v>0.0</v>
      </c>
      <c r="X2389" s="1" t="s">
        <v>29</v>
      </c>
    </row>
    <row r="2390">
      <c r="A2390" s="3" t="str">
        <f>HYPERLINK("https://stackoverflow.com/q/45565228", "45565228")</f>
        <v>45565228</v>
      </c>
      <c r="B2390" s="1" t="s">
        <v>7613</v>
      </c>
      <c r="C2390" s="1" t="s">
        <v>8789</v>
      </c>
      <c r="D2390" s="2" t="s">
        <v>8790</v>
      </c>
      <c r="E2390" s="1">
        <v>1.0</v>
      </c>
      <c r="I2390" s="1">
        <v>0.0</v>
      </c>
      <c r="J2390" s="1">
        <v>356.0</v>
      </c>
      <c r="L2390" s="1">
        <v>6033963.0</v>
      </c>
      <c r="N2390" s="1">
        <v>6033963.0</v>
      </c>
      <c r="P2390" s="1" t="s">
        <v>8791</v>
      </c>
      <c r="Q2390" s="1" t="s">
        <v>8791</v>
      </c>
      <c r="R2390" s="1" t="s">
        <v>8792</v>
      </c>
      <c r="S2390" s="1">
        <v>0.0</v>
      </c>
      <c r="T2390" s="1">
        <v>5.0</v>
      </c>
      <c r="X2390" s="1" t="s">
        <v>29</v>
      </c>
    </row>
    <row r="2391">
      <c r="A2391" s="3" t="str">
        <f>HYPERLINK("https://stackoverflow.com/q/45751896", "45751896")</f>
        <v>45751896</v>
      </c>
      <c r="B2391" s="1" t="s">
        <v>7613</v>
      </c>
      <c r="C2391" s="1" t="s">
        <v>8793</v>
      </c>
      <c r="D2391" s="2" t="s">
        <v>8794</v>
      </c>
      <c r="E2391" s="1">
        <v>1.0</v>
      </c>
      <c r="F2391" s="1">
        <v>4.6696805E7</v>
      </c>
      <c r="I2391" s="1">
        <v>2.0</v>
      </c>
      <c r="J2391" s="1">
        <v>688.0</v>
      </c>
      <c r="L2391" s="1">
        <v>362483.0</v>
      </c>
      <c r="N2391" s="1">
        <v>1145792.0</v>
      </c>
      <c r="P2391" s="1" t="s">
        <v>8795</v>
      </c>
      <c r="Q2391" s="1" t="s">
        <v>8796</v>
      </c>
      <c r="R2391" s="1" t="s">
        <v>8797</v>
      </c>
      <c r="S2391" s="1">
        <v>3.0</v>
      </c>
      <c r="T2391" s="1">
        <v>1.0</v>
      </c>
      <c r="X2391" s="1" t="s">
        <v>29</v>
      </c>
      <c r="Z2391" s="1" t="s">
        <v>8798</v>
      </c>
    </row>
    <row r="2392">
      <c r="A2392" s="3" t="str">
        <f>HYPERLINK("https://stackoverflow.com/q/45834435", "45834435")</f>
        <v>45834435</v>
      </c>
      <c r="B2392" s="1" t="s">
        <v>7613</v>
      </c>
      <c r="C2392" s="1" t="s">
        <v>8799</v>
      </c>
      <c r="D2392" s="2" t="s">
        <v>8800</v>
      </c>
      <c r="E2392" s="1">
        <v>1.0</v>
      </c>
      <c r="I2392" s="1">
        <v>0.0</v>
      </c>
      <c r="J2392" s="1">
        <v>3370.0</v>
      </c>
      <c r="L2392" s="1">
        <v>5136480.0</v>
      </c>
      <c r="N2392" s="1">
        <v>5136480.0</v>
      </c>
      <c r="P2392" s="1" t="s">
        <v>8801</v>
      </c>
      <c r="Q2392" s="1" t="s">
        <v>8802</v>
      </c>
      <c r="R2392" s="1" t="s">
        <v>8803</v>
      </c>
      <c r="S2392" s="1">
        <v>2.0</v>
      </c>
      <c r="T2392" s="1">
        <v>0.0</v>
      </c>
      <c r="U2392" s="1">
        <v>1.0</v>
      </c>
      <c r="X2392" s="1" t="s">
        <v>29</v>
      </c>
    </row>
    <row r="2393">
      <c r="A2393" s="3" t="str">
        <f>HYPERLINK("https://stackoverflow.com/q/45931378", "45931378")</f>
        <v>45931378</v>
      </c>
      <c r="B2393" s="1" t="s">
        <v>7613</v>
      </c>
      <c r="C2393" s="1" t="s">
        <v>8804</v>
      </c>
      <c r="D2393" s="2" t="s">
        <v>8805</v>
      </c>
      <c r="E2393" s="1">
        <v>1.0</v>
      </c>
      <c r="I2393" s="1">
        <v>0.0</v>
      </c>
      <c r="J2393" s="1">
        <v>115.0</v>
      </c>
      <c r="L2393" s="1">
        <v>6230210.0</v>
      </c>
      <c r="Q2393" s="1" t="s">
        <v>8806</v>
      </c>
      <c r="R2393" s="1" t="s">
        <v>8807</v>
      </c>
      <c r="S2393" s="1">
        <v>1.0</v>
      </c>
      <c r="T2393" s="1">
        <v>0.0</v>
      </c>
      <c r="X2393" s="1" t="s">
        <v>29</v>
      </c>
    </row>
    <row r="2394">
      <c r="A2394" s="3" t="str">
        <f>HYPERLINK("https://stackoverflow.com/q/45967361", "45967361")</f>
        <v>45967361</v>
      </c>
      <c r="B2394" s="1" t="s">
        <v>7613</v>
      </c>
      <c r="C2394" s="1" t="s">
        <v>8808</v>
      </c>
      <c r="D2394" s="2" t="s">
        <v>8809</v>
      </c>
      <c r="E2394" s="1">
        <v>1.0</v>
      </c>
      <c r="I2394" s="1">
        <v>1.0</v>
      </c>
      <c r="J2394" s="1">
        <v>1277.0</v>
      </c>
      <c r="L2394" s="1">
        <v>4397066.0</v>
      </c>
      <c r="Q2394" s="1" t="s">
        <v>8810</v>
      </c>
      <c r="R2394" s="1" t="s">
        <v>8811</v>
      </c>
      <c r="S2394" s="1">
        <v>2.0</v>
      </c>
      <c r="T2394" s="1">
        <v>1.0</v>
      </c>
      <c r="X2394" s="1" t="s">
        <v>29</v>
      </c>
    </row>
    <row r="2395">
      <c r="A2395" s="3" t="str">
        <f>HYPERLINK("https://stackoverflow.com/q/46016491", "46016491")</f>
        <v>46016491</v>
      </c>
      <c r="B2395" s="1" t="s">
        <v>7613</v>
      </c>
      <c r="C2395" s="1" t="s">
        <v>8812</v>
      </c>
      <c r="D2395" s="2" t="s">
        <v>8813</v>
      </c>
      <c r="E2395" s="1">
        <v>1.0</v>
      </c>
      <c r="I2395" s="1">
        <v>0.0</v>
      </c>
      <c r="J2395" s="1">
        <v>78.0</v>
      </c>
      <c r="L2395" s="1">
        <v>8552586.0</v>
      </c>
      <c r="Q2395" s="1" t="s">
        <v>8814</v>
      </c>
      <c r="R2395" s="1" t="s">
        <v>8525</v>
      </c>
      <c r="S2395" s="1">
        <v>1.0</v>
      </c>
      <c r="T2395" s="1">
        <v>0.0</v>
      </c>
      <c r="X2395" s="1" t="s">
        <v>29</v>
      </c>
    </row>
    <row r="2396">
      <c r="A2396" s="3" t="str">
        <f>HYPERLINK("https://stackoverflow.com/q/46065546", "46065546")</f>
        <v>46065546</v>
      </c>
      <c r="B2396" s="1" t="s">
        <v>7613</v>
      </c>
      <c r="C2396" s="1" t="s">
        <v>8815</v>
      </c>
      <c r="D2396" s="2" t="s">
        <v>8816</v>
      </c>
      <c r="E2396" s="1">
        <v>1.0</v>
      </c>
      <c r="F2396" s="1">
        <v>4.6389577E7</v>
      </c>
      <c r="I2396" s="1">
        <v>1.0</v>
      </c>
      <c r="J2396" s="1">
        <v>1944.0</v>
      </c>
      <c r="L2396" s="1">
        <v>970307.0</v>
      </c>
      <c r="Q2396" s="1" t="s">
        <v>8817</v>
      </c>
      <c r="R2396" s="1" t="s">
        <v>8818</v>
      </c>
      <c r="S2396" s="1">
        <v>4.0</v>
      </c>
      <c r="T2396" s="1">
        <v>0.0</v>
      </c>
      <c r="X2396" s="1" t="s">
        <v>29</v>
      </c>
      <c r="Z2396" s="1" t="s">
        <v>8819</v>
      </c>
    </row>
    <row r="2397">
      <c r="A2397" s="3" t="str">
        <f>HYPERLINK("https://stackoverflow.com/q/46067552", "46067552")</f>
        <v>46067552</v>
      </c>
      <c r="B2397" s="1" t="s">
        <v>7613</v>
      </c>
      <c r="C2397" s="1" t="s">
        <v>8820</v>
      </c>
      <c r="D2397" s="2" t="s">
        <v>8821</v>
      </c>
      <c r="E2397" s="1">
        <v>1.0</v>
      </c>
      <c r="I2397" s="1">
        <v>0.0</v>
      </c>
      <c r="J2397" s="1">
        <v>2032.0</v>
      </c>
      <c r="L2397" s="1">
        <v>5572313.0</v>
      </c>
      <c r="Q2397" s="1" t="s">
        <v>8822</v>
      </c>
      <c r="R2397" s="1" t="s">
        <v>8823</v>
      </c>
      <c r="S2397" s="1">
        <v>3.0</v>
      </c>
      <c r="T2397" s="1">
        <v>0.0</v>
      </c>
      <c r="X2397" s="1" t="s">
        <v>29</v>
      </c>
    </row>
    <row r="2398">
      <c r="A2398" s="3" t="str">
        <f>HYPERLINK("https://stackoverflow.com/q/46277360", "46277360")</f>
        <v>46277360</v>
      </c>
      <c r="B2398" s="1" t="s">
        <v>7613</v>
      </c>
      <c r="C2398" s="1" t="s">
        <v>8824</v>
      </c>
      <c r="D2398" s="2" t="s">
        <v>8825</v>
      </c>
      <c r="E2398" s="1">
        <v>1.0</v>
      </c>
      <c r="I2398" s="1">
        <v>0.0</v>
      </c>
      <c r="J2398" s="1">
        <v>543.0</v>
      </c>
      <c r="M2398" s="1" t="s">
        <v>8826</v>
      </c>
      <c r="Q2398" s="1" t="s">
        <v>8827</v>
      </c>
      <c r="R2398" s="1" t="s">
        <v>8828</v>
      </c>
      <c r="S2398" s="1">
        <v>1.0</v>
      </c>
      <c r="T2398" s="1">
        <v>0.0</v>
      </c>
      <c r="X2398" s="1" t="s">
        <v>29</v>
      </c>
    </row>
    <row r="2399">
      <c r="A2399" s="3" t="str">
        <f>HYPERLINK("https://stackoverflow.com/q/46421271", "46421271")</f>
        <v>46421271</v>
      </c>
      <c r="B2399" s="1" t="s">
        <v>7613</v>
      </c>
      <c r="C2399" s="1" t="s">
        <v>8829</v>
      </c>
      <c r="D2399" s="2" t="s">
        <v>8830</v>
      </c>
      <c r="E2399" s="1">
        <v>1.0</v>
      </c>
      <c r="F2399" s="1">
        <v>4.6480442E7</v>
      </c>
      <c r="I2399" s="1">
        <v>0.0</v>
      </c>
      <c r="J2399" s="1">
        <v>982.0</v>
      </c>
      <c r="L2399" s="1">
        <v>772135.0</v>
      </c>
      <c r="Q2399" s="1" t="s">
        <v>8831</v>
      </c>
      <c r="R2399" s="1" t="s">
        <v>8321</v>
      </c>
      <c r="S2399" s="1">
        <v>2.0</v>
      </c>
      <c r="T2399" s="1">
        <v>0.0</v>
      </c>
      <c r="X2399" s="1" t="s">
        <v>29</v>
      </c>
      <c r="Z2399" s="1" t="s">
        <v>8831</v>
      </c>
    </row>
    <row r="2400">
      <c r="A2400" s="3" t="str">
        <f>HYPERLINK("https://stackoverflow.com/q/46558510", "46558510")</f>
        <v>46558510</v>
      </c>
      <c r="B2400" s="1" t="s">
        <v>7613</v>
      </c>
      <c r="C2400" s="1" t="s">
        <v>8832</v>
      </c>
      <c r="D2400" s="2" t="s">
        <v>8833</v>
      </c>
      <c r="E2400" s="1">
        <v>1.0</v>
      </c>
      <c r="I2400" s="1">
        <v>0.0</v>
      </c>
      <c r="J2400" s="1">
        <v>256.0</v>
      </c>
      <c r="L2400" s="1">
        <v>5997236.0</v>
      </c>
      <c r="N2400" s="1">
        <v>1145792.0</v>
      </c>
      <c r="P2400" s="1" t="s">
        <v>8834</v>
      </c>
      <c r="Q2400" s="1" t="s">
        <v>8834</v>
      </c>
      <c r="R2400" s="1" t="s">
        <v>8835</v>
      </c>
      <c r="S2400" s="1">
        <v>1.0</v>
      </c>
      <c r="T2400" s="1">
        <v>0.0</v>
      </c>
      <c r="X2400" s="1" t="s">
        <v>29</v>
      </c>
    </row>
    <row r="2401">
      <c r="A2401" s="3" t="str">
        <f>HYPERLINK("https://stackoverflow.com/q/46647682", "46647682")</f>
        <v>46647682</v>
      </c>
      <c r="B2401" s="1" t="s">
        <v>7613</v>
      </c>
      <c r="C2401" s="1" t="s">
        <v>8836</v>
      </c>
      <c r="D2401" s="2" t="s">
        <v>8837</v>
      </c>
      <c r="E2401" s="1">
        <v>1.0</v>
      </c>
      <c r="I2401" s="1">
        <v>0.0</v>
      </c>
      <c r="J2401" s="1">
        <v>1054.0</v>
      </c>
      <c r="L2401" s="1">
        <v>8746183.0</v>
      </c>
      <c r="Q2401" s="1" t="s">
        <v>8838</v>
      </c>
      <c r="R2401" s="1" t="s">
        <v>8839</v>
      </c>
      <c r="S2401" s="1">
        <v>2.0</v>
      </c>
      <c r="T2401" s="1">
        <v>0.0</v>
      </c>
      <c r="X2401" s="1" t="s">
        <v>29</v>
      </c>
    </row>
    <row r="2402">
      <c r="A2402" s="3" t="str">
        <f>HYPERLINK("https://stackoverflow.com/q/46705213", "46705213")</f>
        <v>46705213</v>
      </c>
      <c r="B2402" s="1" t="s">
        <v>7613</v>
      </c>
      <c r="C2402" s="1" t="s">
        <v>8840</v>
      </c>
      <c r="D2402" s="2" t="s">
        <v>8841</v>
      </c>
      <c r="E2402" s="1">
        <v>1.0</v>
      </c>
      <c r="I2402" s="1">
        <v>0.0</v>
      </c>
      <c r="J2402" s="1">
        <v>466.0</v>
      </c>
      <c r="L2402" s="1">
        <v>2968290.0</v>
      </c>
      <c r="Q2402" s="1" t="s">
        <v>8842</v>
      </c>
      <c r="R2402" s="1" t="s">
        <v>8843</v>
      </c>
      <c r="S2402" s="1">
        <v>1.0</v>
      </c>
      <c r="T2402" s="1">
        <v>2.0</v>
      </c>
      <c r="X2402" s="1" t="s">
        <v>29</v>
      </c>
    </row>
    <row r="2403">
      <c r="A2403" s="3" t="str">
        <f>HYPERLINK("https://stackoverflow.com/q/46717398", "46717398")</f>
        <v>46717398</v>
      </c>
      <c r="B2403" s="1" t="s">
        <v>7613</v>
      </c>
      <c r="C2403" s="1" t="s">
        <v>8844</v>
      </c>
      <c r="D2403" s="2" t="s">
        <v>8845</v>
      </c>
      <c r="E2403" s="1">
        <v>1.0</v>
      </c>
      <c r="F2403" s="1">
        <v>4.6718776E7</v>
      </c>
      <c r="I2403" s="1">
        <v>1.0</v>
      </c>
      <c r="J2403" s="1">
        <v>90.0</v>
      </c>
      <c r="L2403" s="1">
        <v>5491045.0</v>
      </c>
      <c r="Q2403" s="1" t="s">
        <v>8846</v>
      </c>
      <c r="R2403" s="1" t="s">
        <v>8847</v>
      </c>
      <c r="S2403" s="1">
        <v>1.0</v>
      </c>
      <c r="T2403" s="1">
        <v>0.0</v>
      </c>
      <c r="X2403" s="1" t="s">
        <v>29</v>
      </c>
      <c r="Z2403" s="1" t="s">
        <v>8846</v>
      </c>
    </row>
    <row r="2404">
      <c r="A2404" s="3" t="str">
        <f>HYPERLINK("https://stackoverflow.com/q/46776819", "46776819")</f>
        <v>46776819</v>
      </c>
      <c r="B2404" s="1" t="s">
        <v>7613</v>
      </c>
      <c r="C2404" s="1" t="s">
        <v>8848</v>
      </c>
      <c r="D2404" s="2" t="s">
        <v>8849</v>
      </c>
      <c r="E2404" s="1">
        <v>1.0</v>
      </c>
      <c r="I2404" s="1">
        <v>0.0</v>
      </c>
      <c r="J2404" s="1">
        <v>226.0</v>
      </c>
      <c r="L2404" s="1">
        <v>8786046.0</v>
      </c>
      <c r="N2404" s="1">
        <v>8786046.0</v>
      </c>
      <c r="P2404" s="1" t="s">
        <v>8850</v>
      </c>
      <c r="Q2404" s="1" t="s">
        <v>8851</v>
      </c>
      <c r="R2404" s="1" t="s">
        <v>8852</v>
      </c>
      <c r="S2404" s="1">
        <v>2.0</v>
      </c>
      <c r="T2404" s="1">
        <v>4.0</v>
      </c>
      <c r="X2404" s="1" t="s">
        <v>29</v>
      </c>
    </row>
    <row r="2405">
      <c r="A2405" s="3" t="str">
        <f>HYPERLINK("https://stackoverflow.com/q/46779664", "46779664")</f>
        <v>46779664</v>
      </c>
      <c r="B2405" s="1" t="s">
        <v>7613</v>
      </c>
      <c r="C2405" s="1" t="s">
        <v>8853</v>
      </c>
      <c r="D2405" s="2" t="s">
        <v>8854</v>
      </c>
      <c r="E2405" s="1">
        <v>1.0</v>
      </c>
      <c r="I2405" s="1">
        <v>1.0</v>
      </c>
      <c r="J2405" s="1">
        <v>487.0</v>
      </c>
      <c r="L2405" s="1">
        <v>7269929.0</v>
      </c>
      <c r="Q2405" s="1" t="s">
        <v>8853</v>
      </c>
      <c r="R2405" s="1" t="s">
        <v>8321</v>
      </c>
      <c r="S2405" s="1">
        <v>0.0</v>
      </c>
      <c r="T2405" s="1">
        <v>0.0</v>
      </c>
      <c r="X2405" s="1" t="s">
        <v>29</v>
      </c>
    </row>
    <row r="2406">
      <c r="A2406" s="3" t="str">
        <f>HYPERLINK("https://stackoverflow.com/q/46874301", "46874301")</f>
        <v>46874301</v>
      </c>
      <c r="B2406" s="1" t="s">
        <v>7613</v>
      </c>
      <c r="C2406" s="1" t="s">
        <v>8855</v>
      </c>
      <c r="D2406" s="2" t="s">
        <v>8856</v>
      </c>
      <c r="E2406" s="1">
        <v>1.0</v>
      </c>
      <c r="I2406" s="1">
        <v>1.0</v>
      </c>
      <c r="J2406" s="1">
        <v>48.0</v>
      </c>
      <c r="L2406" s="1">
        <v>1670478.0</v>
      </c>
      <c r="Q2406" s="1" t="s">
        <v>8857</v>
      </c>
      <c r="R2406" s="1" t="s">
        <v>7688</v>
      </c>
      <c r="S2406" s="1">
        <v>1.0</v>
      </c>
      <c r="T2406" s="1">
        <v>0.0</v>
      </c>
      <c r="U2406" s="1">
        <v>0.0</v>
      </c>
      <c r="X2406" s="1" t="s">
        <v>29</v>
      </c>
    </row>
    <row r="2407">
      <c r="A2407" s="3" t="str">
        <f>HYPERLINK("https://stackoverflow.com/q/46945536", "46945536")</f>
        <v>46945536</v>
      </c>
      <c r="B2407" s="1" t="s">
        <v>7613</v>
      </c>
      <c r="C2407" s="1" t="s">
        <v>8858</v>
      </c>
      <c r="D2407" s="2" t="s">
        <v>8859</v>
      </c>
      <c r="E2407" s="1">
        <v>1.0</v>
      </c>
      <c r="I2407" s="1">
        <v>0.0</v>
      </c>
      <c r="J2407" s="1">
        <v>1323.0</v>
      </c>
      <c r="L2407" s="1">
        <v>1035207.0</v>
      </c>
      <c r="Q2407" s="1" t="s">
        <v>8860</v>
      </c>
      <c r="R2407" s="1" t="s">
        <v>8861</v>
      </c>
      <c r="S2407" s="1">
        <v>1.0</v>
      </c>
      <c r="T2407" s="1">
        <v>0.0</v>
      </c>
      <c r="X2407" s="1" t="s">
        <v>29</v>
      </c>
    </row>
    <row r="2408">
      <c r="A2408" s="3" t="str">
        <f>HYPERLINK("https://stackoverflow.com/q/46970906", "46970906")</f>
        <v>46970906</v>
      </c>
      <c r="B2408" s="1" t="s">
        <v>7613</v>
      </c>
      <c r="C2408" s="1" t="s">
        <v>8862</v>
      </c>
      <c r="D2408" s="2" t="s">
        <v>8863</v>
      </c>
      <c r="E2408" s="1">
        <v>1.0</v>
      </c>
      <c r="I2408" s="1">
        <v>0.0</v>
      </c>
      <c r="J2408" s="1">
        <v>151.0</v>
      </c>
      <c r="L2408" s="1">
        <v>7862824.0</v>
      </c>
      <c r="Q2408" s="1" t="s">
        <v>8862</v>
      </c>
      <c r="R2408" s="1" t="s">
        <v>7661</v>
      </c>
      <c r="S2408" s="1">
        <v>0.0</v>
      </c>
      <c r="T2408" s="1">
        <v>2.0</v>
      </c>
      <c r="X2408" s="1" t="s">
        <v>29</v>
      </c>
    </row>
    <row r="2409">
      <c r="A2409" s="3" t="str">
        <f>HYPERLINK("https://stackoverflow.com/q/46989444", "46989444")</f>
        <v>46989444</v>
      </c>
      <c r="B2409" s="1" t="s">
        <v>7613</v>
      </c>
      <c r="C2409" s="1" t="s">
        <v>8864</v>
      </c>
      <c r="D2409" s="2" t="s">
        <v>8865</v>
      </c>
      <c r="E2409" s="1">
        <v>1.0</v>
      </c>
      <c r="I2409" s="1">
        <v>2.0</v>
      </c>
      <c r="J2409" s="1">
        <v>981.0</v>
      </c>
      <c r="L2409" s="1">
        <v>8790644.0</v>
      </c>
      <c r="Q2409" s="1" t="s">
        <v>8864</v>
      </c>
      <c r="R2409" s="1" t="s">
        <v>8866</v>
      </c>
      <c r="S2409" s="1">
        <v>0.0</v>
      </c>
      <c r="T2409" s="1">
        <v>0.0</v>
      </c>
      <c r="X2409" s="1" t="s">
        <v>29</v>
      </c>
    </row>
    <row r="2410">
      <c r="A2410" s="3" t="str">
        <f>HYPERLINK("https://stackoverflow.com/q/47104623", "47104623")</f>
        <v>47104623</v>
      </c>
      <c r="B2410" s="1" t="s">
        <v>7613</v>
      </c>
      <c r="C2410" s="1" t="s">
        <v>8867</v>
      </c>
      <c r="D2410" s="2" t="s">
        <v>8868</v>
      </c>
      <c r="E2410" s="1">
        <v>1.0</v>
      </c>
      <c r="I2410" s="1">
        <v>2.0</v>
      </c>
      <c r="J2410" s="1">
        <v>508.0</v>
      </c>
      <c r="L2410" s="1">
        <v>8882926.0</v>
      </c>
      <c r="Q2410" s="1" t="s">
        <v>8869</v>
      </c>
      <c r="R2410" s="1" t="s">
        <v>8870</v>
      </c>
      <c r="S2410" s="1">
        <v>1.0</v>
      </c>
      <c r="T2410" s="1">
        <v>0.0</v>
      </c>
      <c r="X2410" s="1" t="s">
        <v>29</v>
      </c>
    </row>
    <row r="2411">
      <c r="A2411" s="3" t="str">
        <f>HYPERLINK("https://stackoverflow.com/q/47107774", "47107774")</f>
        <v>47107774</v>
      </c>
      <c r="B2411" s="1" t="s">
        <v>7613</v>
      </c>
      <c r="C2411" s="1" t="s">
        <v>8871</v>
      </c>
      <c r="D2411" s="2" t="s">
        <v>8872</v>
      </c>
      <c r="E2411" s="1">
        <v>1.0</v>
      </c>
      <c r="I2411" s="1">
        <v>0.0</v>
      </c>
      <c r="J2411" s="1">
        <v>666.0</v>
      </c>
      <c r="L2411" s="1">
        <v>8884151.0</v>
      </c>
      <c r="N2411" s="1">
        <v>18665.0</v>
      </c>
      <c r="P2411" s="1" t="s">
        <v>8873</v>
      </c>
      <c r="Q2411" s="1" t="s">
        <v>8874</v>
      </c>
      <c r="R2411" s="1" t="s">
        <v>8875</v>
      </c>
      <c r="S2411" s="1">
        <v>1.0</v>
      </c>
      <c r="T2411" s="1">
        <v>1.0</v>
      </c>
      <c r="X2411" s="1" t="s">
        <v>29</v>
      </c>
    </row>
    <row r="2412">
      <c r="A2412" s="3" t="str">
        <f>HYPERLINK("https://stackoverflow.com/q/47213805", "47213805")</f>
        <v>47213805</v>
      </c>
      <c r="B2412" s="1" t="s">
        <v>7613</v>
      </c>
      <c r="C2412" s="1" t="s">
        <v>8876</v>
      </c>
      <c r="D2412" s="2" t="s">
        <v>8877</v>
      </c>
      <c r="E2412" s="1">
        <v>1.0</v>
      </c>
      <c r="I2412" s="1">
        <v>0.0</v>
      </c>
      <c r="J2412" s="1">
        <v>440.0</v>
      </c>
      <c r="L2412" s="1">
        <v>216776.0</v>
      </c>
      <c r="Q2412" s="1" t="s">
        <v>8878</v>
      </c>
      <c r="R2412" s="1" t="s">
        <v>8879</v>
      </c>
      <c r="S2412" s="1">
        <v>1.0</v>
      </c>
      <c r="T2412" s="1">
        <v>0.0</v>
      </c>
      <c r="X2412" s="1" t="s">
        <v>29</v>
      </c>
    </row>
    <row r="2413">
      <c r="A2413" s="3" t="str">
        <f>HYPERLINK("https://stackoverflow.com/q/47254010", "47254010")</f>
        <v>47254010</v>
      </c>
      <c r="B2413" s="1" t="s">
        <v>7613</v>
      </c>
      <c r="C2413" s="1" t="s">
        <v>8880</v>
      </c>
      <c r="D2413" s="2" t="s">
        <v>8881</v>
      </c>
      <c r="E2413" s="1">
        <v>1.0</v>
      </c>
      <c r="I2413" s="1">
        <v>3.0</v>
      </c>
      <c r="J2413" s="1">
        <v>880.0</v>
      </c>
      <c r="L2413" s="1">
        <v>1133560.0</v>
      </c>
      <c r="N2413" s="1">
        <v>4781975.0</v>
      </c>
      <c r="P2413" s="1" t="s">
        <v>8882</v>
      </c>
      <c r="Q2413" s="1" t="s">
        <v>8883</v>
      </c>
      <c r="R2413" s="1" t="s">
        <v>8884</v>
      </c>
      <c r="S2413" s="1">
        <v>1.0</v>
      </c>
      <c r="T2413" s="1">
        <v>0.0</v>
      </c>
      <c r="X2413" s="1" t="s">
        <v>29</v>
      </c>
    </row>
    <row r="2414">
      <c r="A2414" s="3" t="str">
        <f>HYPERLINK("https://stackoverflow.com/q/47258597", "47258597")</f>
        <v>47258597</v>
      </c>
      <c r="B2414" s="1" t="s">
        <v>7613</v>
      </c>
      <c r="C2414" s="1" t="s">
        <v>8885</v>
      </c>
      <c r="D2414" s="2" t="s">
        <v>8886</v>
      </c>
      <c r="E2414" s="1">
        <v>1.0</v>
      </c>
      <c r="I2414" s="1">
        <v>0.0</v>
      </c>
      <c r="J2414" s="1">
        <v>540.0</v>
      </c>
      <c r="L2414" s="1">
        <v>2257288.0</v>
      </c>
      <c r="Q2414" s="1" t="s">
        <v>8887</v>
      </c>
      <c r="R2414" s="1" t="s">
        <v>8888</v>
      </c>
      <c r="S2414" s="1">
        <v>1.0</v>
      </c>
      <c r="T2414" s="1">
        <v>4.0</v>
      </c>
      <c r="X2414" s="1" t="s">
        <v>29</v>
      </c>
    </row>
    <row r="2415">
      <c r="A2415" s="3" t="str">
        <f>HYPERLINK("https://stackoverflow.com/q/47258899", "47258899")</f>
        <v>47258899</v>
      </c>
      <c r="B2415" s="1" t="s">
        <v>7613</v>
      </c>
      <c r="C2415" s="1" t="s">
        <v>8889</v>
      </c>
      <c r="D2415" s="2" t="s">
        <v>8890</v>
      </c>
      <c r="E2415" s="1">
        <v>1.0</v>
      </c>
      <c r="I2415" s="1">
        <v>0.0</v>
      </c>
      <c r="J2415" s="1">
        <v>4145.0</v>
      </c>
      <c r="L2415" s="1">
        <v>8931206.0</v>
      </c>
      <c r="N2415" s="1">
        <v>8931206.0</v>
      </c>
      <c r="P2415" s="1" t="s">
        <v>8891</v>
      </c>
      <c r="Q2415" s="1" t="s">
        <v>8891</v>
      </c>
      <c r="R2415" s="1" t="s">
        <v>8728</v>
      </c>
      <c r="S2415" s="1">
        <v>2.0</v>
      </c>
      <c r="T2415" s="1">
        <v>0.0</v>
      </c>
      <c r="U2415" s="1">
        <v>1.0</v>
      </c>
      <c r="X2415" s="1" t="s">
        <v>56</v>
      </c>
    </row>
    <row r="2416">
      <c r="A2416" s="3" t="str">
        <f>HYPERLINK("https://stackoverflow.com/q/47293778", "47293778")</f>
        <v>47293778</v>
      </c>
      <c r="B2416" s="1" t="s">
        <v>7613</v>
      </c>
      <c r="C2416" s="1" t="s">
        <v>8892</v>
      </c>
      <c r="D2416" s="2" t="s">
        <v>8893</v>
      </c>
      <c r="E2416" s="1">
        <v>1.0</v>
      </c>
      <c r="I2416" s="1">
        <v>5.0</v>
      </c>
      <c r="J2416" s="1">
        <v>688.0</v>
      </c>
      <c r="L2416" s="1">
        <v>662488.0</v>
      </c>
      <c r="Q2416" s="1" t="s">
        <v>8894</v>
      </c>
      <c r="R2416" s="1" t="s">
        <v>8895</v>
      </c>
      <c r="S2416" s="1">
        <v>0.0</v>
      </c>
      <c r="T2416" s="1">
        <v>0.0</v>
      </c>
      <c r="U2416" s="1">
        <v>4.0</v>
      </c>
      <c r="X2416" s="1" t="s">
        <v>29</v>
      </c>
    </row>
    <row r="2417">
      <c r="A2417" s="3" t="str">
        <f>HYPERLINK("https://stackoverflow.com/q/47345382", "47345382")</f>
        <v>47345382</v>
      </c>
      <c r="B2417" s="1" t="s">
        <v>7613</v>
      </c>
      <c r="C2417" s="1" t="s">
        <v>8896</v>
      </c>
      <c r="D2417" s="2" t="s">
        <v>8897</v>
      </c>
      <c r="E2417" s="1">
        <v>1.0</v>
      </c>
      <c r="F2417" s="1">
        <v>4.7529181E7</v>
      </c>
      <c r="I2417" s="1">
        <v>0.0</v>
      </c>
      <c r="J2417" s="1">
        <v>746.0</v>
      </c>
      <c r="L2417" s="1">
        <v>8956187.0</v>
      </c>
      <c r="N2417" s="1">
        <v>8956187.0</v>
      </c>
      <c r="P2417" s="1" t="s">
        <v>8898</v>
      </c>
      <c r="Q2417" s="1" t="s">
        <v>8899</v>
      </c>
      <c r="R2417" s="1" t="s">
        <v>8648</v>
      </c>
      <c r="S2417" s="1">
        <v>1.0</v>
      </c>
      <c r="T2417" s="1">
        <v>0.0</v>
      </c>
      <c r="X2417" s="1" t="s">
        <v>29</v>
      </c>
      <c r="Z2417" s="1" t="s">
        <v>8899</v>
      </c>
    </row>
    <row r="2418">
      <c r="A2418" s="3" t="str">
        <f>HYPERLINK("https://stackoverflow.com/q/47388164", "47388164")</f>
        <v>47388164</v>
      </c>
      <c r="B2418" s="1" t="s">
        <v>7613</v>
      </c>
      <c r="C2418" s="1" t="s">
        <v>8900</v>
      </c>
      <c r="D2418" s="2" t="s">
        <v>8901</v>
      </c>
      <c r="E2418" s="1">
        <v>1.0</v>
      </c>
      <c r="I2418" s="1">
        <v>0.0</v>
      </c>
      <c r="J2418" s="1">
        <v>579.0</v>
      </c>
      <c r="L2418" s="1">
        <v>5509571.0</v>
      </c>
      <c r="Q2418" s="1" t="s">
        <v>8902</v>
      </c>
      <c r="R2418" s="1" t="s">
        <v>8412</v>
      </c>
      <c r="S2418" s="1">
        <v>1.0</v>
      </c>
      <c r="T2418" s="1">
        <v>0.0</v>
      </c>
      <c r="X2418" s="1" t="s">
        <v>29</v>
      </c>
    </row>
    <row r="2419">
      <c r="A2419" s="3" t="str">
        <f>HYPERLINK("https://stackoverflow.com/q/47505898", "47505898")</f>
        <v>47505898</v>
      </c>
      <c r="B2419" s="1" t="s">
        <v>7613</v>
      </c>
      <c r="C2419" s="1" t="s">
        <v>8903</v>
      </c>
      <c r="D2419" s="2" t="s">
        <v>8904</v>
      </c>
      <c r="E2419" s="1">
        <v>1.0</v>
      </c>
      <c r="I2419" s="1">
        <v>0.0</v>
      </c>
      <c r="J2419" s="1">
        <v>18.0</v>
      </c>
      <c r="L2419" s="1">
        <v>5772358.0</v>
      </c>
      <c r="Q2419" s="1" t="s">
        <v>8905</v>
      </c>
      <c r="R2419" s="1" t="s">
        <v>8488</v>
      </c>
      <c r="S2419" s="1">
        <v>1.0</v>
      </c>
      <c r="T2419" s="1">
        <v>0.0</v>
      </c>
      <c r="X2419" s="1" t="s">
        <v>29</v>
      </c>
    </row>
    <row r="2420">
      <c r="A2420" s="3" t="str">
        <f>HYPERLINK("https://stackoverflow.com/q/47617463", "47617463")</f>
        <v>47617463</v>
      </c>
      <c r="B2420" s="1" t="s">
        <v>7613</v>
      </c>
      <c r="C2420" s="1" t="s">
        <v>8906</v>
      </c>
      <c r="D2420" s="2" t="s">
        <v>8907</v>
      </c>
      <c r="E2420" s="1">
        <v>1.0</v>
      </c>
      <c r="I2420" s="1">
        <v>0.0</v>
      </c>
      <c r="J2420" s="1">
        <v>884.0</v>
      </c>
      <c r="L2420" s="1">
        <v>6492504.0</v>
      </c>
      <c r="N2420" s="1">
        <v>6492504.0</v>
      </c>
      <c r="P2420" s="1" t="s">
        <v>8908</v>
      </c>
      <c r="Q2420" s="1" t="s">
        <v>8909</v>
      </c>
      <c r="R2420" s="1" t="s">
        <v>8910</v>
      </c>
      <c r="S2420" s="1">
        <v>2.0</v>
      </c>
      <c r="T2420" s="1">
        <v>0.0</v>
      </c>
      <c r="X2420" s="1" t="s">
        <v>29</v>
      </c>
    </row>
    <row r="2421">
      <c r="A2421" s="3" t="str">
        <f>HYPERLINK("https://stackoverflow.com/q/47628734", "47628734")</f>
        <v>47628734</v>
      </c>
      <c r="B2421" s="1" t="s">
        <v>7613</v>
      </c>
      <c r="C2421" s="1" t="s">
        <v>8911</v>
      </c>
      <c r="D2421" s="2" t="s">
        <v>8912</v>
      </c>
      <c r="E2421" s="1">
        <v>1.0</v>
      </c>
      <c r="I2421" s="1">
        <v>0.0</v>
      </c>
      <c r="J2421" s="1">
        <v>23.0</v>
      </c>
      <c r="L2421" s="1">
        <v>8956187.0</v>
      </c>
      <c r="N2421" s="1">
        <v>8956187.0</v>
      </c>
      <c r="P2421" s="1" t="s">
        <v>8913</v>
      </c>
      <c r="Q2421" s="1" t="s">
        <v>8914</v>
      </c>
      <c r="R2421" s="1" t="s">
        <v>8915</v>
      </c>
      <c r="S2421" s="1">
        <v>1.0</v>
      </c>
      <c r="T2421" s="1">
        <v>1.0</v>
      </c>
      <c r="X2421" s="1" t="s">
        <v>29</v>
      </c>
    </row>
    <row r="2422">
      <c r="A2422" s="3" t="str">
        <f>HYPERLINK("https://stackoverflow.com/q/47732539", "47732539")</f>
        <v>47732539</v>
      </c>
      <c r="B2422" s="1" t="s">
        <v>7613</v>
      </c>
      <c r="C2422" s="1" t="s">
        <v>8916</v>
      </c>
      <c r="D2422" s="2" t="s">
        <v>8917</v>
      </c>
      <c r="E2422" s="1">
        <v>1.0</v>
      </c>
      <c r="F2422" s="1">
        <v>4.7762641E7</v>
      </c>
      <c r="I2422" s="1">
        <v>2.0</v>
      </c>
      <c r="J2422" s="1">
        <v>1868.0</v>
      </c>
      <c r="L2422" s="1">
        <v>4835988.0</v>
      </c>
      <c r="N2422" s="1">
        <v>9080990.0</v>
      </c>
      <c r="P2422" s="1" t="s">
        <v>8918</v>
      </c>
      <c r="Q2422" s="1" t="s">
        <v>8919</v>
      </c>
      <c r="R2422" s="1" t="s">
        <v>8920</v>
      </c>
      <c r="S2422" s="1">
        <v>1.0</v>
      </c>
      <c r="T2422" s="1">
        <v>1.0</v>
      </c>
      <c r="U2422" s="1">
        <v>0.0</v>
      </c>
      <c r="X2422" s="1" t="s">
        <v>29</v>
      </c>
      <c r="Z2422" s="1" t="s">
        <v>8919</v>
      </c>
    </row>
    <row r="2423">
      <c r="A2423" s="3" t="str">
        <f>HYPERLINK("https://stackoverflow.com/q/47749485", "47749485")</f>
        <v>47749485</v>
      </c>
      <c r="B2423" s="1" t="s">
        <v>7613</v>
      </c>
      <c r="C2423" s="1" t="s">
        <v>8921</v>
      </c>
      <c r="D2423" s="2" t="s">
        <v>8922</v>
      </c>
      <c r="E2423" s="1">
        <v>1.0</v>
      </c>
      <c r="I2423" s="1">
        <v>1.0</v>
      </c>
      <c r="J2423" s="1">
        <v>168.0</v>
      </c>
      <c r="L2423" s="1">
        <v>8351982.0</v>
      </c>
      <c r="N2423" s="1">
        <v>4559280.0</v>
      </c>
      <c r="P2423" s="1" t="s">
        <v>8923</v>
      </c>
      <c r="Q2423" s="1" t="s">
        <v>8924</v>
      </c>
      <c r="R2423" s="1" t="s">
        <v>8925</v>
      </c>
      <c r="S2423" s="1">
        <v>1.0</v>
      </c>
      <c r="T2423" s="1">
        <v>3.0</v>
      </c>
      <c r="X2423" s="1" t="s">
        <v>29</v>
      </c>
    </row>
    <row r="2424">
      <c r="A2424" s="3" t="str">
        <f>HYPERLINK("https://stackoverflow.com/q/47762700", "47762700")</f>
        <v>47762700</v>
      </c>
      <c r="B2424" s="1" t="s">
        <v>7613</v>
      </c>
      <c r="C2424" s="1" t="s">
        <v>8926</v>
      </c>
      <c r="D2424" s="2" t="s">
        <v>8927</v>
      </c>
      <c r="E2424" s="1">
        <v>1.0</v>
      </c>
      <c r="I2424" s="1">
        <v>0.0</v>
      </c>
      <c r="J2424" s="1">
        <v>359.0</v>
      </c>
      <c r="L2424" s="1">
        <v>4835988.0</v>
      </c>
      <c r="Q2424" s="1" t="s">
        <v>8928</v>
      </c>
      <c r="R2424" s="1" t="s">
        <v>8321</v>
      </c>
      <c r="S2424" s="1">
        <v>1.0</v>
      </c>
      <c r="T2424" s="1">
        <v>2.0</v>
      </c>
      <c r="X2424" s="1" t="s">
        <v>29</v>
      </c>
    </row>
    <row r="2425">
      <c r="A2425" s="3" t="str">
        <f>HYPERLINK("https://stackoverflow.com/q/47800766", "47800766")</f>
        <v>47800766</v>
      </c>
      <c r="B2425" s="1" t="s">
        <v>7613</v>
      </c>
      <c r="C2425" s="1" t="s">
        <v>8929</v>
      </c>
      <c r="D2425" s="2" t="s">
        <v>8930</v>
      </c>
      <c r="E2425" s="1">
        <v>1.0</v>
      </c>
      <c r="I2425" s="1">
        <v>0.0</v>
      </c>
      <c r="J2425" s="1">
        <v>99.0</v>
      </c>
      <c r="L2425" s="1">
        <v>508290.0</v>
      </c>
      <c r="Q2425" s="1" t="s">
        <v>8931</v>
      </c>
      <c r="R2425" s="1" t="s">
        <v>8932</v>
      </c>
      <c r="S2425" s="1">
        <v>1.0</v>
      </c>
      <c r="T2425" s="1">
        <v>0.0</v>
      </c>
      <c r="X2425" s="1" t="s">
        <v>29</v>
      </c>
    </row>
    <row r="2426">
      <c r="A2426" s="3" t="str">
        <f>HYPERLINK("https://stackoverflow.com/q/47801654", "47801654")</f>
        <v>47801654</v>
      </c>
      <c r="B2426" s="1" t="s">
        <v>7613</v>
      </c>
      <c r="C2426" s="1" t="s">
        <v>8933</v>
      </c>
      <c r="D2426" s="2" t="s">
        <v>8934</v>
      </c>
      <c r="E2426" s="1">
        <v>1.0</v>
      </c>
      <c r="I2426" s="1">
        <v>0.0</v>
      </c>
      <c r="J2426" s="1">
        <v>627.0</v>
      </c>
      <c r="L2426" s="1">
        <v>5321964.0</v>
      </c>
      <c r="Q2426" s="1" t="s">
        <v>8935</v>
      </c>
      <c r="R2426" s="1" t="s">
        <v>7812</v>
      </c>
      <c r="S2426" s="1">
        <v>1.0</v>
      </c>
      <c r="T2426" s="1">
        <v>0.0</v>
      </c>
      <c r="X2426" s="1" t="s">
        <v>29</v>
      </c>
    </row>
    <row r="2427">
      <c r="A2427" s="3" t="str">
        <f>HYPERLINK("https://stackoverflow.com/q/47820964", "47820964")</f>
        <v>47820964</v>
      </c>
      <c r="B2427" s="1" t="s">
        <v>7613</v>
      </c>
      <c r="C2427" s="1" t="s">
        <v>8936</v>
      </c>
      <c r="D2427" s="2" t="s">
        <v>8937</v>
      </c>
      <c r="E2427" s="1">
        <v>1.0</v>
      </c>
      <c r="I2427" s="1">
        <v>1.0</v>
      </c>
      <c r="J2427" s="1">
        <v>334.0</v>
      </c>
      <c r="L2427" s="1">
        <v>1082748.0</v>
      </c>
      <c r="Q2427" s="1" t="s">
        <v>8936</v>
      </c>
      <c r="R2427" s="1" t="s">
        <v>8938</v>
      </c>
      <c r="S2427" s="1">
        <v>0.0</v>
      </c>
      <c r="T2427" s="1">
        <v>6.0</v>
      </c>
      <c r="X2427" s="1" t="s">
        <v>29</v>
      </c>
    </row>
    <row r="2428">
      <c r="A2428" s="3" t="str">
        <f>HYPERLINK("https://stackoverflow.com/q/48001643", "48001643")</f>
        <v>48001643</v>
      </c>
      <c r="B2428" s="1" t="s">
        <v>7613</v>
      </c>
      <c r="C2428" s="1" t="s">
        <v>8939</v>
      </c>
      <c r="D2428" s="2" t="s">
        <v>8940</v>
      </c>
      <c r="E2428" s="1">
        <v>1.0</v>
      </c>
      <c r="F2428" s="1">
        <v>4.8030672E7</v>
      </c>
      <c r="I2428" s="1">
        <v>2.0</v>
      </c>
      <c r="J2428" s="1">
        <v>4826.0</v>
      </c>
      <c r="L2428" s="1">
        <v>4470438.0</v>
      </c>
      <c r="Q2428" s="1" t="s">
        <v>8941</v>
      </c>
      <c r="R2428" s="1" t="s">
        <v>8942</v>
      </c>
      <c r="S2428" s="1">
        <v>1.0</v>
      </c>
      <c r="T2428" s="1">
        <v>1.0</v>
      </c>
      <c r="X2428" s="1" t="s">
        <v>29</v>
      </c>
      <c r="Z2428" s="1" t="s">
        <v>8941</v>
      </c>
    </row>
    <row r="2429">
      <c r="A2429" s="3" t="str">
        <f>HYPERLINK("https://stackoverflow.com/q/48089860", "48089860")</f>
        <v>48089860</v>
      </c>
      <c r="B2429" s="1" t="s">
        <v>7613</v>
      </c>
      <c r="C2429" s="1" t="s">
        <v>8943</v>
      </c>
      <c r="D2429" s="2" t="s">
        <v>8944</v>
      </c>
      <c r="E2429" s="1">
        <v>1.0</v>
      </c>
      <c r="I2429" s="1">
        <v>0.0</v>
      </c>
      <c r="J2429" s="1">
        <v>1432.0</v>
      </c>
      <c r="L2429" s="1">
        <v>5535633.0</v>
      </c>
      <c r="Q2429" s="1" t="s">
        <v>8945</v>
      </c>
      <c r="R2429" s="1" t="s">
        <v>8946</v>
      </c>
      <c r="S2429" s="1">
        <v>1.0</v>
      </c>
      <c r="T2429" s="1">
        <v>0.0</v>
      </c>
      <c r="X2429" s="1" t="s">
        <v>29</v>
      </c>
    </row>
    <row r="2430">
      <c r="A2430" s="3" t="str">
        <f>HYPERLINK("https://stackoverflow.com/q/48091397", "48091397")</f>
        <v>48091397</v>
      </c>
      <c r="B2430" s="1" t="s">
        <v>7613</v>
      </c>
      <c r="C2430" s="1" t="s">
        <v>8947</v>
      </c>
      <c r="D2430" s="2" t="s">
        <v>8948</v>
      </c>
      <c r="E2430" s="1">
        <v>1.0</v>
      </c>
      <c r="I2430" s="1">
        <v>0.0</v>
      </c>
      <c r="J2430" s="1">
        <v>181.0</v>
      </c>
      <c r="L2430" s="1">
        <v>8956187.0</v>
      </c>
      <c r="N2430" s="1">
        <v>1033581.0</v>
      </c>
      <c r="P2430" s="1" t="s">
        <v>8949</v>
      </c>
      <c r="Q2430" s="1" t="s">
        <v>8949</v>
      </c>
      <c r="R2430" s="1" t="s">
        <v>8950</v>
      </c>
      <c r="S2430" s="1">
        <v>1.0</v>
      </c>
      <c r="T2430" s="1">
        <v>0.0</v>
      </c>
      <c r="X2430" s="1" t="s">
        <v>56</v>
      </c>
    </row>
    <row r="2431">
      <c r="A2431" s="3" t="str">
        <f>HYPERLINK("https://stackoverflow.com/q/48168891", "48168891")</f>
        <v>48168891</v>
      </c>
      <c r="B2431" s="1" t="s">
        <v>7613</v>
      </c>
      <c r="C2431" s="1" t="s">
        <v>8951</v>
      </c>
      <c r="D2431" s="2" t="s">
        <v>8952</v>
      </c>
      <c r="E2431" s="1">
        <v>1.0</v>
      </c>
      <c r="I2431" s="1">
        <v>0.0</v>
      </c>
      <c r="J2431" s="1">
        <v>25.0</v>
      </c>
      <c r="L2431" s="1">
        <v>8956187.0</v>
      </c>
      <c r="Q2431" s="1" t="s">
        <v>8953</v>
      </c>
      <c r="R2431" s="1" t="s">
        <v>8954</v>
      </c>
      <c r="S2431" s="1">
        <v>1.0</v>
      </c>
      <c r="T2431" s="1">
        <v>0.0</v>
      </c>
      <c r="X2431" s="1" t="s">
        <v>29</v>
      </c>
    </row>
    <row r="2432">
      <c r="A2432" s="3" t="str">
        <f>HYPERLINK("https://stackoverflow.com/q/48315396", "48315396")</f>
        <v>48315396</v>
      </c>
      <c r="B2432" s="1" t="s">
        <v>7613</v>
      </c>
      <c r="C2432" s="1" t="s">
        <v>8955</v>
      </c>
      <c r="D2432" s="2" t="s">
        <v>8956</v>
      </c>
      <c r="E2432" s="1">
        <v>1.0</v>
      </c>
      <c r="I2432" s="1">
        <v>0.0</v>
      </c>
      <c r="J2432" s="1">
        <v>490.0</v>
      </c>
      <c r="L2432" s="1">
        <v>3096721.0</v>
      </c>
      <c r="Q2432" s="1" t="s">
        <v>8957</v>
      </c>
      <c r="R2432" s="1" t="s">
        <v>8958</v>
      </c>
      <c r="S2432" s="1">
        <v>1.0</v>
      </c>
      <c r="T2432" s="1">
        <v>0.0</v>
      </c>
      <c r="X2432" s="1" t="s">
        <v>29</v>
      </c>
    </row>
    <row r="2433">
      <c r="A2433" s="3" t="str">
        <f>HYPERLINK("https://stackoverflow.com/q/48342522", "48342522")</f>
        <v>48342522</v>
      </c>
      <c r="B2433" s="1" t="s">
        <v>7613</v>
      </c>
      <c r="C2433" s="1" t="s">
        <v>8959</v>
      </c>
      <c r="D2433" s="2" t="s">
        <v>8960</v>
      </c>
      <c r="E2433" s="1">
        <v>1.0</v>
      </c>
      <c r="I2433" s="1">
        <v>0.0</v>
      </c>
      <c r="J2433" s="1">
        <v>560.0</v>
      </c>
      <c r="L2433" s="1">
        <v>5893866.0</v>
      </c>
      <c r="Q2433" s="1" t="s">
        <v>8961</v>
      </c>
      <c r="R2433" s="1" t="s">
        <v>8962</v>
      </c>
      <c r="S2433" s="1">
        <v>3.0</v>
      </c>
      <c r="T2433" s="1">
        <v>2.0</v>
      </c>
      <c r="U2433" s="1">
        <v>1.0</v>
      </c>
      <c r="X2433" s="1" t="s">
        <v>29</v>
      </c>
    </row>
    <row r="2434">
      <c r="A2434" s="3" t="str">
        <f>HYPERLINK("https://stackoverflow.com/q/48404730", "48404730")</f>
        <v>48404730</v>
      </c>
      <c r="B2434" s="1" t="s">
        <v>7613</v>
      </c>
      <c r="C2434" s="1" t="s">
        <v>8963</v>
      </c>
      <c r="D2434" s="2" t="s">
        <v>8964</v>
      </c>
      <c r="E2434" s="1">
        <v>1.0</v>
      </c>
      <c r="I2434" s="1">
        <v>0.0</v>
      </c>
      <c r="J2434" s="1">
        <v>119.0</v>
      </c>
      <c r="L2434" s="1">
        <v>8582158.0</v>
      </c>
      <c r="Q2434" s="1" t="s">
        <v>8965</v>
      </c>
      <c r="R2434" s="1" t="s">
        <v>8966</v>
      </c>
      <c r="S2434" s="1">
        <v>1.0</v>
      </c>
      <c r="T2434" s="1">
        <v>0.0</v>
      </c>
      <c r="X2434" s="1" t="s">
        <v>29</v>
      </c>
    </row>
    <row r="2435">
      <c r="A2435" s="3" t="str">
        <f>HYPERLINK("https://stackoverflow.com/q/48439782", "48439782")</f>
        <v>48439782</v>
      </c>
      <c r="B2435" s="1" t="s">
        <v>7613</v>
      </c>
      <c r="C2435" s="1" t="s">
        <v>8967</v>
      </c>
      <c r="D2435" s="2" t="s">
        <v>8968</v>
      </c>
      <c r="E2435" s="1">
        <v>1.0</v>
      </c>
      <c r="I2435" s="1">
        <v>0.0</v>
      </c>
      <c r="J2435" s="1">
        <v>3392.0</v>
      </c>
      <c r="L2435" s="1">
        <v>8956187.0</v>
      </c>
      <c r="Q2435" s="1" t="s">
        <v>8969</v>
      </c>
      <c r="R2435" s="1" t="s">
        <v>8954</v>
      </c>
      <c r="S2435" s="1">
        <v>1.0</v>
      </c>
      <c r="T2435" s="1">
        <v>2.0</v>
      </c>
      <c r="X2435" s="1" t="s">
        <v>29</v>
      </c>
    </row>
    <row r="2436">
      <c r="A2436" s="3" t="str">
        <f>HYPERLINK("https://stackoverflow.com/q/48520584", "48520584")</f>
        <v>48520584</v>
      </c>
      <c r="B2436" s="1" t="s">
        <v>7613</v>
      </c>
      <c r="C2436" s="1" t="s">
        <v>8970</v>
      </c>
      <c r="D2436" s="2" t="s">
        <v>8971</v>
      </c>
      <c r="E2436" s="1">
        <v>1.0</v>
      </c>
      <c r="I2436" s="1">
        <v>0.0</v>
      </c>
      <c r="J2436" s="1">
        <v>62.0</v>
      </c>
      <c r="L2436" s="1">
        <v>8244819.0</v>
      </c>
      <c r="N2436" s="1">
        <v>3314107.0</v>
      </c>
      <c r="P2436" s="1" t="s">
        <v>8972</v>
      </c>
      <c r="Q2436" s="1" t="s">
        <v>8972</v>
      </c>
      <c r="R2436" s="1" t="s">
        <v>8412</v>
      </c>
      <c r="S2436" s="1">
        <v>0.0</v>
      </c>
      <c r="T2436" s="1">
        <v>3.0</v>
      </c>
      <c r="X2436" s="1" t="s">
        <v>29</v>
      </c>
    </row>
    <row r="2437">
      <c r="A2437" s="3" t="str">
        <f>HYPERLINK("https://stackoverflow.com/q/48525962", "48525962")</f>
        <v>48525962</v>
      </c>
      <c r="B2437" s="1" t="s">
        <v>7613</v>
      </c>
      <c r="C2437" s="1" t="s">
        <v>8973</v>
      </c>
      <c r="D2437" s="2" t="s">
        <v>8974</v>
      </c>
      <c r="E2437" s="1">
        <v>1.0</v>
      </c>
      <c r="I2437" s="1">
        <v>1.0</v>
      </c>
      <c r="J2437" s="1">
        <v>69.0</v>
      </c>
      <c r="L2437" s="1">
        <v>8418517.0</v>
      </c>
      <c r="N2437" s="1">
        <v>336511.0</v>
      </c>
      <c r="P2437" s="1" t="s">
        <v>8975</v>
      </c>
      <c r="Q2437" s="1" t="s">
        <v>8976</v>
      </c>
      <c r="R2437" s="1" t="s">
        <v>8977</v>
      </c>
      <c r="S2437" s="1">
        <v>0.0</v>
      </c>
      <c r="T2437" s="1">
        <v>0.0</v>
      </c>
      <c r="X2437" s="1" t="s">
        <v>29</v>
      </c>
    </row>
    <row r="2438">
      <c r="A2438" s="3" t="str">
        <f>HYPERLINK("https://stackoverflow.com/q/48556498", "48556498")</f>
        <v>48556498</v>
      </c>
      <c r="B2438" s="1" t="s">
        <v>7613</v>
      </c>
      <c r="C2438" s="1" t="s">
        <v>8978</v>
      </c>
      <c r="D2438" s="2" t="s">
        <v>8979</v>
      </c>
      <c r="E2438" s="1">
        <v>1.0</v>
      </c>
      <c r="I2438" s="1">
        <v>0.0</v>
      </c>
      <c r="J2438" s="1">
        <v>2803.0</v>
      </c>
      <c r="L2438" s="1">
        <v>9298134.0</v>
      </c>
      <c r="Q2438" s="1" t="s">
        <v>8980</v>
      </c>
      <c r="R2438" s="1" t="s">
        <v>8981</v>
      </c>
      <c r="S2438" s="1">
        <v>2.0</v>
      </c>
      <c r="T2438" s="1">
        <v>0.0</v>
      </c>
      <c r="X2438" s="1" t="s">
        <v>29</v>
      </c>
    </row>
    <row r="2439">
      <c r="A2439" s="3" t="str">
        <f>HYPERLINK("https://stackoverflow.com/q/48621279", "48621279")</f>
        <v>48621279</v>
      </c>
      <c r="B2439" s="1" t="s">
        <v>7613</v>
      </c>
      <c r="C2439" s="1" t="s">
        <v>8982</v>
      </c>
      <c r="D2439" s="2" t="s">
        <v>8983</v>
      </c>
      <c r="E2439" s="1">
        <v>1.0</v>
      </c>
      <c r="I2439" s="1">
        <v>0.0</v>
      </c>
      <c r="J2439" s="1">
        <v>140.0</v>
      </c>
      <c r="L2439" s="1">
        <v>9316289.0</v>
      </c>
      <c r="Q2439" s="1" t="s">
        <v>8982</v>
      </c>
      <c r="R2439" s="1" t="s">
        <v>8984</v>
      </c>
      <c r="S2439" s="1">
        <v>0.0</v>
      </c>
      <c r="T2439" s="1">
        <v>3.0</v>
      </c>
      <c r="X2439" s="1" t="s">
        <v>29</v>
      </c>
    </row>
    <row r="2440">
      <c r="A2440" s="3" t="str">
        <f>HYPERLINK("https://stackoverflow.com/q/48633390", "48633390")</f>
        <v>48633390</v>
      </c>
      <c r="B2440" s="1" t="s">
        <v>7613</v>
      </c>
      <c r="C2440" s="1" t="s">
        <v>8985</v>
      </c>
      <c r="D2440" s="2" t="s">
        <v>8986</v>
      </c>
      <c r="E2440" s="1">
        <v>1.0</v>
      </c>
      <c r="F2440" s="1">
        <v>4.8634523E7</v>
      </c>
      <c r="I2440" s="1">
        <v>0.0</v>
      </c>
      <c r="J2440" s="1">
        <v>59.0</v>
      </c>
      <c r="L2440" s="1">
        <v>7974603.0</v>
      </c>
      <c r="N2440" s="1">
        <v>9210255.0</v>
      </c>
      <c r="P2440" s="1" t="s">
        <v>8987</v>
      </c>
      <c r="Q2440" s="1" t="s">
        <v>8988</v>
      </c>
      <c r="R2440" s="1" t="s">
        <v>8989</v>
      </c>
      <c r="S2440" s="1">
        <v>2.0</v>
      </c>
      <c r="T2440" s="1">
        <v>3.0</v>
      </c>
      <c r="X2440" s="1" t="s">
        <v>29</v>
      </c>
      <c r="Z2440" s="1" t="s">
        <v>8990</v>
      </c>
    </row>
    <row r="2441">
      <c r="A2441" s="3" t="str">
        <f>HYPERLINK("https://stackoverflow.com/q/48773927", "48773927")</f>
        <v>48773927</v>
      </c>
      <c r="B2441" s="1" t="s">
        <v>7613</v>
      </c>
      <c r="C2441" s="1" t="s">
        <v>8991</v>
      </c>
      <c r="D2441" s="2" t="s">
        <v>8992</v>
      </c>
      <c r="E2441" s="1">
        <v>1.0</v>
      </c>
      <c r="I2441" s="1">
        <v>0.0</v>
      </c>
      <c r="J2441" s="1">
        <v>149.0</v>
      </c>
      <c r="L2441" s="1">
        <v>3430245.0</v>
      </c>
      <c r="Q2441" s="1" t="s">
        <v>8993</v>
      </c>
      <c r="R2441" s="1" t="s">
        <v>8525</v>
      </c>
      <c r="S2441" s="1">
        <v>1.0</v>
      </c>
      <c r="T2441" s="1">
        <v>0.0</v>
      </c>
      <c r="X2441" s="1" t="s">
        <v>29</v>
      </c>
    </row>
    <row r="2442">
      <c r="A2442" s="3" t="str">
        <f>HYPERLINK("https://stackoverflow.com/q/48775484", "48775484")</f>
        <v>48775484</v>
      </c>
      <c r="B2442" s="1" t="s">
        <v>7613</v>
      </c>
      <c r="C2442" s="1" t="s">
        <v>8994</v>
      </c>
      <c r="D2442" s="2" t="s">
        <v>8995</v>
      </c>
      <c r="E2442" s="1">
        <v>1.0</v>
      </c>
      <c r="I2442" s="1">
        <v>0.0</v>
      </c>
      <c r="J2442" s="1">
        <v>337.0</v>
      </c>
      <c r="L2442" s="1">
        <v>9356953.0</v>
      </c>
      <c r="N2442" s="1">
        <v>6413377.0</v>
      </c>
      <c r="P2442" s="1" t="s">
        <v>8996</v>
      </c>
      <c r="Q2442" s="1" t="s">
        <v>8997</v>
      </c>
      <c r="R2442" s="1" t="s">
        <v>8321</v>
      </c>
      <c r="S2442" s="1">
        <v>1.0</v>
      </c>
      <c r="T2442" s="1">
        <v>0.0</v>
      </c>
      <c r="X2442" s="1" t="s">
        <v>29</v>
      </c>
    </row>
    <row r="2443">
      <c r="A2443" s="3" t="str">
        <f>HYPERLINK("https://stackoverflow.com/q/48785562", "48785562")</f>
        <v>48785562</v>
      </c>
      <c r="B2443" s="1" t="s">
        <v>7613</v>
      </c>
      <c r="C2443" s="1" t="s">
        <v>8998</v>
      </c>
      <c r="D2443" s="2" t="s">
        <v>8999</v>
      </c>
      <c r="E2443" s="1">
        <v>1.0</v>
      </c>
      <c r="I2443" s="1">
        <v>0.0</v>
      </c>
      <c r="J2443" s="1">
        <v>864.0</v>
      </c>
      <c r="L2443" s="1">
        <v>6840186.0</v>
      </c>
      <c r="N2443" s="1">
        <v>1033581.0</v>
      </c>
      <c r="P2443" s="1" t="s">
        <v>9000</v>
      </c>
      <c r="Q2443" s="1" t="s">
        <v>9000</v>
      </c>
      <c r="R2443" s="1" t="s">
        <v>9001</v>
      </c>
      <c r="S2443" s="1">
        <v>1.0</v>
      </c>
      <c r="T2443" s="1">
        <v>1.0</v>
      </c>
      <c r="X2443" s="1" t="s">
        <v>56</v>
      </c>
    </row>
    <row r="2444">
      <c r="A2444" s="3" t="str">
        <f>HYPERLINK("https://stackoverflow.com/q/48813443", "48813443")</f>
        <v>48813443</v>
      </c>
      <c r="B2444" s="1" t="s">
        <v>7613</v>
      </c>
      <c r="C2444" s="1" t="s">
        <v>9002</v>
      </c>
      <c r="D2444" s="2" t="s">
        <v>9003</v>
      </c>
      <c r="E2444" s="1">
        <v>1.0</v>
      </c>
      <c r="I2444" s="1">
        <v>0.0</v>
      </c>
      <c r="J2444" s="1">
        <v>2082.0</v>
      </c>
      <c r="L2444" s="1">
        <v>9366344.0</v>
      </c>
      <c r="Q2444" s="1" t="s">
        <v>9004</v>
      </c>
      <c r="R2444" s="1" t="s">
        <v>8818</v>
      </c>
      <c r="S2444" s="1">
        <v>0.0</v>
      </c>
      <c r="T2444" s="1">
        <v>1.0</v>
      </c>
      <c r="X2444" s="1" t="s">
        <v>29</v>
      </c>
    </row>
    <row r="2445">
      <c r="A2445" s="3" t="str">
        <f>HYPERLINK("https://stackoverflow.com/q/48897493", "48897493")</f>
        <v>48897493</v>
      </c>
      <c r="B2445" s="1" t="s">
        <v>7613</v>
      </c>
      <c r="C2445" s="1" t="s">
        <v>9005</v>
      </c>
      <c r="D2445" s="2" t="s">
        <v>9006</v>
      </c>
      <c r="E2445" s="1">
        <v>1.0</v>
      </c>
      <c r="I2445" s="1">
        <v>0.0</v>
      </c>
      <c r="J2445" s="1">
        <v>3440.0</v>
      </c>
      <c r="L2445" s="1">
        <v>9366344.0</v>
      </c>
      <c r="N2445" s="1">
        <v>641914.0</v>
      </c>
      <c r="P2445" s="1" t="s">
        <v>9007</v>
      </c>
      <c r="Q2445" s="1" t="s">
        <v>9008</v>
      </c>
      <c r="R2445" s="1" t="s">
        <v>8321</v>
      </c>
      <c r="S2445" s="1">
        <v>2.0</v>
      </c>
      <c r="T2445" s="1">
        <v>0.0</v>
      </c>
      <c r="X2445" s="1" t="s">
        <v>29</v>
      </c>
    </row>
    <row r="2446">
      <c r="A2446" s="3" t="str">
        <f>HYPERLINK("https://stackoverflow.com/q/48979623", "48979623")</f>
        <v>48979623</v>
      </c>
      <c r="B2446" s="1" t="s">
        <v>7613</v>
      </c>
      <c r="C2446" s="1" t="s">
        <v>9009</v>
      </c>
      <c r="D2446" s="2" t="s">
        <v>9010</v>
      </c>
      <c r="E2446" s="1">
        <v>1.0</v>
      </c>
      <c r="I2446" s="1">
        <v>1.0</v>
      </c>
      <c r="J2446" s="1">
        <v>237.0</v>
      </c>
      <c r="L2446" s="1">
        <v>9366344.0</v>
      </c>
      <c r="Q2446" s="1" t="s">
        <v>9011</v>
      </c>
      <c r="R2446" s="1" t="s">
        <v>9012</v>
      </c>
      <c r="S2446" s="1">
        <v>0.0</v>
      </c>
      <c r="T2446" s="1">
        <v>0.0</v>
      </c>
      <c r="X2446" s="1" t="s">
        <v>29</v>
      </c>
    </row>
    <row r="2447">
      <c r="A2447" s="3" t="str">
        <f>HYPERLINK("https://stackoverflow.com/q/49097763", "49097763")</f>
        <v>49097763</v>
      </c>
      <c r="B2447" s="1" t="s">
        <v>7613</v>
      </c>
      <c r="C2447" s="1" t="s">
        <v>9013</v>
      </c>
      <c r="D2447" s="2" t="s">
        <v>9014</v>
      </c>
      <c r="E2447" s="1">
        <v>1.0</v>
      </c>
      <c r="F2447" s="1">
        <v>4.9109611E7</v>
      </c>
      <c r="I2447" s="1">
        <v>2.0</v>
      </c>
      <c r="J2447" s="1">
        <v>302.0</v>
      </c>
      <c r="L2447" s="1">
        <v>8265284.0</v>
      </c>
      <c r="Q2447" s="1" t="s">
        <v>9015</v>
      </c>
      <c r="R2447" s="1" t="s">
        <v>9016</v>
      </c>
      <c r="S2447" s="1">
        <v>1.0</v>
      </c>
      <c r="T2447" s="1">
        <v>0.0</v>
      </c>
      <c r="X2447" s="1" t="s">
        <v>29</v>
      </c>
      <c r="Z2447" s="1" t="s">
        <v>9017</v>
      </c>
    </row>
    <row r="2448">
      <c r="A2448" s="3" t="str">
        <f>HYPERLINK("https://stackoverflow.com/q/49106800", "49106800")</f>
        <v>49106800</v>
      </c>
      <c r="B2448" s="1" t="s">
        <v>7613</v>
      </c>
      <c r="C2448" s="1" t="s">
        <v>9018</v>
      </c>
      <c r="D2448" s="2" t="s">
        <v>9019</v>
      </c>
      <c r="E2448" s="1">
        <v>1.0</v>
      </c>
      <c r="I2448" s="1">
        <v>0.0</v>
      </c>
      <c r="J2448" s="1">
        <v>175.0</v>
      </c>
      <c r="L2448" s="1">
        <v>2454326.0</v>
      </c>
      <c r="Q2448" s="1" t="s">
        <v>9020</v>
      </c>
      <c r="R2448" s="1" t="s">
        <v>8321</v>
      </c>
      <c r="S2448" s="1">
        <v>1.0</v>
      </c>
      <c r="T2448" s="1">
        <v>0.0</v>
      </c>
      <c r="X2448" s="1" t="s">
        <v>29</v>
      </c>
    </row>
    <row r="2449">
      <c r="A2449" s="3" t="str">
        <f>HYPERLINK("https://stackoverflow.com/q/49157019", "49157019")</f>
        <v>49157019</v>
      </c>
      <c r="B2449" s="1" t="s">
        <v>7613</v>
      </c>
      <c r="C2449" s="1" t="s">
        <v>9021</v>
      </c>
      <c r="D2449" s="2" t="s">
        <v>9022</v>
      </c>
      <c r="E2449" s="1">
        <v>1.0</v>
      </c>
      <c r="I2449" s="1">
        <v>0.0</v>
      </c>
      <c r="J2449" s="1">
        <v>256.0</v>
      </c>
      <c r="L2449" s="1">
        <v>9231637.0</v>
      </c>
      <c r="Q2449" s="1" t="s">
        <v>9023</v>
      </c>
      <c r="R2449" s="1" t="s">
        <v>9024</v>
      </c>
      <c r="S2449" s="1">
        <v>1.0</v>
      </c>
      <c r="T2449" s="1">
        <v>0.0</v>
      </c>
      <c r="X2449" s="1" t="s">
        <v>29</v>
      </c>
    </row>
    <row r="2450">
      <c r="A2450" s="3" t="str">
        <f>HYPERLINK("https://stackoverflow.com/q/49200336", "49200336")</f>
        <v>49200336</v>
      </c>
      <c r="B2450" s="1" t="s">
        <v>7613</v>
      </c>
      <c r="C2450" s="1" t="s">
        <v>9025</v>
      </c>
      <c r="D2450" s="2" t="s">
        <v>9026</v>
      </c>
      <c r="E2450" s="1">
        <v>1.0</v>
      </c>
      <c r="I2450" s="1">
        <v>0.0</v>
      </c>
      <c r="J2450" s="1">
        <v>79.0</v>
      </c>
      <c r="L2450" s="1">
        <v>7974603.0</v>
      </c>
      <c r="Q2450" s="1" t="s">
        <v>9027</v>
      </c>
      <c r="R2450" s="1" t="s">
        <v>9028</v>
      </c>
      <c r="S2450" s="1">
        <v>1.0</v>
      </c>
      <c r="T2450" s="1">
        <v>9.0</v>
      </c>
      <c r="X2450" s="1" t="s">
        <v>29</v>
      </c>
    </row>
    <row r="2451">
      <c r="A2451" s="3" t="str">
        <f>HYPERLINK("https://stackoverflow.com/q/49220818", "49220818")</f>
        <v>49220818</v>
      </c>
      <c r="B2451" s="1" t="s">
        <v>7613</v>
      </c>
      <c r="C2451" s="1" t="s">
        <v>9029</v>
      </c>
      <c r="D2451" s="2" t="s">
        <v>9030</v>
      </c>
      <c r="E2451" s="1">
        <v>1.0</v>
      </c>
      <c r="F2451" s="1">
        <v>4.9241827E7</v>
      </c>
      <c r="I2451" s="1">
        <v>0.0</v>
      </c>
      <c r="J2451" s="1">
        <v>273.0</v>
      </c>
      <c r="L2451" s="1">
        <v>4358096.0</v>
      </c>
      <c r="N2451" s="1">
        <v>4283581.0</v>
      </c>
      <c r="P2451" s="1" t="s">
        <v>9031</v>
      </c>
      <c r="Q2451" s="1" t="s">
        <v>9031</v>
      </c>
      <c r="R2451" s="1" t="s">
        <v>9032</v>
      </c>
      <c r="S2451" s="1">
        <v>2.0</v>
      </c>
      <c r="T2451" s="1">
        <v>0.0</v>
      </c>
      <c r="X2451" s="1" t="s">
        <v>56</v>
      </c>
      <c r="Z2451" s="1" t="s">
        <v>9033</v>
      </c>
    </row>
    <row r="2452">
      <c r="A2452" s="3" t="str">
        <f>HYPERLINK("https://stackoverflow.com/q/49261726", "49261726")</f>
        <v>49261726</v>
      </c>
      <c r="B2452" s="1" t="s">
        <v>7613</v>
      </c>
      <c r="C2452" s="1" t="s">
        <v>9034</v>
      </c>
      <c r="D2452" s="2" t="s">
        <v>9035</v>
      </c>
      <c r="E2452" s="1">
        <v>1.0</v>
      </c>
      <c r="I2452" s="1">
        <v>0.0</v>
      </c>
      <c r="J2452" s="1">
        <v>447.0</v>
      </c>
      <c r="L2452" s="1">
        <v>4922804.0</v>
      </c>
      <c r="Q2452" s="1" t="s">
        <v>9036</v>
      </c>
      <c r="R2452" s="1" t="s">
        <v>7688</v>
      </c>
      <c r="S2452" s="1">
        <v>1.0</v>
      </c>
      <c r="T2452" s="1">
        <v>0.0</v>
      </c>
      <c r="X2452" s="1" t="s">
        <v>29</v>
      </c>
    </row>
    <row r="2453">
      <c r="A2453" s="3" t="str">
        <f>HYPERLINK("https://stackoverflow.com/q/49263074", "49263074")</f>
        <v>49263074</v>
      </c>
      <c r="B2453" s="1" t="s">
        <v>7613</v>
      </c>
      <c r="C2453" s="1" t="s">
        <v>9037</v>
      </c>
      <c r="D2453" s="2" t="s">
        <v>9038</v>
      </c>
      <c r="E2453" s="1">
        <v>1.0</v>
      </c>
      <c r="I2453" s="1">
        <v>0.0</v>
      </c>
      <c r="J2453" s="1">
        <v>1153.0</v>
      </c>
      <c r="L2453" s="1">
        <v>8871023.0</v>
      </c>
      <c r="N2453" s="1">
        <v>8871023.0</v>
      </c>
      <c r="P2453" s="1" t="s">
        <v>9039</v>
      </c>
      <c r="Q2453" s="1" t="s">
        <v>9039</v>
      </c>
      <c r="R2453" s="1" t="s">
        <v>9040</v>
      </c>
      <c r="S2453" s="1">
        <v>2.0</v>
      </c>
      <c r="T2453" s="1">
        <v>0.0</v>
      </c>
      <c r="X2453" s="1" t="s">
        <v>29</v>
      </c>
    </row>
    <row r="2454">
      <c r="A2454" s="3" t="str">
        <f>HYPERLINK("https://stackoverflow.com/q/49311336", "49311336")</f>
        <v>49311336</v>
      </c>
      <c r="B2454" s="1" t="s">
        <v>7613</v>
      </c>
      <c r="C2454" s="1" t="s">
        <v>9041</v>
      </c>
      <c r="D2454" s="2" t="s">
        <v>9042</v>
      </c>
      <c r="E2454" s="1">
        <v>1.0</v>
      </c>
      <c r="F2454" s="1">
        <v>4.9374474E7</v>
      </c>
      <c r="I2454" s="1">
        <v>0.0</v>
      </c>
      <c r="J2454" s="1">
        <v>79.0</v>
      </c>
      <c r="L2454" s="1">
        <v>1871131.0</v>
      </c>
      <c r="Q2454" s="1" t="s">
        <v>9043</v>
      </c>
      <c r="R2454" s="1" t="s">
        <v>9044</v>
      </c>
      <c r="S2454" s="1">
        <v>3.0</v>
      </c>
      <c r="T2454" s="1">
        <v>6.0</v>
      </c>
      <c r="U2454" s="1">
        <v>1.0</v>
      </c>
      <c r="X2454" s="1" t="s">
        <v>29</v>
      </c>
      <c r="Z2454" s="1" t="s">
        <v>9043</v>
      </c>
    </row>
    <row r="2455">
      <c r="A2455" s="3" t="str">
        <f>HYPERLINK("https://stackoverflow.com/q/49326074", "49326074")</f>
        <v>49326074</v>
      </c>
      <c r="B2455" s="1" t="s">
        <v>7613</v>
      </c>
      <c r="C2455" s="1" t="s">
        <v>9045</v>
      </c>
      <c r="D2455" s="2" t="s">
        <v>9046</v>
      </c>
      <c r="E2455" s="1">
        <v>1.0</v>
      </c>
      <c r="I2455" s="1">
        <v>0.0</v>
      </c>
      <c r="J2455" s="1">
        <v>887.0</v>
      </c>
      <c r="L2455" s="1">
        <v>9504300.0</v>
      </c>
      <c r="O2455" s="1" t="s">
        <v>9047</v>
      </c>
      <c r="P2455" s="1" t="s">
        <v>9048</v>
      </c>
      <c r="Q2455" s="1" t="s">
        <v>9049</v>
      </c>
      <c r="R2455" s="1" t="s">
        <v>9050</v>
      </c>
      <c r="S2455" s="1">
        <v>0.0</v>
      </c>
      <c r="T2455" s="1">
        <v>2.0</v>
      </c>
      <c r="X2455" s="1" t="s">
        <v>29</v>
      </c>
    </row>
    <row r="2456">
      <c r="A2456" s="3" t="str">
        <f>HYPERLINK("https://stackoverflow.com/q/49400625", "49400625")</f>
        <v>49400625</v>
      </c>
      <c r="B2456" s="1" t="s">
        <v>7613</v>
      </c>
      <c r="C2456" s="1" t="s">
        <v>9051</v>
      </c>
      <c r="D2456" s="2" t="s">
        <v>9052</v>
      </c>
      <c r="E2456" s="1">
        <v>1.0</v>
      </c>
      <c r="I2456" s="1">
        <v>0.0</v>
      </c>
      <c r="J2456" s="1">
        <v>1309.0</v>
      </c>
      <c r="L2456" s="1">
        <v>9465985.0</v>
      </c>
      <c r="Q2456" s="1" t="s">
        <v>9053</v>
      </c>
      <c r="R2456" s="1" t="s">
        <v>8981</v>
      </c>
      <c r="S2456" s="1">
        <v>1.0</v>
      </c>
      <c r="T2456" s="1">
        <v>0.0</v>
      </c>
      <c r="X2456" s="1" t="s">
        <v>29</v>
      </c>
    </row>
    <row r="2457">
      <c r="A2457" s="3" t="str">
        <f>HYPERLINK("https://stackoverflow.com/q/49493225", "49493225")</f>
        <v>49493225</v>
      </c>
      <c r="B2457" s="1" t="s">
        <v>7613</v>
      </c>
      <c r="C2457" s="1" t="s">
        <v>9054</v>
      </c>
      <c r="D2457" s="2" t="s">
        <v>9055</v>
      </c>
      <c r="E2457" s="1">
        <v>1.0</v>
      </c>
      <c r="I2457" s="1">
        <v>0.0</v>
      </c>
      <c r="J2457" s="1">
        <v>1218.0</v>
      </c>
      <c r="L2457" s="1">
        <v>2169104.0</v>
      </c>
      <c r="Q2457" s="1" t="s">
        <v>9056</v>
      </c>
      <c r="R2457" s="1" t="s">
        <v>8728</v>
      </c>
      <c r="S2457" s="1">
        <v>1.0</v>
      </c>
      <c r="T2457" s="1">
        <v>1.0</v>
      </c>
      <c r="X2457" s="1" t="s">
        <v>29</v>
      </c>
    </row>
    <row r="2458">
      <c r="A2458" s="3" t="str">
        <f>HYPERLINK("https://stackoverflow.com/q/49511434", "49511434")</f>
        <v>49511434</v>
      </c>
      <c r="B2458" s="1" t="s">
        <v>7613</v>
      </c>
      <c r="C2458" s="1" t="s">
        <v>9057</v>
      </c>
      <c r="D2458" s="2" t="s">
        <v>9058</v>
      </c>
      <c r="E2458" s="1">
        <v>1.0</v>
      </c>
      <c r="I2458" s="1">
        <v>0.0</v>
      </c>
      <c r="J2458" s="1">
        <v>637.0</v>
      </c>
      <c r="L2458" s="1">
        <v>9547163.0</v>
      </c>
      <c r="Q2458" s="1" t="s">
        <v>9059</v>
      </c>
      <c r="R2458" s="1" t="s">
        <v>9060</v>
      </c>
      <c r="S2458" s="1">
        <v>1.0</v>
      </c>
      <c r="T2458" s="1">
        <v>1.0</v>
      </c>
      <c r="X2458" s="1" t="s">
        <v>29</v>
      </c>
    </row>
    <row r="2459">
      <c r="A2459" s="3" t="str">
        <f>HYPERLINK("https://stackoverflow.com/q/49553459", "49553459")</f>
        <v>49553459</v>
      </c>
      <c r="B2459" s="1" t="s">
        <v>7613</v>
      </c>
      <c r="C2459" s="1" t="s">
        <v>9061</v>
      </c>
      <c r="D2459" s="2" t="s">
        <v>9062</v>
      </c>
      <c r="E2459" s="1">
        <v>1.0</v>
      </c>
      <c r="F2459" s="1">
        <v>4.9638798E7</v>
      </c>
      <c r="I2459" s="1">
        <v>1.0</v>
      </c>
      <c r="J2459" s="1">
        <v>1862.0</v>
      </c>
      <c r="L2459" s="1">
        <v>7909229.0</v>
      </c>
      <c r="Q2459" s="1" t="s">
        <v>9063</v>
      </c>
      <c r="R2459" s="1" t="s">
        <v>8321</v>
      </c>
      <c r="S2459" s="1">
        <v>1.0</v>
      </c>
      <c r="T2459" s="1">
        <v>0.0</v>
      </c>
      <c r="X2459" s="1" t="s">
        <v>29</v>
      </c>
      <c r="Z2459" s="1" t="s">
        <v>9063</v>
      </c>
    </row>
    <row r="2460">
      <c r="A2460" s="3" t="str">
        <f>HYPERLINK("https://stackoverflow.com/q/49563870", "49563870")</f>
        <v>49563870</v>
      </c>
      <c r="B2460" s="1" t="s">
        <v>7613</v>
      </c>
      <c r="C2460" s="1" t="s">
        <v>9064</v>
      </c>
      <c r="D2460" s="2" t="s">
        <v>9065</v>
      </c>
      <c r="E2460" s="1">
        <v>1.0</v>
      </c>
      <c r="I2460" s="1">
        <v>0.0</v>
      </c>
      <c r="J2460" s="1">
        <v>64.0</v>
      </c>
      <c r="L2460" s="1">
        <v>2909306.0</v>
      </c>
      <c r="Q2460" s="1" t="s">
        <v>9066</v>
      </c>
      <c r="R2460" s="1" t="s">
        <v>9067</v>
      </c>
      <c r="S2460" s="1">
        <v>1.0</v>
      </c>
      <c r="T2460" s="1">
        <v>2.0</v>
      </c>
      <c r="X2460" s="1" t="s">
        <v>29</v>
      </c>
    </row>
    <row r="2461">
      <c r="A2461" s="3" t="str">
        <f>HYPERLINK("https://stackoverflow.com/q/49644610", "49644610")</f>
        <v>49644610</v>
      </c>
      <c r="B2461" s="1" t="s">
        <v>7613</v>
      </c>
      <c r="C2461" s="1" t="s">
        <v>9068</v>
      </c>
      <c r="D2461" s="2" t="s">
        <v>9069</v>
      </c>
      <c r="E2461" s="1">
        <v>1.0</v>
      </c>
      <c r="I2461" s="1">
        <v>1.0</v>
      </c>
      <c r="J2461" s="1">
        <v>783.0</v>
      </c>
      <c r="L2461" s="1">
        <v>1330803.0</v>
      </c>
      <c r="Q2461" s="1" t="s">
        <v>9070</v>
      </c>
      <c r="R2461" s="1" t="s">
        <v>9071</v>
      </c>
      <c r="S2461" s="1">
        <v>1.0</v>
      </c>
      <c r="T2461" s="1">
        <v>0.0</v>
      </c>
      <c r="X2461" s="1" t="s">
        <v>29</v>
      </c>
    </row>
    <row r="2462">
      <c r="A2462" s="3" t="str">
        <f>HYPERLINK("https://stackoverflow.com/q/49701465", "49701465")</f>
        <v>49701465</v>
      </c>
      <c r="B2462" s="1" t="s">
        <v>7613</v>
      </c>
      <c r="C2462" s="1" t="s">
        <v>9072</v>
      </c>
      <c r="D2462" s="2" t="s">
        <v>9073</v>
      </c>
      <c r="E2462" s="1">
        <v>1.0</v>
      </c>
      <c r="I2462" s="1">
        <v>2.0</v>
      </c>
      <c r="J2462" s="1">
        <v>350.0</v>
      </c>
      <c r="L2462" s="1">
        <v>7974603.0</v>
      </c>
      <c r="N2462" s="1">
        <v>7974603.0</v>
      </c>
      <c r="P2462" s="1" t="s">
        <v>9074</v>
      </c>
      <c r="Q2462" s="1" t="s">
        <v>9075</v>
      </c>
      <c r="R2462" s="1" t="s">
        <v>9076</v>
      </c>
      <c r="S2462" s="1">
        <v>2.0</v>
      </c>
      <c r="T2462" s="1">
        <v>0.0</v>
      </c>
      <c r="X2462" s="1" t="s">
        <v>29</v>
      </c>
    </row>
    <row r="2463">
      <c r="A2463" s="3" t="str">
        <f>HYPERLINK("https://stackoverflow.com/q/49789544", "49789544")</f>
        <v>49789544</v>
      </c>
      <c r="B2463" s="1" t="s">
        <v>7613</v>
      </c>
      <c r="C2463" s="1" t="s">
        <v>9077</v>
      </c>
      <c r="D2463" s="2" t="s">
        <v>9078</v>
      </c>
      <c r="E2463" s="1">
        <v>1.0</v>
      </c>
      <c r="F2463" s="1">
        <v>4.9922318E7</v>
      </c>
      <c r="I2463" s="1">
        <v>0.0</v>
      </c>
      <c r="J2463" s="1">
        <v>387.0</v>
      </c>
      <c r="L2463" s="1">
        <v>8693779.0</v>
      </c>
      <c r="Q2463" s="1" t="s">
        <v>9079</v>
      </c>
      <c r="R2463" s="1" t="s">
        <v>9080</v>
      </c>
      <c r="S2463" s="1">
        <v>1.0</v>
      </c>
      <c r="T2463" s="1">
        <v>0.0</v>
      </c>
      <c r="X2463" s="1" t="s">
        <v>29</v>
      </c>
      <c r="Z2463" s="1" t="s">
        <v>9079</v>
      </c>
    </row>
    <row r="2464">
      <c r="A2464" s="3" t="str">
        <f>HYPERLINK("https://stackoverflow.com/q/49838965", "49838965")</f>
        <v>49838965</v>
      </c>
      <c r="B2464" s="1" t="s">
        <v>7613</v>
      </c>
      <c r="C2464" s="1" t="s">
        <v>9081</v>
      </c>
      <c r="D2464" s="2" t="s">
        <v>9082</v>
      </c>
      <c r="E2464" s="1">
        <v>1.0</v>
      </c>
      <c r="I2464" s="1">
        <v>1.0</v>
      </c>
      <c r="J2464" s="1">
        <v>952.0</v>
      </c>
      <c r="L2464" s="1">
        <v>8688724.0</v>
      </c>
      <c r="N2464" s="1">
        <v>8688724.0</v>
      </c>
      <c r="P2464" s="1" t="s">
        <v>9083</v>
      </c>
      <c r="Q2464" s="1" t="s">
        <v>9084</v>
      </c>
      <c r="R2464" s="1" t="s">
        <v>9085</v>
      </c>
      <c r="S2464" s="1">
        <v>0.0</v>
      </c>
      <c r="T2464" s="1">
        <v>0.0</v>
      </c>
      <c r="X2464" s="1" t="s">
        <v>29</v>
      </c>
    </row>
    <row r="2465">
      <c r="A2465" s="3" t="str">
        <f>HYPERLINK("https://stackoverflow.com/q/49848538", "49848538")</f>
        <v>49848538</v>
      </c>
      <c r="B2465" s="1" t="s">
        <v>7613</v>
      </c>
      <c r="C2465" s="1" t="s">
        <v>9086</v>
      </c>
      <c r="D2465" s="2" t="s">
        <v>9087</v>
      </c>
      <c r="E2465" s="1">
        <v>1.0</v>
      </c>
      <c r="I2465" s="1">
        <v>0.0</v>
      </c>
      <c r="J2465" s="1">
        <v>255.0</v>
      </c>
      <c r="L2465" s="1">
        <v>7524310.0</v>
      </c>
      <c r="N2465" s="1">
        <v>7524310.0</v>
      </c>
      <c r="P2465" s="1" t="s">
        <v>9088</v>
      </c>
      <c r="Q2465" s="1" t="s">
        <v>9089</v>
      </c>
      <c r="R2465" s="1" t="s">
        <v>9090</v>
      </c>
      <c r="S2465" s="1">
        <v>1.0</v>
      </c>
      <c r="T2465" s="1">
        <v>0.0</v>
      </c>
      <c r="X2465" s="1" t="s">
        <v>29</v>
      </c>
    </row>
    <row r="2466">
      <c r="A2466" s="3" t="str">
        <f>HYPERLINK("https://stackoverflow.com/q/49921038", "49921038")</f>
        <v>49921038</v>
      </c>
      <c r="B2466" s="1" t="s">
        <v>7613</v>
      </c>
      <c r="C2466" s="1" t="s">
        <v>9091</v>
      </c>
      <c r="D2466" s="2" t="s">
        <v>9092</v>
      </c>
      <c r="E2466" s="1">
        <v>1.0</v>
      </c>
      <c r="I2466" s="1">
        <v>1.0</v>
      </c>
      <c r="J2466" s="1">
        <v>30.0</v>
      </c>
      <c r="L2466" s="1">
        <v>9669762.0</v>
      </c>
      <c r="N2466" s="1">
        <v>2284065.0</v>
      </c>
      <c r="P2466" s="1" t="s">
        <v>9093</v>
      </c>
      <c r="Q2466" s="1" t="s">
        <v>9093</v>
      </c>
      <c r="R2466" s="1" t="s">
        <v>9094</v>
      </c>
      <c r="S2466" s="1">
        <v>0.0</v>
      </c>
      <c r="T2466" s="1">
        <v>0.0</v>
      </c>
      <c r="X2466" s="1" t="s">
        <v>29</v>
      </c>
    </row>
    <row r="2467">
      <c r="A2467" s="3" t="str">
        <f>HYPERLINK("https://stackoverflow.com/q/49929362", "49929362")</f>
        <v>49929362</v>
      </c>
      <c r="B2467" s="1" t="s">
        <v>7613</v>
      </c>
      <c r="C2467" s="1" t="s">
        <v>9095</v>
      </c>
      <c r="D2467" s="2" t="s">
        <v>9096</v>
      </c>
      <c r="E2467" s="1">
        <v>1.0</v>
      </c>
      <c r="I2467" s="1">
        <v>1.0</v>
      </c>
      <c r="J2467" s="1">
        <v>387.0</v>
      </c>
      <c r="L2467" s="1">
        <v>610734.0</v>
      </c>
      <c r="Q2467" s="1" t="s">
        <v>9095</v>
      </c>
      <c r="R2467" s="1" t="s">
        <v>9097</v>
      </c>
      <c r="S2467" s="1">
        <v>0.0</v>
      </c>
      <c r="T2467" s="1">
        <v>3.0</v>
      </c>
      <c r="U2467" s="1">
        <v>1.0</v>
      </c>
      <c r="X2467" s="1" t="s">
        <v>29</v>
      </c>
    </row>
    <row r="2468">
      <c r="A2468" s="3" t="str">
        <f>HYPERLINK("https://stackoverflow.com/q/50036821", "50036821")</f>
        <v>50036821</v>
      </c>
      <c r="B2468" s="1" t="s">
        <v>7613</v>
      </c>
      <c r="C2468" s="1" t="s">
        <v>9098</v>
      </c>
      <c r="D2468" s="2" t="s">
        <v>9099</v>
      </c>
      <c r="E2468" s="1">
        <v>1.0</v>
      </c>
      <c r="I2468" s="1">
        <v>1.0</v>
      </c>
      <c r="J2468" s="1">
        <v>62.0</v>
      </c>
      <c r="L2468" s="1">
        <v>5301635.0</v>
      </c>
      <c r="N2468" s="1">
        <v>1033581.0</v>
      </c>
      <c r="P2468" s="1" t="s">
        <v>9100</v>
      </c>
      <c r="Q2468" s="1" t="s">
        <v>9101</v>
      </c>
      <c r="R2468" s="1" t="s">
        <v>9102</v>
      </c>
      <c r="S2468" s="1">
        <v>1.0</v>
      </c>
      <c r="T2468" s="1">
        <v>0.0</v>
      </c>
      <c r="X2468" s="1" t="s">
        <v>56</v>
      </c>
    </row>
    <row r="2469">
      <c r="A2469" s="3" t="str">
        <f>HYPERLINK("https://stackoverflow.com/q/50116681", "50116681")</f>
        <v>50116681</v>
      </c>
      <c r="B2469" s="1" t="s">
        <v>7613</v>
      </c>
      <c r="C2469" s="1" t="s">
        <v>9103</v>
      </c>
      <c r="D2469" s="2" t="s">
        <v>9104</v>
      </c>
      <c r="E2469" s="1">
        <v>1.0</v>
      </c>
      <c r="I2469" s="1">
        <v>2.0</v>
      </c>
      <c r="J2469" s="1">
        <v>3180.0</v>
      </c>
      <c r="L2469" s="1">
        <v>3153562.0</v>
      </c>
      <c r="Q2469" s="1" t="s">
        <v>9103</v>
      </c>
      <c r="R2469" s="1" t="s">
        <v>8728</v>
      </c>
      <c r="S2469" s="1">
        <v>0.0</v>
      </c>
      <c r="T2469" s="1">
        <v>1.0</v>
      </c>
      <c r="X2469" s="1" t="s">
        <v>29</v>
      </c>
    </row>
    <row r="2470">
      <c r="A2470" s="3" t="str">
        <f>HYPERLINK("https://stackoverflow.com/q/50121723", "50121723")</f>
        <v>50121723</v>
      </c>
      <c r="B2470" s="1" t="s">
        <v>7613</v>
      </c>
      <c r="C2470" s="1" t="s">
        <v>9105</v>
      </c>
      <c r="D2470" s="2" t="s">
        <v>9106</v>
      </c>
      <c r="E2470" s="1">
        <v>1.0</v>
      </c>
      <c r="I2470" s="1">
        <v>0.0</v>
      </c>
      <c r="J2470" s="1">
        <v>391.0</v>
      </c>
      <c r="L2470" s="1">
        <v>7793136.0</v>
      </c>
      <c r="N2470" s="1">
        <v>6771046.0</v>
      </c>
      <c r="P2470" s="1" t="s">
        <v>9107</v>
      </c>
      <c r="Q2470" s="1" t="s">
        <v>9108</v>
      </c>
      <c r="R2470" s="1" t="s">
        <v>9109</v>
      </c>
      <c r="S2470" s="1">
        <v>1.0</v>
      </c>
      <c r="T2470" s="1">
        <v>1.0</v>
      </c>
      <c r="X2470" s="1" t="s">
        <v>29</v>
      </c>
    </row>
    <row r="2471">
      <c r="A2471" s="3" t="str">
        <f>HYPERLINK("https://stackoverflow.com/q/50149635", "50149635")</f>
        <v>50149635</v>
      </c>
      <c r="B2471" s="1" t="s">
        <v>7613</v>
      </c>
      <c r="C2471" s="1" t="s">
        <v>9110</v>
      </c>
      <c r="D2471" s="2" t="s">
        <v>9111</v>
      </c>
      <c r="E2471" s="1">
        <v>1.0</v>
      </c>
      <c r="I2471" s="1">
        <v>1.0</v>
      </c>
      <c r="J2471" s="1">
        <v>202.0</v>
      </c>
      <c r="L2471" s="1">
        <v>9734048.0</v>
      </c>
      <c r="N2471" s="1">
        <v>7185314.0</v>
      </c>
      <c r="P2471" s="1" t="s">
        <v>9112</v>
      </c>
      <c r="Q2471" s="1" t="s">
        <v>9112</v>
      </c>
      <c r="R2471" s="1" t="s">
        <v>8412</v>
      </c>
      <c r="S2471" s="1">
        <v>0.0</v>
      </c>
      <c r="T2471" s="1">
        <v>0.0</v>
      </c>
      <c r="X2471" s="1" t="s">
        <v>56</v>
      </c>
    </row>
    <row r="2472">
      <c r="A2472" s="3" t="str">
        <f>HYPERLINK("https://stackoverflow.com/q/50152309", "50152309")</f>
        <v>50152309</v>
      </c>
      <c r="B2472" s="1" t="s">
        <v>7613</v>
      </c>
      <c r="C2472" s="1" t="s">
        <v>9113</v>
      </c>
      <c r="D2472" s="2" t="s">
        <v>9114</v>
      </c>
      <c r="E2472" s="1">
        <v>1.0</v>
      </c>
      <c r="I2472" s="1">
        <v>0.0</v>
      </c>
      <c r="J2472" s="1">
        <v>32.0</v>
      </c>
      <c r="L2472" s="1">
        <v>2138343.0</v>
      </c>
      <c r="N2472" s="1">
        <v>2138343.0</v>
      </c>
      <c r="P2472" s="1" t="s">
        <v>9115</v>
      </c>
      <c r="Q2472" s="1" t="s">
        <v>9116</v>
      </c>
      <c r="R2472" s="1" t="s">
        <v>8705</v>
      </c>
      <c r="S2472" s="1">
        <v>1.0</v>
      </c>
      <c r="T2472" s="1">
        <v>5.0</v>
      </c>
      <c r="X2472" s="1" t="s">
        <v>56</v>
      </c>
    </row>
    <row r="2473">
      <c r="A2473" s="3" t="str">
        <f>HYPERLINK("https://stackoverflow.com/q/50167772", "50167772")</f>
        <v>50167772</v>
      </c>
      <c r="B2473" s="1" t="s">
        <v>7613</v>
      </c>
      <c r="C2473" s="1" t="s">
        <v>9117</v>
      </c>
      <c r="D2473" s="2" t="s">
        <v>9118</v>
      </c>
      <c r="E2473" s="1">
        <v>1.0</v>
      </c>
      <c r="I2473" s="1">
        <v>0.0</v>
      </c>
      <c r="J2473" s="1">
        <v>2783.0</v>
      </c>
      <c r="L2473" s="1">
        <v>7099952.0</v>
      </c>
      <c r="Q2473" s="1" t="s">
        <v>9119</v>
      </c>
      <c r="R2473" s="1" t="s">
        <v>9120</v>
      </c>
      <c r="S2473" s="1">
        <v>1.0</v>
      </c>
      <c r="T2473" s="1">
        <v>2.0</v>
      </c>
      <c r="X2473" s="1" t="s">
        <v>56</v>
      </c>
    </row>
    <row r="2474">
      <c r="A2474" s="3" t="str">
        <f>HYPERLINK("https://stackoverflow.com/q/50223180", "50223180")</f>
        <v>50223180</v>
      </c>
      <c r="B2474" s="1" t="s">
        <v>7613</v>
      </c>
      <c r="C2474" s="1" t="s">
        <v>9121</v>
      </c>
      <c r="D2474" s="2" t="s">
        <v>9122</v>
      </c>
      <c r="E2474" s="1">
        <v>1.0</v>
      </c>
      <c r="I2474" s="1">
        <v>0.0</v>
      </c>
      <c r="J2474" s="1">
        <v>164.0</v>
      </c>
      <c r="L2474" s="1">
        <v>5007390.0</v>
      </c>
      <c r="Q2474" s="1" t="s">
        <v>9123</v>
      </c>
      <c r="R2474" s="1" t="s">
        <v>9124</v>
      </c>
      <c r="S2474" s="1">
        <v>1.0</v>
      </c>
      <c r="T2474" s="1">
        <v>2.0</v>
      </c>
      <c r="X2474" s="1" t="s">
        <v>56</v>
      </c>
    </row>
    <row r="2475">
      <c r="A2475" s="3" t="str">
        <f>HYPERLINK("https://stackoverflow.com/q/50248950", "50248950")</f>
        <v>50248950</v>
      </c>
      <c r="B2475" s="1" t="s">
        <v>7613</v>
      </c>
      <c r="C2475" s="1" t="s">
        <v>9125</v>
      </c>
      <c r="D2475" s="2" t="s">
        <v>9126</v>
      </c>
      <c r="E2475" s="1">
        <v>1.0</v>
      </c>
      <c r="I2475" s="1">
        <v>1.0</v>
      </c>
      <c r="J2475" s="1">
        <v>493.0</v>
      </c>
      <c r="L2475" s="1">
        <v>7956604.0</v>
      </c>
      <c r="N2475" s="1">
        <v>7956604.0</v>
      </c>
      <c r="P2475" s="1" t="s">
        <v>9127</v>
      </c>
      <c r="Q2475" s="1" t="s">
        <v>9128</v>
      </c>
      <c r="R2475" s="1" t="s">
        <v>9129</v>
      </c>
      <c r="S2475" s="1">
        <v>1.0</v>
      </c>
      <c r="T2475" s="1">
        <v>0.0</v>
      </c>
      <c r="X2475" s="1" t="s">
        <v>56</v>
      </c>
    </row>
    <row r="2476">
      <c r="A2476" s="3" t="str">
        <f>HYPERLINK("https://stackoverflow.com/q/50280733", "50280733")</f>
        <v>50280733</v>
      </c>
      <c r="B2476" s="1" t="s">
        <v>7613</v>
      </c>
      <c r="C2476" s="1" t="s">
        <v>9130</v>
      </c>
      <c r="D2476" s="2" t="s">
        <v>9131</v>
      </c>
      <c r="E2476" s="1">
        <v>1.0</v>
      </c>
      <c r="I2476" s="1">
        <v>0.0</v>
      </c>
      <c r="J2476" s="1">
        <v>254.0</v>
      </c>
      <c r="L2476" s="1">
        <v>5049296.0</v>
      </c>
      <c r="Q2476" s="1" t="s">
        <v>9132</v>
      </c>
      <c r="R2476" s="1" t="s">
        <v>8321</v>
      </c>
      <c r="S2476" s="1">
        <v>1.0</v>
      </c>
      <c r="T2476" s="1">
        <v>1.0</v>
      </c>
      <c r="X2476" s="1" t="s">
        <v>56</v>
      </c>
    </row>
    <row r="2477">
      <c r="A2477" s="3" t="str">
        <f>HYPERLINK("https://stackoverflow.com/q/50285253", "50285253")</f>
        <v>50285253</v>
      </c>
      <c r="B2477" s="1" t="s">
        <v>7613</v>
      </c>
      <c r="C2477" s="1" t="s">
        <v>9133</v>
      </c>
      <c r="D2477" s="2" t="s">
        <v>9134</v>
      </c>
      <c r="E2477" s="1">
        <v>1.0</v>
      </c>
      <c r="I2477" s="1">
        <v>0.0</v>
      </c>
      <c r="J2477" s="1">
        <v>345.0</v>
      </c>
      <c r="L2477" s="1">
        <v>5165632.0</v>
      </c>
      <c r="N2477" s="1">
        <v>4420967.0</v>
      </c>
      <c r="P2477" s="1" t="s">
        <v>9135</v>
      </c>
      <c r="Q2477" s="1" t="s">
        <v>9136</v>
      </c>
      <c r="R2477" s="1" t="s">
        <v>8412</v>
      </c>
      <c r="S2477" s="1">
        <v>1.0</v>
      </c>
      <c r="T2477" s="1">
        <v>0.0</v>
      </c>
      <c r="X2477" s="1" t="s">
        <v>56</v>
      </c>
    </row>
    <row r="2478">
      <c r="A2478" s="3" t="str">
        <f>HYPERLINK("https://stackoverflow.com/q/50303866", "50303866")</f>
        <v>50303866</v>
      </c>
      <c r="B2478" s="1" t="s">
        <v>7613</v>
      </c>
      <c r="C2478" s="1" t="s">
        <v>9137</v>
      </c>
      <c r="D2478" s="2" t="s">
        <v>9138</v>
      </c>
      <c r="E2478" s="1">
        <v>1.0</v>
      </c>
      <c r="I2478" s="1">
        <v>0.0</v>
      </c>
      <c r="J2478" s="1">
        <v>206.0</v>
      </c>
      <c r="L2478" s="1">
        <v>8739701.0</v>
      </c>
      <c r="Q2478" s="1" t="s">
        <v>9139</v>
      </c>
      <c r="R2478" s="1" t="s">
        <v>9140</v>
      </c>
      <c r="S2478" s="1">
        <v>1.0</v>
      </c>
      <c r="T2478" s="1">
        <v>0.0</v>
      </c>
      <c r="X2478" s="1" t="s">
        <v>56</v>
      </c>
    </row>
    <row r="2479">
      <c r="A2479" s="3" t="str">
        <f>HYPERLINK("https://stackoverflow.com/q/50330121", "50330121")</f>
        <v>50330121</v>
      </c>
      <c r="B2479" s="1" t="s">
        <v>7613</v>
      </c>
      <c r="C2479" s="1" t="s">
        <v>9141</v>
      </c>
      <c r="D2479" s="2" t="s">
        <v>9142</v>
      </c>
      <c r="E2479" s="1">
        <v>1.0</v>
      </c>
      <c r="F2479" s="1">
        <v>5.0330862E7</v>
      </c>
      <c r="I2479" s="1">
        <v>0.0</v>
      </c>
      <c r="J2479" s="1">
        <v>768.0</v>
      </c>
      <c r="L2479" s="1">
        <v>5165632.0</v>
      </c>
      <c r="Q2479" s="1" t="s">
        <v>9143</v>
      </c>
      <c r="R2479" s="1" t="s">
        <v>8828</v>
      </c>
      <c r="S2479" s="1">
        <v>1.0</v>
      </c>
      <c r="T2479" s="1">
        <v>1.0</v>
      </c>
      <c r="X2479" s="1" t="s">
        <v>56</v>
      </c>
      <c r="Z2479" s="1" t="s">
        <v>9143</v>
      </c>
    </row>
    <row r="2480">
      <c r="A2480" s="3" t="str">
        <f>HYPERLINK("https://stackoverflow.com/q/50339104", "50339104")</f>
        <v>50339104</v>
      </c>
      <c r="B2480" s="1" t="s">
        <v>7613</v>
      </c>
      <c r="C2480" s="1" t="s">
        <v>9144</v>
      </c>
      <c r="D2480" s="2" t="s">
        <v>9145</v>
      </c>
      <c r="E2480" s="1">
        <v>1.0</v>
      </c>
      <c r="I2480" s="1">
        <v>0.0</v>
      </c>
      <c r="J2480" s="1">
        <v>10.0</v>
      </c>
      <c r="L2480" s="1">
        <v>9790816.0</v>
      </c>
      <c r="Q2480" s="1" t="s">
        <v>9144</v>
      </c>
      <c r="R2480" s="1" t="s">
        <v>8412</v>
      </c>
      <c r="S2480" s="1">
        <v>0.0</v>
      </c>
      <c r="T2480" s="1">
        <v>2.0</v>
      </c>
      <c r="X2480" s="1" t="s">
        <v>56</v>
      </c>
    </row>
    <row r="2481">
      <c r="A2481" s="3" t="str">
        <f>HYPERLINK("https://stackoverflow.com/q/50450644", "50450644")</f>
        <v>50450644</v>
      </c>
      <c r="B2481" s="1" t="s">
        <v>7613</v>
      </c>
      <c r="C2481" s="1" t="s">
        <v>9146</v>
      </c>
      <c r="D2481" s="2" t="s">
        <v>9147</v>
      </c>
      <c r="E2481" s="1">
        <v>1.0</v>
      </c>
      <c r="I2481" s="1">
        <v>0.0</v>
      </c>
      <c r="J2481" s="1">
        <v>12.0</v>
      </c>
      <c r="L2481" s="1">
        <v>2971775.0</v>
      </c>
      <c r="N2481" s="1">
        <v>4420967.0</v>
      </c>
      <c r="P2481" s="1" t="s">
        <v>9148</v>
      </c>
      <c r="Q2481" s="1" t="s">
        <v>9148</v>
      </c>
      <c r="R2481" s="1" t="s">
        <v>9149</v>
      </c>
      <c r="S2481" s="1">
        <v>1.0</v>
      </c>
      <c r="T2481" s="1">
        <v>0.0</v>
      </c>
      <c r="X2481" s="1" t="s">
        <v>56</v>
      </c>
    </row>
    <row r="2482">
      <c r="A2482" s="3" t="str">
        <f>HYPERLINK("https://stackoverflow.com/q/50490209", "50490209")</f>
        <v>50490209</v>
      </c>
      <c r="B2482" s="1" t="s">
        <v>7613</v>
      </c>
      <c r="C2482" s="1" t="s">
        <v>9150</v>
      </c>
      <c r="D2482" s="2" t="s">
        <v>9151</v>
      </c>
      <c r="E2482" s="1">
        <v>1.0</v>
      </c>
      <c r="F2482" s="1">
        <v>5.3347067E7</v>
      </c>
      <c r="I2482" s="1">
        <v>0.0</v>
      </c>
      <c r="J2482" s="1">
        <v>124.0</v>
      </c>
      <c r="L2482" s="1">
        <v>1180438.0</v>
      </c>
      <c r="Q2482" s="1" t="s">
        <v>9152</v>
      </c>
      <c r="R2482" s="1" t="s">
        <v>8728</v>
      </c>
      <c r="S2482" s="1">
        <v>1.0</v>
      </c>
      <c r="T2482" s="1">
        <v>0.0</v>
      </c>
      <c r="X2482" s="1" t="s">
        <v>56</v>
      </c>
      <c r="Z2482" s="1" t="s">
        <v>9152</v>
      </c>
    </row>
    <row r="2483">
      <c r="A2483" s="3" t="str">
        <f>HYPERLINK("https://stackoverflow.com/q/50561808", "50561808")</f>
        <v>50561808</v>
      </c>
      <c r="B2483" s="1" t="s">
        <v>7613</v>
      </c>
      <c r="C2483" s="1" t="s">
        <v>9153</v>
      </c>
      <c r="D2483" s="2" t="s">
        <v>9154</v>
      </c>
      <c r="E2483" s="1">
        <v>1.0</v>
      </c>
      <c r="F2483" s="1">
        <v>5.0598947E7</v>
      </c>
      <c r="I2483" s="1">
        <v>0.0</v>
      </c>
      <c r="J2483" s="1">
        <v>1895.0</v>
      </c>
      <c r="L2483" s="1">
        <v>3387029.0</v>
      </c>
      <c r="Q2483" s="1" t="s">
        <v>9155</v>
      </c>
      <c r="R2483" s="1" t="s">
        <v>8728</v>
      </c>
      <c r="S2483" s="1">
        <v>1.0</v>
      </c>
      <c r="T2483" s="1">
        <v>0.0</v>
      </c>
      <c r="X2483" s="1" t="s">
        <v>56</v>
      </c>
      <c r="Z2483" s="1" t="s">
        <v>9156</v>
      </c>
    </row>
    <row r="2484">
      <c r="A2484" s="3" t="str">
        <f>HYPERLINK("https://stackoverflow.com/q/50584594", "50584594")</f>
        <v>50584594</v>
      </c>
      <c r="B2484" s="1" t="s">
        <v>7613</v>
      </c>
      <c r="C2484" s="1" t="s">
        <v>9157</v>
      </c>
      <c r="D2484" s="2" t="s">
        <v>9158</v>
      </c>
      <c r="E2484" s="1">
        <v>1.0</v>
      </c>
      <c r="I2484" s="1">
        <v>0.0</v>
      </c>
      <c r="J2484" s="1">
        <v>1437.0</v>
      </c>
      <c r="L2484" s="1">
        <v>9847784.0</v>
      </c>
      <c r="Q2484" s="1" t="s">
        <v>9159</v>
      </c>
      <c r="R2484" s="1" t="s">
        <v>8321</v>
      </c>
      <c r="S2484" s="1">
        <v>1.0</v>
      </c>
      <c r="T2484" s="1">
        <v>0.0</v>
      </c>
      <c r="X2484" s="1" t="s">
        <v>56</v>
      </c>
    </row>
    <row r="2485">
      <c r="A2485" s="3" t="str">
        <f>HYPERLINK("https://stackoverflow.com/q/50613764", "50613764")</f>
        <v>50613764</v>
      </c>
      <c r="B2485" s="1" t="s">
        <v>7613</v>
      </c>
      <c r="C2485" s="1" t="s">
        <v>9160</v>
      </c>
      <c r="D2485" s="2" t="s">
        <v>9161</v>
      </c>
      <c r="E2485" s="1">
        <v>1.0</v>
      </c>
      <c r="I2485" s="1">
        <v>0.0</v>
      </c>
      <c r="J2485" s="1">
        <v>64.0</v>
      </c>
      <c r="L2485" s="1">
        <v>6913943.0</v>
      </c>
      <c r="Q2485" s="1" t="s">
        <v>9162</v>
      </c>
      <c r="R2485" s="1" t="s">
        <v>7661</v>
      </c>
      <c r="S2485" s="1">
        <v>1.0</v>
      </c>
      <c r="T2485" s="1">
        <v>0.0</v>
      </c>
      <c r="X2485" s="1" t="s">
        <v>56</v>
      </c>
    </row>
    <row r="2486">
      <c r="A2486" s="3" t="str">
        <f>HYPERLINK("https://stackoverflow.com/q/50636935", "50636935")</f>
        <v>50636935</v>
      </c>
      <c r="B2486" s="1" t="s">
        <v>7613</v>
      </c>
      <c r="C2486" s="1" t="s">
        <v>9163</v>
      </c>
      <c r="D2486" s="2" t="s">
        <v>9164</v>
      </c>
      <c r="E2486" s="1">
        <v>1.0</v>
      </c>
      <c r="I2486" s="1">
        <v>1.0</v>
      </c>
      <c r="J2486" s="1">
        <v>352.0</v>
      </c>
      <c r="L2486" s="1">
        <v>6881307.0</v>
      </c>
      <c r="Q2486" s="1" t="s">
        <v>9165</v>
      </c>
      <c r="R2486" s="1" t="s">
        <v>8728</v>
      </c>
      <c r="S2486" s="1">
        <v>1.0</v>
      </c>
      <c r="T2486" s="1">
        <v>1.0</v>
      </c>
      <c r="X2486" s="1" t="s">
        <v>56</v>
      </c>
    </row>
    <row r="2487">
      <c r="A2487" s="3" t="str">
        <f>HYPERLINK("https://stackoverflow.com/q/50674560", "50674560")</f>
        <v>50674560</v>
      </c>
      <c r="B2487" s="1" t="s">
        <v>7613</v>
      </c>
      <c r="C2487" s="1" t="s">
        <v>9166</v>
      </c>
      <c r="D2487" s="2" t="s">
        <v>9167</v>
      </c>
      <c r="E2487" s="1">
        <v>1.0</v>
      </c>
      <c r="F2487" s="1">
        <v>5.0675977E7</v>
      </c>
      <c r="I2487" s="1">
        <v>1.0</v>
      </c>
      <c r="J2487" s="1">
        <v>25.0</v>
      </c>
      <c r="L2487" s="1">
        <v>5337466.0</v>
      </c>
      <c r="Q2487" s="1" t="s">
        <v>9168</v>
      </c>
      <c r="R2487" s="1" t="s">
        <v>8488</v>
      </c>
      <c r="S2487" s="1">
        <v>1.0</v>
      </c>
      <c r="T2487" s="1">
        <v>0.0</v>
      </c>
      <c r="X2487" s="1" t="s">
        <v>56</v>
      </c>
      <c r="Z2487" s="1" t="s">
        <v>9168</v>
      </c>
    </row>
    <row r="2488">
      <c r="A2488" s="3" t="str">
        <f>HYPERLINK("https://stackoverflow.com/q/50699695", "50699695")</f>
        <v>50699695</v>
      </c>
      <c r="B2488" s="1" t="s">
        <v>7613</v>
      </c>
      <c r="C2488" s="1" t="s">
        <v>9169</v>
      </c>
      <c r="D2488" s="2" t="s">
        <v>9170</v>
      </c>
      <c r="E2488" s="1">
        <v>1.0</v>
      </c>
      <c r="F2488" s="1">
        <v>5.0702634E7</v>
      </c>
      <c r="I2488" s="1">
        <v>0.0</v>
      </c>
      <c r="J2488" s="1">
        <v>35.0</v>
      </c>
      <c r="L2488" s="1">
        <v>3556028.0</v>
      </c>
      <c r="Q2488" s="1" t="s">
        <v>9171</v>
      </c>
      <c r="R2488" s="1" t="s">
        <v>9172</v>
      </c>
      <c r="S2488" s="1">
        <v>1.0</v>
      </c>
      <c r="T2488" s="1">
        <v>0.0</v>
      </c>
      <c r="X2488" s="1" t="s">
        <v>56</v>
      </c>
      <c r="Z2488" s="1" t="s">
        <v>9171</v>
      </c>
    </row>
    <row r="2489">
      <c r="A2489" s="3" t="str">
        <f>HYPERLINK("https://stackoverflow.com/q/50718804", "50718804")</f>
        <v>50718804</v>
      </c>
      <c r="B2489" s="1" t="s">
        <v>7613</v>
      </c>
      <c r="C2489" s="1" t="s">
        <v>9173</v>
      </c>
      <c r="D2489" s="2" t="s">
        <v>9174</v>
      </c>
      <c r="E2489" s="1">
        <v>1.0</v>
      </c>
      <c r="I2489" s="1">
        <v>0.0</v>
      </c>
      <c r="J2489" s="1">
        <v>26.0</v>
      </c>
      <c r="L2489" s="1">
        <v>606335.0</v>
      </c>
      <c r="N2489" s="1">
        <v>606335.0</v>
      </c>
      <c r="P2489" s="1" t="s">
        <v>9175</v>
      </c>
      <c r="Q2489" s="1" t="s">
        <v>9175</v>
      </c>
      <c r="R2489" s="1" t="s">
        <v>8321</v>
      </c>
      <c r="S2489" s="1">
        <v>0.0</v>
      </c>
      <c r="T2489" s="1">
        <v>2.0</v>
      </c>
      <c r="X2489" s="1" t="s">
        <v>56</v>
      </c>
    </row>
    <row r="2490">
      <c r="A2490" s="3" t="str">
        <f>HYPERLINK("https://stackoverflow.com/q/50757567", "50757567")</f>
        <v>50757567</v>
      </c>
      <c r="B2490" s="1" t="s">
        <v>7613</v>
      </c>
      <c r="C2490" s="1" t="s">
        <v>9176</v>
      </c>
      <c r="D2490" s="2" t="s">
        <v>9177</v>
      </c>
      <c r="E2490" s="1">
        <v>1.0</v>
      </c>
      <c r="I2490" s="1">
        <v>0.0</v>
      </c>
      <c r="J2490" s="1">
        <v>2273.0</v>
      </c>
      <c r="L2490" s="1">
        <v>9847784.0</v>
      </c>
      <c r="Q2490" s="1" t="s">
        <v>9178</v>
      </c>
      <c r="R2490" s="1" t="s">
        <v>8728</v>
      </c>
      <c r="S2490" s="1">
        <v>2.0</v>
      </c>
      <c r="T2490" s="1">
        <v>0.0</v>
      </c>
      <c r="X2490" s="1" t="s">
        <v>56</v>
      </c>
    </row>
    <row r="2491">
      <c r="A2491" s="3" t="str">
        <f>HYPERLINK("https://stackoverflow.com/q/50846243", "50846243")</f>
        <v>50846243</v>
      </c>
      <c r="B2491" s="1" t="s">
        <v>7613</v>
      </c>
      <c r="C2491" s="1" t="s">
        <v>9179</v>
      </c>
      <c r="D2491" s="2" t="s">
        <v>9180</v>
      </c>
      <c r="E2491" s="1">
        <v>1.0</v>
      </c>
      <c r="I2491" s="1">
        <v>1.0</v>
      </c>
      <c r="J2491" s="1">
        <v>332.0</v>
      </c>
      <c r="L2491" s="1">
        <v>3532214.0</v>
      </c>
      <c r="Q2491" s="1" t="s">
        <v>9179</v>
      </c>
      <c r="R2491" s="1" t="s">
        <v>9181</v>
      </c>
      <c r="S2491" s="1">
        <v>0.0</v>
      </c>
      <c r="T2491" s="1">
        <v>0.0</v>
      </c>
      <c r="X2491" s="1" t="s">
        <v>56</v>
      </c>
    </row>
    <row r="2492">
      <c r="A2492" s="3" t="str">
        <f>HYPERLINK("https://stackoverflow.com/q/50856027", "50856027")</f>
        <v>50856027</v>
      </c>
      <c r="B2492" s="1" t="s">
        <v>7613</v>
      </c>
      <c r="C2492" s="1" t="s">
        <v>9182</v>
      </c>
      <c r="D2492" s="2" t="s">
        <v>9183</v>
      </c>
      <c r="E2492" s="1">
        <v>1.0</v>
      </c>
      <c r="I2492" s="1">
        <v>0.0</v>
      </c>
      <c r="J2492" s="1">
        <v>28.0</v>
      </c>
      <c r="L2492" s="1">
        <v>7073893.0</v>
      </c>
      <c r="Q2492" s="1" t="s">
        <v>9184</v>
      </c>
      <c r="R2492" s="1" t="s">
        <v>8412</v>
      </c>
      <c r="S2492" s="1">
        <v>1.0</v>
      </c>
      <c r="T2492" s="1">
        <v>0.0</v>
      </c>
      <c r="X2492" s="1" t="s">
        <v>56</v>
      </c>
    </row>
    <row r="2493">
      <c r="A2493" s="3" t="str">
        <f>HYPERLINK("https://stackoverflow.com/q/50868194", "50868194")</f>
        <v>50868194</v>
      </c>
      <c r="B2493" s="1" t="s">
        <v>7613</v>
      </c>
      <c r="C2493" s="1" t="s">
        <v>9185</v>
      </c>
      <c r="D2493" s="2" t="s">
        <v>9186</v>
      </c>
      <c r="E2493" s="1">
        <v>1.0</v>
      </c>
      <c r="I2493" s="1">
        <v>2.0</v>
      </c>
      <c r="J2493" s="1">
        <v>411.0</v>
      </c>
      <c r="L2493" s="1">
        <v>772481.0</v>
      </c>
      <c r="N2493" s="1">
        <v>772481.0</v>
      </c>
      <c r="P2493" s="1" t="s">
        <v>9187</v>
      </c>
      <c r="Q2493" s="1" t="s">
        <v>9188</v>
      </c>
      <c r="R2493" s="1" t="s">
        <v>7688</v>
      </c>
      <c r="S2493" s="1">
        <v>1.0</v>
      </c>
      <c r="T2493" s="1">
        <v>0.0</v>
      </c>
      <c r="X2493" s="1" t="s">
        <v>56</v>
      </c>
    </row>
    <row r="2494">
      <c r="A2494" s="3" t="str">
        <f>HYPERLINK("https://stackoverflow.com/q/50945866", "50945866")</f>
        <v>50945866</v>
      </c>
      <c r="B2494" s="1" t="s">
        <v>7613</v>
      </c>
      <c r="C2494" s="1" t="s">
        <v>9189</v>
      </c>
      <c r="D2494" s="2" t="s">
        <v>9190</v>
      </c>
      <c r="E2494" s="1">
        <v>1.0</v>
      </c>
      <c r="I2494" s="1">
        <v>1.0</v>
      </c>
      <c r="J2494" s="1">
        <v>36.0</v>
      </c>
      <c r="L2494" s="1">
        <v>9966805.0</v>
      </c>
      <c r="Q2494" s="1" t="s">
        <v>9189</v>
      </c>
      <c r="R2494" s="1" t="s">
        <v>9191</v>
      </c>
      <c r="S2494" s="1">
        <v>0.0</v>
      </c>
      <c r="T2494" s="1">
        <v>0.0</v>
      </c>
      <c r="X2494" s="1" t="s">
        <v>56</v>
      </c>
    </row>
    <row r="2495">
      <c r="A2495" s="3" t="str">
        <f>HYPERLINK("https://stackoverflow.com/q/51031495", "51031495")</f>
        <v>51031495</v>
      </c>
      <c r="B2495" s="1" t="s">
        <v>7613</v>
      </c>
      <c r="C2495" s="1" t="s">
        <v>9192</v>
      </c>
      <c r="D2495" s="2" t="s">
        <v>9193</v>
      </c>
      <c r="E2495" s="1">
        <v>1.0</v>
      </c>
      <c r="I2495" s="1">
        <v>1.0</v>
      </c>
      <c r="J2495" s="1">
        <v>731.0</v>
      </c>
      <c r="L2495" s="1">
        <v>9991084.0</v>
      </c>
      <c r="Q2495" s="1" t="s">
        <v>9192</v>
      </c>
      <c r="R2495" s="1" t="s">
        <v>9194</v>
      </c>
      <c r="S2495" s="1">
        <v>0.0</v>
      </c>
      <c r="T2495" s="1">
        <v>0.0</v>
      </c>
      <c r="X2495" s="1" t="s">
        <v>56</v>
      </c>
    </row>
    <row r="2496">
      <c r="A2496" s="3" t="str">
        <f>HYPERLINK("https://stackoverflow.com/q/51050661", "51050661")</f>
        <v>51050661</v>
      </c>
      <c r="B2496" s="1" t="s">
        <v>7613</v>
      </c>
      <c r="C2496" s="1" t="s">
        <v>9195</v>
      </c>
      <c r="D2496" s="2" t="s">
        <v>9196</v>
      </c>
      <c r="E2496" s="1">
        <v>1.0</v>
      </c>
      <c r="I2496" s="1">
        <v>2.0</v>
      </c>
      <c r="J2496" s="1">
        <v>4462.0</v>
      </c>
      <c r="L2496" s="1">
        <v>9866842.0</v>
      </c>
      <c r="Q2496" s="1" t="s">
        <v>9197</v>
      </c>
      <c r="R2496" s="1" t="s">
        <v>9198</v>
      </c>
      <c r="S2496" s="1">
        <v>2.0</v>
      </c>
      <c r="T2496" s="1">
        <v>0.0</v>
      </c>
      <c r="X2496" s="1" t="s">
        <v>56</v>
      </c>
    </row>
    <row r="2497">
      <c r="A2497" s="3" t="str">
        <f>HYPERLINK("https://stackoverflow.com/q/51072576", "51072576")</f>
        <v>51072576</v>
      </c>
      <c r="B2497" s="1" t="s">
        <v>7613</v>
      </c>
      <c r="C2497" s="1" t="s">
        <v>9199</v>
      </c>
      <c r="D2497" s="2" t="s">
        <v>9200</v>
      </c>
      <c r="E2497" s="1">
        <v>1.0</v>
      </c>
      <c r="I2497" s="1">
        <v>0.0</v>
      </c>
      <c r="J2497" s="1">
        <v>918.0</v>
      </c>
      <c r="L2497" s="1">
        <v>1679482.0</v>
      </c>
      <c r="Q2497" s="1" t="s">
        <v>9201</v>
      </c>
      <c r="R2497" s="1" t="s">
        <v>9202</v>
      </c>
      <c r="S2497" s="1">
        <v>1.0</v>
      </c>
      <c r="T2497" s="1">
        <v>0.0</v>
      </c>
      <c r="X2497" s="1" t="s">
        <v>56</v>
      </c>
    </row>
    <row r="2498">
      <c r="A2498" s="3" t="str">
        <f>HYPERLINK("https://stackoverflow.com/q/51092787", "51092787")</f>
        <v>51092787</v>
      </c>
      <c r="B2498" s="1" t="s">
        <v>7613</v>
      </c>
      <c r="C2498" s="1" t="s">
        <v>9203</v>
      </c>
      <c r="D2498" s="2" t="s">
        <v>9204</v>
      </c>
      <c r="E2498" s="1">
        <v>1.0</v>
      </c>
      <c r="F2498" s="1">
        <v>5.1096507E7</v>
      </c>
      <c r="I2498" s="1">
        <v>3.0</v>
      </c>
      <c r="J2498" s="1">
        <v>2731.0</v>
      </c>
      <c r="L2498" s="1">
        <v>3965627.0</v>
      </c>
      <c r="Q2498" s="1" t="s">
        <v>9205</v>
      </c>
      <c r="R2498" s="1" t="s">
        <v>9206</v>
      </c>
      <c r="S2498" s="1">
        <v>1.0</v>
      </c>
      <c r="T2498" s="1">
        <v>2.0</v>
      </c>
      <c r="U2498" s="1">
        <v>1.0</v>
      </c>
      <c r="X2498" s="1" t="s">
        <v>56</v>
      </c>
      <c r="Z2498" s="1" t="s">
        <v>9207</v>
      </c>
    </row>
    <row r="2499">
      <c r="A2499" s="3" t="str">
        <f>HYPERLINK("https://stackoverflow.com/q/51105842", "51105842")</f>
        <v>51105842</v>
      </c>
      <c r="B2499" s="1" t="s">
        <v>7613</v>
      </c>
      <c r="C2499" s="1" t="s">
        <v>9208</v>
      </c>
      <c r="D2499" s="2" t="s">
        <v>9209</v>
      </c>
      <c r="E2499" s="1">
        <v>1.0</v>
      </c>
      <c r="I2499" s="1">
        <v>0.0</v>
      </c>
      <c r="J2499" s="1">
        <v>77.0</v>
      </c>
      <c r="L2499" s="1">
        <v>1.0011602E7</v>
      </c>
      <c r="N2499" s="1">
        <v>3695939.0</v>
      </c>
      <c r="P2499" s="1" t="s">
        <v>9210</v>
      </c>
      <c r="Q2499" s="1" t="s">
        <v>9211</v>
      </c>
      <c r="R2499" s="1" t="s">
        <v>9212</v>
      </c>
      <c r="S2499" s="1">
        <v>1.0</v>
      </c>
      <c r="T2499" s="1">
        <v>0.0</v>
      </c>
      <c r="X2499" s="1" t="s">
        <v>56</v>
      </c>
    </row>
    <row r="2500">
      <c r="A2500" s="3" t="str">
        <f>HYPERLINK("https://stackoverflow.com/q/51150942", "51150942")</f>
        <v>51150942</v>
      </c>
      <c r="B2500" s="1" t="s">
        <v>7613</v>
      </c>
      <c r="C2500" s="1" t="s">
        <v>9213</v>
      </c>
      <c r="D2500" s="2" t="s">
        <v>9214</v>
      </c>
      <c r="E2500" s="1">
        <v>1.0</v>
      </c>
      <c r="I2500" s="1">
        <v>0.0</v>
      </c>
      <c r="J2500" s="1">
        <v>13.0</v>
      </c>
      <c r="L2500" s="1">
        <v>2944976.0</v>
      </c>
      <c r="Q2500" s="1" t="s">
        <v>9215</v>
      </c>
      <c r="R2500" s="1" t="s">
        <v>8321</v>
      </c>
      <c r="S2500" s="1">
        <v>1.0</v>
      </c>
      <c r="T2500" s="1">
        <v>0.0</v>
      </c>
      <c r="X2500" s="1" t="s">
        <v>56</v>
      </c>
    </row>
    <row r="2501">
      <c r="A2501" s="3" t="str">
        <f>HYPERLINK("https://stackoverflow.com/q/51151926", "51151926")</f>
        <v>51151926</v>
      </c>
      <c r="B2501" s="1" t="s">
        <v>7613</v>
      </c>
      <c r="C2501" s="1" t="s">
        <v>9216</v>
      </c>
      <c r="D2501" s="2" t="s">
        <v>9217</v>
      </c>
      <c r="E2501" s="1">
        <v>1.0</v>
      </c>
      <c r="I2501" s="1">
        <v>2.0</v>
      </c>
      <c r="J2501" s="1">
        <v>2708.0</v>
      </c>
      <c r="L2501" s="1">
        <v>4677383.0</v>
      </c>
      <c r="Q2501" s="1" t="s">
        <v>9218</v>
      </c>
      <c r="R2501" s="1" t="s">
        <v>8818</v>
      </c>
      <c r="S2501" s="1">
        <v>1.0</v>
      </c>
      <c r="T2501" s="1">
        <v>0.0</v>
      </c>
      <c r="X2501" s="1" t="s">
        <v>56</v>
      </c>
    </row>
    <row r="2502">
      <c r="A2502" s="3" t="str">
        <f>HYPERLINK("https://stackoverflow.com/q/51157469", "51157469")</f>
        <v>51157469</v>
      </c>
      <c r="B2502" s="1" t="s">
        <v>7613</v>
      </c>
      <c r="C2502" s="1" t="s">
        <v>9219</v>
      </c>
      <c r="D2502" s="2" t="s">
        <v>9220</v>
      </c>
      <c r="E2502" s="1">
        <v>1.0</v>
      </c>
      <c r="F2502" s="1">
        <v>5.1580544E7</v>
      </c>
      <c r="I2502" s="1">
        <v>0.0</v>
      </c>
      <c r="J2502" s="1">
        <v>2253.0</v>
      </c>
      <c r="L2502" s="1">
        <v>9167679.0</v>
      </c>
      <c r="Q2502" s="1" t="s">
        <v>9221</v>
      </c>
      <c r="R2502" s="1" t="s">
        <v>8321</v>
      </c>
      <c r="S2502" s="1">
        <v>1.0</v>
      </c>
      <c r="T2502" s="1">
        <v>0.0</v>
      </c>
      <c r="X2502" s="1" t="s">
        <v>56</v>
      </c>
      <c r="Z2502" s="1" t="s">
        <v>9221</v>
      </c>
    </row>
    <row r="2503">
      <c r="A2503" s="3" t="str">
        <f>HYPERLINK("https://stackoverflow.com/q/51162737", "51162737")</f>
        <v>51162737</v>
      </c>
      <c r="B2503" s="1" t="s">
        <v>7613</v>
      </c>
      <c r="C2503" s="1" t="s">
        <v>9222</v>
      </c>
      <c r="D2503" s="2" t="s">
        <v>9223</v>
      </c>
      <c r="E2503" s="1">
        <v>1.0</v>
      </c>
      <c r="I2503" s="1">
        <v>0.0</v>
      </c>
      <c r="J2503" s="1">
        <v>900.0</v>
      </c>
      <c r="L2503" s="1">
        <v>2754586.0</v>
      </c>
      <c r="Q2503" s="1" t="s">
        <v>9224</v>
      </c>
      <c r="R2503" s="1" t="s">
        <v>8525</v>
      </c>
      <c r="S2503" s="1">
        <v>1.0</v>
      </c>
      <c r="T2503" s="1">
        <v>0.0</v>
      </c>
      <c r="X2503" s="1" t="s">
        <v>56</v>
      </c>
    </row>
    <row r="2504">
      <c r="A2504" s="3" t="str">
        <f>HYPERLINK("https://stackoverflow.com/q/51171853", "51171853")</f>
        <v>51171853</v>
      </c>
      <c r="B2504" s="1" t="s">
        <v>7613</v>
      </c>
      <c r="C2504" s="1" t="s">
        <v>9225</v>
      </c>
      <c r="D2504" s="2" t="s">
        <v>9226</v>
      </c>
      <c r="E2504" s="1">
        <v>1.0</v>
      </c>
      <c r="F2504" s="1">
        <v>5.3409503E7</v>
      </c>
      <c r="I2504" s="1">
        <v>1.0</v>
      </c>
      <c r="J2504" s="1">
        <v>4196.0</v>
      </c>
      <c r="L2504" s="1">
        <v>5152252.0</v>
      </c>
      <c r="Q2504" s="1" t="s">
        <v>9227</v>
      </c>
      <c r="R2504" s="1" t="s">
        <v>8321</v>
      </c>
      <c r="S2504" s="1">
        <v>1.0</v>
      </c>
      <c r="T2504" s="1">
        <v>0.0</v>
      </c>
      <c r="X2504" s="1" t="s">
        <v>56</v>
      </c>
      <c r="Z2504" s="1" t="s">
        <v>9228</v>
      </c>
    </row>
    <row r="2505">
      <c r="A2505" s="3" t="str">
        <f>HYPERLINK("https://stackoverflow.com/q/51178290", "51178290")</f>
        <v>51178290</v>
      </c>
      <c r="B2505" s="1" t="s">
        <v>7613</v>
      </c>
      <c r="C2505" s="1" t="s">
        <v>9229</v>
      </c>
      <c r="D2505" s="2" t="s">
        <v>9230</v>
      </c>
      <c r="E2505" s="1">
        <v>1.0</v>
      </c>
      <c r="I2505" s="1">
        <v>0.0</v>
      </c>
      <c r="J2505" s="1">
        <v>1278.0</v>
      </c>
      <c r="L2505" s="1">
        <v>7648790.0</v>
      </c>
      <c r="N2505" s="1">
        <v>7648790.0</v>
      </c>
      <c r="P2505" s="1" t="s">
        <v>9231</v>
      </c>
      <c r="Q2505" s="1" t="s">
        <v>9232</v>
      </c>
      <c r="R2505" s="1" t="s">
        <v>9233</v>
      </c>
      <c r="S2505" s="1">
        <v>1.0</v>
      </c>
      <c r="T2505" s="1">
        <v>1.0</v>
      </c>
      <c r="X2505" s="1" t="s">
        <v>56</v>
      </c>
    </row>
    <row r="2506">
      <c r="A2506" s="3" t="str">
        <f>HYPERLINK("https://stackoverflow.com/q/51193793", "51193793")</f>
        <v>51193793</v>
      </c>
      <c r="B2506" s="1" t="s">
        <v>7613</v>
      </c>
      <c r="C2506" s="1" t="s">
        <v>9234</v>
      </c>
      <c r="D2506" s="2" t="s">
        <v>9235</v>
      </c>
      <c r="E2506" s="1">
        <v>1.0</v>
      </c>
      <c r="F2506" s="1">
        <v>5.1328625E7</v>
      </c>
      <c r="I2506" s="1">
        <v>2.0</v>
      </c>
      <c r="J2506" s="1">
        <v>1008.0</v>
      </c>
      <c r="L2506" s="1">
        <v>1.0037729E7</v>
      </c>
      <c r="O2506" s="1" t="s">
        <v>9236</v>
      </c>
      <c r="P2506" s="1" t="s">
        <v>9237</v>
      </c>
      <c r="Q2506" s="1" t="s">
        <v>9238</v>
      </c>
      <c r="R2506" s="1" t="s">
        <v>9239</v>
      </c>
      <c r="S2506" s="1">
        <v>1.0</v>
      </c>
      <c r="T2506" s="1">
        <v>1.0</v>
      </c>
      <c r="U2506" s="1">
        <v>1.0</v>
      </c>
      <c r="X2506" s="1" t="s">
        <v>56</v>
      </c>
      <c r="Z2506" s="1" t="s">
        <v>9240</v>
      </c>
    </row>
    <row r="2507">
      <c r="A2507" s="3" t="str">
        <f>HYPERLINK("https://stackoverflow.com/q/51351353", "51351353")</f>
        <v>51351353</v>
      </c>
      <c r="B2507" s="1" t="s">
        <v>7613</v>
      </c>
      <c r="C2507" s="1" t="s">
        <v>9241</v>
      </c>
      <c r="D2507" s="2" t="s">
        <v>9242</v>
      </c>
      <c r="E2507" s="1">
        <v>1.0</v>
      </c>
      <c r="F2507" s="1">
        <v>5.1353469E7</v>
      </c>
      <c r="I2507" s="1">
        <v>0.0</v>
      </c>
      <c r="J2507" s="1">
        <v>1807.0</v>
      </c>
      <c r="L2507" s="1">
        <v>4528716.0</v>
      </c>
      <c r="Q2507" s="1" t="s">
        <v>9243</v>
      </c>
      <c r="R2507" s="1" t="s">
        <v>9244</v>
      </c>
      <c r="S2507" s="1">
        <v>1.0</v>
      </c>
      <c r="T2507" s="1">
        <v>0.0</v>
      </c>
      <c r="U2507" s="1">
        <v>1.0</v>
      </c>
      <c r="X2507" s="1" t="s">
        <v>56</v>
      </c>
      <c r="Z2507" s="1" t="s">
        <v>9245</v>
      </c>
    </row>
    <row r="2508">
      <c r="A2508" s="3" t="str">
        <f>HYPERLINK("https://stackoverflow.com/q/51380757", "51380757")</f>
        <v>51380757</v>
      </c>
      <c r="B2508" s="1" t="s">
        <v>7613</v>
      </c>
      <c r="C2508" s="1" t="s">
        <v>9246</v>
      </c>
      <c r="D2508" s="2" t="s">
        <v>9247</v>
      </c>
      <c r="E2508" s="1">
        <v>1.0</v>
      </c>
      <c r="I2508" s="1">
        <v>3.0</v>
      </c>
      <c r="J2508" s="1">
        <v>108.0</v>
      </c>
      <c r="L2508" s="1">
        <v>5928383.0</v>
      </c>
      <c r="N2508" s="1">
        <v>5928383.0</v>
      </c>
      <c r="P2508" s="1" t="s">
        <v>9248</v>
      </c>
      <c r="Q2508" s="1" t="s">
        <v>9249</v>
      </c>
      <c r="R2508" s="1" t="s">
        <v>9250</v>
      </c>
      <c r="S2508" s="1">
        <v>1.0</v>
      </c>
      <c r="T2508" s="1">
        <v>0.0</v>
      </c>
      <c r="X2508" s="1" t="s">
        <v>56</v>
      </c>
    </row>
    <row r="2509">
      <c r="A2509" s="3" t="str">
        <f>HYPERLINK("https://stackoverflow.com/q/51398947", "51398947")</f>
        <v>51398947</v>
      </c>
      <c r="B2509" s="1" t="s">
        <v>7613</v>
      </c>
      <c r="C2509" s="1" t="s">
        <v>9251</v>
      </c>
      <c r="D2509" s="2" t="s">
        <v>9252</v>
      </c>
      <c r="E2509" s="1">
        <v>1.0</v>
      </c>
      <c r="F2509" s="1">
        <v>5.1406762E7</v>
      </c>
      <c r="I2509" s="1">
        <v>1.0</v>
      </c>
      <c r="J2509" s="1">
        <v>563.0</v>
      </c>
      <c r="L2509" s="1">
        <v>5346060.0</v>
      </c>
      <c r="N2509" s="1">
        <v>5346060.0</v>
      </c>
      <c r="P2509" s="1" t="s">
        <v>9253</v>
      </c>
      <c r="Q2509" s="1" t="s">
        <v>9254</v>
      </c>
      <c r="R2509" s="1" t="s">
        <v>9255</v>
      </c>
      <c r="S2509" s="1">
        <v>2.0</v>
      </c>
      <c r="T2509" s="1">
        <v>0.0</v>
      </c>
      <c r="U2509" s="1">
        <v>1.0</v>
      </c>
      <c r="X2509" s="1" t="s">
        <v>56</v>
      </c>
      <c r="Z2509" s="1" t="s">
        <v>9256</v>
      </c>
    </row>
    <row r="2510">
      <c r="A2510" s="3" t="str">
        <f>HYPERLINK("https://stackoverflow.com/q/51415990", "51415990")</f>
        <v>51415990</v>
      </c>
      <c r="B2510" s="1" t="s">
        <v>7613</v>
      </c>
      <c r="C2510" s="1" t="s">
        <v>9257</v>
      </c>
      <c r="D2510" s="2" t="s">
        <v>9258</v>
      </c>
      <c r="E2510" s="1">
        <v>1.0</v>
      </c>
      <c r="I2510" s="1">
        <v>0.0</v>
      </c>
      <c r="J2510" s="1">
        <v>393.0</v>
      </c>
      <c r="L2510" s="1">
        <v>1.0103191E7</v>
      </c>
      <c r="N2510" s="1">
        <v>8400096.0</v>
      </c>
      <c r="P2510" s="1" t="s">
        <v>9259</v>
      </c>
      <c r="Q2510" s="1" t="s">
        <v>9260</v>
      </c>
      <c r="R2510" s="1" t="s">
        <v>9261</v>
      </c>
      <c r="S2510" s="1">
        <v>1.0</v>
      </c>
      <c r="T2510" s="1">
        <v>0.0</v>
      </c>
      <c r="X2510" s="1" t="s">
        <v>56</v>
      </c>
    </row>
    <row r="2511">
      <c r="A2511" s="3" t="str">
        <f>HYPERLINK("https://stackoverflow.com/q/51443599", "51443599")</f>
        <v>51443599</v>
      </c>
      <c r="B2511" s="1" t="s">
        <v>7613</v>
      </c>
      <c r="C2511" s="1" t="s">
        <v>9262</v>
      </c>
      <c r="D2511" s="2" t="s">
        <v>9263</v>
      </c>
      <c r="E2511" s="1">
        <v>1.0</v>
      </c>
      <c r="I2511" s="1">
        <v>0.0</v>
      </c>
      <c r="J2511" s="1">
        <v>8627.0</v>
      </c>
      <c r="L2511" s="1">
        <v>4645574.0</v>
      </c>
      <c r="Q2511" s="1" t="s">
        <v>9264</v>
      </c>
      <c r="R2511" s="1" t="s">
        <v>8321</v>
      </c>
      <c r="S2511" s="1">
        <v>2.0</v>
      </c>
      <c r="T2511" s="1">
        <v>0.0</v>
      </c>
      <c r="X2511" s="1" t="s">
        <v>56</v>
      </c>
    </row>
    <row r="2512">
      <c r="A2512" s="3" t="str">
        <f>HYPERLINK("https://stackoverflow.com/q/51444586", "51444586")</f>
        <v>51444586</v>
      </c>
      <c r="B2512" s="1" t="s">
        <v>7613</v>
      </c>
      <c r="C2512" s="1" t="s">
        <v>9265</v>
      </c>
      <c r="D2512" s="2" t="s">
        <v>9266</v>
      </c>
      <c r="E2512" s="1">
        <v>1.0</v>
      </c>
      <c r="I2512" s="1">
        <v>0.0</v>
      </c>
      <c r="J2512" s="1">
        <v>29.0</v>
      </c>
      <c r="L2512" s="1">
        <v>1.0111385E7</v>
      </c>
      <c r="Q2512" s="1" t="s">
        <v>9267</v>
      </c>
      <c r="R2512" s="1" t="s">
        <v>9268</v>
      </c>
      <c r="S2512" s="1">
        <v>1.0</v>
      </c>
      <c r="T2512" s="1">
        <v>0.0</v>
      </c>
      <c r="X2512" s="1" t="s">
        <v>56</v>
      </c>
    </row>
    <row r="2513">
      <c r="A2513" s="3" t="str">
        <f>HYPERLINK("https://stackoverflow.com/q/51512628", "51512628")</f>
        <v>51512628</v>
      </c>
      <c r="B2513" s="1" t="s">
        <v>7613</v>
      </c>
      <c r="C2513" s="1" t="s">
        <v>9269</v>
      </c>
      <c r="D2513" s="2" t="s">
        <v>9270</v>
      </c>
      <c r="E2513" s="1">
        <v>1.0</v>
      </c>
      <c r="F2513" s="1">
        <v>5.1534485E7</v>
      </c>
      <c r="I2513" s="1">
        <v>1.0</v>
      </c>
      <c r="J2513" s="1">
        <v>1567.0</v>
      </c>
      <c r="L2513" s="1">
        <v>5346060.0</v>
      </c>
      <c r="Q2513" s="1" t="s">
        <v>9271</v>
      </c>
      <c r="R2513" s="1" t="s">
        <v>9255</v>
      </c>
      <c r="S2513" s="1">
        <v>2.0</v>
      </c>
      <c r="T2513" s="1">
        <v>0.0</v>
      </c>
      <c r="U2513" s="1">
        <v>0.0</v>
      </c>
      <c r="X2513" s="1" t="s">
        <v>56</v>
      </c>
      <c r="Z2513" s="1" t="s">
        <v>9272</v>
      </c>
    </row>
    <row r="2514">
      <c r="A2514" s="3" t="str">
        <f>HYPERLINK("https://stackoverflow.com/q/51580416", "51580416")</f>
        <v>51580416</v>
      </c>
      <c r="B2514" s="1" t="s">
        <v>7613</v>
      </c>
      <c r="C2514" s="1" t="s">
        <v>9273</v>
      </c>
      <c r="D2514" s="2" t="s">
        <v>9274</v>
      </c>
      <c r="E2514" s="1">
        <v>1.0</v>
      </c>
      <c r="I2514" s="1">
        <v>0.0</v>
      </c>
      <c r="J2514" s="1">
        <v>1800.0</v>
      </c>
      <c r="L2514" s="1">
        <v>6247767.0</v>
      </c>
      <c r="Q2514" s="1" t="s">
        <v>9275</v>
      </c>
      <c r="R2514" s="1" t="s">
        <v>9276</v>
      </c>
      <c r="S2514" s="1">
        <v>2.0</v>
      </c>
      <c r="T2514" s="1">
        <v>0.0</v>
      </c>
      <c r="X2514" s="1" t="s">
        <v>56</v>
      </c>
    </row>
    <row r="2515">
      <c r="A2515" s="3" t="str">
        <f>HYPERLINK("https://stackoverflow.com/q/51592581", "51592581")</f>
        <v>51592581</v>
      </c>
      <c r="B2515" s="1" t="s">
        <v>7613</v>
      </c>
      <c r="C2515" s="1" t="s">
        <v>9277</v>
      </c>
      <c r="D2515" s="2" t="s">
        <v>9278</v>
      </c>
      <c r="E2515" s="1">
        <v>1.0</v>
      </c>
      <c r="F2515" s="1">
        <v>5.1651376E7</v>
      </c>
      <c r="I2515" s="1">
        <v>0.0</v>
      </c>
      <c r="J2515" s="1">
        <v>303.0</v>
      </c>
      <c r="L2515" s="1">
        <v>7774578.0</v>
      </c>
      <c r="Q2515" s="1" t="s">
        <v>9279</v>
      </c>
      <c r="R2515" s="1" t="s">
        <v>8321</v>
      </c>
      <c r="S2515" s="1">
        <v>1.0</v>
      </c>
      <c r="T2515" s="1">
        <v>1.0</v>
      </c>
      <c r="U2515" s="1">
        <v>1.0</v>
      </c>
      <c r="X2515" s="1" t="s">
        <v>56</v>
      </c>
      <c r="Z2515" s="1" t="s">
        <v>9279</v>
      </c>
    </row>
    <row r="2516">
      <c r="A2516" s="3" t="str">
        <f>HYPERLINK("https://stackoverflow.com/q/51700472", "51700472")</f>
        <v>51700472</v>
      </c>
      <c r="B2516" s="1" t="s">
        <v>7613</v>
      </c>
      <c r="C2516" s="1" t="s">
        <v>9280</v>
      </c>
      <c r="D2516" s="2" t="s">
        <v>9281</v>
      </c>
      <c r="E2516" s="1">
        <v>1.0</v>
      </c>
      <c r="F2516" s="1">
        <v>5.1700748E7</v>
      </c>
      <c r="I2516" s="1">
        <v>1.0</v>
      </c>
      <c r="J2516" s="1">
        <v>1406.0</v>
      </c>
      <c r="L2516" s="1">
        <v>3032393.0</v>
      </c>
      <c r="Q2516" s="1" t="s">
        <v>9282</v>
      </c>
      <c r="R2516" s="1" t="s">
        <v>8525</v>
      </c>
      <c r="S2516" s="1">
        <v>1.0</v>
      </c>
      <c r="T2516" s="1">
        <v>0.0</v>
      </c>
      <c r="X2516" s="1" t="s">
        <v>56</v>
      </c>
      <c r="Z2516" s="1" t="s">
        <v>9282</v>
      </c>
    </row>
    <row r="2517">
      <c r="A2517" s="3" t="str">
        <f>HYPERLINK("https://stackoverflow.com/q/51730232", "51730232")</f>
        <v>51730232</v>
      </c>
      <c r="B2517" s="1" t="s">
        <v>7613</v>
      </c>
      <c r="C2517" s="1" t="s">
        <v>9283</v>
      </c>
      <c r="D2517" s="2" t="s">
        <v>9284</v>
      </c>
      <c r="E2517" s="1">
        <v>1.0</v>
      </c>
      <c r="I2517" s="1">
        <v>0.0</v>
      </c>
      <c r="J2517" s="1">
        <v>2128.0</v>
      </c>
      <c r="L2517" s="1">
        <v>7469056.0</v>
      </c>
      <c r="N2517" s="1">
        <v>7469056.0</v>
      </c>
      <c r="P2517" s="1" t="s">
        <v>9285</v>
      </c>
      <c r="Q2517" s="1" t="s">
        <v>9285</v>
      </c>
      <c r="R2517" s="1" t="s">
        <v>9202</v>
      </c>
      <c r="S2517" s="1">
        <v>1.0</v>
      </c>
      <c r="T2517" s="1">
        <v>0.0</v>
      </c>
      <c r="X2517" s="1" t="s">
        <v>56</v>
      </c>
    </row>
    <row r="2518">
      <c r="A2518" s="3" t="str">
        <f>HYPERLINK("https://stackoverflow.com/q/51737007", "51737007")</f>
        <v>51737007</v>
      </c>
      <c r="B2518" s="1" t="s">
        <v>7613</v>
      </c>
      <c r="C2518" s="1" t="s">
        <v>9286</v>
      </c>
      <c r="D2518" s="2" t="s">
        <v>9287</v>
      </c>
      <c r="E2518" s="1">
        <v>1.0</v>
      </c>
      <c r="I2518" s="1">
        <v>1.0</v>
      </c>
      <c r="J2518" s="1">
        <v>1851.0</v>
      </c>
      <c r="L2518" s="1">
        <v>6913943.0</v>
      </c>
      <c r="Q2518" s="1" t="s">
        <v>9288</v>
      </c>
      <c r="R2518" s="1" t="s">
        <v>8728</v>
      </c>
      <c r="S2518" s="1">
        <v>1.0</v>
      </c>
      <c r="T2518" s="1">
        <v>0.0</v>
      </c>
      <c r="X2518" s="1" t="s">
        <v>56</v>
      </c>
    </row>
    <row r="2519">
      <c r="A2519" s="3" t="str">
        <f>HYPERLINK("https://stackoverflow.com/q/51775608", "51775608")</f>
        <v>51775608</v>
      </c>
      <c r="B2519" s="1" t="s">
        <v>7613</v>
      </c>
      <c r="C2519" s="1" t="s">
        <v>9289</v>
      </c>
      <c r="D2519" s="2" t="s">
        <v>9290</v>
      </c>
      <c r="E2519" s="1">
        <v>1.0</v>
      </c>
      <c r="I2519" s="1">
        <v>1.0</v>
      </c>
      <c r="J2519" s="1">
        <v>305.0</v>
      </c>
      <c r="L2519" s="1">
        <v>8576815.0</v>
      </c>
      <c r="Q2519" s="1" t="s">
        <v>9289</v>
      </c>
      <c r="R2519" s="1" t="s">
        <v>9291</v>
      </c>
      <c r="S2519" s="1">
        <v>0.0</v>
      </c>
      <c r="T2519" s="1">
        <v>0.0</v>
      </c>
      <c r="X2519" s="1" t="s">
        <v>56</v>
      </c>
    </row>
    <row r="2520">
      <c r="A2520" s="3" t="str">
        <f>HYPERLINK("https://stackoverflow.com/q/51817025", "51817025")</f>
        <v>51817025</v>
      </c>
      <c r="B2520" s="1" t="s">
        <v>7613</v>
      </c>
      <c r="C2520" s="1" t="s">
        <v>9292</v>
      </c>
      <c r="D2520" s="2" t="s">
        <v>9293</v>
      </c>
      <c r="E2520" s="1">
        <v>1.0</v>
      </c>
      <c r="F2520" s="1">
        <v>5.1832581E7</v>
      </c>
      <c r="I2520" s="1">
        <v>1.0</v>
      </c>
      <c r="J2520" s="1">
        <v>2541.0</v>
      </c>
      <c r="L2520" s="1">
        <v>5346060.0</v>
      </c>
      <c r="Q2520" s="1" t="s">
        <v>9294</v>
      </c>
      <c r="R2520" s="1" t="s">
        <v>8818</v>
      </c>
      <c r="S2520" s="1">
        <v>1.0</v>
      </c>
      <c r="T2520" s="1">
        <v>0.0</v>
      </c>
      <c r="U2520" s="1">
        <v>0.0</v>
      </c>
      <c r="X2520" s="1" t="s">
        <v>56</v>
      </c>
      <c r="Z2520" s="1" t="s">
        <v>9295</v>
      </c>
    </row>
    <row r="2521">
      <c r="A2521" s="3" t="str">
        <f>HYPERLINK("https://stackoverflow.com/q/51845292", "51845292")</f>
        <v>51845292</v>
      </c>
      <c r="B2521" s="1" t="s">
        <v>7613</v>
      </c>
      <c r="C2521" s="1" t="s">
        <v>9296</v>
      </c>
      <c r="D2521" s="2" t="s">
        <v>9297</v>
      </c>
      <c r="E2521" s="1">
        <v>1.0</v>
      </c>
      <c r="I2521" s="1">
        <v>0.0</v>
      </c>
      <c r="J2521" s="1">
        <v>459.0</v>
      </c>
      <c r="L2521" s="1">
        <v>8302502.0</v>
      </c>
      <c r="Q2521" s="1" t="s">
        <v>9298</v>
      </c>
      <c r="R2521" s="1" t="s">
        <v>9299</v>
      </c>
      <c r="S2521" s="1">
        <v>1.0</v>
      </c>
      <c r="T2521" s="1">
        <v>0.0</v>
      </c>
      <c r="X2521" s="1" t="s">
        <v>56</v>
      </c>
    </row>
    <row r="2522">
      <c r="A2522" s="3" t="str">
        <f>HYPERLINK("https://stackoverflow.com/q/51849298", "51849298")</f>
        <v>51849298</v>
      </c>
      <c r="B2522" s="1" t="s">
        <v>7613</v>
      </c>
      <c r="C2522" s="1" t="s">
        <v>9300</v>
      </c>
      <c r="D2522" s="2" t="s">
        <v>9301</v>
      </c>
      <c r="E2522" s="1">
        <v>1.0</v>
      </c>
      <c r="F2522" s="1">
        <v>5.1939029E7</v>
      </c>
      <c r="I2522" s="1">
        <v>0.0</v>
      </c>
      <c r="J2522" s="1">
        <v>88.0</v>
      </c>
      <c r="L2522" s="1">
        <v>3869978.0</v>
      </c>
      <c r="Q2522" s="1" t="s">
        <v>9302</v>
      </c>
      <c r="R2522" s="1" t="s">
        <v>9303</v>
      </c>
      <c r="S2522" s="1">
        <v>1.0</v>
      </c>
      <c r="T2522" s="1">
        <v>0.0</v>
      </c>
      <c r="X2522" s="1" t="s">
        <v>56</v>
      </c>
      <c r="Z2522" s="1" t="s">
        <v>9302</v>
      </c>
    </row>
    <row r="2523">
      <c r="A2523" s="3" t="str">
        <f>HYPERLINK("https://stackoverflow.com/q/51870216", "51870216")</f>
        <v>51870216</v>
      </c>
      <c r="B2523" s="1" t="s">
        <v>7613</v>
      </c>
      <c r="C2523" s="1" t="s">
        <v>9304</v>
      </c>
      <c r="D2523" s="2" t="s">
        <v>9305</v>
      </c>
      <c r="E2523" s="1">
        <v>1.0</v>
      </c>
      <c r="F2523" s="1">
        <v>5.188959E7</v>
      </c>
      <c r="I2523" s="1">
        <v>2.0</v>
      </c>
      <c r="J2523" s="1">
        <v>1461.0</v>
      </c>
      <c r="L2523" s="1">
        <v>3032393.0</v>
      </c>
      <c r="Q2523" s="1" t="s">
        <v>9306</v>
      </c>
      <c r="R2523" s="1" t="s">
        <v>8525</v>
      </c>
      <c r="S2523" s="1">
        <v>2.0</v>
      </c>
      <c r="T2523" s="1">
        <v>0.0</v>
      </c>
      <c r="X2523" s="1" t="s">
        <v>56</v>
      </c>
      <c r="Z2523" s="1" t="s">
        <v>9307</v>
      </c>
    </row>
    <row r="2524">
      <c r="A2524" s="3" t="str">
        <f>HYPERLINK("https://stackoverflow.com/q/51874604", "51874604")</f>
        <v>51874604</v>
      </c>
      <c r="B2524" s="1" t="s">
        <v>7613</v>
      </c>
      <c r="C2524" s="1" t="s">
        <v>9308</v>
      </c>
      <c r="D2524" s="2" t="s">
        <v>9309</v>
      </c>
      <c r="E2524" s="1">
        <v>1.0</v>
      </c>
      <c r="I2524" s="1">
        <v>0.0</v>
      </c>
      <c r="J2524" s="1">
        <v>36.0</v>
      </c>
      <c r="L2524" s="1">
        <v>1842414.0</v>
      </c>
      <c r="N2524" s="1">
        <v>9417009.0</v>
      </c>
      <c r="P2524" s="1" t="s">
        <v>9310</v>
      </c>
      <c r="Q2524" s="1" t="s">
        <v>9310</v>
      </c>
      <c r="R2524" s="1" t="s">
        <v>9311</v>
      </c>
      <c r="S2524" s="1">
        <v>1.0</v>
      </c>
      <c r="T2524" s="1">
        <v>0.0</v>
      </c>
      <c r="X2524" s="1" t="s">
        <v>56</v>
      </c>
    </row>
    <row r="2525">
      <c r="A2525" s="3" t="str">
        <f>HYPERLINK("https://stackoverflow.com/q/51895945", "51895945")</f>
        <v>51895945</v>
      </c>
      <c r="B2525" s="1" t="s">
        <v>7613</v>
      </c>
      <c r="C2525" s="1" t="s">
        <v>9312</v>
      </c>
      <c r="D2525" s="2" t="s">
        <v>9313</v>
      </c>
      <c r="E2525" s="1">
        <v>1.0</v>
      </c>
      <c r="F2525" s="1">
        <v>5.4086204E7</v>
      </c>
      <c r="I2525" s="1">
        <v>0.0</v>
      </c>
      <c r="J2525" s="1">
        <v>242.0</v>
      </c>
      <c r="L2525" s="1">
        <v>7494233.0</v>
      </c>
      <c r="Q2525" s="1" t="s">
        <v>9314</v>
      </c>
      <c r="R2525" s="1" t="s">
        <v>9315</v>
      </c>
      <c r="S2525" s="1">
        <v>1.0</v>
      </c>
      <c r="T2525" s="1">
        <v>1.0</v>
      </c>
      <c r="X2525" s="1" t="s">
        <v>56</v>
      </c>
      <c r="Z2525" s="1" t="s">
        <v>9316</v>
      </c>
    </row>
    <row r="2526">
      <c r="A2526" s="3" t="str">
        <f>HYPERLINK("https://stackoverflow.com/q/51960443", "51960443")</f>
        <v>51960443</v>
      </c>
      <c r="B2526" s="1" t="s">
        <v>7613</v>
      </c>
      <c r="C2526" s="1" t="s">
        <v>9317</v>
      </c>
      <c r="D2526" s="2" t="s">
        <v>9318</v>
      </c>
      <c r="E2526" s="1">
        <v>1.0</v>
      </c>
      <c r="I2526" s="1">
        <v>2.0</v>
      </c>
      <c r="J2526" s="1">
        <v>151.0</v>
      </c>
      <c r="L2526" s="1">
        <v>7468477.0</v>
      </c>
      <c r="N2526" s="1">
        <v>7468477.0</v>
      </c>
      <c r="P2526" s="1" t="s">
        <v>9319</v>
      </c>
      <c r="Q2526" s="1" t="s">
        <v>9320</v>
      </c>
      <c r="R2526" s="1" t="s">
        <v>8828</v>
      </c>
      <c r="S2526" s="1">
        <v>1.0</v>
      </c>
      <c r="T2526" s="1">
        <v>0.0</v>
      </c>
      <c r="X2526" s="1" t="s">
        <v>56</v>
      </c>
    </row>
    <row r="2527">
      <c r="A2527" s="3" t="str">
        <f>HYPERLINK("https://stackoverflow.com/q/51965019", "51965019")</f>
        <v>51965019</v>
      </c>
      <c r="B2527" s="1" t="s">
        <v>7613</v>
      </c>
      <c r="C2527" s="1" t="s">
        <v>9321</v>
      </c>
      <c r="D2527" s="2" t="s">
        <v>9322</v>
      </c>
      <c r="E2527" s="1">
        <v>1.0</v>
      </c>
      <c r="F2527" s="1">
        <v>5.2193248E7</v>
      </c>
      <c r="I2527" s="1">
        <v>0.0</v>
      </c>
      <c r="J2527" s="1">
        <v>363.0</v>
      </c>
      <c r="L2527" s="1">
        <v>1488214.0</v>
      </c>
      <c r="Q2527" s="1" t="s">
        <v>9323</v>
      </c>
      <c r="R2527" s="1" t="s">
        <v>8525</v>
      </c>
      <c r="S2527" s="1">
        <v>1.0</v>
      </c>
      <c r="T2527" s="1">
        <v>0.0</v>
      </c>
      <c r="X2527" s="1" t="s">
        <v>56</v>
      </c>
      <c r="Z2527" s="1" t="s">
        <v>9323</v>
      </c>
    </row>
    <row r="2528">
      <c r="A2528" s="3" t="str">
        <f>HYPERLINK("https://stackoverflow.com/q/51980747", "51980747")</f>
        <v>51980747</v>
      </c>
      <c r="B2528" s="1" t="s">
        <v>7613</v>
      </c>
      <c r="C2528" s="1" t="s">
        <v>9324</v>
      </c>
      <c r="D2528" s="2" t="s">
        <v>9325</v>
      </c>
      <c r="E2528" s="1">
        <v>1.0</v>
      </c>
      <c r="I2528" s="1">
        <v>0.0</v>
      </c>
      <c r="J2528" s="1">
        <v>1727.0</v>
      </c>
      <c r="L2528" s="1">
        <v>1.0071076E7</v>
      </c>
      <c r="N2528" s="1">
        <v>1.0071076E7</v>
      </c>
      <c r="P2528" s="1" t="s">
        <v>9326</v>
      </c>
      <c r="Q2528" s="1" t="s">
        <v>9327</v>
      </c>
      <c r="R2528" s="1" t="s">
        <v>9328</v>
      </c>
      <c r="S2528" s="1">
        <v>1.0</v>
      </c>
      <c r="T2528" s="1">
        <v>2.0</v>
      </c>
      <c r="X2528" s="1" t="s">
        <v>56</v>
      </c>
    </row>
    <row r="2529">
      <c r="A2529" s="3" t="str">
        <f>HYPERLINK("https://stackoverflow.com/q/51996744", "51996744")</f>
        <v>51996744</v>
      </c>
      <c r="B2529" s="1" t="s">
        <v>7613</v>
      </c>
      <c r="C2529" s="1" t="s">
        <v>9329</v>
      </c>
      <c r="D2529" s="2" t="s">
        <v>9330</v>
      </c>
      <c r="E2529" s="1">
        <v>1.0</v>
      </c>
      <c r="I2529" s="1">
        <v>0.0</v>
      </c>
      <c r="J2529" s="1">
        <v>44.0</v>
      </c>
      <c r="L2529" s="1">
        <v>591208.0</v>
      </c>
      <c r="N2529" s="1">
        <v>62576.0</v>
      </c>
      <c r="P2529" s="1" t="s">
        <v>9331</v>
      </c>
      <c r="Q2529" s="1" t="s">
        <v>9331</v>
      </c>
      <c r="R2529" s="1" t="s">
        <v>9332</v>
      </c>
      <c r="S2529" s="1">
        <v>1.0</v>
      </c>
      <c r="T2529" s="1">
        <v>0.0</v>
      </c>
      <c r="X2529" s="1" t="s">
        <v>56</v>
      </c>
    </row>
    <row r="2530">
      <c r="A2530" s="3" t="str">
        <f>HYPERLINK("https://stackoverflow.com/q/51999779", "51999779")</f>
        <v>51999779</v>
      </c>
      <c r="B2530" s="1" t="s">
        <v>7613</v>
      </c>
      <c r="C2530" s="1" t="s">
        <v>9333</v>
      </c>
      <c r="D2530" s="2" t="s">
        <v>9334</v>
      </c>
      <c r="E2530" s="1">
        <v>1.0</v>
      </c>
      <c r="I2530" s="1">
        <v>0.0</v>
      </c>
      <c r="J2530" s="1">
        <v>313.0</v>
      </c>
      <c r="L2530" s="1">
        <v>1.0268395E7</v>
      </c>
      <c r="Q2530" s="1" t="s">
        <v>9335</v>
      </c>
      <c r="R2530" s="1" t="s">
        <v>9336</v>
      </c>
      <c r="S2530" s="1">
        <v>1.0</v>
      </c>
      <c r="T2530" s="1">
        <v>0.0</v>
      </c>
      <c r="X2530" s="1" t="s">
        <v>56</v>
      </c>
    </row>
    <row r="2531">
      <c r="A2531" s="3" t="str">
        <f>HYPERLINK("https://stackoverflow.com/q/52070481", "52070481")</f>
        <v>52070481</v>
      </c>
      <c r="B2531" s="1" t="s">
        <v>7613</v>
      </c>
      <c r="C2531" s="1" t="s">
        <v>9337</v>
      </c>
      <c r="D2531" s="2" t="s">
        <v>9338</v>
      </c>
      <c r="E2531" s="1">
        <v>1.0</v>
      </c>
      <c r="I2531" s="1">
        <v>0.0</v>
      </c>
      <c r="J2531" s="1">
        <v>228.0</v>
      </c>
      <c r="L2531" s="1">
        <v>9106603.0</v>
      </c>
      <c r="Q2531" s="1" t="s">
        <v>9337</v>
      </c>
      <c r="R2531" s="1" t="s">
        <v>9339</v>
      </c>
      <c r="S2531" s="1">
        <v>0.0</v>
      </c>
      <c r="T2531" s="1">
        <v>2.0</v>
      </c>
      <c r="X2531" s="1" t="s">
        <v>56</v>
      </c>
    </row>
    <row r="2532">
      <c r="A2532" s="3" t="str">
        <f>HYPERLINK("https://stackoverflow.com/q/52098303", "52098303")</f>
        <v>52098303</v>
      </c>
      <c r="B2532" s="1" t="s">
        <v>7613</v>
      </c>
      <c r="C2532" s="1" t="s">
        <v>9340</v>
      </c>
      <c r="D2532" s="2" t="s">
        <v>9341</v>
      </c>
      <c r="E2532" s="1">
        <v>1.0</v>
      </c>
      <c r="I2532" s="1">
        <v>0.0</v>
      </c>
      <c r="J2532" s="1">
        <v>338.0</v>
      </c>
      <c r="L2532" s="1">
        <v>6940748.0</v>
      </c>
      <c r="Q2532" s="1" t="s">
        <v>9340</v>
      </c>
      <c r="R2532" s="1" t="s">
        <v>9342</v>
      </c>
      <c r="S2532" s="1">
        <v>0.0</v>
      </c>
      <c r="T2532" s="1">
        <v>10.0</v>
      </c>
      <c r="X2532" s="1" t="s">
        <v>56</v>
      </c>
    </row>
    <row r="2533">
      <c r="A2533" s="3" t="str">
        <f>HYPERLINK("https://stackoverflow.com/q/52144189", "52144189")</f>
        <v>52144189</v>
      </c>
      <c r="B2533" s="1" t="s">
        <v>7613</v>
      </c>
      <c r="C2533" s="1" t="s">
        <v>9343</v>
      </c>
      <c r="D2533" s="2" t="s">
        <v>9344</v>
      </c>
      <c r="E2533" s="1">
        <v>1.0</v>
      </c>
      <c r="I2533" s="1">
        <v>0.0</v>
      </c>
      <c r="J2533" s="1">
        <v>234.0</v>
      </c>
      <c r="L2533" s="1">
        <v>6247767.0</v>
      </c>
      <c r="Q2533" s="1" t="s">
        <v>9343</v>
      </c>
      <c r="R2533" s="1" t="s">
        <v>9345</v>
      </c>
      <c r="S2533" s="1">
        <v>0.0</v>
      </c>
      <c r="T2533" s="1">
        <v>4.0</v>
      </c>
      <c r="U2533" s="1">
        <v>0.0</v>
      </c>
      <c r="X2533" s="1" t="s">
        <v>56</v>
      </c>
    </row>
    <row r="2534">
      <c r="A2534" s="3" t="str">
        <f>HYPERLINK("https://stackoverflow.com/q/52186852", "52186852")</f>
        <v>52186852</v>
      </c>
      <c r="B2534" s="1" t="s">
        <v>7613</v>
      </c>
      <c r="C2534" s="1" t="s">
        <v>9346</v>
      </c>
      <c r="D2534" s="2" t="s">
        <v>9347</v>
      </c>
      <c r="E2534" s="1">
        <v>1.0</v>
      </c>
      <c r="I2534" s="1">
        <v>0.0</v>
      </c>
      <c r="J2534" s="1">
        <v>357.0</v>
      </c>
      <c r="L2534" s="1">
        <v>1.0110853E7</v>
      </c>
      <c r="Q2534" s="1" t="s">
        <v>9348</v>
      </c>
      <c r="R2534" s="1" t="s">
        <v>9349</v>
      </c>
      <c r="S2534" s="1">
        <v>1.0</v>
      </c>
      <c r="T2534" s="1">
        <v>0.0</v>
      </c>
      <c r="X2534" s="1" t="s">
        <v>56</v>
      </c>
    </row>
    <row r="2535">
      <c r="A2535" s="3" t="str">
        <f>HYPERLINK("https://stackoverflow.com/q/52201545", "52201545")</f>
        <v>52201545</v>
      </c>
      <c r="B2535" s="1" t="s">
        <v>7613</v>
      </c>
      <c r="C2535" s="1" t="s">
        <v>9350</v>
      </c>
      <c r="D2535" s="2" t="s">
        <v>9351</v>
      </c>
      <c r="E2535" s="1">
        <v>1.0</v>
      </c>
      <c r="F2535" s="1">
        <v>5.2220218E7</v>
      </c>
      <c r="I2535" s="1">
        <v>1.0</v>
      </c>
      <c r="J2535" s="1">
        <v>86.0</v>
      </c>
      <c r="L2535" s="1">
        <v>2123697.0</v>
      </c>
      <c r="Q2535" s="1" t="s">
        <v>9352</v>
      </c>
      <c r="R2535" s="1" t="s">
        <v>9353</v>
      </c>
      <c r="S2535" s="1">
        <v>1.0</v>
      </c>
      <c r="T2535" s="1">
        <v>0.0</v>
      </c>
      <c r="X2535" s="1" t="s">
        <v>56</v>
      </c>
      <c r="Z2535" s="1" t="s">
        <v>9352</v>
      </c>
    </row>
    <row r="2536">
      <c r="A2536" s="3" t="str">
        <f>HYPERLINK("https://stackoverflow.com/q/52242599", "52242599")</f>
        <v>52242599</v>
      </c>
      <c r="B2536" s="1" t="s">
        <v>7613</v>
      </c>
      <c r="C2536" s="1" t="s">
        <v>9354</v>
      </c>
      <c r="D2536" s="2" t="s">
        <v>9355</v>
      </c>
      <c r="E2536" s="1">
        <v>1.0</v>
      </c>
      <c r="I2536" s="1">
        <v>1.0</v>
      </c>
      <c r="J2536" s="1">
        <v>19.0</v>
      </c>
      <c r="L2536" s="1">
        <v>1.0337086E7</v>
      </c>
      <c r="Q2536" s="1" t="s">
        <v>9354</v>
      </c>
      <c r="R2536" s="1" t="s">
        <v>9356</v>
      </c>
      <c r="S2536" s="1">
        <v>0.0</v>
      </c>
      <c r="T2536" s="1">
        <v>0.0</v>
      </c>
      <c r="U2536" s="1">
        <v>2.0</v>
      </c>
      <c r="X2536" s="1" t="s">
        <v>56</v>
      </c>
    </row>
    <row r="2537">
      <c r="A2537" s="3" t="str">
        <f>HYPERLINK("https://stackoverflow.com/q/52282777", "52282777")</f>
        <v>52282777</v>
      </c>
      <c r="B2537" s="1" t="s">
        <v>7613</v>
      </c>
      <c r="C2537" s="1" t="s">
        <v>9357</v>
      </c>
      <c r="D2537" s="2" t="s">
        <v>9358</v>
      </c>
      <c r="E2537" s="1">
        <v>1.0</v>
      </c>
      <c r="I2537" s="1">
        <v>0.0</v>
      </c>
      <c r="J2537" s="1">
        <v>37.0</v>
      </c>
      <c r="L2537" s="1">
        <v>9866842.0</v>
      </c>
      <c r="Q2537" s="1" t="s">
        <v>9359</v>
      </c>
      <c r="R2537" s="1" t="s">
        <v>9360</v>
      </c>
      <c r="S2537" s="1">
        <v>1.0</v>
      </c>
      <c r="T2537" s="1">
        <v>0.0</v>
      </c>
      <c r="X2537" s="1" t="s">
        <v>56</v>
      </c>
    </row>
    <row r="2538">
      <c r="A2538" s="3" t="str">
        <f>HYPERLINK("https://stackoverflow.com/q/52299979", "52299979")</f>
        <v>52299979</v>
      </c>
      <c r="B2538" s="1" t="s">
        <v>7613</v>
      </c>
      <c r="C2538" s="1" t="s">
        <v>9361</v>
      </c>
      <c r="D2538" s="2" t="s">
        <v>9362</v>
      </c>
      <c r="E2538" s="1">
        <v>1.0</v>
      </c>
      <c r="I2538" s="1">
        <v>0.0</v>
      </c>
      <c r="J2538" s="1">
        <v>227.0</v>
      </c>
      <c r="L2538" s="1">
        <v>4885312.0</v>
      </c>
      <c r="Q2538" s="1" t="s">
        <v>9361</v>
      </c>
      <c r="R2538" s="1" t="s">
        <v>8895</v>
      </c>
      <c r="S2538" s="1">
        <v>0.0</v>
      </c>
      <c r="T2538" s="1">
        <v>4.0</v>
      </c>
      <c r="X2538" s="1" t="s">
        <v>56</v>
      </c>
    </row>
    <row r="2539">
      <c r="A2539" s="3" t="str">
        <f>HYPERLINK("https://stackoverflow.com/q/52370349", "52370349")</f>
        <v>52370349</v>
      </c>
      <c r="B2539" s="1" t="s">
        <v>7613</v>
      </c>
      <c r="C2539" s="1" t="s">
        <v>9363</v>
      </c>
      <c r="D2539" s="2" t="s">
        <v>9364</v>
      </c>
      <c r="E2539" s="1">
        <v>1.0</v>
      </c>
      <c r="I2539" s="1">
        <v>0.0</v>
      </c>
      <c r="J2539" s="1">
        <v>561.0</v>
      </c>
      <c r="L2539" s="1">
        <v>1.0372088E7</v>
      </c>
      <c r="N2539" s="1">
        <v>1.0372088E7</v>
      </c>
      <c r="P2539" s="1" t="s">
        <v>9365</v>
      </c>
      <c r="Q2539" s="1" t="s">
        <v>9366</v>
      </c>
      <c r="R2539" s="1" t="s">
        <v>9367</v>
      </c>
      <c r="S2539" s="1">
        <v>2.0</v>
      </c>
      <c r="T2539" s="1">
        <v>0.0</v>
      </c>
      <c r="X2539" s="1" t="s">
        <v>56</v>
      </c>
    </row>
    <row r="2540">
      <c r="A2540" s="3" t="str">
        <f>HYPERLINK("https://stackoverflow.com/q/52498140", "52498140")</f>
        <v>52498140</v>
      </c>
      <c r="B2540" s="1" t="s">
        <v>7613</v>
      </c>
      <c r="C2540" s="1" t="s">
        <v>9368</v>
      </c>
      <c r="D2540" s="2" t="s">
        <v>9369</v>
      </c>
      <c r="E2540" s="1">
        <v>1.0</v>
      </c>
      <c r="I2540" s="1">
        <v>0.0</v>
      </c>
      <c r="J2540" s="1">
        <v>103.0</v>
      </c>
      <c r="L2540" s="1">
        <v>9869787.0</v>
      </c>
      <c r="N2540" s="1">
        <v>5734311.0</v>
      </c>
      <c r="P2540" s="1" t="s">
        <v>9370</v>
      </c>
      <c r="Q2540" s="1" t="s">
        <v>9371</v>
      </c>
      <c r="R2540" s="1" t="s">
        <v>9372</v>
      </c>
      <c r="S2540" s="1">
        <v>2.0</v>
      </c>
      <c r="T2540" s="1">
        <v>6.0</v>
      </c>
      <c r="X2540" s="1" t="s">
        <v>56</v>
      </c>
    </row>
    <row r="2541">
      <c r="A2541" s="3" t="str">
        <f>HYPERLINK("https://stackoverflow.com/q/52525320", "52525320")</f>
        <v>52525320</v>
      </c>
      <c r="B2541" s="1" t="s">
        <v>7613</v>
      </c>
      <c r="C2541" s="1" t="s">
        <v>9373</v>
      </c>
      <c r="D2541" s="2" t="s">
        <v>9374</v>
      </c>
      <c r="E2541" s="1">
        <v>1.0</v>
      </c>
      <c r="I2541" s="1">
        <v>0.0</v>
      </c>
      <c r="J2541" s="1">
        <v>414.0</v>
      </c>
      <c r="L2541" s="1">
        <v>9550016.0</v>
      </c>
      <c r="N2541" s="1">
        <v>2670764.0</v>
      </c>
      <c r="P2541" s="1" t="s">
        <v>9375</v>
      </c>
      <c r="Q2541" s="1" t="s">
        <v>9376</v>
      </c>
      <c r="R2541" s="1" t="s">
        <v>7925</v>
      </c>
      <c r="S2541" s="1">
        <v>2.0</v>
      </c>
      <c r="T2541" s="1">
        <v>1.0</v>
      </c>
      <c r="X2541" s="1" t="s">
        <v>56</v>
      </c>
    </row>
    <row r="2542">
      <c r="A2542" s="3" t="str">
        <f>HYPERLINK("https://stackoverflow.com/q/52612424", "52612424")</f>
        <v>52612424</v>
      </c>
      <c r="B2542" s="1" t="s">
        <v>7613</v>
      </c>
      <c r="C2542" s="1" t="s">
        <v>9377</v>
      </c>
      <c r="D2542" s="2" t="s">
        <v>9378</v>
      </c>
      <c r="E2542" s="1">
        <v>1.0</v>
      </c>
      <c r="I2542" s="1">
        <v>0.0</v>
      </c>
      <c r="J2542" s="1">
        <v>74.0</v>
      </c>
      <c r="L2542" s="1">
        <v>3032393.0</v>
      </c>
      <c r="Q2542" s="1" t="s">
        <v>9379</v>
      </c>
      <c r="R2542" s="1" t="s">
        <v>8525</v>
      </c>
      <c r="S2542" s="1">
        <v>1.0</v>
      </c>
      <c r="T2542" s="1">
        <v>0.0</v>
      </c>
      <c r="X2542" s="1" t="s">
        <v>56</v>
      </c>
    </row>
    <row r="2543">
      <c r="A2543" s="3" t="str">
        <f>HYPERLINK("https://stackoverflow.com/q/52656748", "52656748")</f>
        <v>52656748</v>
      </c>
      <c r="B2543" s="1" t="s">
        <v>7613</v>
      </c>
      <c r="C2543" s="1" t="s">
        <v>9380</v>
      </c>
      <c r="D2543" s="2" t="s">
        <v>9381</v>
      </c>
      <c r="E2543" s="1">
        <v>1.0</v>
      </c>
      <c r="I2543" s="1">
        <v>1.0</v>
      </c>
      <c r="J2543" s="1">
        <v>44.0</v>
      </c>
      <c r="L2543" s="1">
        <v>1.0459279E7</v>
      </c>
      <c r="Q2543" s="1" t="s">
        <v>9380</v>
      </c>
      <c r="R2543" s="1" t="s">
        <v>8818</v>
      </c>
      <c r="S2543" s="1">
        <v>0.0</v>
      </c>
      <c r="T2543" s="1">
        <v>1.0</v>
      </c>
      <c r="X2543" s="1" t="s">
        <v>56</v>
      </c>
    </row>
    <row r="2544">
      <c r="A2544" s="3" t="str">
        <f>HYPERLINK("https://stackoverflow.com/q/52684091", "52684091")</f>
        <v>52684091</v>
      </c>
      <c r="B2544" s="1" t="s">
        <v>7613</v>
      </c>
      <c r="C2544" s="1" t="s">
        <v>9382</v>
      </c>
      <c r="D2544" s="2" t="s">
        <v>9383</v>
      </c>
      <c r="E2544" s="1">
        <v>1.0</v>
      </c>
      <c r="I2544" s="1">
        <v>0.0</v>
      </c>
      <c r="J2544" s="1">
        <v>562.0</v>
      </c>
      <c r="L2544" s="1">
        <v>6166912.0</v>
      </c>
      <c r="Q2544" s="1" t="s">
        <v>9384</v>
      </c>
      <c r="R2544" s="1" t="s">
        <v>8774</v>
      </c>
      <c r="S2544" s="1">
        <v>1.0</v>
      </c>
      <c r="T2544" s="1">
        <v>0.0</v>
      </c>
      <c r="X2544" s="1" t="s">
        <v>56</v>
      </c>
    </row>
    <row r="2545">
      <c r="A2545" s="3" t="str">
        <f>HYPERLINK("https://stackoverflow.com/q/52704291", "52704291")</f>
        <v>52704291</v>
      </c>
      <c r="B2545" s="1" t="s">
        <v>7613</v>
      </c>
      <c r="C2545" s="1" t="s">
        <v>9385</v>
      </c>
      <c r="D2545" s="2" t="s">
        <v>9386</v>
      </c>
      <c r="E2545" s="1">
        <v>1.0</v>
      </c>
      <c r="F2545" s="1">
        <v>5.3434458E7</v>
      </c>
      <c r="I2545" s="1">
        <v>1.0</v>
      </c>
      <c r="J2545" s="1">
        <v>11776.0</v>
      </c>
      <c r="L2545" s="1">
        <v>6786268.0</v>
      </c>
      <c r="Q2545" s="1" t="s">
        <v>9387</v>
      </c>
      <c r="R2545" s="1" t="s">
        <v>8728</v>
      </c>
      <c r="S2545" s="1">
        <v>2.0</v>
      </c>
      <c r="T2545" s="1">
        <v>0.0</v>
      </c>
      <c r="X2545" s="1" t="s">
        <v>56</v>
      </c>
      <c r="Z2545" s="1" t="s">
        <v>9388</v>
      </c>
    </row>
    <row r="2546">
      <c r="A2546" s="3" t="str">
        <f>HYPERLINK("https://stackoverflow.com/q/52720455", "52720455")</f>
        <v>52720455</v>
      </c>
      <c r="B2546" s="1" t="s">
        <v>7613</v>
      </c>
      <c r="C2546" s="1" t="s">
        <v>9389</v>
      </c>
      <c r="D2546" s="2" t="s">
        <v>9390</v>
      </c>
      <c r="E2546" s="1">
        <v>1.0</v>
      </c>
      <c r="F2546" s="1">
        <v>5.2720857E7</v>
      </c>
      <c r="I2546" s="1">
        <v>1.0</v>
      </c>
      <c r="J2546" s="1">
        <v>623.0</v>
      </c>
      <c r="L2546" s="1">
        <v>7264422.0</v>
      </c>
      <c r="N2546" s="1">
        <v>9124188.0</v>
      </c>
      <c r="P2546" s="1" t="s">
        <v>9391</v>
      </c>
      <c r="Q2546" s="1" t="s">
        <v>9392</v>
      </c>
      <c r="R2546" s="1" t="s">
        <v>9393</v>
      </c>
      <c r="S2546" s="1">
        <v>1.0</v>
      </c>
      <c r="T2546" s="1">
        <v>3.0</v>
      </c>
      <c r="X2546" s="1" t="s">
        <v>56</v>
      </c>
      <c r="Z2546" s="1" t="s">
        <v>9394</v>
      </c>
    </row>
    <row r="2547">
      <c r="A2547" s="3" t="str">
        <f>HYPERLINK("https://stackoverflow.com/q/52764400", "52764400")</f>
        <v>52764400</v>
      </c>
      <c r="B2547" s="1" t="s">
        <v>7613</v>
      </c>
      <c r="C2547" s="1" t="s">
        <v>9395</v>
      </c>
      <c r="D2547" s="2" t="s">
        <v>9396</v>
      </c>
      <c r="E2547" s="1">
        <v>1.0</v>
      </c>
      <c r="I2547" s="1">
        <v>1.0</v>
      </c>
      <c r="J2547" s="1">
        <v>4690.0</v>
      </c>
      <c r="L2547" s="1">
        <v>1.0490801E7</v>
      </c>
      <c r="Q2547" s="1" t="s">
        <v>9397</v>
      </c>
      <c r="R2547" s="1" t="s">
        <v>8920</v>
      </c>
      <c r="S2547" s="1">
        <v>1.0</v>
      </c>
      <c r="T2547" s="1">
        <v>0.0</v>
      </c>
      <c r="X2547" s="1" t="s">
        <v>56</v>
      </c>
    </row>
    <row r="2548">
      <c r="A2548" s="3" t="str">
        <f>HYPERLINK("https://stackoverflow.com/q/52781309", "52781309")</f>
        <v>52781309</v>
      </c>
      <c r="B2548" s="1" t="s">
        <v>7613</v>
      </c>
      <c r="C2548" s="1" t="s">
        <v>9398</v>
      </c>
      <c r="D2548" s="2" t="s">
        <v>9399</v>
      </c>
      <c r="E2548" s="1">
        <v>1.0</v>
      </c>
      <c r="F2548" s="1">
        <v>5.2919386E7</v>
      </c>
      <c r="I2548" s="1">
        <v>0.0</v>
      </c>
      <c r="J2548" s="1">
        <v>967.0</v>
      </c>
      <c r="L2548" s="1">
        <v>6521472.0</v>
      </c>
      <c r="Q2548" s="1" t="s">
        <v>9400</v>
      </c>
      <c r="R2548" s="1" t="s">
        <v>8321</v>
      </c>
      <c r="S2548" s="1">
        <v>1.0</v>
      </c>
      <c r="T2548" s="1">
        <v>1.0</v>
      </c>
      <c r="X2548" s="1" t="s">
        <v>56</v>
      </c>
      <c r="Z2548" s="1" t="s">
        <v>9400</v>
      </c>
    </row>
    <row r="2549">
      <c r="A2549" s="3" t="str">
        <f>HYPERLINK("https://stackoverflow.com/q/52821168", "52821168")</f>
        <v>52821168</v>
      </c>
      <c r="B2549" s="1" t="s">
        <v>7613</v>
      </c>
      <c r="C2549" s="1" t="s">
        <v>9401</v>
      </c>
      <c r="D2549" s="2" t="s">
        <v>9402</v>
      </c>
      <c r="E2549" s="1">
        <v>1.0</v>
      </c>
      <c r="I2549" s="1">
        <v>0.0</v>
      </c>
      <c r="J2549" s="1">
        <v>482.0</v>
      </c>
      <c r="L2549" s="1">
        <v>8302502.0</v>
      </c>
      <c r="Q2549" s="1" t="s">
        <v>9403</v>
      </c>
      <c r="R2549" s="1" t="s">
        <v>9404</v>
      </c>
      <c r="S2549" s="1">
        <v>1.0</v>
      </c>
      <c r="T2549" s="1">
        <v>0.0</v>
      </c>
      <c r="X2549" s="1" t="s">
        <v>56</v>
      </c>
    </row>
    <row r="2550">
      <c r="A2550" s="3" t="str">
        <f>HYPERLINK("https://stackoverflow.com/q/52880268", "52880268")</f>
        <v>52880268</v>
      </c>
      <c r="B2550" s="1" t="s">
        <v>7613</v>
      </c>
      <c r="C2550" s="1" t="s">
        <v>9405</v>
      </c>
      <c r="D2550" s="2" t="s">
        <v>9406</v>
      </c>
      <c r="E2550" s="1">
        <v>1.0</v>
      </c>
      <c r="I2550" s="1">
        <v>1.0</v>
      </c>
      <c r="J2550" s="1">
        <v>143.0</v>
      </c>
      <c r="L2550" s="1">
        <v>1.0525615E7</v>
      </c>
      <c r="Q2550" s="1" t="s">
        <v>9405</v>
      </c>
      <c r="R2550" s="1" t="s">
        <v>8321</v>
      </c>
      <c r="S2550" s="1">
        <v>0.0</v>
      </c>
      <c r="T2550" s="1">
        <v>0.0</v>
      </c>
      <c r="X2550" s="1" t="s">
        <v>56</v>
      </c>
    </row>
    <row r="2551">
      <c r="A2551" s="3" t="str">
        <f>HYPERLINK("https://stackoverflow.com/q/52923228", "52923228")</f>
        <v>52923228</v>
      </c>
      <c r="B2551" s="1" t="s">
        <v>7613</v>
      </c>
      <c r="C2551" s="1" t="s">
        <v>9407</v>
      </c>
      <c r="D2551" s="2" t="s">
        <v>9408</v>
      </c>
      <c r="E2551" s="1">
        <v>1.0</v>
      </c>
      <c r="F2551" s="1">
        <v>5.3268185E7</v>
      </c>
      <c r="I2551" s="1">
        <v>0.0</v>
      </c>
      <c r="J2551" s="1">
        <v>96.0</v>
      </c>
      <c r="L2551" s="1">
        <v>606335.0</v>
      </c>
      <c r="N2551" s="1">
        <v>606335.0</v>
      </c>
      <c r="P2551" s="1" t="s">
        <v>9409</v>
      </c>
      <c r="Q2551" s="1" t="s">
        <v>9410</v>
      </c>
      <c r="R2551" s="1" t="s">
        <v>8321</v>
      </c>
      <c r="S2551" s="1">
        <v>1.0</v>
      </c>
      <c r="T2551" s="1">
        <v>0.0</v>
      </c>
      <c r="X2551" s="1" t="s">
        <v>56</v>
      </c>
      <c r="Z2551" s="1" t="s">
        <v>9410</v>
      </c>
    </row>
    <row r="2552">
      <c r="A2552" s="3" t="str">
        <f>HYPERLINK("https://stackoverflow.com/q/52953534", "52953534")</f>
        <v>52953534</v>
      </c>
      <c r="B2552" s="1" t="s">
        <v>7613</v>
      </c>
      <c r="C2552" s="1" t="s">
        <v>9411</v>
      </c>
      <c r="D2552" s="2" t="s">
        <v>9412</v>
      </c>
      <c r="E2552" s="1">
        <v>1.0</v>
      </c>
      <c r="F2552" s="1">
        <v>5.2974977E7</v>
      </c>
      <c r="I2552" s="1">
        <v>1.0</v>
      </c>
      <c r="J2552" s="1">
        <v>315.0</v>
      </c>
      <c r="L2552" s="1">
        <v>972101.0</v>
      </c>
      <c r="N2552" s="1">
        <v>972101.0</v>
      </c>
      <c r="P2552" s="1" t="s">
        <v>9413</v>
      </c>
      <c r="Q2552" s="1" t="s">
        <v>9414</v>
      </c>
      <c r="R2552" s="1" t="s">
        <v>9415</v>
      </c>
      <c r="S2552" s="1">
        <v>1.0</v>
      </c>
      <c r="T2552" s="1">
        <v>11.0</v>
      </c>
      <c r="X2552" s="1" t="s">
        <v>56</v>
      </c>
      <c r="Z2552" s="1" t="s">
        <v>9414</v>
      </c>
    </row>
    <row r="2553">
      <c r="A2553" s="3" t="str">
        <f>HYPERLINK("https://stackoverflow.com/q/52975602", "52975602")</f>
        <v>52975602</v>
      </c>
      <c r="B2553" s="1" t="s">
        <v>7613</v>
      </c>
      <c r="C2553" s="1" t="s">
        <v>9416</v>
      </c>
      <c r="D2553" s="2" t="s">
        <v>9417</v>
      </c>
      <c r="E2553" s="1">
        <v>1.0</v>
      </c>
      <c r="F2553" s="1">
        <v>5.2980812E7</v>
      </c>
      <c r="I2553" s="1">
        <v>0.0</v>
      </c>
      <c r="J2553" s="1">
        <v>425.0</v>
      </c>
      <c r="L2553" s="1">
        <v>5390486.0</v>
      </c>
      <c r="Q2553" s="1" t="s">
        <v>9418</v>
      </c>
      <c r="R2553" s="1" t="s">
        <v>8774</v>
      </c>
      <c r="S2553" s="1">
        <v>1.0</v>
      </c>
      <c r="T2553" s="1">
        <v>0.0</v>
      </c>
      <c r="X2553" s="1" t="s">
        <v>56</v>
      </c>
      <c r="Z2553" s="1" t="s">
        <v>9418</v>
      </c>
    </row>
    <row r="2554">
      <c r="A2554" s="3" t="str">
        <f>HYPERLINK("https://stackoverflow.com/q/53154744", "53154744")</f>
        <v>53154744</v>
      </c>
      <c r="B2554" s="1" t="s">
        <v>7613</v>
      </c>
      <c r="C2554" s="1" t="s">
        <v>9419</v>
      </c>
      <c r="D2554" s="2" t="s">
        <v>9420</v>
      </c>
      <c r="E2554" s="1">
        <v>1.0</v>
      </c>
      <c r="F2554" s="1">
        <v>5.3154841E7</v>
      </c>
      <c r="I2554" s="1">
        <v>1.0</v>
      </c>
      <c r="J2554" s="1">
        <v>423.0</v>
      </c>
      <c r="L2554" s="1">
        <v>5243024.0</v>
      </c>
      <c r="N2554" s="1">
        <v>5243024.0</v>
      </c>
      <c r="P2554" s="1" t="s">
        <v>9421</v>
      </c>
      <c r="Q2554" s="1" t="s">
        <v>9421</v>
      </c>
      <c r="R2554" s="1" t="s">
        <v>9422</v>
      </c>
      <c r="S2554" s="1">
        <v>1.0</v>
      </c>
      <c r="T2554" s="1">
        <v>3.0</v>
      </c>
      <c r="V2554" s="1" t="s">
        <v>9423</v>
      </c>
      <c r="X2554" s="1" t="s">
        <v>56</v>
      </c>
      <c r="Z2554" s="1" t="s">
        <v>9424</v>
      </c>
    </row>
    <row r="2555">
      <c r="A2555" s="3" t="str">
        <f>HYPERLINK("https://stackoverflow.com/q/53208833", "53208833")</f>
        <v>53208833</v>
      </c>
      <c r="B2555" s="1" t="s">
        <v>7613</v>
      </c>
      <c r="C2555" s="1" t="s">
        <v>9425</v>
      </c>
      <c r="D2555" s="2" t="s">
        <v>9426</v>
      </c>
      <c r="E2555" s="1">
        <v>1.0</v>
      </c>
      <c r="I2555" s="1">
        <v>1.0</v>
      </c>
      <c r="J2555" s="1">
        <v>65.0</v>
      </c>
      <c r="L2555" s="1">
        <v>1.062387E7</v>
      </c>
      <c r="N2555" s="1">
        <v>1.062387E7</v>
      </c>
      <c r="P2555" s="1" t="s">
        <v>9427</v>
      </c>
      <c r="Q2555" s="1" t="s">
        <v>9427</v>
      </c>
      <c r="R2555" s="1" t="s">
        <v>9428</v>
      </c>
      <c r="S2555" s="1">
        <v>0.0</v>
      </c>
      <c r="T2555" s="1">
        <v>0.0</v>
      </c>
      <c r="X2555" s="1" t="s">
        <v>56</v>
      </c>
    </row>
    <row r="2556">
      <c r="A2556" s="3" t="str">
        <f>HYPERLINK("https://stackoverflow.com/q/53232272", "53232272")</f>
        <v>53232272</v>
      </c>
      <c r="B2556" s="1" t="s">
        <v>7613</v>
      </c>
      <c r="C2556" s="1" t="s">
        <v>9429</v>
      </c>
      <c r="D2556" s="2" t="s">
        <v>9430</v>
      </c>
      <c r="E2556" s="1">
        <v>1.0</v>
      </c>
      <c r="I2556" s="1">
        <v>0.0</v>
      </c>
      <c r="J2556" s="1">
        <v>476.0</v>
      </c>
      <c r="L2556" s="1">
        <v>1920064.0</v>
      </c>
      <c r="Q2556" s="1" t="s">
        <v>9431</v>
      </c>
      <c r="R2556" s="1" t="s">
        <v>8321</v>
      </c>
      <c r="S2556" s="1">
        <v>2.0</v>
      </c>
      <c r="T2556" s="1">
        <v>0.0</v>
      </c>
      <c r="X2556" s="1" t="s">
        <v>56</v>
      </c>
    </row>
    <row r="2557">
      <c r="A2557" s="3" t="str">
        <f>HYPERLINK("https://stackoverflow.com/q/53398068", "53398068")</f>
        <v>53398068</v>
      </c>
      <c r="B2557" s="1" t="s">
        <v>7613</v>
      </c>
      <c r="C2557" s="1" t="s">
        <v>9432</v>
      </c>
      <c r="D2557" s="2" t="s">
        <v>9433</v>
      </c>
      <c r="E2557" s="1">
        <v>1.0</v>
      </c>
      <c r="F2557" s="1">
        <v>5.3419082E7</v>
      </c>
      <c r="I2557" s="1">
        <v>0.0</v>
      </c>
      <c r="J2557" s="1">
        <v>49.0</v>
      </c>
      <c r="L2557" s="1">
        <v>303155.0</v>
      </c>
      <c r="N2557" s="1">
        <v>303155.0</v>
      </c>
      <c r="P2557" s="1" t="s">
        <v>9434</v>
      </c>
      <c r="Q2557" s="1" t="s">
        <v>9435</v>
      </c>
      <c r="R2557" s="1" t="s">
        <v>9436</v>
      </c>
      <c r="S2557" s="1">
        <v>3.0</v>
      </c>
      <c r="T2557" s="1">
        <v>1.0</v>
      </c>
      <c r="X2557" s="1" t="s">
        <v>56</v>
      </c>
      <c r="Z2557" s="1" t="s">
        <v>9435</v>
      </c>
    </row>
    <row r="2558">
      <c r="A2558" s="3" t="str">
        <f>HYPERLINK("https://stackoverflow.com/q/53478159", "53478159")</f>
        <v>53478159</v>
      </c>
      <c r="B2558" s="1" t="s">
        <v>7613</v>
      </c>
      <c r="C2558" s="1" t="s">
        <v>9437</v>
      </c>
      <c r="D2558" s="2" t="s">
        <v>9438</v>
      </c>
      <c r="E2558" s="1">
        <v>1.0</v>
      </c>
      <c r="I2558" s="1">
        <v>1.0</v>
      </c>
      <c r="J2558" s="1">
        <v>125.0</v>
      </c>
      <c r="L2558" s="1">
        <v>1.070473E7</v>
      </c>
      <c r="N2558" s="1">
        <v>5260982.0</v>
      </c>
      <c r="P2558" s="1" t="s">
        <v>9439</v>
      </c>
      <c r="Q2558" s="1" t="s">
        <v>9439</v>
      </c>
      <c r="R2558" s="1" t="s">
        <v>8525</v>
      </c>
      <c r="S2558" s="1">
        <v>0.0</v>
      </c>
      <c r="T2558" s="1">
        <v>1.0</v>
      </c>
      <c r="X2558" s="1" t="s">
        <v>56</v>
      </c>
    </row>
    <row r="2559">
      <c r="A2559" s="3" t="str">
        <f>HYPERLINK("https://stackoverflow.com/q/53503894", "53503894")</f>
        <v>53503894</v>
      </c>
      <c r="B2559" s="1" t="s">
        <v>7613</v>
      </c>
      <c r="C2559" s="1" t="s">
        <v>9440</v>
      </c>
      <c r="D2559" s="2" t="s">
        <v>9441</v>
      </c>
      <c r="E2559" s="1">
        <v>1.0</v>
      </c>
      <c r="I2559" s="1">
        <v>0.0</v>
      </c>
      <c r="J2559" s="1">
        <v>346.0</v>
      </c>
      <c r="L2559" s="1">
        <v>1.0352444E7</v>
      </c>
      <c r="Q2559" s="1" t="s">
        <v>9440</v>
      </c>
      <c r="R2559" s="1" t="s">
        <v>9442</v>
      </c>
      <c r="S2559" s="1">
        <v>0.0</v>
      </c>
      <c r="T2559" s="1">
        <v>2.0</v>
      </c>
      <c r="X2559" s="1" t="s">
        <v>56</v>
      </c>
    </row>
    <row r="2560">
      <c r="A2560" s="3" t="str">
        <f>HYPERLINK("https://stackoverflow.com/q/53522196", "53522196")</f>
        <v>53522196</v>
      </c>
      <c r="B2560" s="1" t="s">
        <v>7613</v>
      </c>
      <c r="C2560" s="1" t="s">
        <v>9443</v>
      </c>
      <c r="D2560" s="2" t="s">
        <v>9444</v>
      </c>
      <c r="E2560" s="1">
        <v>1.0</v>
      </c>
      <c r="I2560" s="1">
        <v>0.0</v>
      </c>
      <c r="J2560" s="1">
        <v>442.0</v>
      </c>
      <c r="L2560" s="1">
        <v>1.0627793E7</v>
      </c>
      <c r="Q2560" s="1" t="s">
        <v>9445</v>
      </c>
      <c r="R2560" s="1" t="s">
        <v>9446</v>
      </c>
      <c r="S2560" s="1">
        <v>1.0</v>
      </c>
      <c r="T2560" s="1">
        <v>1.0</v>
      </c>
      <c r="X2560" s="1" t="s">
        <v>56</v>
      </c>
    </row>
    <row r="2561">
      <c r="A2561" s="3" t="str">
        <f>HYPERLINK("https://stackoverflow.com/q/53590585", "53590585")</f>
        <v>53590585</v>
      </c>
      <c r="B2561" s="1" t="s">
        <v>7613</v>
      </c>
      <c r="C2561" s="1" t="s">
        <v>9447</v>
      </c>
      <c r="D2561" s="2" t="s">
        <v>9448</v>
      </c>
      <c r="E2561" s="1">
        <v>1.0</v>
      </c>
      <c r="I2561" s="1">
        <v>0.0</v>
      </c>
      <c r="J2561" s="1">
        <v>17.0</v>
      </c>
      <c r="L2561" s="1">
        <v>8357821.0</v>
      </c>
      <c r="N2561" s="1">
        <v>305319.0</v>
      </c>
      <c r="P2561" s="1" t="s">
        <v>9449</v>
      </c>
      <c r="Q2561" s="1" t="s">
        <v>9450</v>
      </c>
      <c r="R2561" s="1" t="s">
        <v>9451</v>
      </c>
      <c r="S2561" s="1">
        <v>1.0</v>
      </c>
      <c r="T2561" s="1">
        <v>0.0</v>
      </c>
      <c r="X2561" s="1" t="s">
        <v>56</v>
      </c>
    </row>
    <row r="2562">
      <c r="A2562" s="3" t="str">
        <f>HYPERLINK("https://stackoverflow.com/q/53623673", "53623673")</f>
        <v>53623673</v>
      </c>
      <c r="B2562" s="1" t="s">
        <v>7613</v>
      </c>
      <c r="C2562" s="1" t="s">
        <v>9452</v>
      </c>
      <c r="D2562" s="2" t="s">
        <v>9453</v>
      </c>
      <c r="E2562" s="1">
        <v>1.0</v>
      </c>
      <c r="F2562" s="1">
        <v>5.3626425E7</v>
      </c>
      <c r="I2562" s="1">
        <v>1.0</v>
      </c>
      <c r="J2562" s="1">
        <v>488.0</v>
      </c>
      <c r="L2562" s="1">
        <v>7643846.0</v>
      </c>
      <c r="Q2562" s="1" t="s">
        <v>9454</v>
      </c>
      <c r="R2562" s="1" t="s">
        <v>9455</v>
      </c>
      <c r="S2562" s="1">
        <v>2.0</v>
      </c>
      <c r="T2562" s="1">
        <v>0.0</v>
      </c>
      <c r="U2562" s="1">
        <v>1.0</v>
      </c>
      <c r="X2562" s="1" t="s">
        <v>56</v>
      </c>
      <c r="Z2562" s="1" t="s">
        <v>9456</v>
      </c>
    </row>
    <row r="2563">
      <c r="A2563" s="3" t="str">
        <f>HYPERLINK("https://stackoverflow.com/q/53669169", "53669169")</f>
        <v>53669169</v>
      </c>
      <c r="B2563" s="1" t="s">
        <v>7613</v>
      </c>
      <c r="C2563" s="1" t="s">
        <v>9457</v>
      </c>
      <c r="D2563" s="2" t="s">
        <v>9458</v>
      </c>
      <c r="E2563" s="1">
        <v>1.0</v>
      </c>
      <c r="I2563" s="1">
        <v>0.0</v>
      </c>
      <c r="J2563" s="1">
        <v>82.0</v>
      </c>
      <c r="L2563" s="1">
        <v>1.0478052E7</v>
      </c>
      <c r="N2563" s="1">
        <v>1.0478052E7</v>
      </c>
      <c r="P2563" s="1" t="s">
        <v>9459</v>
      </c>
      <c r="Q2563" s="1" t="s">
        <v>9459</v>
      </c>
      <c r="R2563" s="1" t="s">
        <v>9460</v>
      </c>
      <c r="S2563" s="1">
        <v>0.0</v>
      </c>
      <c r="T2563" s="1">
        <v>2.0</v>
      </c>
      <c r="X2563" s="1" t="s">
        <v>56</v>
      </c>
    </row>
    <row r="2564">
      <c r="A2564" s="3" t="str">
        <f>HYPERLINK("https://stackoverflow.com/q/53820097", "53820097")</f>
        <v>53820097</v>
      </c>
      <c r="B2564" s="1" t="s">
        <v>7613</v>
      </c>
      <c r="C2564" s="1" t="s">
        <v>9461</v>
      </c>
      <c r="D2564" s="2" t="s">
        <v>9462</v>
      </c>
      <c r="E2564" s="1">
        <v>1.0</v>
      </c>
      <c r="I2564" s="1">
        <v>0.0</v>
      </c>
      <c r="J2564" s="1">
        <v>39.0</v>
      </c>
      <c r="L2564" s="1">
        <v>579442.0</v>
      </c>
      <c r="Q2564" s="1" t="s">
        <v>9463</v>
      </c>
      <c r="R2564" s="1" t="s">
        <v>9464</v>
      </c>
      <c r="S2564" s="1">
        <v>1.0</v>
      </c>
      <c r="T2564" s="1">
        <v>0.0</v>
      </c>
      <c r="X2564" s="1" t="s">
        <v>56</v>
      </c>
    </row>
    <row r="2565">
      <c r="A2565" s="3" t="str">
        <f>HYPERLINK("https://stackoverflow.com/q/53838659", "53838659")</f>
        <v>53838659</v>
      </c>
      <c r="B2565" s="1" t="s">
        <v>7613</v>
      </c>
      <c r="C2565" s="1" t="s">
        <v>9465</v>
      </c>
      <c r="D2565" s="2" t="s">
        <v>9466</v>
      </c>
      <c r="E2565" s="1">
        <v>1.0</v>
      </c>
      <c r="I2565" s="1">
        <v>0.0</v>
      </c>
      <c r="J2565" s="1">
        <v>71.0</v>
      </c>
      <c r="L2565" s="1">
        <v>6160264.0</v>
      </c>
      <c r="Q2565" s="1" t="s">
        <v>9467</v>
      </c>
      <c r="R2565" s="1" t="s">
        <v>8818</v>
      </c>
      <c r="S2565" s="1">
        <v>1.0</v>
      </c>
      <c r="T2565" s="1">
        <v>0.0</v>
      </c>
      <c r="X2565" s="1" t="s">
        <v>56</v>
      </c>
    </row>
    <row r="2566">
      <c r="A2566" s="3" t="str">
        <f>HYPERLINK("https://stackoverflow.com/q/53884595", "53884595")</f>
        <v>53884595</v>
      </c>
      <c r="B2566" s="1" t="s">
        <v>7613</v>
      </c>
      <c r="C2566" s="1" t="s">
        <v>9468</v>
      </c>
      <c r="D2566" s="2" t="s">
        <v>9469</v>
      </c>
      <c r="E2566" s="1">
        <v>1.0</v>
      </c>
      <c r="I2566" s="1">
        <v>0.0</v>
      </c>
      <c r="J2566" s="1">
        <v>188.0</v>
      </c>
      <c r="L2566" s="1">
        <v>4255447.0</v>
      </c>
      <c r="N2566" s="1">
        <v>4255447.0</v>
      </c>
      <c r="P2566" s="1" t="s">
        <v>9470</v>
      </c>
      <c r="Q2566" s="1" t="s">
        <v>9471</v>
      </c>
      <c r="R2566" s="1" t="s">
        <v>9472</v>
      </c>
      <c r="S2566" s="1">
        <v>1.0</v>
      </c>
      <c r="T2566" s="1">
        <v>0.0</v>
      </c>
      <c r="X2566" s="1" t="s">
        <v>56</v>
      </c>
    </row>
    <row r="2567">
      <c r="A2567" s="3" t="str">
        <f>HYPERLINK("https://stackoverflow.com/q/53930543", "53930543")</f>
        <v>53930543</v>
      </c>
      <c r="B2567" s="1" t="s">
        <v>7613</v>
      </c>
      <c r="C2567" s="1" t="s">
        <v>9473</v>
      </c>
      <c r="D2567" s="2" t="s">
        <v>9474</v>
      </c>
      <c r="E2567" s="1">
        <v>1.0</v>
      </c>
      <c r="I2567" s="1">
        <v>0.0</v>
      </c>
      <c r="J2567" s="1">
        <v>87.0</v>
      </c>
      <c r="L2567" s="1">
        <v>1.0834633E7</v>
      </c>
      <c r="N2567" s="1">
        <v>1.0834633E7</v>
      </c>
      <c r="P2567" s="1" t="s">
        <v>9475</v>
      </c>
      <c r="Q2567" s="1" t="s">
        <v>9475</v>
      </c>
      <c r="R2567" s="1" t="s">
        <v>8321</v>
      </c>
      <c r="S2567" s="1">
        <v>1.0</v>
      </c>
      <c r="T2567" s="1">
        <v>0.0</v>
      </c>
      <c r="X2567" s="1" t="s">
        <v>56</v>
      </c>
    </row>
    <row r="2568">
      <c r="A2568" s="3" t="str">
        <f>HYPERLINK("https://stackoverflow.com/q/53933243", "53933243")</f>
        <v>53933243</v>
      </c>
      <c r="B2568" s="1" t="s">
        <v>7613</v>
      </c>
      <c r="C2568" s="1" t="s">
        <v>9476</v>
      </c>
      <c r="D2568" s="2" t="s">
        <v>9477</v>
      </c>
      <c r="E2568" s="1">
        <v>1.0</v>
      </c>
      <c r="I2568" s="1">
        <v>0.0</v>
      </c>
      <c r="J2568" s="1">
        <v>394.0</v>
      </c>
      <c r="L2568" s="1">
        <v>9239122.0</v>
      </c>
      <c r="N2568" s="1">
        <v>4623602.0</v>
      </c>
      <c r="P2568" s="1" t="s">
        <v>9478</v>
      </c>
      <c r="Q2568" s="1" t="s">
        <v>9478</v>
      </c>
      <c r="R2568" s="1" t="s">
        <v>9479</v>
      </c>
      <c r="S2568" s="1">
        <v>1.0</v>
      </c>
      <c r="T2568" s="1">
        <v>0.0</v>
      </c>
      <c r="X2568" s="1" t="s">
        <v>56</v>
      </c>
    </row>
    <row r="2569">
      <c r="A2569" s="3" t="str">
        <f>HYPERLINK("https://stackoverflow.com/q/54060551", "54060551")</f>
        <v>54060551</v>
      </c>
      <c r="B2569" s="1" t="s">
        <v>7613</v>
      </c>
      <c r="C2569" s="1" t="s">
        <v>9480</v>
      </c>
      <c r="D2569" s="2" t="s">
        <v>9481</v>
      </c>
      <c r="E2569" s="1">
        <v>1.0</v>
      </c>
      <c r="I2569" s="1">
        <v>0.0</v>
      </c>
      <c r="J2569" s="1">
        <v>111.0</v>
      </c>
      <c r="L2569" s="1">
        <v>8352353.0</v>
      </c>
      <c r="N2569" s="1">
        <v>8352353.0</v>
      </c>
      <c r="P2569" s="1" t="s">
        <v>9482</v>
      </c>
      <c r="Q2569" s="1" t="s">
        <v>9483</v>
      </c>
      <c r="R2569" s="1" t="s">
        <v>8321</v>
      </c>
      <c r="S2569" s="1">
        <v>1.0</v>
      </c>
      <c r="T2569" s="1">
        <v>0.0</v>
      </c>
      <c r="X2569" s="1" t="s">
        <v>56</v>
      </c>
    </row>
    <row r="2570">
      <c r="A2570" s="3" t="str">
        <f>HYPERLINK("https://stackoverflow.com/q/54121067", "54121067")</f>
        <v>54121067</v>
      </c>
      <c r="B2570" s="1" t="s">
        <v>7613</v>
      </c>
      <c r="C2570" s="1" t="s">
        <v>9484</v>
      </c>
      <c r="D2570" s="2" t="s">
        <v>9485</v>
      </c>
      <c r="E2570" s="1">
        <v>1.0</v>
      </c>
      <c r="I2570" s="1">
        <v>0.0</v>
      </c>
      <c r="J2570" s="1">
        <v>1911.0</v>
      </c>
      <c r="L2570" s="1">
        <v>1.0525615E7</v>
      </c>
      <c r="Q2570" s="1" t="s">
        <v>9486</v>
      </c>
      <c r="R2570" s="1" t="s">
        <v>8321</v>
      </c>
      <c r="S2570" s="1">
        <v>1.0</v>
      </c>
      <c r="T2570" s="1">
        <v>0.0</v>
      </c>
      <c r="X2570" s="1" t="s">
        <v>56</v>
      </c>
    </row>
    <row r="2571">
      <c r="A2571" s="3" t="str">
        <f>HYPERLINK("https://stackoverflow.com/q/54134476", "54134476")</f>
        <v>54134476</v>
      </c>
      <c r="B2571" s="1" t="s">
        <v>7613</v>
      </c>
      <c r="C2571" s="1" t="s">
        <v>9487</v>
      </c>
      <c r="D2571" s="2" t="s">
        <v>9488</v>
      </c>
      <c r="E2571" s="1">
        <v>1.0</v>
      </c>
      <c r="I2571" s="1">
        <v>1.0</v>
      </c>
      <c r="J2571" s="1">
        <v>819.0</v>
      </c>
      <c r="L2571" s="1">
        <v>1619671.0</v>
      </c>
      <c r="Q2571" s="1" t="s">
        <v>9489</v>
      </c>
      <c r="R2571" s="1" t="s">
        <v>8321</v>
      </c>
      <c r="S2571" s="1">
        <v>1.0</v>
      </c>
      <c r="T2571" s="1">
        <v>0.0</v>
      </c>
      <c r="X2571" s="1" t="s">
        <v>56</v>
      </c>
    </row>
    <row r="2572">
      <c r="A2572" s="3" t="str">
        <f>HYPERLINK("https://stackoverflow.com/q/54143107", "54143107")</f>
        <v>54143107</v>
      </c>
      <c r="B2572" s="1" t="s">
        <v>7613</v>
      </c>
      <c r="C2572" s="1" t="s">
        <v>9490</v>
      </c>
      <c r="D2572" s="2" t="s">
        <v>9491</v>
      </c>
      <c r="E2572" s="1">
        <v>1.0</v>
      </c>
      <c r="F2572" s="1">
        <v>5.4143307E7</v>
      </c>
      <c r="I2572" s="1">
        <v>0.0</v>
      </c>
      <c r="J2572" s="1">
        <v>300.0</v>
      </c>
      <c r="L2572" s="1">
        <v>6577437.0</v>
      </c>
      <c r="N2572" s="1">
        <v>6577437.0</v>
      </c>
      <c r="P2572" s="1" t="s">
        <v>9492</v>
      </c>
      <c r="Q2572" s="1" t="s">
        <v>9493</v>
      </c>
      <c r="R2572" s="1" t="s">
        <v>8705</v>
      </c>
      <c r="S2572" s="1">
        <v>1.0</v>
      </c>
      <c r="T2572" s="1">
        <v>0.0</v>
      </c>
      <c r="X2572" s="1" t="s">
        <v>56</v>
      </c>
      <c r="Z2572" s="1" t="s">
        <v>9494</v>
      </c>
    </row>
    <row r="2573">
      <c r="A2573" s="3" t="str">
        <f>HYPERLINK("https://stackoverflow.com/q/54171073", "54171073")</f>
        <v>54171073</v>
      </c>
      <c r="B2573" s="1" t="s">
        <v>7613</v>
      </c>
      <c r="C2573" s="1" t="s">
        <v>9495</v>
      </c>
      <c r="D2573" s="2" t="s">
        <v>9496</v>
      </c>
      <c r="E2573" s="1">
        <v>1.0</v>
      </c>
      <c r="I2573" s="1">
        <v>0.0</v>
      </c>
      <c r="J2573" s="1">
        <v>350.0</v>
      </c>
      <c r="L2573" s="1">
        <v>1.090852E7</v>
      </c>
      <c r="N2573" s="1">
        <v>7263027.0</v>
      </c>
      <c r="P2573" s="1" t="s">
        <v>9497</v>
      </c>
      <c r="Q2573" s="1" t="s">
        <v>9497</v>
      </c>
      <c r="R2573" s="1" t="s">
        <v>8728</v>
      </c>
      <c r="S2573" s="1">
        <v>0.0</v>
      </c>
      <c r="T2573" s="1">
        <v>3.0</v>
      </c>
      <c r="X2573" s="1" t="s">
        <v>56</v>
      </c>
    </row>
    <row r="2574">
      <c r="A2574" s="3" t="str">
        <f>HYPERLINK("https://stackoverflow.com/q/54323760", "54323760")</f>
        <v>54323760</v>
      </c>
      <c r="B2574" s="1" t="s">
        <v>7613</v>
      </c>
      <c r="C2574" s="1" t="s">
        <v>9498</v>
      </c>
      <c r="D2574" s="2" t="s">
        <v>9499</v>
      </c>
      <c r="E2574" s="1">
        <v>1.0</v>
      </c>
      <c r="F2574" s="1">
        <v>5.4326339E7</v>
      </c>
      <c r="I2574" s="1">
        <v>0.0</v>
      </c>
      <c r="J2574" s="1">
        <v>296.0</v>
      </c>
      <c r="L2574" s="1">
        <v>6733589.0</v>
      </c>
      <c r="Q2574" s="1" t="s">
        <v>9500</v>
      </c>
      <c r="R2574" s="1" t="s">
        <v>8818</v>
      </c>
      <c r="S2574" s="1">
        <v>1.0</v>
      </c>
      <c r="T2574" s="1">
        <v>3.0</v>
      </c>
      <c r="X2574" s="1" t="s">
        <v>56</v>
      </c>
      <c r="Z2574" s="1" t="s">
        <v>9500</v>
      </c>
    </row>
    <row r="2575">
      <c r="A2575" s="3" t="str">
        <f>HYPERLINK("https://stackoverflow.com/q/54333889", "54333889")</f>
        <v>54333889</v>
      </c>
      <c r="B2575" s="1" t="s">
        <v>7613</v>
      </c>
      <c r="C2575" s="1" t="s">
        <v>9501</v>
      </c>
      <c r="D2575" s="2" t="s">
        <v>9502</v>
      </c>
      <c r="E2575" s="1">
        <v>1.0</v>
      </c>
      <c r="I2575" s="1">
        <v>1.0</v>
      </c>
      <c r="J2575" s="1">
        <v>1028.0</v>
      </c>
      <c r="M2575" s="1" t="s">
        <v>9503</v>
      </c>
      <c r="Q2575" s="1" t="s">
        <v>9501</v>
      </c>
      <c r="R2575" s="1" t="s">
        <v>9504</v>
      </c>
      <c r="S2575" s="1">
        <v>0.0</v>
      </c>
      <c r="T2575" s="1">
        <v>1.0</v>
      </c>
      <c r="X2575" s="1" t="s">
        <v>56</v>
      </c>
    </row>
    <row r="2576">
      <c r="A2576" s="3" t="str">
        <f>HYPERLINK("https://stackoverflow.com/q/54346725", "54346725")</f>
        <v>54346725</v>
      </c>
      <c r="B2576" s="1" t="s">
        <v>7613</v>
      </c>
      <c r="C2576" s="1" t="s">
        <v>9505</v>
      </c>
      <c r="D2576" s="2" t="s">
        <v>9506</v>
      </c>
      <c r="E2576" s="1">
        <v>1.0</v>
      </c>
      <c r="I2576" s="1">
        <v>0.0</v>
      </c>
      <c r="J2576" s="1">
        <v>1468.0</v>
      </c>
      <c r="L2576" s="1">
        <v>9869787.0</v>
      </c>
      <c r="N2576" s="1">
        <v>9869787.0</v>
      </c>
      <c r="P2576" s="1" t="s">
        <v>9507</v>
      </c>
      <c r="Q2576" s="1" t="s">
        <v>9508</v>
      </c>
      <c r="R2576" s="1" t="s">
        <v>9509</v>
      </c>
      <c r="S2576" s="1">
        <v>3.0</v>
      </c>
      <c r="T2576" s="1">
        <v>1.0</v>
      </c>
      <c r="U2576" s="1">
        <v>1.0</v>
      </c>
      <c r="X2576" s="1" t="s">
        <v>56</v>
      </c>
    </row>
    <row r="2577">
      <c r="A2577" s="3" t="str">
        <f>HYPERLINK("https://stackoverflow.com/q/54372408", "54372408")</f>
        <v>54372408</v>
      </c>
      <c r="B2577" s="1" t="s">
        <v>7613</v>
      </c>
      <c r="C2577" s="1" t="s">
        <v>9510</v>
      </c>
      <c r="D2577" s="2" t="s">
        <v>9511</v>
      </c>
      <c r="E2577" s="1">
        <v>1.0</v>
      </c>
      <c r="I2577" s="1">
        <v>0.0</v>
      </c>
      <c r="J2577" s="1">
        <v>752.0</v>
      </c>
      <c r="L2577" s="1">
        <v>1.0969367E7</v>
      </c>
      <c r="N2577" s="1">
        <v>1.0969367E7</v>
      </c>
      <c r="P2577" s="1" t="s">
        <v>9512</v>
      </c>
      <c r="Q2577" s="1" t="s">
        <v>9513</v>
      </c>
      <c r="R2577" s="1" t="s">
        <v>9514</v>
      </c>
      <c r="S2577" s="1">
        <v>2.0</v>
      </c>
      <c r="T2577" s="1">
        <v>0.0</v>
      </c>
      <c r="X2577" s="1" t="s">
        <v>56</v>
      </c>
    </row>
    <row r="2578">
      <c r="A2578" s="3" t="str">
        <f>HYPERLINK("https://stackoverflow.com/q/54462153", "54462153")</f>
        <v>54462153</v>
      </c>
      <c r="B2578" s="1" t="s">
        <v>7613</v>
      </c>
      <c r="C2578" s="1" t="s">
        <v>9515</v>
      </c>
      <c r="D2578" s="2" t="s">
        <v>9516</v>
      </c>
      <c r="E2578" s="1">
        <v>1.0</v>
      </c>
      <c r="I2578" s="1">
        <v>0.0</v>
      </c>
      <c r="J2578" s="1">
        <v>43.0</v>
      </c>
      <c r="L2578" s="1">
        <v>1528774.0</v>
      </c>
      <c r="Q2578" s="1" t="s">
        <v>9517</v>
      </c>
      <c r="R2578" s="1" t="s">
        <v>9518</v>
      </c>
      <c r="S2578" s="1">
        <v>1.0</v>
      </c>
      <c r="T2578" s="1">
        <v>0.0</v>
      </c>
      <c r="X2578" s="1" t="s">
        <v>56</v>
      </c>
    </row>
    <row r="2579">
      <c r="A2579" s="3" t="str">
        <f>HYPERLINK("https://stackoverflow.com/q/54475094", "54475094")</f>
        <v>54475094</v>
      </c>
      <c r="B2579" s="1" t="s">
        <v>7613</v>
      </c>
      <c r="C2579" s="1" t="s">
        <v>9519</v>
      </c>
      <c r="D2579" s="2" t="s">
        <v>9520</v>
      </c>
      <c r="E2579" s="1">
        <v>1.0</v>
      </c>
      <c r="I2579" s="1">
        <v>2.0</v>
      </c>
      <c r="J2579" s="1">
        <v>164.0</v>
      </c>
      <c r="L2579" s="1">
        <v>6418654.0</v>
      </c>
      <c r="Q2579" s="1" t="s">
        <v>9519</v>
      </c>
      <c r="R2579" s="1" t="s">
        <v>8728</v>
      </c>
      <c r="S2579" s="1">
        <v>0.0</v>
      </c>
      <c r="T2579" s="1">
        <v>0.0</v>
      </c>
      <c r="X2579" s="1" t="s">
        <v>56</v>
      </c>
    </row>
    <row r="2580">
      <c r="A2580" s="3" t="str">
        <f>HYPERLINK("https://stackoverflow.com/q/54477736", "54477736")</f>
        <v>54477736</v>
      </c>
      <c r="B2580" s="1" t="s">
        <v>7613</v>
      </c>
      <c r="C2580" s="1" t="s">
        <v>9521</v>
      </c>
      <c r="D2580" s="2" t="s">
        <v>9522</v>
      </c>
      <c r="E2580" s="1">
        <v>1.0</v>
      </c>
      <c r="F2580" s="1">
        <v>5.4625233E7</v>
      </c>
      <c r="I2580" s="1">
        <v>1.0</v>
      </c>
      <c r="J2580" s="1">
        <v>685.0</v>
      </c>
      <c r="L2580" s="1">
        <v>3951974.0</v>
      </c>
      <c r="Q2580" s="1" t="s">
        <v>9523</v>
      </c>
      <c r="R2580" s="1" t="s">
        <v>8412</v>
      </c>
      <c r="S2580" s="1">
        <v>1.0</v>
      </c>
      <c r="T2580" s="1">
        <v>0.0</v>
      </c>
      <c r="U2580" s="1">
        <v>1.0</v>
      </c>
      <c r="X2580" s="1" t="s">
        <v>56</v>
      </c>
      <c r="Z2580" s="1" t="s">
        <v>9523</v>
      </c>
    </row>
    <row r="2581">
      <c r="A2581" s="3" t="str">
        <f>HYPERLINK("https://stackoverflow.com/q/54478438", "54478438")</f>
        <v>54478438</v>
      </c>
      <c r="B2581" s="1" t="s">
        <v>7613</v>
      </c>
      <c r="C2581" s="1" t="s">
        <v>9524</v>
      </c>
      <c r="D2581" s="2" t="s">
        <v>9525</v>
      </c>
      <c r="E2581" s="1">
        <v>1.0</v>
      </c>
      <c r="I2581" s="1">
        <v>1.0</v>
      </c>
      <c r="J2581" s="1">
        <v>182.0</v>
      </c>
      <c r="L2581" s="1">
        <v>1.0856315E7</v>
      </c>
      <c r="N2581" s="1">
        <v>4420967.0</v>
      </c>
      <c r="P2581" s="1" t="s">
        <v>9526</v>
      </c>
      <c r="Q2581" s="1" t="s">
        <v>9526</v>
      </c>
      <c r="R2581" s="1" t="s">
        <v>9527</v>
      </c>
      <c r="S2581" s="1">
        <v>0.0</v>
      </c>
      <c r="T2581" s="1">
        <v>1.0</v>
      </c>
      <c r="X2581" s="1" t="s">
        <v>56</v>
      </c>
    </row>
    <row r="2582">
      <c r="A2582" s="3" t="str">
        <f>HYPERLINK("https://stackoverflow.com/q/54484732", "54484732")</f>
        <v>54484732</v>
      </c>
      <c r="B2582" s="1" t="s">
        <v>7613</v>
      </c>
      <c r="C2582" s="1" t="s">
        <v>9528</v>
      </c>
      <c r="D2582" s="2" t="s">
        <v>9529</v>
      </c>
      <c r="E2582" s="1">
        <v>1.0</v>
      </c>
      <c r="I2582" s="1">
        <v>0.0</v>
      </c>
      <c r="J2582" s="1">
        <v>732.0</v>
      </c>
      <c r="L2582" s="1">
        <v>8378081.0</v>
      </c>
      <c r="Q2582" s="1" t="s">
        <v>9530</v>
      </c>
      <c r="R2582" s="1" t="s">
        <v>8321</v>
      </c>
      <c r="S2582" s="1">
        <v>1.0</v>
      </c>
      <c r="T2582" s="1">
        <v>0.0</v>
      </c>
      <c r="X2582" s="1" t="s">
        <v>56</v>
      </c>
    </row>
    <row r="2583">
      <c r="A2583" s="3" t="str">
        <f>HYPERLINK("https://stackoverflow.com/q/54520497", "54520497")</f>
        <v>54520497</v>
      </c>
      <c r="B2583" s="1" t="s">
        <v>7613</v>
      </c>
      <c r="C2583" s="1" t="s">
        <v>9531</v>
      </c>
      <c r="D2583" s="2" t="s">
        <v>9532</v>
      </c>
      <c r="E2583" s="1">
        <v>1.0</v>
      </c>
      <c r="I2583" s="1">
        <v>0.0</v>
      </c>
      <c r="J2583" s="1">
        <v>699.0</v>
      </c>
      <c r="L2583" s="1">
        <v>1.0151375E7</v>
      </c>
      <c r="Q2583" s="1" t="s">
        <v>9533</v>
      </c>
      <c r="R2583" s="1" t="s">
        <v>8321</v>
      </c>
      <c r="S2583" s="1">
        <v>1.0</v>
      </c>
      <c r="T2583" s="1">
        <v>0.0</v>
      </c>
      <c r="X2583" s="1" t="s">
        <v>56</v>
      </c>
    </row>
    <row r="2584">
      <c r="A2584" s="3" t="str">
        <f>HYPERLINK("https://stackoverflow.com/q/54557467", "54557467")</f>
        <v>54557467</v>
      </c>
      <c r="B2584" s="1" t="s">
        <v>7613</v>
      </c>
      <c r="C2584" s="1" t="s">
        <v>9534</v>
      </c>
      <c r="D2584" s="2" t="s">
        <v>9535</v>
      </c>
      <c r="E2584" s="1">
        <v>1.0</v>
      </c>
      <c r="I2584" s="1">
        <v>0.0</v>
      </c>
      <c r="J2584" s="1">
        <v>62.0</v>
      </c>
      <c r="L2584" s="1">
        <v>8378081.0</v>
      </c>
      <c r="Q2584" s="1" t="s">
        <v>9536</v>
      </c>
      <c r="R2584" s="1" t="s">
        <v>9537</v>
      </c>
      <c r="S2584" s="1">
        <v>1.0</v>
      </c>
      <c r="T2584" s="1">
        <v>0.0</v>
      </c>
      <c r="X2584" s="1" t="s">
        <v>56</v>
      </c>
    </row>
    <row r="2585">
      <c r="A2585" s="3" t="str">
        <f>HYPERLINK("https://stackoverflow.com/q/54574872", "54574872")</f>
        <v>54574872</v>
      </c>
      <c r="B2585" s="1" t="s">
        <v>7613</v>
      </c>
      <c r="C2585" s="1" t="s">
        <v>9538</v>
      </c>
      <c r="D2585" s="2" t="s">
        <v>9539</v>
      </c>
      <c r="E2585" s="1">
        <v>1.0</v>
      </c>
      <c r="I2585" s="1">
        <v>0.0</v>
      </c>
      <c r="J2585" s="1">
        <v>95.0</v>
      </c>
      <c r="L2585" s="1">
        <v>1.0674873E7</v>
      </c>
      <c r="N2585" s="1">
        <v>1.0674873E7</v>
      </c>
      <c r="P2585" s="1" t="s">
        <v>9540</v>
      </c>
      <c r="Q2585" s="1" t="s">
        <v>9541</v>
      </c>
      <c r="R2585" s="1" t="s">
        <v>9542</v>
      </c>
      <c r="S2585" s="1">
        <v>2.0</v>
      </c>
      <c r="T2585" s="1">
        <v>0.0</v>
      </c>
      <c r="X2585" s="1" t="s">
        <v>56</v>
      </c>
    </row>
    <row r="2586">
      <c r="A2586" s="3" t="str">
        <f>HYPERLINK("https://stackoverflow.com/q/54604041", "54604041")</f>
        <v>54604041</v>
      </c>
      <c r="B2586" s="1" t="s">
        <v>7613</v>
      </c>
      <c r="C2586" s="1" t="s">
        <v>9543</v>
      </c>
      <c r="D2586" s="2" t="s">
        <v>9544</v>
      </c>
      <c r="E2586" s="1">
        <v>1.0</v>
      </c>
      <c r="I2586" s="1">
        <v>0.0</v>
      </c>
      <c r="J2586" s="1">
        <v>658.0</v>
      </c>
      <c r="L2586" s="1">
        <v>4233016.0</v>
      </c>
      <c r="N2586" s="1">
        <v>4233016.0</v>
      </c>
      <c r="P2586" s="1" t="s">
        <v>9545</v>
      </c>
      <c r="Q2586" s="1" t="s">
        <v>9546</v>
      </c>
      <c r="R2586" s="1" t="s">
        <v>8774</v>
      </c>
      <c r="S2586" s="1">
        <v>1.0</v>
      </c>
      <c r="T2586" s="1">
        <v>0.0</v>
      </c>
      <c r="X2586" s="1" t="s">
        <v>56</v>
      </c>
    </row>
    <row r="2587">
      <c r="A2587" s="3" t="str">
        <f>HYPERLINK("https://stackoverflow.com/q/54646038", "54646038")</f>
        <v>54646038</v>
      </c>
      <c r="B2587" s="1" t="s">
        <v>7613</v>
      </c>
      <c r="C2587" s="1" t="s">
        <v>9547</v>
      </c>
      <c r="D2587" s="2" t="s">
        <v>9548</v>
      </c>
      <c r="E2587" s="1">
        <v>1.0</v>
      </c>
      <c r="I2587" s="1">
        <v>0.0</v>
      </c>
      <c r="J2587" s="1">
        <v>24.0</v>
      </c>
      <c r="L2587" s="1">
        <v>6782173.0</v>
      </c>
      <c r="N2587" s="1">
        <v>4420967.0</v>
      </c>
      <c r="P2587" s="1" t="s">
        <v>9549</v>
      </c>
      <c r="Q2587" s="1" t="s">
        <v>9550</v>
      </c>
      <c r="R2587" s="1" t="s">
        <v>8418</v>
      </c>
      <c r="S2587" s="1">
        <v>1.0</v>
      </c>
      <c r="T2587" s="1">
        <v>0.0</v>
      </c>
      <c r="X2587" s="1" t="s">
        <v>56</v>
      </c>
    </row>
    <row r="2588">
      <c r="A2588" s="3" t="str">
        <f>HYPERLINK("https://stackoverflow.com/q/54666018", "54666018")</f>
        <v>54666018</v>
      </c>
      <c r="B2588" s="1" t="s">
        <v>7613</v>
      </c>
      <c r="C2588" s="1" t="s">
        <v>9551</v>
      </c>
      <c r="D2588" s="2" t="s">
        <v>9552</v>
      </c>
      <c r="E2588" s="1">
        <v>1.0</v>
      </c>
      <c r="F2588" s="1">
        <v>5.4685082E7</v>
      </c>
      <c r="I2588" s="1">
        <v>0.0</v>
      </c>
      <c r="J2588" s="1">
        <v>52.0</v>
      </c>
      <c r="L2588" s="1">
        <v>6021920.0</v>
      </c>
      <c r="Q2588" s="1" t="s">
        <v>9553</v>
      </c>
      <c r="R2588" s="1" t="s">
        <v>9554</v>
      </c>
      <c r="S2588" s="1">
        <v>2.0</v>
      </c>
      <c r="T2588" s="1">
        <v>0.0</v>
      </c>
      <c r="X2588" s="1" t="s">
        <v>56</v>
      </c>
      <c r="Z2588" s="1" t="s">
        <v>9555</v>
      </c>
    </row>
    <row r="2589">
      <c r="A2589" s="3" t="str">
        <f>HYPERLINK("https://stackoverflow.com/q/54744615", "54744615")</f>
        <v>54744615</v>
      </c>
      <c r="B2589" s="1" t="s">
        <v>7613</v>
      </c>
      <c r="C2589" s="1" t="s">
        <v>9556</v>
      </c>
      <c r="D2589" s="2" t="s">
        <v>9557</v>
      </c>
      <c r="E2589" s="1">
        <v>1.0</v>
      </c>
      <c r="I2589" s="1">
        <v>0.0</v>
      </c>
      <c r="J2589" s="1">
        <v>45.0</v>
      </c>
      <c r="L2589" s="1">
        <v>6198798.0</v>
      </c>
      <c r="Q2589" s="1" t="s">
        <v>9558</v>
      </c>
      <c r="R2589" s="1" t="s">
        <v>9559</v>
      </c>
      <c r="S2589" s="1">
        <v>1.0</v>
      </c>
      <c r="T2589" s="1">
        <v>1.0</v>
      </c>
      <c r="X2589" s="1" t="s">
        <v>56</v>
      </c>
    </row>
    <row r="2590">
      <c r="A2590" s="3" t="str">
        <f>HYPERLINK("https://stackoverflow.com/q/54760591", "54760591")</f>
        <v>54760591</v>
      </c>
      <c r="B2590" s="1" t="s">
        <v>7613</v>
      </c>
      <c r="C2590" s="1" t="s">
        <v>9560</v>
      </c>
      <c r="D2590" s="2" t="s">
        <v>9561</v>
      </c>
      <c r="E2590" s="1">
        <v>1.0</v>
      </c>
      <c r="I2590" s="1">
        <v>1.0</v>
      </c>
      <c r="J2590" s="1">
        <v>167.0</v>
      </c>
      <c r="L2590" s="1">
        <v>1.108279E7</v>
      </c>
      <c r="Q2590" s="1" t="s">
        <v>9560</v>
      </c>
      <c r="R2590" s="1" t="s">
        <v>8728</v>
      </c>
      <c r="S2590" s="1">
        <v>0.0</v>
      </c>
      <c r="T2590" s="1">
        <v>0.0</v>
      </c>
      <c r="X2590" s="1" t="s">
        <v>56</v>
      </c>
    </row>
    <row r="2591">
      <c r="A2591" s="3" t="str">
        <f>HYPERLINK("https://stackoverflow.com/q/54906258", "54906258")</f>
        <v>54906258</v>
      </c>
      <c r="B2591" s="1" t="s">
        <v>7613</v>
      </c>
      <c r="C2591" s="1" t="s">
        <v>9562</v>
      </c>
      <c r="D2591" s="2" t="s">
        <v>9563</v>
      </c>
      <c r="E2591" s="1">
        <v>1.0</v>
      </c>
      <c r="F2591" s="1">
        <v>5.5377307E7</v>
      </c>
      <c r="I2591" s="1">
        <v>0.0</v>
      </c>
      <c r="J2591" s="1">
        <v>1829.0</v>
      </c>
      <c r="L2591" s="1">
        <v>6239313.0</v>
      </c>
      <c r="N2591" s="1">
        <v>6239313.0</v>
      </c>
      <c r="P2591" s="1" t="s">
        <v>9564</v>
      </c>
      <c r="Q2591" s="1" t="s">
        <v>9565</v>
      </c>
      <c r="R2591" s="1" t="s">
        <v>9566</v>
      </c>
      <c r="S2591" s="1">
        <v>1.0</v>
      </c>
      <c r="T2591" s="1">
        <v>7.0</v>
      </c>
      <c r="U2591" s="1">
        <v>1.0</v>
      </c>
      <c r="X2591" s="1" t="s">
        <v>56</v>
      </c>
      <c r="Z2591" s="1" t="s">
        <v>9565</v>
      </c>
    </row>
    <row r="2592">
      <c r="A2592" s="3" t="str">
        <f>HYPERLINK("https://stackoverflow.com/q/54906295", "54906295")</f>
        <v>54906295</v>
      </c>
      <c r="B2592" s="1" t="s">
        <v>7613</v>
      </c>
      <c r="C2592" s="1" t="s">
        <v>9567</v>
      </c>
      <c r="D2592" s="2" t="s">
        <v>9568</v>
      </c>
      <c r="E2592" s="1">
        <v>1.0</v>
      </c>
      <c r="F2592" s="1">
        <v>5.490644E7</v>
      </c>
      <c r="I2592" s="1">
        <v>0.0</v>
      </c>
      <c r="J2592" s="1">
        <v>2257.0</v>
      </c>
      <c r="L2592" s="1">
        <v>8861099.0</v>
      </c>
      <c r="N2592" s="1">
        <v>8861099.0</v>
      </c>
      <c r="P2592" s="1" t="s">
        <v>9569</v>
      </c>
      <c r="Q2592" s="1" t="s">
        <v>9570</v>
      </c>
      <c r="R2592" s="1" t="s">
        <v>9571</v>
      </c>
      <c r="S2592" s="1">
        <v>1.0</v>
      </c>
      <c r="T2592" s="1">
        <v>0.0</v>
      </c>
      <c r="X2592" s="1" t="s">
        <v>56</v>
      </c>
      <c r="Z2592" s="1" t="s">
        <v>9572</v>
      </c>
    </row>
    <row r="2593">
      <c r="A2593" s="3" t="str">
        <f>HYPERLINK("https://stackoverflow.com/q/54925179", "54925179")</f>
        <v>54925179</v>
      </c>
      <c r="B2593" s="1" t="s">
        <v>7613</v>
      </c>
      <c r="C2593" s="1" t="s">
        <v>9573</v>
      </c>
      <c r="D2593" s="2" t="s">
        <v>9574</v>
      </c>
      <c r="E2593" s="1">
        <v>1.0</v>
      </c>
      <c r="I2593" s="1">
        <v>2.0</v>
      </c>
      <c r="J2593" s="1">
        <v>6126.0</v>
      </c>
      <c r="L2593" s="1">
        <v>1.1130478E7</v>
      </c>
      <c r="N2593" s="1">
        <v>3850805.0</v>
      </c>
      <c r="P2593" s="1" t="s">
        <v>9575</v>
      </c>
      <c r="Q2593" s="1" t="s">
        <v>9576</v>
      </c>
      <c r="R2593" s="1" t="s">
        <v>9577</v>
      </c>
      <c r="S2593" s="1">
        <v>4.0</v>
      </c>
      <c r="T2593" s="1">
        <v>0.0</v>
      </c>
      <c r="X2593" s="1" t="s">
        <v>56</v>
      </c>
    </row>
    <row r="2594">
      <c r="A2594" s="3" t="str">
        <f>HYPERLINK("https://stackoverflow.com/q/54936924", "54936924")</f>
        <v>54936924</v>
      </c>
      <c r="B2594" s="1" t="s">
        <v>7613</v>
      </c>
      <c r="C2594" s="1" t="s">
        <v>9578</v>
      </c>
      <c r="D2594" s="2" t="s">
        <v>9579</v>
      </c>
      <c r="E2594" s="1">
        <v>1.0</v>
      </c>
      <c r="I2594" s="1">
        <v>0.0</v>
      </c>
      <c r="J2594" s="1">
        <v>62.0</v>
      </c>
      <c r="L2594" s="1">
        <v>1.1133736E7</v>
      </c>
      <c r="Q2594" s="1" t="s">
        <v>9580</v>
      </c>
      <c r="R2594" s="1" t="s">
        <v>9472</v>
      </c>
      <c r="S2594" s="1">
        <v>1.0</v>
      </c>
      <c r="T2594" s="1">
        <v>0.0</v>
      </c>
      <c r="X2594" s="1" t="s">
        <v>56</v>
      </c>
    </row>
    <row r="2595">
      <c r="A2595" s="3" t="str">
        <f>HYPERLINK("https://stackoverflow.com/q/54967399", "54967399")</f>
        <v>54967399</v>
      </c>
      <c r="B2595" s="1" t="s">
        <v>7613</v>
      </c>
      <c r="C2595" s="1" t="s">
        <v>9581</v>
      </c>
      <c r="D2595" s="2" t="s">
        <v>9582</v>
      </c>
      <c r="E2595" s="1">
        <v>1.0</v>
      </c>
      <c r="I2595" s="1">
        <v>0.0</v>
      </c>
      <c r="J2595" s="1">
        <v>387.0</v>
      </c>
      <c r="L2595" s="1">
        <v>9993234.0</v>
      </c>
      <c r="N2595" s="1">
        <v>4420967.0</v>
      </c>
      <c r="P2595" s="1" t="s">
        <v>9583</v>
      </c>
      <c r="Q2595" s="1" t="s">
        <v>9584</v>
      </c>
      <c r="R2595" s="1" t="s">
        <v>8321</v>
      </c>
      <c r="S2595" s="1">
        <v>1.0</v>
      </c>
      <c r="T2595" s="1">
        <v>0.0</v>
      </c>
      <c r="X2595" s="1" t="s">
        <v>56</v>
      </c>
    </row>
    <row r="2596">
      <c r="A2596" s="3" t="str">
        <f>HYPERLINK("https://stackoverflow.com/q/54991854", "54991854")</f>
        <v>54991854</v>
      </c>
      <c r="B2596" s="1" t="s">
        <v>7613</v>
      </c>
      <c r="C2596" s="1" t="s">
        <v>9585</v>
      </c>
      <c r="D2596" s="2" t="s">
        <v>9586</v>
      </c>
      <c r="E2596" s="1">
        <v>1.0</v>
      </c>
      <c r="I2596" s="1">
        <v>0.0</v>
      </c>
      <c r="J2596" s="1">
        <v>500.0</v>
      </c>
      <c r="L2596" s="1">
        <v>4468902.0</v>
      </c>
      <c r="Q2596" s="1" t="s">
        <v>9587</v>
      </c>
      <c r="R2596" s="1" t="s">
        <v>9588</v>
      </c>
      <c r="S2596" s="1">
        <v>1.0</v>
      </c>
      <c r="T2596" s="1">
        <v>0.0</v>
      </c>
      <c r="U2596" s="1">
        <v>1.0</v>
      </c>
      <c r="X2596" s="1" t="s">
        <v>56</v>
      </c>
    </row>
    <row r="2597">
      <c r="A2597" s="3" t="str">
        <f>HYPERLINK("https://stackoverflow.com/q/55000264", "55000264")</f>
        <v>55000264</v>
      </c>
      <c r="B2597" s="1" t="s">
        <v>7613</v>
      </c>
      <c r="C2597" s="1" t="s">
        <v>9589</v>
      </c>
      <c r="D2597" s="2" t="s">
        <v>9590</v>
      </c>
      <c r="E2597" s="1">
        <v>1.0</v>
      </c>
      <c r="I2597" s="1">
        <v>0.0</v>
      </c>
      <c r="J2597" s="1">
        <v>1106.0</v>
      </c>
      <c r="L2597" s="1">
        <v>1.0949422E7</v>
      </c>
      <c r="Q2597" s="1" t="s">
        <v>9589</v>
      </c>
      <c r="R2597" s="1" t="s">
        <v>9591</v>
      </c>
      <c r="S2597" s="1">
        <v>0.0</v>
      </c>
      <c r="T2597" s="1">
        <v>0.0</v>
      </c>
      <c r="X2597" s="1" t="s">
        <v>56</v>
      </c>
    </row>
    <row r="2598">
      <c r="A2598" s="3" t="str">
        <f>HYPERLINK("https://stackoverflow.com/q/55009565", "55009565")</f>
        <v>55009565</v>
      </c>
      <c r="B2598" s="1" t="s">
        <v>7613</v>
      </c>
      <c r="C2598" s="1" t="s">
        <v>9592</v>
      </c>
      <c r="D2598" s="2" t="s">
        <v>9593</v>
      </c>
      <c r="E2598" s="1">
        <v>1.0</v>
      </c>
      <c r="I2598" s="1">
        <v>1.0</v>
      </c>
      <c r="J2598" s="1">
        <v>2345.0</v>
      </c>
      <c r="L2598" s="1">
        <v>4645574.0</v>
      </c>
      <c r="Q2598" s="1" t="s">
        <v>9594</v>
      </c>
      <c r="R2598" s="1" t="s">
        <v>9202</v>
      </c>
      <c r="S2598" s="1">
        <v>1.0</v>
      </c>
      <c r="T2598" s="1">
        <v>0.0</v>
      </c>
      <c r="X2598" s="1" t="s">
        <v>56</v>
      </c>
    </row>
    <row r="2599">
      <c r="A2599" s="3" t="str">
        <f>HYPERLINK("https://stackoverflow.com/q/55010153", "55010153")</f>
        <v>55010153</v>
      </c>
      <c r="B2599" s="1" t="s">
        <v>7613</v>
      </c>
      <c r="C2599" s="1" t="s">
        <v>9595</v>
      </c>
      <c r="D2599" s="2" t="s">
        <v>9596</v>
      </c>
      <c r="E2599" s="1">
        <v>1.0</v>
      </c>
      <c r="I2599" s="1">
        <v>0.0</v>
      </c>
      <c r="J2599" s="1">
        <v>53.0</v>
      </c>
      <c r="L2599" s="1">
        <v>1.0365158E7</v>
      </c>
      <c r="Q2599" s="1" t="s">
        <v>9597</v>
      </c>
      <c r="R2599" s="1" t="s">
        <v>9598</v>
      </c>
      <c r="S2599" s="1">
        <v>1.0</v>
      </c>
      <c r="T2599" s="1">
        <v>0.0</v>
      </c>
      <c r="X2599" s="1" t="s">
        <v>56</v>
      </c>
    </row>
    <row r="2600">
      <c r="A2600" s="3" t="str">
        <f>HYPERLINK("https://stackoverflow.com/q/55101284", "55101284")</f>
        <v>55101284</v>
      </c>
      <c r="B2600" s="1" t="s">
        <v>7613</v>
      </c>
      <c r="C2600" s="1" t="s">
        <v>9599</v>
      </c>
      <c r="D2600" s="2" t="s">
        <v>9600</v>
      </c>
      <c r="E2600" s="1">
        <v>1.0</v>
      </c>
      <c r="F2600" s="1">
        <v>5.5113445E7</v>
      </c>
      <c r="I2600" s="1">
        <v>0.0</v>
      </c>
      <c r="J2600" s="1">
        <v>299.0</v>
      </c>
      <c r="L2600" s="1">
        <v>3002528.0</v>
      </c>
      <c r="N2600" s="1">
        <v>3002528.0</v>
      </c>
      <c r="P2600" s="1" t="s">
        <v>9601</v>
      </c>
      <c r="Q2600" s="1" t="s">
        <v>9601</v>
      </c>
      <c r="R2600" s="1" t="s">
        <v>9602</v>
      </c>
      <c r="S2600" s="1">
        <v>1.0</v>
      </c>
      <c r="T2600" s="1">
        <v>0.0</v>
      </c>
      <c r="X2600" s="1" t="s">
        <v>56</v>
      </c>
      <c r="Z2600" s="1" t="s">
        <v>9603</v>
      </c>
    </row>
    <row r="2601">
      <c r="A2601" s="3" t="str">
        <f>HYPERLINK("https://stackoverflow.com/q/55117661", "55117661")</f>
        <v>55117661</v>
      </c>
      <c r="B2601" s="1" t="s">
        <v>7613</v>
      </c>
      <c r="C2601" s="1" t="s">
        <v>9604</v>
      </c>
      <c r="D2601" s="2" t="s">
        <v>9605</v>
      </c>
      <c r="E2601" s="1">
        <v>1.0</v>
      </c>
      <c r="F2601" s="1">
        <v>5.5120135E7</v>
      </c>
      <c r="I2601" s="1">
        <v>0.0</v>
      </c>
      <c r="J2601" s="1">
        <v>282.0</v>
      </c>
      <c r="L2601" s="1">
        <v>3032393.0</v>
      </c>
      <c r="Q2601" s="1" t="s">
        <v>9606</v>
      </c>
      <c r="R2601" s="1" t="s">
        <v>9607</v>
      </c>
      <c r="S2601" s="1">
        <v>1.0</v>
      </c>
      <c r="T2601" s="1">
        <v>0.0</v>
      </c>
      <c r="X2601" s="1" t="s">
        <v>56</v>
      </c>
      <c r="Z2601" s="1" t="s">
        <v>9606</v>
      </c>
    </row>
    <row r="2602">
      <c r="A2602" s="3" t="str">
        <f>HYPERLINK("https://stackoverflow.com/q/55135069", "55135069")</f>
        <v>55135069</v>
      </c>
      <c r="B2602" s="1" t="s">
        <v>7613</v>
      </c>
      <c r="C2602" s="1" t="s">
        <v>9608</v>
      </c>
      <c r="D2602" s="2" t="s">
        <v>9609</v>
      </c>
      <c r="E2602" s="1">
        <v>1.0</v>
      </c>
      <c r="I2602" s="1">
        <v>0.0</v>
      </c>
      <c r="J2602" s="1">
        <v>2325.0</v>
      </c>
      <c r="L2602" s="1">
        <v>3032393.0</v>
      </c>
      <c r="Q2602" s="1" t="s">
        <v>9610</v>
      </c>
      <c r="R2602" s="1" t="s">
        <v>9611</v>
      </c>
      <c r="S2602" s="1">
        <v>1.0</v>
      </c>
      <c r="T2602" s="1">
        <v>0.0</v>
      </c>
      <c r="U2602" s="1">
        <v>2.0</v>
      </c>
      <c r="X2602" s="1" t="s">
        <v>56</v>
      </c>
    </row>
    <row r="2603">
      <c r="A2603" s="3" t="str">
        <f>HYPERLINK("https://stackoverflow.com/q/55136468", "55136468")</f>
        <v>55136468</v>
      </c>
      <c r="B2603" s="1" t="s">
        <v>7613</v>
      </c>
      <c r="C2603" s="1" t="s">
        <v>9612</v>
      </c>
      <c r="D2603" s="2" t="s">
        <v>9613</v>
      </c>
      <c r="E2603" s="1">
        <v>1.0</v>
      </c>
      <c r="I2603" s="1">
        <v>0.0</v>
      </c>
      <c r="J2603" s="1">
        <v>228.0</v>
      </c>
      <c r="L2603" s="1">
        <v>3147385.0</v>
      </c>
      <c r="N2603" s="1">
        <v>3147385.0</v>
      </c>
      <c r="P2603" s="1" t="s">
        <v>9614</v>
      </c>
      <c r="Q2603" s="1" t="s">
        <v>9615</v>
      </c>
      <c r="R2603" s="1" t="s">
        <v>9616</v>
      </c>
      <c r="S2603" s="1">
        <v>0.0</v>
      </c>
      <c r="T2603" s="1">
        <v>6.0</v>
      </c>
      <c r="X2603" s="1" t="s">
        <v>56</v>
      </c>
    </row>
    <row r="2604">
      <c r="A2604" s="3" t="str">
        <f>HYPERLINK("https://stackoverflow.com/q/55212167", "55212167")</f>
        <v>55212167</v>
      </c>
      <c r="B2604" s="1" t="s">
        <v>7613</v>
      </c>
      <c r="C2604" s="1" t="s">
        <v>9617</v>
      </c>
      <c r="D2604" s="2" t="s">
        <v>9618</v>
      </c>
      <c r="E2604" s="1">
        <v>1.0</v>
      </c>
      <c r="F2604" s="1">
        <v>5.5217027E7</v>
      </c>
      <c r="I2604" s="1">
        <v>0.0</v>
      </c>
      <c r="J2604" s="1">
        <v>166.0</v>
      </c>
      <c r="L2604" s="1">
        <v>1.121772E7</v>
      </c>
      <c r="N2604" s="1">
        <v>1.121772E7</v>
      </c>
      <c r="P2604" s="1" t="s">
        <v>9619</v>
      </c>
      <c r="Q2604" s="1" t="s">
        <v>9619</v>
      </c>
      <c r="R2604" s="1" t="s">
        <v>9620</v>
      </c>
      <c r="S2604" s="1">
        <v>1.0</v>
      </c>
      <c r="T2604" s="1">
        <v>0.0</v>
      </c>
      <c r="X2604" s="1" t="s">
        <v>56</v>
      </c>
      <c r="Z2604" s="1" t="s">
        <v>9621</v>
      </c>
    </row>
    <row r="2605">
      <c r="A2605" s="3" t="str">
        <f>HYPERLINK("https://stackoverflow.com/q/55240373", "55240373")</f>
        <v>55240373</v>
      </c>
      <c r="B2605" s="1" t="s">
        <v>7613</v>
      </c>
      <c r="C2605" s="1" t="s">
        <v>9622</v>
      </c>
      <c r="D2605" s="2" t="s">
        <v>9623</v>
      </c>
      <c r="E2605" s="1">
        <v>1.0</v>
      </c>
      <c r="I2605" s="1">
        <v>1.0</v>
      </c>
      <c r="J2605" s="1">
        <v>44.0</v>
      </c>
      <c r="L2605" s="1">
        <v>1394079.0</v>
      </c>
      <c r="Q2605" s="1" t="s">
        <v>9622</v>
      </c>
      <c r="R2605" s="1" t="s">
        <v>9624</v>
      </c>
      <c r="S2605" s="1">
        <v>0.0</v>
      </c>
      <c r="T2605" s="1">
        <v>4.0</v>
      </c>
      <c r="X2605" s="1" t="s">
        <v>56</v>
      </c>
    </row>
    <row r="2606">
      <c r="A2606" s="3" t="str">
        <f>HYPERLINK("https://stackoverflow.com/q/55269741", "55269741")</f>
        <v>55269741</v>
      </c>
      <c r="B2606" s="1" t="s">
        <v>7613</v>
      </c>
      <c r="C2606" s="1" t="s">
        <v>9625</v>
      </c>
      <c r="D2606" s="2" t="s">
        <v>9626</v>
      </c>
      <c r="E2606" s="1">
        <v>1.0</v>
      </c>
      <c r="I2606" s="1">
        <v>0.0</v>
      </c>
      <c r="J2606" s="1">
        <v>439.0</v>
      </c>
      <c r="L2606" s="1">
        <v>2441509.0</v>
      </c>
      <c r="Q2606" s="1" t="s">
        <v>9627</v>
      </c>
      <c r="R2606" s="1" t="s">
        <v>9628</v>
      </c>
      <c r="S2606" s="1">
        <v>1.0</v>
      </c>
      <c r="T2606" s="1">
        <v>0.0</v>
      </c>
      <c r="X2606" s="1" t="s">
        <v>56</v>
      </c>
    </row>
    <row r="2607">
      <c r="A2607" s="3" t="str">
        <f>HYPERLINK("https://stackoverflow.com/q/55350422", "55350422")</f>
        <v>55350422</v>
      </c>
      <c r="B2607" s="1" t="s">
        <v>7613</v>
      </c>
      <c r="C2607" s="1" t="s">
        <v>9629</v>
      </c>
      <c r="D2607" s="2" t="s">
        <v>9630</v>
      </c>
      <c r="E2607" s="1">
        <v>1.0</v>
      </c>
      <c r="I2607" s="1">
        <v>0.0</v>
      </c>
      <c r="J2607" s="1">
        <v>610.0</v>
      </c>
      <c r="L2607" s="1">
        <v>5206785.0</v>
      </c>
      <c r="N2607" s="1">
        <v>6713321.0</v>
      </c>
      <c r="P2607" s="1" t="s">
        <v>9631</v>
      </c>
      <c r="Q2607" s="1" t="s">
        <v>9632</v>
      </c>
      <c r="R2607" s="1" t="s">
        <v>9633</v>
      </c>
      <c r="S2607" s="1">
        <v>0.0</v>
      </c>
      <c r="T2607" s="1">
        <v>2.0</v>
      </c>
      <c r="X2607" s="1" t="s">
        <v>56</v>
      </c>
    </row>
    <row r="2608">
      <c r="A2608" s="3" t="str">
        <f>HYPERLINK("https://stackoverflow.com/q/55367038", "55367038")</f>
        <v>55367038</v>
      </c>
      <c r="B2608" s="1" t="s">
        <v>7613</v>
      </c>
      <c r="C2608" s="1" t="s">
        <v>9634</v>
      </c>
      <c r="D2608" s="2" t="s">
        <v>9635</v>
      </c>
      <c r="E2608" s="1">
        <v>1.0</v>
      </c>
      <c r="I2608" s="1">
        <v>0.0</v>
      </c>
      <c r="J2608" s="1">
        <v>29.0</v>
      </c>
      <c r="L2608" s="1">
        <v>1.1263003E7</v>
      </c>
      <c r="Q2608" s="1" t="s">
        <v>9636</v>
      </c>
      <c r="R2608" s="1" t="s">
        <v>8879</v>
      </c>
      <c r="S2608" s="1">
        <v>1.0</v>
      </c>
      <c r="T2608" s="1">
        <v>0.0</v>
      </c>
      <c r="X2608" s="1" t="s">
        <v>56</v>
      </c>
    </row>
    <row r="2609">
      <c r="A2609" s="3" t="str">
        <f>HYPERLINK("https://stackoverflow.com/q/55418261", "55418261")</f>
        <v>55418261</v>
      </c>
      <c r="B2609" s="1" t="s">
        <v>7613</v>
      </c>
      <c r="C2609" s="1" t="s">
        <v>9637</v>
      </c>
      <c r="D2609" s="2" t="s">
        <v>9638</v>
      </c>
      <c r="E2609" s="1">
        <v>1.0</v>
      </c>
      <c r="I2609" s="1">
        <v>0.0</v>
      </c>
      <c r="J2609" s="1">
        <v>12.0</v>
      </c>
      <c r="L2609" s="1">
        <v>8801647.0</v>
      </c>
      <c r="Q2609" s="1" t="s">
        <v>9637</v>
      </c>
      <c r="R2609" s="1" t="s">
        <v>7688</v>
      </c>
      <c r="S2609" s="1">
        <v>0.0</v>
      </c>
      <c r="T2609" s="1">
        <v>2.0</v>
      </c>
      <c r="X2609" s="1" t="s">
        <v>56</v>
      </c>
    </row>
    <row r="2610">
      <c r="A2610" s="3" t="str">
        <f>HYPERLINK("https://stackoverflow.com/q/55471101", "55471101")</f>
        <v>55471101</v>
      </c>
      <c r="B2610" s="1" t="s">
        <v>7613</v>
      </c>
      <c r="C2610" s="1" t="s">
        <v>9639</v>
      </c>
      <c r="D2610" s="2" t="s">
        <v>9640</v>
      </c>
      <c r="E2610" s="1">
        <v>1.0</v>
      </c>
      <c r="I2610" s="1">
        <v>2.0</v>
      </c>
      <c r="J2610" s="1">
        <v>109.0</v>
      </c>
      <c r="L2610" s="1">
        <v>3484667.0</v>
      </c>
      <c r="Q2610" s="1" t="s">
        <v>9639</v>
      </c>
      <c r="R2610" s="1" t="s">
        <v>9641</v>
      </c>
      <c r="S2610" s="1">
        <v>0.0</v>
      </c>
      <c r="T2610" s="1">
        <v>0.0</v>
      </c>
      <c r="X2610" s="1" t="s">
        <v>56</v>
      </c>
    </row>
    <row r="2611">
      <c r="A2611" s="3" t="str">
        <f>HYPERLINK("https://stackoverflow.com/q/55511505", "55511505")</f>
        <v>55511505</v>
      </c>
      <c r="B2611" s="1" t="s">
        <v>7613</v>
      </c>
      <c r="C2611" s="1" t="s">
        <v>9642</v>
      </c>
      <c r="D2611" s="2" t="s">
        <v>9643</v>
      </c>
      <c r="E2611" s="1">
        <v>1.0</v>
      </c>
      <c r="I2611" s="1">
        <v>0.0</v>
      </c>
      <c r="J2611" s="1">
        <v>36.0</v>
      </c>
      <c r="L2611" s="1">
        <v>1236336.0</v>
      </c>
      <c r="Q2611" s="1" t="s">
        <v>9642</v>
      </c>
      <c r="R2611" s="1" t="s">
        <v>7972</v>
      </c>
      <c r="S2611" s="1">
        <v>0.0</v>
      </c>
      <c r="T2611" s="1">
        <v>2.0</v>
      </c>
      <c r="X2611" s="1" t="s">
        <v>56</v>
      </c>
    </row>
    <row r="2612">
      <c r="A2612" s="3" t="str">
        <f>HYPERLINK("https://stackoverflow.com/q/55537720", "55537720")</f>
        <v>55537720</v>
      </c>
      <c r="B2612" s="1" t="s">
        <v>7613</v>
      </c>
      <c r="C2612" s="1" t="s">
        <v>9644</v>
      </c>
      <c r="D2612" s="2" t="s">
        <v>9645</v>
      </c>
      <c r="E2612" s="1">
        <v>1.0</v>
      </c>
      <c r="I2612" s="1">
        <v>0.0</v>
      </c>
      <c r="J2612" s="1">
        <v>1239.0</v>
      </c>
      <c r="L2612" s="1">
        <v>1.1316734E7</v>
      </c>
      <c r="N2612" s="1">
        <v>7514741.0</v>
      </c>
      <c r="P2612" s="1" t="s">
        <v>9646</v>
      </c>
      <c r="Q2612" s="1" t="s">
        <v>9646</v>
      </c>
      <c r="R2612" s="1" t="s">
        <v>8920</v>
      </c>
      <c r="S2612" s="1">
        <v>1.0</v>
      </c>
      <c r="T2612" s="1">
        <v>0.0</v>
      </c>
      <c r="X2612" s="1" t="s">
        <v>56</v>
      </c>
    </row>
    <row r="2613">
      <c r="A2613" s="3" t="str">
        <f>HYPERLINK("https://stackoverflow.com/q/55542723", "55542723")</f>
        <v>55542723</v>
      </c>
      <c r="B2613" s="1" t="s">
        <v>7613</v>
      </c>
      <c r="C2613" s="1" t="s">
        <v>9647</v>
      </c>
      <c r="D2613" s="2" t="s">
        <v>9648</v>
      </c>
      <c r="E2613" s="1">
        <v>1.0</v>
      </c>
      <c r="I2613" s="1">
        <v>0.0</v>
      </c>
      <c r="J2613" s="1">
        <v>788.0</v>
      </c>
      <c r="L2613" s="1">
        <v>7113390.0</v>
      </c>
      <c r="N2613" s="1">
        <v>3800154.0</v>
      </c>
      <c r="P2613" s="1" t="s">
        <v>9649</v>
      </c>
      <c r="Q2613" s="1" t="s">
        <v>9650</v>
      </c>
      <c r="R2613" s="1" t="s">
        <v>9651</v>
      </c>
      <c r="S2613" s="1">
        <v>1.0</v>
      </c>
      <c r="T2613" s="1">
        <v>1.0</v>
      </c>
      <c r="X2613" s="1" t="s">
        <v>56</v>
      </c>
    </row>
    <row r="2614">
      <c r="A2614" s="3" t="str">
        <f>HYPERLINK("https://stackoverflow.com/q/55559831", "55559831")</f>
        <v>55559831</v>
      </c>
      <c r="B2614" s="1" t="s">
        <v>7613</v>
      </c>
      <c r="C2614" s="1" t="s">
        <v>9652</v>
      </c>
      <c r="D2614" s="2" t="s">
        <v>9653</v>
      </c>
      <c r="E2614" s="1">
        <v>1.0</v>
      </c>
      <c r="I2614" s="1">
        <v>0.0</v>
      </c>
      <c r="J2614" s="1">
        <v>99.0</v>
      </c>
      <c r="L2614" s="1">
        <v>7273817.0</v>
      </c>
      <c r="N2614" s="1">
        <v>391691.0</v>
      </c>
      <c r="P2614" s="1" t="s">
        <v>9654</v>
      </c>
      <c r="Q2614" s="1" t="s">
        <v>9654</v>
      </c>
      <c r="R2614" s="1" t="s">
        <v>9655</v>
      </c>
      <c r="S2614" s="1">
        <v>0.0</v>
      </c>
      <c r="T2614" s="1">
        <v>4.0</v>
      </c>
      <c r="U2614" s="1">
        <v>1.0</v>
      </c>
      <c r="X2614" s="1" t="s">
        <v>56</v>
      </c>
    </row>
    <row r="2615">
      <c r="A2615" s="3" t="str">
        <f>HYPERLINK("https://stackoverflow.com/q/55594848", "55594848")</f>
        <v>55594848</v>
      </c>
      <c r="B2615" s="1" t="s">
        <v>7613</v>
      </c>
      <c r="C2615" s="1" t="s">
        <v>9656</v>
      </c>
      <c r="D2615" s="2" t="s">
        <v>9657</v>
      </c>
      <c r="E2615" s="1">
        <v>1.0</v>
      </c>
      <c r="F2615" s="1">
        <v>5.5629764E7</v>
      </c>
      <c r="I2615" s="1">
        <v>3.0</v>
      </c>
      <c r="J2615" s="1">
        <v>395.0</v>
      </c>
      <c r="L2615" s="1">
        <v>8861099.0</v>
      </c>
      <c r="N2615" s="1">
        <v>8861099.0</v>
      </c>
      <c r="P2615" s="1" t="s">
        <v>9658</v>
      </c>
      <c r="Q2615" s="1" t="s">
        <v>9659</v>
      </c>
      <c r="R2615" s="1" t="s">
        <v>9660</v>
      </c>
      <c r="S2615" s="1">
        <v>1.0</v>
      </c>
      <c r="T2615" s="1">
        <v>5.0</v>
      </c>
      <c r="X2615" s="1" t="s">
        <v>56</v>
      </c>
      <c r="Z2615" s="1" t="s">
        <v>9659</v>
      </c>
    </row>
    <row r="2616">
      <c r="A2616" s="3" t="str">
        <f>HYPERLINK("https://stackoverflow.com/q/55623926", "55623926")</f>
        <v>55623926</v>
      </c>
      <c r="B2616" s="1" t="s">
        <v>7613</v>
      </c>
      <c r="C2616" s="1" t="s">
        <v>9661</v>
      </c>
      <c r="D2616" s="2" t="s">
        <v>9662</v>
      </c>
      <c r="E2616" s="1">
        <v>1.0</v>
      </c>
      <c r="I2616" s="1">
        <v>0.0</v>
      </c>
      <c r="J2616" s="1">
        <v>174.0</v>
      </c>
      <c r="L2616" s="1">
        <v>814188.0</v>
      </c>
      <c r="Q2616" s="1" t="s">
        <v>9663</v>
      </c>
      <c r="R2616" s="1" t="s">
        <v>8321</v>
      </c>
      <c r="S2616" s="1">
        <v>1.0</v>
      </c>
      <c r="T2616" s="1">
        <v>0.0</v>
      </c>
      <c r="X2616" s="1" t="s">
        <v>56</v>
      </c>
    </row>
    <row r="2617">
      <c r="A2617" s="3" t="str">
        <f>HYPERLINK("https://stackoverflow.com/q/55644204", "55644204")</f>
        <v>55644204</v>
      </c>
      <c r="B2617" s="1" t="s">
        <v>7613</v>
      </c>
      <c r="C2617" s="1" t="s">
        <v>9664</v>
      </c>
      <c r="D2617" s="2" t="s">
        <v>9665</v>
      </c>
      <c r="E2617" s="1">
        <v>1.0</v>
      </c>
      <c r="I2617" s="1">
        <v>1.0</v>
      </c>
      <c r="J2617" s="1">
        <v>83.0</v>
      </c>
      <c r="L2617" s="1">
        <v>3168421.0</v>
      </c>
      <c r="N2617" s="1">
        <v>3168421.0</v>
      </c>
      <c r="P2617" s="1" t="s">
        <v>9666</v>
      </c>
      <c r="Q2617" s="1" t="s">
        <v>9666</v>
      </c>
      <c r="R2617" s="1" t="s">
        <v>9667</v>
      </c>
      <c r="S2617" s="1">
        <v>0.0</v>
      </c>
      <c r="T2617" s="1">
        <v>2.0</v>
      </c>
      <c r="X2617" s="1" t="s">
        <v>56</v>
      </c>
    </row>
    <row r="2618">
      <c r="A2618" s="3" t="str">
        <f>HYPERLINK("https://stackoverflow.com/q/55647262", "55647262")</f>
        <v>55647262</v>
      </c>
      <c r="B2618" s="1" t="s">
        <v>7613</v>
      </c>
      <c r="C2618" s="1" t="s">
        <v>9668</v>
      </c>
      <c r="D2618" s="2" t="s">
        <v>9669</v>
      </c>
      <c r="E2618" s="1">
        <v>1.0</v>
      </c>
      <c r="I2618" s="1">
        <v>1.0</v>
      </c>
      <c r="J2618" s="1">
        <v>119.0</v>
      </c>
      <c r="L2618" s="1">
        <v>6361618.0</v>
      </c>
      <c r="Q2618" s="1" t="s">
        <v>9670</v>
      </c>
      <c r="R2618" s="1" t="s">
        <v>9671</v>
      </c>
      <c r="S2618" s="1">
        <v>0.0</v>
      </c>
      <c r="T2618" s="1">
        <v>0.0</v>
      </c>
      <c r="X2618" s="1" t="s">
        <v>56</v>
      </c>
    </row>
    <row r="2619">
      <c r="A2619" s="3" t="str">
        <f>HYPERLINK("https://stackoverflow.com/q/55647746", "55647746")</f>
        <v>55647746</v>
      </c>
      <c r="B2619" s="1" t="s">
        <v>7613</v>
      </c>
      <c r="C2619" s="1" t="s">
        <v>9672</v>
      </c>
      <c r="D2619" s="2" t="s">
        <v>9673</v>
      </c>
      <c r="E2619" s="1">
        <v>1.0</v>
      </c>
      <c r="I2619" s="1">
        <v>0.0</v>
      </c>
      <c r="J2619" s="1">
        <v>550.0</v>
      </c>
      <c r="L2619" s="1">
        <v>3648258.0</v>
      </c>
      <c r="N2619" s="1">
        <v>3648258.0</v>
      </c>
      <c r="P2619" s="1" t="s">
        <v>9674</v>
      </c>
      <c r="Q2619" s="1" t="s">
        <v>9675</v>
      </c>
      <c r="R2619" s="1" t="s">
        <v>8271</v>
      </c>
      <c r="S2619" s="1">
        <v>1.0</v>
      </c>
      <c r="T2619" s="1">
        <v>0.0</v>
      </c>
      <c r="X2619" s="1" t="s">
        <v>56</v>
      </c>
    </row>
    <row r="2620">
      <c r="A2620" s="3" t="str">
        <f>HYPERLINK("https://stackoverflow.com/q/55649403", "55649403")</f>
        <v>55649403</v>
      </c>
      <c r="B2620" s="1" t="s">
        <v>7613</v>
      </c>
      <c r="C2620" s="1" t="s">
        <v>9676</v>
      </c>
      <c r="D2620" s="2" t="s">
        <v>9677</v>
      </c>
      <c r="E2620" s="1">
        <v>1.0</v>
      </c>
      <c r="I2620" s="1">
        <v>0.0</v>
      </c>
      <c r="J2620" s="1">
        <v>625.0</v>
      </c>
      <c r="L2620" s="1">
        <v>3484667.0</v>
      </c>
      <c r="Q2620" s="1" t="s">
        <v>9678</v>
      </c>
      <c r="R2620" s="1" t="s">
        <v>8321</v>
      </c>
      <c r="S2620" s="1">
        <v>1.0</v>
      </c>
      <c r="T2620" s="1">
        <v>0.0</v>
      </c>
      <c r="X2620" s="1" t="s">
        <v>56</v>
      </c>
    </row>
    <row r="2621">
      <c r="A2621" s="3" t="str">
        <f>HYPERLINK("https://stackoverflow.com/q/55729338", "55729338")</f>
        <v>55729338</v>
      </c>
      <c r="B2621" s="1" t="s">
        <v>7613</v>
      </c>
      <c r="C2621" s="1" t="s">
        <v>9679</v>
      </c>
      <c r="D2621" s="2" t="s">
        <v>9680</v>
      </c>
      <c r="E2621" s="1">
        <v>1.0</v>
      </c>
      <c r="I2621" s="1">
        <v>1.0</v>
      </c>
      <c r="J2621" s="1">
        <v>347.0</v>
      </c>
      <c r="L2621" s="1">
        <v>670164.0</v>
      </c>
      <c r="Q2621" s="1" t="s">
        <v>9681</v>
      </c>
      <c r="R2621" s="1" t="s">
        <v>9682</v>
      </c>
      <c r="S2621" s="1">
        <v>1.0</v>
      </c>
      <c r="T2621" s="1">
        <v>2.0</v>
      </c>
      <c r="X2621" s="1" t="s">
        <v>56</v>
      </c>
    </row>
    <row r="2622">
      <c r="A2622" s="3" t="str">
        <f>HYPERLINK("https://stackoverflow.com/q/55745397", "55745397")</f>
        <v>55745397</v>
      </c>
      <c r="B2622" s="1" t="s">
        <v>7613</v>
      </c>
      <c r="C2622" s="1" t="s">
        <v>9683</v>
      </c>
      <c r="D2622" s="2" t="s">
        <v>9684</v>
      </c>
      <c r="E2622" s="1">
        <v>1.0</v>
      </c>
      <c r="I2622" s="1">
        <v>0.0</v>
      </c>
      <c r="J2622" s="1">
        <v>645.0</v>
      </c>
      <c r="L2622" s="1">
        <v>9350184.0</v>
      </c>
      <c r="Q2622" s="1" t="s">
        <v>9685</v>
      </c>
      <c r="R2622" s="1" t="s">
        <v>9686</v>
      </c>
      <c r="S2622" s="1">
        <v>1.0</v>
      </c>
      <c r="T2622" s="1">
        <v>0.0</v>
      </c>
      <c r="X2622" s="1" t="s">
        <v>56</v>
      </c>
    </row>
    <row r="2623">
      <c r="A2623" s="3" t="str">
        <f>HYPERLINK("https://stackoverflow.com/q/55791116", "55791116")</f>
        <v>55791116</v>
      </c>
      <c r="B2623" s="1" t="s">
        <v>7613</v>
      </c>
      <c r="C2623" s="1" t="s">
        <v>9687</v>
      </c>
      <c r="D2623" s="2" t="s">
        <v>9688</v>
      </c>
      <c r="E2623" s="1">
        <v>1.0</v>
      </c>
      <c r="F2623" s="1">
        <v>5.5821369E7</v>
      </c>
      <c r="I2623" s="1">
        <v>1.0</v>
      </c>
      <c r="J2623" s="1">
        <v>172.0</v>
      </c>
      <c r="L2623" s="1">
        <v>8861099.0</v>
      </c>
      <c r="N2623" s="1">
        <v>4929531.0</v>
      </c>
      <c r="P2623" s="1" t="s">
        <v>9689</v>
      </c>
      <c r="Q2623" s="1" t="s">
        <v>9690</v>
      </c>
      <c r="R2623" s="1" t="s">
        <v>9691</v>
      </c>
      <c r="S2623" s="1">
        <v>1.0</v>
      </c>
      <c r="T2623" s="1">
        <v>1.0</v>
      </c>
      <c r="X2623" s="1" t="s">
        <v>56</v>
      </c>
      <c r="Z2623" s="1" t="s">
        <v>9690</v>
      </c>
    </row>
    <row r="2624">
      <c r="A2624" s="3" t="str">
        <f>HYPERLINK("https://stackoverflow.com/q/55795520", "55795520")</f>
        <v>55795520</v>
      </c>
      <c r="B2624" s="1" t="s">
        <v>7613</v>
      </c>
      <c r="C2624" s="1" t="s">
        <v>9692</v>
      </c>
      <c r="D2624" s="2" t="s">
        <v>9693</v>
      </c>
      <c r="E2624" s="1">
        <v>1.0</v>
      </c>
      <c r="I2624" s="1">
        <v>0.0</v>
      </c>
      <c r="J2624" s="1">
        <v>14.0</v>
      </c>
      <c r="L2624" s="1">
        <v>1.1395094E7</v>
      </c>
      <c r="N2624" s="1">
        <v>1241193.0</v>
      </c>
      <c r="P2624" s="1" t="s">
        <v>9694</v>
      </c>
      <c r="Q2624" s="1" t="s">
        <v>9694</v>
      </c>
      <c r="R2624" s="1" t="s">
        <v>9695</v>
      </c>
      <c r="S2624" s="1">
        <v>0.0</v>
      </c>
      <c r="T2624" s="1">
        <v>2.0</v>
      </c>
      <c r="X2624" s="1" t="s">
        <v>56</v>
      </c>
    </row>
    <row r="2625">
      <c r="A2625" s="3" t="str">
        <f>HYPERLINK("https://stackoverflow.com/q/55851306", "55851306")</f>
        <v>55851306</v>
      </c>
      <c r="B2625" s="1" t="s">
        <v>7613</v>
      </c>
      <c r="C2625" s="1" t="s">
        <v>9696</v>
      </c>
      <c r="D2625" s="2" t="s">
        <v>9697</v>
      </c>
      <c r="E2625" s="1">
        <v>1.0</v>
      </c>
      <c r="I2625" s="1">
        <v>0.0</v>
      </c>
      <c r="J2625" s="1">
        <v>365.0</v>
      </c>
      <c r="L2625" s="1">
        <v>3828203.0</v>
      </c>
      <c r="Q2625" s="1" t="s">
        <v>9698</v>
      </c>
      <c r="R2625" s="1" t="s">
        <v>9699</v>
      </c>
      <c r="S2625" s="1">
        <v>1.0</v>
      </c>
      <c r="T2625" s="1">
        <v>0.0</v>
      </c>
      <c r="X2625" s="1" t="s">
        <v>56</v>
      </c>
    </row>
    <row r="2626">
      <c r="A2626" s="3" t="str">
        <f>HYPERLINK("https://stackoverflow.com/q/55873748", "55873748")</f>
        <v>55873748</v>
      </c>
      <c r="B2626" s="1" t="s">
        <v>7613</v>
      </c>
      <c r="C2626" s="1" t="s">
        <v>9700</v>
      </c>
      <c r="D2626" s="2" t="s">
        <v>9701</v>
      </c>
      <c r="E2626" s="1">
        <v>1.0</v>
      </c>
      <c r="F2626" s="1">
        <v>5.6408208E7</v>
      </c>
      <c r="I2626" s="1">
        <v>0.0</v>
      </c>
      <c r="J2626" s="1">
        <v>481.0</v>
      </c>
      <c r="L2626" s="1">
        <v>4397066.0</v>
      </c>
      <c r="N2626" s="1">
        <v>4623602.0</v>
      </c>
      <c r="P2626" s="1" t="s">
        <v>9702</v>
      </c>
      <c r="Q2626" s="1" t="s">
        <v>9703</v>
      </c>
      <c r="R2626" s="1" t="s">
        <v>8774</v>
      </c>
      <c r="S2626" s="1">
        <v>1.0</v>
      </c>
      <c r="T2626" s="1">
        <v>0.0</v>
      </c>
      <c r="X2626" s="1" t="s">
        <v>56</v>
      </c>
      <c r="Z2626" s="1" t="s">
        <v>9703</v>
      </c>
    </row>
    <row r="2627">
      <c r="A2627" s="3" t="str">
        <f>HYPERLINK("https://stackoverflow.com/q/55875490", "55875490")</f>
        <v>55875490</v>
      </c>
      <c r="B2627" s="1" t="s">
        <v>7613</v>
      </c>
      <c r="C2627" s="1" t="s">
        <v>9704</v>
      </c>
      <c r="D2627" s="2" t="s">
        <v>9705</v>
      </c>
      <c r="E2627" s="1">
        <v>1.0</v>
      </c>
      <c r="I2627" s="1">
        <v>0.0</v>
      </c>
      <c r="J2627" s="1">
        <v>97.0</v>
      </c>
      <c r="L2627" s="1">
        <v>9915405.0</v>
      </c>
      <c r="Q2627" s="1" t="s">
        <v>9706</v>
      </c>
      <c r="R2627" s="1" t="s">
        <v>7688</v>
      </c>
      <c r="S2627" s="1">
        <v>1.0</v>
      </c>
      <c r="T2627" s="1">
        <v>0.0</v>
      </c>
      <c r="X2627" s="1" t="s">
        <v>56</v>
      </c>
    </row>
    <row r="2628">
      <c r="A2628" s="3" t="str">
        <f>HYPERLINK("https://stackoverflow.com/q/55882359", "55882359")</f>
        <v>55882359</v>
      </c>
      <c r="B2628" s="1" t="s">
        <v>7613</v>
      </c>
      <c r="C2628" s="1" t="s">
        <v>9707</v>
      </c>
      <c r="D2628" s="2" t="s">
        <v>9708</v>
      </c>
      <c r="E2628" s="1">
        <v>1.0</v>
      </c>
      <c r="I2628" s="1">
        <v>0.0</v>
      </c>
      <c r="J2628" s="1">
        <v>128.0</v>
      </c>
      <c r="L2628" s="1">
        <v>8239214.0</v>
      </c>
      <c r="Q2628" s="1" t="s">
        <v>9709</v>
      </c>
      <c r="R2628" s="1" t="s">
        <v>9710</v>
      </c>
      <c r="S2628" s="1">
        <v>1.0</v>
      </c>
      <c r="T2628" s="1">
        <v>0.0</v>
      </c>
      <c r="U2628" s="1">
        <v>1.0</v>
      </c>
      <c r="X2628" s="1" t="s">
        <v>56</v>
      </c>
    </row>
    <row r="2629">
      <c r="A2629" s="3" t="str">
        <f>HYPERLINK("https://stackoverflow.com/q/55896200", "55896200")</f>
        <v>55896200</v>
      </c>
      <c r="B2629" s="1" t="s">
        <v>7613</v>
      </c>
      <c r="C2629" s="1" t="s">
        <v>9711</v>
      </c>
      <c r="D2629" s="2" t="s">
        <v>9712</v>
      </c>
      <c r="E2629" s="1">
        <v>1.0</v>
      </c>
      <c r="F2629" s="1">
        <v>5.7468904E7</v>
      </c>
      <c r="I2629" s="1">
        <v>0.0</v>
      </c>
      <c r="J2629" s="1">
        <v>34.0</v>
      </c>
      <c r="L2629" s="1">
        <v>9426444.0</v>
      </c>
      <c r="Q2629" s="1" t="s">
        <v>9713</v>
      </c>
      <c r="R2629" s="1" t="s">
        <v>9714</v>
      </c>
      <c r="S2629" s="1">
        <v>1.0</v>
      </c>
      <c r="T2629" s="1">
        <v>0.0</v>
      </c>
      <c r="X2629" s="1" t="s">
        <v>56</v>
      </c>
      <c r="Z2629" s="1" t="s">
        <v>9713</v>
      </c>
    </row>
    <row r="2630">
      <c r="A2630" s="3" t="str">
        <f>HYPERLINK("https://stackoverflow.com/q/55929236", "55929236")</f>
        <v>55929236</v>
      </c>
      <c r="B2630" s="1" t="s">
        <v>7613</v>
      </c>
      <c r="C2630" s="1" t="s">
        <v>9715</v>
      </c>
      <c r="D2630" s="2" t="s">
        <v>9716</v>
      </c>
      <c r="E2630" s="1">
        <v>1.0</v>
      </c>
      <c r="F2630" s="1">
        <v>5.5929649E7</v>
      </c>
      <c r="I2630" s="1">
        <v>0.0</v>
      </c>
      <c r="J2630" s="1">
        <v>180.0</v>
      </c>
      <c r="L2630" s="1">
        <v>468384.0</v>
      </c>
      <c r="Q2630" s="1" t="s">
        <v>9717</v>
      </c>
      <c r="R2630" s="1" t="s">
        <v>8962</v>
      </c>
      <c r="S2630" s="1">
        <v>1.0</v>
      </c>
      <c r="T2630" s="1">
        <v>0.0</v>
      </c>
      <c r="X2630" s="1" t="s">
        <v>56</v>
      </c>
      <c r="Z2630" s="1" t="s">
        <v>9717</v>
      </c>
    </row>
    <row r="2631">
      <c r="A2631" s="3" t="str">
        <f>HYPERLINK("https://stackoverflow.com/q/55935097", "55935097")</f>
        <v>55935097</v>
      </c>
      <c r="B2631" s="1" t="s">
        <v>7613</v>
      </c>
      <c r="C2631" s="1" t="s">
        <v>9718</v>
      </c>
      <c r="D2631" s="2" t="s">
        <v>9719</v>
      </c>
      <c r="E2631" s="1">
        <v>1.0</v>
      </c>
      <c r="I2631" s="1">
        <v>1.0</v>
      </c>
      <c r="J2631" s="1">
        <v>39.0</v>
      </c>
      <c r="L2631" s="1">
        <v>1.14362E7</v>
      </c>
      <c r="N2631" s="1">
        <v>4420967.0</v>
      </c>
      <c r="P2631" s="1" t="s">
        <v>9720</v>
      </c>
      <c r="Q2631" s="1" t="s">
        <v>9720</v>
      </c>
      <c r="R2631" s="1" t="s">
        <v>9721</v>
      </c>
      <c r="S2631" s="1">
        <v>0.0</v>
      </c>
      <c r="T2631" s="1">
        <v>1.0</v>
      </c>
      <c r="X2631" s="1" t="s">
        <v>56</v>
      </c>
    </row>
    <row r="2632">
      <c r="A2632" s="3" t="str">
        <f>HYPERLINK("https://stackoverflow.com/q/56002190", "56002190")</f>
        <v>56002190</v>
      </c>
      <c r="B2632" s="1" t="s">
        <v>7613</v>
      </c>
      <c r="C2632" s="1" t="s">
        <v>9722</v>
      </c>
      <c r="D2632" s="2" t="s">
        <v>9723</v>
      </c>
      <c r="E2632" s="1">
        <v>1.0</v>
      </c>
      <c r="I2632" s="1">
        <v>0.0</v>
      </c>
      <c r="J2632" s="1">
        <v>33.0</v>
      </c>
      <c r="L2632" s="1">
        <v>4489400.0</v>
      </c>
      <c r="Q2632" s="1" t="s">
        <v>9724</v>
      </c>
      <c r="R2632" s="1" t="s">
        <v>8321</v>
      </c>
      <c r="S2632" s="1">
        <v>1.0</v>
      </c>
      <c r="T2632" s="1">
        <v>0.0</v>
      </c>
      <c r="X2632" s="1" t="s">
        <v>56</v>
      </c>
    </row>
    <row r="2633">
      <c r="A2633" s="3" t="str">
        <f>HYPERLINK("https://stackoverflow.com/q/56006399", "56006399")</f>
        <v>56006399</v>
      </c>
      <c r="B2633" s="1" t="s">
        <v>7613</v>
      </c>
      <c r="C2633" s="1" t="s">
        <v>9725</v>
      </c>
      <c r="D2633" s="2" t="s">
        <v>9726</v>
      </c>
      <c r="E2633" s="1">
        <v>1.0</v>
      </c>
      <c r="I2633" s="1">
        <v>0.0</v>
      </c>
      <c r="J2633" s="1">
        <v>85.0</v>
      </c>
      <c r="L2633" s="1">
        <v>4882415.0</v>
      </c>
      <c r="N2633" s="1">
        <v>4882415.0</v>
      </c>
      <c r="P2633" s="1" t="s">
        <v>9727</v>
      </c>
      <c r="Q2633" s="1" t="s">
        <v>9728</v>
      </c>
      <c r="R2633" s="1" t="s">
        <v>9729</v>
      </c>
      <c r="S2633" s="1">
        <v>4.0</v>
      </c>
      <c r="T2633" s="1">
        <v>8.0</v>
      </c>
      <c r="X2633" s="1" t="s">
        <v>56</v>
      </c>
    </row>
    <row r="2634">
      <c r="A2634" s="3" t="str">
        <f>HYPERLINK("https://stackoverflow.com/q/56080699", "56080699")</f>
        <v>56080699</v>
      </c>
      <c r="B2634" s="1" t="s">
        <v>7613</v>
      </c>
      <c r="C2634" s="1" t="s">
        <v>9730</v>
      </c>
      <c r="D2634" s="2" t="s">
        <v>9731</v>
      </c>
      <c r="E2634" s="1">
        <v>1.0</v>
      </c>
      <c r="I2634" s="1">
        <v>0.0</v>
      </c>
      <c r="J2634" s="1">
        <v>702.0</v>
      </c>
      <c r="L2634" s="1">
        <v>1.1479934E7</v>
      </c>
      <c r="Q2634" s="1" t="s">
        <v>9730</v>
      </c>
      <c r="R2634" s="1" t="s">
        <v>9732</v>
      </c>
      <c r="S2634" s="1">
        <v>0.0</v>
      </c>
      <c r="T2634" s="1">
        <v>0.0</v>
      </c>
      <c r="X2634" s="1" t="s">
        <v>56</v>
      </c>
    </row>
    <row r="2635">
      <c r="A2635" s="3" t="str">
        <f>HYPERLINK("https://stackoverflow.com/q/56111559", "56111559")</f>
        <v>56111559</v>
      </c>
      <c r="B2635" s="1" t="s">
        <v>7613</v>
      </c>
      <c r="C2635" s="1" t="s">
        <v>9733</v>
      </c>
      <c r="D2635" s="2" t="s">
        <v>9734</v>
      </c>
      <c r="E2635" s="1">
        <v>1.0</v>
      </c>
      <c r="I2635" s="1">
        <v>0.0</v>
      </c>
      <c r="J2635" s="1">
        <v>44.0</v>
      </c>
      <c r="L2635" s="1">
        <v>6508874.0</v>
      </c>
      <c r="N2635" s="1">
        <v>6508874.0</v>
      </c>
      <c r="P2635" s="1" t="s">
        <v>9735</v>
      </c>
      <c r="Q2635" s="1" t="s">
        <v>9736</v>
      </c>
      <c r="R2635" s="1" t="s">
        <v>9737</v>
      </c>
      <c r="S2635" s="1">
        <v>1.0</v>
      </c>
      <c r="T2635" s="1">
        <v>2.0</v>
      </c>
      <c r="X2635" s="1" t="s">
        <v>56</v>
      </c>
    </row>
    <row r="2636">
      <c r="A2636" s="3" t="str">
        <f>HYPERLINK("https://stackoverflow.com/q/56118080", "56118080")</f>
        <v>56118080</v>
      </c>
      <c r="B2636" s="1" t="s">
        <v>7613</v>
      </c>
      <c r="C2636" s="1" t="s">
        <v>9738</v>
      </c>
      <c r="D2636" s="2" t="s">
        <v>9739</v>
      </c>
      <c r="E2636" s="1">
        <v>1.0</v>
      </c>
      <c r="F2636" s="1">
        <v>5.8453092E7</v>
      </c>
      <c r="I2636" s="1">
        <v>3.0</v>
      </c>
      <c r="J2636" s="1">
        <v>1485.0</v>
      </c>
      <c r="L2636" s="1">
        <v>5450820.0</v>
      </c>
      <c r="N2636" s="1">
        <v>5450820.0</v>
      </c>
      <c r="P2636" s="1" t="s">
        <v>9740</v>
      </c>
      <c r="Q2636" s="1" t="s">
        <v>9741</v>
      </c>
      <c r="R2636" s="1" t="s">
        <v>9742</v>
      </c>
      <c r="S2636" s="1">
        <v>2.0</v>
      </c>
      <c r="T2636" s="1">
        <v>6.0</v>
      </c>
      <c r="X2636" s="1" t="s">
        <v>56</v>
      </c>
      <c r="Z2636" s="1" t="s">
        <v>9741</v>
      </c>
    </row>
    <row r="2637">
      <c r="A2637" s="3" t="str">
        <f>HYPERLINK("https://stackoverflow.com/q/56127535", "56127535")</f>
        <v>56127535</v>
      </c>
      <c r="B2637" s="1" t="s">
        <v>7613</v>
      </c>
      <c r="C2637" s="1" t="s">
        <v>9743</v>
      </c>
      <c r="D2637" s="2" t="s">
        <v>9744</v>
      </c>
      <c r="E2637" s="1">
        <v>1.0</v>
      </c>
      <c r="I2637" s="1">
        <v>0.0</v>
      </c>
      <c r="J2637" s="1">
        <v>234.0</v>
      </c>
      <c r="L2637" s="1">
        <v>4945102.0</v>
      </c>
      <c r="N2637" s="1">
        <v>4945102.0</v>
      </c>
      <c r="P2637" s="1" t="s">
        <v>9745</v>
      </c>
      <c r="Q2637" s="1" t="s">
        <v>9745</v>
      </c>
      <c r="R2637" s="1" t="s">
        <v>9746</v>
      </c>
      <c r="S2637" s="1">
        <v>1.0</v>
      </c>
      <c r="T2637" s="1">
        <v>0.0</v>
      </c>
      <c r="X2637" s="1" t="s">
        <v>56</v>
      </c>
    </row>
    <row r="2638">
      <c r="A2638" s="3" t="str">
        <f>HYPERLINK("https://stackoverflow.com/q/56130522", "56130522")</f>
        <v>56130522</v>
      </c>
      <c r="B2638" s="1" t="s">
        <v>7613</v>
      </c>
      <c r="C2638" s="1" t="s">
        <v>9747</v>
      </c>
      <c r="D2638" s="2" t="s">
        <v>9748</v>
      </c>
      <c r="E2638" s="1">
        <v>1.0</v>
      </c>
      <c r="I2638" s="1">
        <v>1.0</v>
      </c>
      <c r="J2638" s="1">
        <v>1007.0</v>
      </c>
      <c r="L2638" s="1">
        <v>1.1498052E7</v>
      </c>
      <c r="Q2638" s="1" t="s">
        <v>9749</v>
      </c>
      <c r="R2638" s="1" t="s">
        <v>8321</v>
      </c>
      <c r="S2638" s="1">
        <v>1.0</v>
      </c>
      <c r="T2638" s="1">
        <v>1.0</v>
      </c>
      <c r="X2638" s="1" t="s">
        <v>56</v>
      </c>
    </row>
    <row r="2639">
      <c r="A2639" s="3" t="str">
        <f>HYPERLINK("https://stackoverflow.com/q/56140676", "56140676")</f>
        <v>56140676</v>
      </c>
      <c r="B2639" s="1" t="s">
        <v>7613</v>
      </c>
      <c r="C2639" s="1" t="s">
        <v>9750</v>
      </c>
      <c r="D2639" s="2" t="s">
        <v>9751</v>
      </c>
      <c r="E2639" s="1">
        <v>1.0</v>
      </c>
      <c r="F2639" s="1">
        <v>5.6179817E7</v>
      </c>
      <c r="I2639" s="1">
        <v>0.0</v>
      </c>
      <c r="J2639" s="1">
        <v>263.0</v>
      </c>
      <c r="L2639" s="1">
        <v>2549667.0</v>
      </c>
      <c r="N2639" s="1">
        <v>4751173.0</v>
      </c>
      <c r="P2639" s="1" t="s">
        <v>9752</v>
      </c>
      <c r="Q2639" s="1" t="s">
        <v>9752</v>
      </c>
      <c r="R2639" s="1" t="s">
        <v>9753</v>
      </c>
      <c r="S2639" s="1">
        <v>1.0</v>
      </c>
      <c r="T2639" s="1">
        <v>1.0</v>
      </c>
      <c r="X2639" s="1" t="s">
        <v>56</v>
      </c>
      <c r="Z2639" s="1" t="s">
        <v>9754</v>
      </c>
    </row>
    <row r="2640">
      <c r="A2640" s="3" t="str">
        <f>HYPERLINK("https://stackoverflow.com/q/56154215", "56154215")</f>
        <v>56154215</v>
      </c>
      <c r="B2640" s="1" t="s">
        <v>7613</v>
      </c>
      <c r="C2640" s="1" t="s">
        <v>9755</v>
      </c>
      <c r="D2640" s="2" t="s">
        <v>9756</v>
      </c>
      <c r="E2640" s="1">
        <v>1.0</v>
      </c>
      <c r="F2640" s="1">
        <v>5.6160872E7</v>
      </c>
      <c r="I2640" s="1">
        <v>1.0</v>
      </c>
      <c r="J2640" s="1">
        <v>583.0</v>
      </c>
      <c r="L2640" s="1">
        <v>6951110.0</v>
      </c>
      <c r="N2640" s="1">
        <v>4600982.0</v>
      </c>
      <c r="P2640" s="1" t="s">
        <v>9757</v>
      </c>
      <c r="Q2640" s="1" t="s">
        <v>9757</v>
      </c>
      <c r="R2640" s="1" t="s">
        <v>9758</v>
      </c>
      <c r="S2640" s="1">
        <v>2.0</v>
      </c>
      <c r="T2640" s="1">
        <v>0.0</v>
      </c>
      <c r="X2640" s="1" t="s">
        <v>56</v>
      </c>
      <c r="Z2640" s="1" t="s">
        <v>9759</v>
      </c>
    </row>
    <row r="2641">
      <c r="A2641" s="3" t="str">
        <f>HYPERLINK("https://stackoverflow.com/q/56154406", "56154406")</f>
        <v>56154406</v>
      </c>
      <c r="B2641" s="1" t="s">
        <v>7613</v>
      </c>
      <c r="C2641" s="1" t="s">
        <v>9760</v>
      </c>
      <c r="D2641" s="2" t="s">
        <v>9761</v>
      </c>
      <c r="E2641" s="1">
        <v>1.0</v>
      </c>
      <c r="I2641" s="1">
        <v>1.0</v>
      </c>
      <c r="J2641" s="1">
        <v>747.0</v>
      </c>
      <c r="L2641" s="1">
        <v>1656986.0</v>
      </c>
      <c r="Q2641" s="1" t="s">
        <v>9760</v>
      </c>
      <c r="R2641" s="1" t="s">
        <v>9762</v>
      </c>
      <c r="S2641" s="1">
        <v>0.0</v>
      </c>
      <c r="T2641" s="1">
        <v>0.0</v>
      </c>
      <c r="X2641" s="1" t="s">
        <v>56</v>
      </c>
    </row>
    <row r="2642">
      <c r="A2642" s="3" t="str">
        <f>HYPERLINK("https://stackoverflow.com/q/56159595", "56159595")</f>
        <v>56159595</v>
      </c>
      <c r="B2642" s="1" t="s">
        <v>7613</v>
      </c>
      <c r="C2642" s="1" t="s">
        <v>9763</v>
      </c>
      <c r="D2642" s="2" t="s">
        <v>9764</v>
      </c>
      <c r="E2642" s="1">
        <v>1.0</v>
      </c>
      <c r="F2642" s="1">
        <v>5.617529E7</v>
      </c>
      <c r="I2642" s="1">
        <v>0.0</v>
      </c>
      <c r="J2642" s="1">
        <v>1480.0</v>
      </c>
      <c r="L2642" s="1">
        <v>1.1507059E7</v>
      </c>
      <c r="N2642" s="1">
        <v>1.1507059E7</v>
      </c>
      <c r="P2642" s="1" t="s">
        <v>9765</v>
      </c>
      <c r="Q2642" s="1" t="s">
        <v>9766</v>
      </c>
      <c r="R2642" s="1" t="s">
        <v>8321</v>
      </c>
      <c r="S2642" s="1">
        <v>1.0</v>
      </c>
      <c r="T2642" s="1">
        <v>4.0</v>
      </c>
      <c r="X2642" s="1" t="s">
        <v>56</v>
      </c>
      <c r="Z2642" s="1" t="s">
        <v>9766</v>
      </c>
    </row>
    <row r="2643">
      <c r="A2643" s="3" t="str">
        <f>HYPERLINK("https://stackoverflow.com/q/56165773", "56165773")</f>
        <v>56165773</v>
      </c>
      <c r="B2643" s="1" t="s">
        <v>7613</v>
      </c>
      <c r="C2643" s="1" t="s">
        <v>9767</v>
      </c>
      <c r="D2643" s="2" t="s">
        <v>9768</v>
      </c>
      <c r="E2643" s="1">
        <v>1.0</v>
      </c>
      <c r="I2643" s="1">
        <v>0.0</v>
      </c>
      <c r="J2643" s="1">
        <v>635.0</v>
      </c>
      <c r="L2643" s="1">
        <v>1.1508775E7</v>
      </c>
      <c r="Q2643" s="1" t="s">
        <v>9769</v>
      </c>
      <c r="R2643" s="1" t="s">
        <v>9770</v>
      </c>
      <c r="S2643" s="1">
        <v>1.0</v>
      </c>
      <c r="T2643" s="1">
        <v>1.0</v>
      </c>
      <c r="X2643" s="1" t="s">
        <v>56</v>
      </c>
    </row>
    <row r="2644">
      <c r="A2644" s="3" t="str">
        <f>HYPERLINK("https://stackoverflow.com/q/56190648", "56190648")</f>
        <v>56190648</v>
      </c>
      <c r="B2644" s="1" t="s">
        <v>7613</v>
      </c>
      <c r="C2644" s="1" t="s">
        <v>9771</v>
      </c>
      <c r="D2644" s="2" t="s">
        <v>9772</v>
      </c>
      <c r="E2644" s="1">
        <v>1.0</v>
      </c>
      <c r="I2644" s="1">
        <v>0.0</v>
      </c>
      <c r="J2644" s="1">
        <v>1390.0</v>
      </c>
      <c r="L2644" s="1">
        <v>8835654.0</v>
      </c>
      <c r="Q2644" s="1" t="s">
        <v>9773</v>
      </c>
      <c r="R2644" s="1" t="s">
        <v>9774</v>
      </c>
      <c r="S2644" s="1">
        <v>1.0</v>
      </c>
      <c r="T2644" s="1">
        <v>0.0</v>
      </c>
      <c r="X2644" s="1" t="s">
        <v>56</v>
      </c>
    </row>
    <row r="2645">
      <c r="A2645" s="3" t="str">
        <f>HYPERLINK("https://stackoverflow.com/q/56228164", "56228164")</f>
        <v>56228164</v>
      </c>
      <c r="B2645" s="1" t="s">
        <v>7613</v>
      </c>
      <c r="C2645" s="1" t="s">
        <v>9775</v>
      </c>
      <c r="D2645" s="2" t="s">
        <v>9776</v>
      </c>
      <c r="E2645" s="1">
        <v>1.0</v>
      </c>
      <c r="I2645" s="1">
        <v>1.0</v>
      </c>
      <c r="J2645" s="1">
        <v>152.0</v>
      </c>
      <c r="L2645" s="1">
        <v>1.035715E7</v>
      </c>
      <c r="N2645" s="1">
        <v>1.035715E7</v>
      </c>
      <c r="P2645" s="1" t="s">
        <v>9777</v>
      </c>
      <c r="Q2645" s="1" t="s">
        <v>9778</v>
      </c>
      <c r="R2645" s="1" t="s">
        <v>9202</v>
      </c>
      <c r="S2645" s="1">
        <v>2.0</v>
      </c>
      <c r="T2645" s="1">
        <v>2.0</v>
      </c>
      <c r="U2645" s="1">
        <v>1.0</v>
      </c>
      <c r="X2645" s="1" t="s">
        <v>56</v>
      </c>
    </row>
    <row r="2646">
      <c r="A2646" s="3" t="str">
        <f>HYPERLINK("https://stackoverflow.com/q/56239055", "56239055")</f>
        <v>56239055</v>
      </c>
      <c r="B2646" s="1" t="s">
        <v>7613</v>
      </c>
      <c r="C2646" s="1" t="s">
        <v>9779</v>
      </c>
      <c r="D2646" s="2" t="s">
        <v>9780</v>
      </c>
      <c r="E2646" s="1">
        <v>1.0</v>
      </c>
      <c r="I2646" s="1">
        <v>0.0</v>
      </c>
      <c r="J2646" s="1">
        <v>84.0</v>
      </c>
      <c r="L2646" s="1">
        <v>1872670.0</v>
      </c>
      <c r="N2646" s="1">
        <v>472495.0</v>
      </c>
      <c r="P2646" s="1" t="s">
        <v>9781</v>
      </c>
      <c r="Q2646" s="1" t="s">
        <v>9781</v>
      </c>
      <c r="R2646" s="1" t="s">
        <v>8321</v>
      </c>
      <c r="S2646" s="1">
        <v>0.0</v>
      </c>
      <c r="T2646" s="1">
        <v>4.0</v>
      </c>
      <c r="X2646" s="1" t="s">
        <v>56</v>
      </c>
    </row>
    <row r="2647">
      <c r="A2647" s="3" t="str">
        <f>HYPERLINK("https://stackoverflow.com/q/56243818", "56243818")</f>
        <v>56243818</v>
      </c>
      <c r="B2647" s="1" t="s">
        <v>7613</v>
      </c>
      <c r="C2647" s="1" t="s">
        <v>9782</v>
      </c>
      <c r="D2647" s="2" t="s">
        <v>9783</v>
      </c>
      <c r="E2647" s="1">
        <v>1.0</v>
      </c>
      <c r="I2647" s="1">
        <v>0.0</v>
      </c>
      <c r="J2647" s="1">
        <v>152.0</v>
      </c>
      <c r="L2647" s="1">
        <v>7668613.0</v>
      </c>
      <c r="N2647" s="1">
        <v>7668613.0</v>
      </c>
      <c r="P2647" s="1" t="s">
        <v>9784</v>
      </c>
      <c r="Q2647" s="1" t="s">
        <v>9785</v>
      </c>
      <c r="R2647" s="1" t="s">
        <v>9786</v>
      </c>
      <c r="S2647" s="1">
        <v>1.0</v>
      </c>
      <c r="T2647" s="1">
        <v>4.0</v>
      </c>
      <c r="U2647" s="1">
        <v>0.0</v>
      </c>
      <c r="X2647" s="1" t="s">
        <v>56</v>
      </c>
    </row>
    <row r="2648">
      <c r="A2648" s="3" t="str">
        <f>HYPERLINK("https://stackoverflow.com/q/56264042", "56264042")</f>
        <v>56264042</v>
      </c>
      <c r="B2648" s="1" t="s">
        <v>7613</v>
      </c>
      <c r="C2648" s="1" t="s">
        <v>9787</v>
      </c>
      <c r="D2648" s="2" t="s">
        <v>9788</v>
      </c>
      <c r="E2648" s="1">
        <v>1.0</v>
      </c>
      <c r="I2648" s="1">
        <v>0.0</v>
      </c>
      <c r="J2648" s="1">
        <v>85.0</v>
      </c>
      <c r="L2648" s="1">
        <v>5953357.0</v>
      </c>
      <c r="Q2648" s="1" t="s">
        <v>9789</v>
      </c>
      <c r="R2648" s="1" t="s">
        <v>9349</v>
      </c>
      <c r="S2648" s="1">
        <v>1.0</v>
      </c>
      <c r="T2648" s="1">
        <v>0.0</v>
      </c>
      <c r="X2648" s="1" t="s">
        <v>56</v>
      </c>
    </row>
    <row r="2649">
      <c r="A2649" s="3" t="str">
        <f>HYPERLINK("https://stackoverflow.com/q/56284033", "56284033")</f>
        <v>56284033</v>
      </c>
      <c r="B2649" s="1" t="s">
        <v>7613</v>
      </c>
      <c r="C2649" s="1" t="s">
        <v>9790</v>
      </c>
      <c r="D2649" s="2" t="s">
        <v>9791</v>
      </c>
      <c r="E2649" s="1">
        <v>1.0</v>
      </c>
      <c r="I2649" s="1">
        <v>0.0</v>
      </c>
      <c r="J2649" s="1">
        <v>567.0</v>
      </c>
      <c r="L2649" s="1">
        <v>420611.0</v>
      </c>
      <c r="N2649" s="1">
        <v>441757.0</v>
      </c>
      <c r="P2649" s="1" t="s">
        <v>9792</v>
      </c>
      <c r="Q2649" s="1" t="s">
        <v>9793</v>
      </c>
      <c r="R2649" s="1" t="s">
        <v>9794</v>
      </c>
      <c r="S2649" s="1">
        <v>1.0</v>
      </c>
      <c r="T2649" s="1">
        <v>0.0</v>
      </c>
      <c r="U2649" s="1">
        <v>0.0</v>
      </c>
      <c r="X2649" s="1" t="s">
        <v>56</v>
      </c>
    </row>
    <row r="2650">
      <c r="A2650" s="3" t="str">
        <f>HYPERLINK("https://stackoverflow.com/q/56295166", "56295166")</f>
        <v>56295166</v>
      </c>
      <c r="B2650" s="1" t="s">
        <v>7613</v>
      </c>
      <c r="C2650" s="1" t="s">
        <v>9795</v>
      </c>
      <c r="D2650" s="2" t="s">
        <v>9796</v>
      </c>
      <c r="E2650" s="1">
        <v>1.0</v>
      </c>
      <c r="I2650" s="1">
        <v>0.0</v>
      </c>
      <c r="J2650" s="1">
        <v>171.0</v>
      </c>
      <c r="L2650" s="1">
        <v>917467.0</v>
      </c>
      <c r="Q2650" s="1" t="s">
        <v>9797</v>
      </c>
      <c r="R2650" s="1" t="s">
        <v>8728</v>
      </c>
      <c r="S2650" s="1">
        <v>1.0</v>
      </c>
      <c r="T2650" s="1">
        <v>0.0</v>
      </c>
      <c r="X2650" s="1" t="s">
        <v>56</v>
      </c>
    </row>
    <row r="2651">
      <c r="A2651" s="3" t="str">
        <f>HYPERLINK("https://stackoverflow.com/q/56312879", "56312879")</f>
        <v>56312879</v>
      </c>
      <c r="B2651" s="1" t="s">
        <v>7613</v>
      </c>
      <c r="C2651" s="1" t="s">
        <v>9798</v>
      </c>
      <c r="D2651" s="2" t="s">
        <v>9799</v>
      </c>
      <c r="E2651" s="1">
        <v>1.0</v>
      </c>
      <c r="I2651" s="1">
        <v>0.0</v>
      </c>
      <c r="J2651" s="1">
        <v>358.0</v>
      </c>
      <c r="L2651" s="1">
        <v>917467.0</v>
      </c>
      <c r="N2651" s="1">
        <v>917467.0</v>
      </c>
      <c r="P2651" s="1" t="s">
        <v>9800</v>
      </c>
      <c r="Q2651" s="1" t="s">
        <v>9801</v>
      </c>
      <c r="R2651" s="1" t="s">
        <v>8728</v>
      </c>
      <c r="S2651" s="1">
        <v>1.0</v>
      </c>
      <c r="T2651" s="1">
        <v>0.0</v>
      </c>
      <c r="X2651" s="1" t="s">
        <v>56</v>
      </c>
    </row>
    <row r="2652">
      <c r="A2652" s="3" t="str">
        <f>HYPERLINK("https://stackoverflow.com/q/56349526", "56349526")</f>
        <v>56349526</v>
      </c>
      <c r="B2652" s="1" t="s">
        <v>7613</v>
      </c>
      <c r="C2652" s="1" t="s">
        <v>9802</v>
      </c>
      <c r="D2652" s="2" t="s">
        <v>9803</v>
      </c>
      <c r="E2652" s="1">
        <v>1.0</v>
      </c>
      <c r="I2652" s="1">
        <v>0.0</v>
      </c>
      <c r="J2652" s="1">
        <v>42.0</v>
      </c>
      <c r="L2652" s="1">
        <v>1.1472209E7</v>
      </c>
      <c r="Q2652" s="1" t="s">
        <v>9802</v>
      </c>
      <c r="R2652" s="1" t="s">
        <v>8728</v>
      </c>
      <c r="S2652" s="1">
        <v>0.0</v>
      </c>
      <c r="T2652" s="1">
        <v>0.0</v>
      </c>
      <c r="X2652" s="1" t="s">
        <v>56</v>
      </c>
    </row>
    <row r="2653">
      <c r="A2653" s="3" t="str">
        <f>HYPERLINK("https://stackoverflow.com/q/56366496", "56366496")</f>
        <v>56366496</v>
      </c>
      <c r="B2653" s="1" t="s">
        <v>7613</v>
      </c>
      <c r="C2653" s="1" t="s">
        <v>9804</v>
      </c>
      <c r="D2653" s="2" t="s">
        <v>9805</v>
      </c>
      <c r="E2653" s="1">
        <v>1.0</v>
      </c>
      <c r="I2653" s="1">
        <v>0.0</v>
      </c>
      <c r="J2653" s="1">
        <v>33.0</v>
      </c>
      <c r="L2653" s="1">
        <v>4041858.0</v>
      </c>
      <c r="Q2653" s="1" t="s">
        <v>9806</v>
      </c>
      <c r="R2653" s="1" t="s">
        <v>8321</v>
      </c>
      <c r="S2653" s="1">
        <v>1.0</v>
      </c>
      <c r="T2653" s="1">
        <v>0.0</v>
      </c>
      <c r="X2653" s="1" t="s">
        <v>56</v>
      </c>
    </row>
    <row r="2654">
      <c r="A2654" s="3" t="str">
        <f>HYPERLINK("https://stackoverflow.com/q/56373250", "56373250")</f>
        <v>56373250</v>
      </c>
      <c r="B2654" s="1" t="s">
        <v>7613</v>
      </c>
      <c r="C2654" s="1" t="s">
        <v>9807</v>
      </c>
      <c r="D2654" s="2" t="s">
        <v>9808</v>
      </c>
      <c r="E2654" s="1">
        <v>1.0</v>
      </c>
      <c r="I2654" s="1">
        <v>1.0</v>
      </c>
      <c r="J2654" s="1">
        <v>103.0</v>
      </c>
      <c r="L2654" s="1">
        <v>1102015.0</v>
      </c>
      <c r="N2654" s="1">
        <v>7357920.0</v>
      </c>
      <c r="P2654" s="1" t="s">
        <v>9809</v>
      </c>
      <c r="Q2654" s="1" t="s">
        <v>9809</v>
      </c>
      <c r="R2654" s="1" t="s">
        <v>9810</v>
      </c>
      <c r="S2654" s="1">
        <v>0.0</v>
      </c>
      <c r="T2654" s="1">
        <v>1.0</v>
      </c>
      <c r="X2654" s="1" t="s">
        <v>56</v>
      </c>
    </row>
    <row r="2655">
      <c r="A2655" s="3" t="str">
        <f>HYPERLINK("https://stackoverflow.com/q/56377658", "56377658")</f>
        <v>56377658</v>
      </c>
      <c r="B2655" s="1" t="s">
        <v>7613</v>
      </c>
      <c r="C2655" s="1" t="s">
        <v>9811</v>
      </c>
      <c r="D2655" s="2" t="s">
        <v>9812</v>
      </c>
      <c r="E2655" s="1">
        <v>1.0</v>
      </c>
      <c r="I2655" s="1">
        <v>1.0</v>
      </c>
      <c r="J2655" s="1">
        <v>33.0</v>
      </c>
      <c r="L2655" s="1">
        <v>7322531.0</v>
      </c>
      <c r="N2655" s="1">
        <v>1159783.0</v>
      </c>
      <c r="P2655" s="1" t="s">
        <v>9813</v>
      </c>
      <c r="Q2655" s="1" t="s">
        <v>9813</v>
      </c>
      <c r="R2655" s="1" t="s">
        <v>8412</v>
      </c>
      <c r="S2655" s="1">
        <v>0.0</v>
      </c>
      <c r="T2655" s="1">
        <v>10.0</v>
      </c>
      <c r="X2655" s="1" t="s">
        <v>56</v>
      </c>
    </row>
    <row r="2656">
      <c r="A2656" s="3" t="str">
        <f>HYPERLINK("https://stackoverflow.com/q/56380637", "56380637")</f>
        <v>56380637</v>
      </c>
      <c r="B2656" s="1" t="s">
        <v>7613</v>
      </c>
      <c r="C2656" s="1" t="s">
        <v>9814</v>
      </c>
      <c r="D2656" s="2" t="s">
        <v>9815</v>
      </c>
      <c r="E2656" s="1">
        <v>1.0</v>
      </c>
      <c r="F2656" s="1">
        <v>5.6381734E7</v>
      </c>
      <c r="I2656" s="1">
        <v>0.0</v>
      </c>
      <c r="J2656" s="1">
        <v>722.0</v>
      </c>
      <c r="L2656" s="1">
        <v>1.1482727E7</v>
      </c>
      <c r="Q2656" s="1" t="s">
        <v>9816</v>
      </c>
      <c r="R2656" s="1" t="s">
        <v>8321</v>
      </c>
      <c r="S2656" s="1">
        <v>1.0</v>
      </c>
      <c r="T2656" s="1">
        <v>0.0</v>
      </c>
      <c r="U2656" s="1">
        <v>1.0</v>
      </c>
      <c r="X2656" s="1" t="s">
        <v>56</v>
      </c>
      <c r="Z2656" s="1" t="s">
        <v>9816</v>
      </c>
    </row>
    <row r="2657">
      <c r="A2657" s="3" t="str">
        <f>HYPERLINK("https://stackoverflow.com/q/56414466", "56414466")</f>
        <v>56414466</v>
      </c>
      <c r="B2657" s="1" t="s">
        <v>7613</v>
      </c>
      <c r="C2657" s="1" t="s">
        <v>9817</v>
      </c>
      <c r="D2657" s="2" t="s">
        <v>9818</v>
      </c>
      <c r="E2657" s="1">
        <v>1.0</v>
      </c>
      <c r="I2657" s="1">
        <v>0.0</v>
      </c>
      <c r="J2657" s="1">
        <v>17.0</v>
      </c>
      <c r="L2657" s="1">
        <v>9557847.0</v>
      </c>
      <c r="Q2657" s="1" t="s">
        <v>9819</v>
      </c>
      <c r="R2657" s="1" t="s">
        <v>9820</v>
      </c>
      <c r="S2657" s="1">
        <v>1.0</v>
      </c>
      <c r="T2657" s="1">
        <v>0.0</v>
      </c>
      <c r="X2657" s="1" t="s">
        <v>56</v>
      </c>
    </row>
    <row r="2658">
      <c r="A2658" s="3" t="str">
        <f>HYPERLINK("https://stackoverflow.com/q/56421760", "56421760")</f>
        <v>56421760</v>
      </c>
      <c r="B2658" s="1" t="s">
        <v>7613</v>
      </c>
      <c r="C2658" s="1" t="s">
        <v>9821</v>
      </c>
      <c r="D2658" s="2" t="s">
        <v>9822</v>
      </c>
      <c r="E2658" s="1">
        <v>1.0</v>
      </c>
      <c r="I2658" s="1">
        <v>0.0</v>
      </c>
      <c r="J2658" s="1">
        <v>13.0</v>
      </c>
      <c r="L2658" s="1">
        <v>1.0725999E7</v>
      </c>
      <c r="Q2658" s="1" t="s">
        <v>9821</v>
      </c>
      <c r="R2658" s="1" t="s">
        <v>9268</v>
      </c>
      <c r="S2658" s="1">
        <v>0.0</v>
      </c>
      <c r="T2658" s="1">
        <v>0.0</v>
      </c>
      <c r="X2658" s="1" t="s">
        <v>56</v>
      </c>
    </row>
    <row r="2659">
      <c r="A2659" s="3" t="str">
        <f>HYPERLINK("https://stackoverflow.com/q/56429400", "56429400")</f>
        <v>56429400</v>
      </c>
      <c r="B2659" s="1" t="s">
        <v>7613</v>
      </c>
      <c r="C2659" s="1" t="s">
        <v>9823</v>
      </c>
      <c r="D2659" s="2" t="s">
        <v>9824</v>
      </c>
      <c r="E2659" s="1">
        <v>1.0</v>
      </c>
      <c r="I2659" s="1">
        <v>0.0</v>
      </c>
      <c r="J2659" s="1">
        <v>1075.0</v>
      </c>
      <c r="L2659" s="1">
        <v>1.1594296E7</v>
      </c>
      <c r="Q2659" s="1" t="s">
        <v>9825</v>
      </c>
      <c r="R2659" s="1" t="s">
        <v>8321</v>
      </c>
      <c r="S2659" s="1">
        <v>1.0</v>
      </c>
      <c r="T2659" s="1">
        <v>0.0</v>
      </c>
      <c r="X2659" s="1" t="s">
        <v>56</v>
      </c>
    </row>
    <row r="2660">
      <c r="A2660" s="3" t="str">
        <f>HYPERLINK("https://stackoverflow.com/q/56430977", "56430977")</f>
        <v>56430977</v>
      </c>
      <c r="B2660" s="1" t="s">
        <v>7613</v>
      </c>
      <c r="C2660" s="1" t="s">
        <v>9826</v>
      </c>
      <c r="D2660" s="2" t="s">
        <v>9827</v>
      </c>
      <c r="E2660" s="1">
        <v>1.0</v>
      </c>
      <c r="I2660" s="1">
        <v>0.0</v>
      </c>
      <c r="J2660" s="1">
        <v>44.0</v>
      </c>
      <c r="L2660" s="1">
        <v>1.104856E7</v>
      </c>
      <c r="N2660" s="1">
        <v>7970461.0</v>
      </c>
      <c r="P2660" s="1" t="s">
        <v>9828</v>
      </c>
      <c r="Q2660" s="1" t="s">
        <v>9828</v>
      </c>
      <c r="R2660" s="1" t="s">
        <v>8705</v>
      </c>
      <c r="S2660" s="1">
        <v>0.0</v>
      </c>
      <c r="T2660" s="1">
        <v>0.0</v>
      </c>
      <c r="X2660" s="1" t="s">
        <v>56</v>
      </c>
    </row>
    <row r="2661">
      <c r="A2661" s="3" t="str">
        <f>HYPERLINK("https://stackoverflow.com/q/56440735", "56440735")</f>
        <v>56440735</v>
      </c>
      <c r="B2661" s="1" t="s">
        <v>7613</v>
      </c>
      <c r="C2661" s="1" t="s">
        <v>9829</v>
      </c>
      <c r="D2661" s="2" t="s">
        <v>9830</v>
      </c>
      <c r="E2661" s="1">
        <v>1.0</v>
      </c>
      <c r="F2661" s="1">
        <v>5.644396E7</v>
      </c>
      <c r="I2661" s="1">
        <v>1.0</v>
      </c>
      <c r="J2661" s="1">
        <v>835.0</v>
      </c>
      <c r="L2661" s="1">
        <v>3697531.0</v>
      </c>
      <c r="Q2661" s="1" t="s">
        <v>9831</v>
      </c>
      <c r="R2661" s="1" t="s">
        <v>9832</v>
      </c>
      <c r="S2661" s="1">
        <v>1.0</v>
      </c>
      <c r="T2661" s="1">
        <v>0.0</v>
      </c>
      <c r="X2661" s="1" t="s">
        <v>56</v>
      </c>
      <c r="Z2661" s="1" t="s">
        <v>9831</v>
      </c>
    </row>
    <row r="2662">
      <c r="A2662" s="3" t="str">
        <f>HYPERLINK("https://stackoverflow.com/q/56450083", "56450083")</f>
        <v>56450083</v>
      </c>
      <c r="B2662" s="1" t="s">
        <v>7613</v>
      </c>
      <c r="C2662" s="1" t="s">
        <v>9833</v>
      </c>
      <c r="D2662" s="2" t="s">
        <v>9834</v>
      </c>
      <c r="E2662" s="1">
        <v>1.0</v>
      </c>
      <c r="I2662" s="1">
        <v>0.0</v>
      </c>
      <c r="J2662" s="1">
        <v>34.0</v>
      </c>
      <c r="L2662" s="1">
        <v>1.1579879E7</v>
      </c>
      <c r="Q2662" s="1" t="s">
        <v>9833</v>
      </c>
      <c r="R2662" s="1" t="s">
        <v>8728</v>
      </c>
      <c r="S2662" s="1">
        <v>0.0</v>
      </c>
      <c r="T2662" s="1">
        <v>0.0</v>
      </c>
      <c r="X2662" s="1" t="s">
        <v>56</v>
      </c>
    </row>
    <row r="2663">
      <c r="A2663" s="3" t="str">
        <f>HYPERLINK("https://stackoverflow.com/q/56465000", "56465000")</f>
        <v>56465000</v>
      </c>
      <c r="B2663" s="1" t="s">
        <v>7613</v>
      </c>
      <c r="C2663" s="1" t="s">
        <v>9835</v>
      </c>
      <c r="D2663" s="2" t="s">
        <v>9836</v>
      </c>
      <c r="E2663" s="1">
        <v>1.0</v>
      </c>
      <c r="F2663" s="1">
        <v>6.1351186E7</v>
      </c>
      <c r="I2663" s="1">
        <v>0.0</v>
      </c>
      <c r="J2663" s="1">
        <v>31.0</v>
      </c>
      <c r="L2663" s="1">
        <v>6361618.0</v>
      </c>
      <c r="N2663" s="1">
        <v>1159783.0</v>
      </c>
      <c r="P2663" s="1" t="s">
        <v>9837</v>
      </c>
      <c r="Q2663" s="1" t="s">
        <v>9838</v>
      </c>
      <c r="R2663" s="1" t="s">
        <v>8321</v>
      </c>
      <c r="S2663" s="1">
        <v>1.0</v>
      </c>
      <c r="T2663" s="1">
        <v>1.0</v>
      </c>
      <c r="X2663" s="1" t="s">
        <v>56</v>
      </c>
      <c r="Z2663" s="1" t="s">
        <v>9838</v>
      </c>
    </row>
    <row r="2664">
      <c r="A2664" s="3" t="str">
        <f>HYPERLINK("https://stackoverflow.com/q/56498638", "56498638")</f>
        <v>56498638</v>
      </c>
      <c r="B2664" s="1" t="s">
        <v>7613</v>
      </c>
      <c r="C2664" s="1" t="s">
        <v>9839</v>
      </c>
      <c r="D2664" s="2" t="s">
        <v>9840</v>
      </c>
      <c r="E2664" s="1">
        <v>1.0</v>
      </c>
      <c r="F2664" s="1">
        <v>5.6499313E7</v>
      </c>
      <c r="I2664" s="1">
        <v>2.0</v>
      </c>
      <c r="J2664" s="1">
        <v>57.0</v>
      </c>
      <c r="L2664" s="1">
        <v>1753861.0</v>
      </c>
      <c r="N2664" s="1">
        <v>1830793.0</v>
      </c>
      <c r="P2664" s="1" t="s">
        <v>9841</v>
      </c>
      <c r="Q2664" s="1" t="s">
        <v>9842</v>
      </c>
      <c r="R2664" s="1" t="s">
        <v>9843</v>
      </c>
      <c r="S2664" s="1">
        <v>1.0</v>
      </c>
      <c r="T2664" s="1">
        <v>0.0</v>
      </c>
      <c r="X2664" s="1" t="s">
        <v>56</v>
      </c>
      <c r="Z2664" s="1" t="s">
        <v>9842</v>
      </c>
    </row>
    <row r="2665">
      <c r="A2665" s="3" t="str">
        <f>HYPERLINK("https://stackoverflow.com/q/56513338", "56513338")</f>
        <v>56513338</v>
      </c>
      <c r="B2665" s="1" t="s">
        <v>7613</v>
      </c>
      <c r="C2665" s="1" t="s">
        <v>9844</v>
      </c>
      <c r="D2665" s="2" t="s">
        <v>9845</v>
      </c>
      <c r="E2665" s="1">
        <v>1.0</v>
      </c>
      <c r="I2665" s="1">
        <v>0.0</v>
      </c>
      <c r="J2665" s="1">
        <v>185.0</v>
      </c>
      <c r="L2665" s="1">
        <v>1.1621027E7</v>
      </c>
      <c r="Q2665" s="1" t="s">
        <v>9846</v>
      </c>
      <c r="R2665" s="1" t="s">
        <v>9655</v>
      </c>
      <c r="S2665" s="1">
        <v>2.0</v>
      </c>
      <c r="T2665" s="1">
        <v>0.0</v>
      </c>
      <c r="X2665" s="1" t="s">
        <v>56</v>
      </c>
    </row>
    <row r="2666">
      <c r="A2666" s="3" t="str">
        <f>HYPERLINK("https://stackoverflow.com/q/56537526", "56537526")</f>
        <v>56537526</v>
      </c>
      <c r="B2666" s="1" t="s">
        <v>7613</v>
      </c>
      <c r="C2666" s="1" t="s">
        <v>9847</v>
      </c>
      <c r="D2666" s="2" t="s">
        <v>9848</v>
      </c>
      <c r="E2666" s="1">
        <v>1.0</v>
      </c>
      <c r="I2666" s="1">
        <v>0.0</v>
      </c>
      <c r="J2666" s="1">
        <v>116.0</v>
      </c>
      <c r="L2666" s="1">
        <v>4841646.0</v>
      </c>
      <c r="Q2666" s="1" t="s">
        <v>9847</v>
      </c>
      <c r="R2666" s="1" t="s">
        <v>8321</v>
      </c>
      <c r="S2666" s="1">
        <v>0.0</v>
      </c>
      <c r="T2666" s="1">
        <v>0.0</v>
      </c>
      <c r="X2666" s="1" t="s">
        <v>56</v>
      </c>
    </row>
    <row r="2667">
      <c r="A2667" s="3" t="str">
        <f>HYPERLINK("https://stackoverflow.com/q/56540608", "56540608")</f>
        <v>56540608</v>
      </c>
      <c r="B2667" s="1" t="s">
        <v>7613</v>
      </c>
      <c r="C2667" s="1" t="s">
        <v>9849</v>
      </c>
      <c r="D2667" s="2" t="s">
        <v>9850</v>
      </c>
      <c r="E2667" s="1">
        <v>1.0</v>
      </c>
      <c r="I2667" s="1">
        <v>1.0</v>
      </c>
      <c r="J2667" s="1">
        <v>365.0</v>
      </c>
      <c r="L2667" s="1">
        <v>9669059.0</v>
      </c>
      <c r="Q2667" s="1" t="s">
        <v>9851</v>
      </c>
      <c r="R2667" s="1" t="s">
        <v>8321</v>
      </c>
      <c r="S2667" s="1">
        <v>1.0</v>
      </c>
      <c r="T2667" s="1">
        <v>3.0</v>
      </c>
      <c r="X2667" s="1" t="s">
        <v>56</v>
      </c>
    </row>
    <row r="2668">
      <c r="A2668" s="3" t="str">
        <f>HYPERLINK("https://stackoverflow.com/q/56548526", "56548526")</f>
        <v>56548526</v>
      </c>
      <c r="B2668" s="1" t="s">
        <v>7613</v>
      </c>
      <c r="C2668" s="1" t="s">
        <v>9852</v>
      </c>
      <c r="D2668" s="2" t="s">
        <v>9853</v>
      </c>
      <c r="E2668" s="1">
        <v>1.0</v>
      </c>
      <c r="I2668" s="1">
        <v>0.0</v>
      </c>
      <c r="J2668" s="1">
        <v>27.0</v>
      </c>
      <c r="L2668" s="1">
        <v>6534931.0</v>
      </c>
      <c r="Q2668" s="1" t="s">
        <v>9852</v>
      </c>
      <c r="R2668" s="1" t="s">
        <v>9854</v>
      </c>
      <c r="S2668" s="1">
        <v>0.0</v>
      </c>
      <c r="T2668" s="1">
        <v>0.0</v>
      </c>
      <c r="X2668" s="1" t="s">
        <v>56</v>
      </c>
    </row>
    <row r="2669">
      <c r="A2669" s="3" t="str">
        <f>HYPERLINK("https://stackoverflow.com/q/56551738", "56551738")</f>
        <v>56551738</v>
      </c>
      <c r="B2669" s="1" t="s">
        <v>7613</v>
      </c>
      <c r="C2669" s="1" t="s">
        <v>9855</v>
      </c>
      <c r="D2669" s="2" t="s">
        <v>9856</v>
      </c>
      <c r="E2669" s="1">
        <v>1.0</v>
      </c>
      <c r="I2669" s="1">
        <v>0.0</v>
      </c>
      <c r="J2669" s="1">
        <v>13.0</v>
      </c>
      <c r="L2669" s="1">
        <v>1.0399819E7</v>
      </c>
      <c r="Q2669" s="1" t="s">
        <v>9855</v>
      </c>
      <c r="R2669" s="1" t="s">
        <v>8728</v>
      </c>
      <c r="S2669" s="1">
        <v>0.0</v>
      </c>
      <c r="T2669" s="1">
        <v>0.0</v>
      </c>
      <c r="X2669" s="1" t="s">
        <v>56</v>
      </c>
    </row>
    <row r="2670">
      <c r="A2670" s="3" t="str">
        <f>HYPERLINK("https://stackoverflow.com/q/56561002", "56561002")</f>
        <v>56561002</v>
      </c>
      <c r="B2670" s="1" t="s">
        <v>7613</v>
      </c>
      <c r="C2670" s="1" t="s">
        <v>9857</v>
      </c>
      <c r="D2670" s="2" t="s">
        <v>9858</v>
      </c>
      <c r="E2670" s="1">
        <v>1.0</v>
      </c>
      <c r="I2670" s="1">
        <v>0.0</v>
      </c>
      <c r="J2670" s="1">
        <v>4.0</v>
      </c>
      <c r="L2670" s="1">
        <v>1.0725999E7</v>
      </c>
      <c r="Q2670" s="1" t="s">
        <v>9857</v>
      </c>
      <c r="R2670" s="1" t="s">
        <v>9268</v>
      </c>
      <c r="S2670" s="1">
        <v>0.0</v>
      </c>
      <c r="T2670" s="1">
        <v>0.0</v>
      </c>
      <c r="X2670" s="1" t="s">
        <v>56</v>
      </c>
    </row>
    <row r="2671">
      <c r="A2671" s="3" t="str">
        <f>HYPERLINK("https://stackoverflow.com/q/56578710", "56578710")</f>
        <v>56578710</v>
      </c>
      <c r="B2671" s="1" t="s">
        <v>7613</v>
      </c>
      <c r="C2671" s="1" t="s">
        <v>9859</v>
      </c>
      <c r="D2671" s="2" t="s">
        <v>9860</v>
      </c>
      <c r="E2671" s="1">
        <v>1.0</v>
      </c>
      <c r="I2671" s="1">
        <v>0.0</v>
      </c>
      <c r="J2671" s="1">
        <v>19.0</v>
      </c>
      <c r="L2671" s="1">
        <v>8453734.0</v>
      </c>
      <c r="Q2671" s="1" t="s">
        <v>9859</v>
      </c>
      <c r="R2671" s="1" t="s">
        <v>8728</v>
      </c>
      <c r="S2671" s="1">
        <v>0.0</v>
      </c>
      <c r="T2671" s="1">
        <v>0.0</v>
      </c>
      <c r="X2671" s="1" t="s">
        <v>56</v>
      </c>
    </row>
    <row r="2672">
      <c r="A2672" s="3" t="str">
        <f>HYPERLINK("https://stackoverflow.com/q/56586268", "56586268")</f>
        <v>56586268</v>
      </c>
      <c r="B2672" s="1" t="s">
        <v>7613</v>
      </c>
      <c r="C2672" s="1" t="s">
        <v>9861</v>
      </c>
      <c r="D2672" s="2" t="s">
        <v>9862</v>
      </c>
      <c r="E2672" s="1">
        <v>1.0</v>
      </c>
      <c r="I2672" s="1">
        <v>0.0</v>
      </c>
      <c r="J2672" s="1">
        <v>668.0</v>
      </c>
      <c r="L2672" s="1">
        <v>9922463.0</v>
      </c>
      <c r="Q2672" s="1" t="s">
        <v>9861</v>
      </c>
      <c r="R2672" s="1" t="s">
        <v>8321</v>
      </c>
      <c r="S2672" s="1">
        <v>0.0</v>
      </c>
      <c r="T2672" s="1">
        <v>7.0</v>
      </c>
      <c r="X2672" s="1" t="s">
        <v>56</v>
      </c>
    </row>
    <row r="2673">
      <c r="A2673" s="3" t="str">
        <f>HYPERLINK("https://stackoverflow.com/q/56599145", "56599145")</f>
        <v>56599145</v>
      </c>
      <c r="B2673" s="1" t="s">
        <v>7613</v>
      </c>
      <c r="C2673" s="1" t="s">
        <v>9863</v>
      </c>
      <c r="D2673" s="2" t="s">
        <v>9864</v>
      </c>
      <c r="E2673" s="1">
        <v>1.0</v>
      </c>
      <c r="I2673" s="1">
        <v>0.0</v>
      </c>
      <c r="J2673" s="1">
        <v>31.0</v>
      </c>
      <c r="L2673" s="1">
        <v>1.1648165E7</v>
      </c>
      <c r="N2673" s="1">
        <v>4420967.0</v>
      </c>
      <c r="P2673" s="1" t="s">
        <v>9865</v>
      </c>
      <c r="Q2673" s="1" t="s">
        <v>9865</v>
      </c>
      <c r="R2673" s="1" t="s">
        <v>9866</v>
      </c>
      <c r="S2673" s="1">
        <v>0.0</v>
      </c>
      <c r="T2673" s="1">
        <v>0.0</v>
      </c>
      <c r="U2673" s="1">
        <v>1.0</v>
      </c>
      <c r="X2673" s="1" t="s">
        <v>56</v>
      </c>
    </row>
    <row r="2674">
      <c r="A2674" s="3" t="str">
        <f>HYPERLINK("https://stackoverflow.com/q/56635352", "56635352")</f>
        <v>56635352</v>
      </c>
      <c r="B2674" s="1" t="s">
        <v>7613</v>
      </c>
      <c r="C2674" s="1" t="s">
        <v>9867</v>
      </c>
      <c r="D2674" s="2" t="s">
        <v>9868</v>
      </c>
      <c r="E2674" s="1">
        <v>1.0</v>
      </c>
      <c r="I2674" s="1">
        <v>0.0</v>
      </c>
      <c r="J2674" s="1">
        <v>14.0</v>
      </c>
      <c r="L2674" s="1">
        <v>5894263.0</v>
      </c>
      <c r="Q2674" s="1" t="s">
        <v>9867</v>
      </c>
      <c r="R2674" s="1" t="s">
        <v>8828</v>
      </c>
      <c r="S2674" s="1">
        <v>0.0</v>
      </c>
      <c r="T2674" s="1">
        <v>0.0</v>
      </c>
      <c r="X2674" s="1" t="s">
        <v>56</v>
      </c>
    </row>
    <row r="2675">
      <c r="A2675" s="3" t="str">
        <f>HYPERLINK("https://stackoverflow.com/q/56657103", "56657103")</f>
        <v>56657103</v>
      </c>
      <c r="B2675" s="1" t="s">
        <v>7613</v>
      </c>
      <c r="C2675" s="1" t="s">
        <v>9869</v>
      </c>
      <c r="D2675" s="2" t="s">
        <v>9870</v>
      </c>
      <c r="E2675" s="1">
        <v>1.0</v>
      </c>
      <c r="I2675" s="1">
        <v>0.0</v>
      </c>
      <c r="J2675" s="1">
        <v>27.0</v>
      </c>
      <c r="L2675" s="1">
        <v>1.1401289E7</v>
      </c>
      <c r="N2675" s="1">
        <v>1159783.0</v>
      </c>
      <c r="P2675" s="1" t="s">
        <v>9871</v>
      </c>
      <c r="Q2675" s="1" t="s">
        <v>9871</v>
      </c>
      <c r="R2675" s="1" t="s">
        <v>8525</v>
      </c>
      <c r="S2675" s="1">
        <v>0.0</v>
      </c>
      <c r="T2675" s="1">
        <v>1.0</v>
      </c>
      <c r="X2675" s="1" t="s">
        <v>56</v>
      </c>
    </row>
    <row r="2676">
      <c r="A2676" s="3" t="str">
        <f>HYPERLINK("https://stackoverflow.com/q/56662340", "56662340")</f>
        <v>56662340</v>
      </c>
      <c r="B2676" s="1" t="s">
        <v>7613</v>
      </c>
      <c r="C2676" s="1" t="s">
        <v>9872</v>
      </c>
      <c r="D2676" s="2" t="s">
        <v>9873</v>
      </c>
      <c r="E2676" s="1">
        <v>1.0</v>
      </c>
      <c r="F2676" s="1">
        <v>6.0699732E7</v>
      </c>
      <c r="I2676" s="1">
        <v>1.0</v>
      </c>
      <c r="J2676" s="1">
        <v>65.0</v>
      </c>
      <c r="L2676" s="1">
        <v>7795396.0</v>
      </c>
      <c r="N2676" s="1">
        <v>7795396.0</v>
      </c>
      <c r="P2676" s="1" t="s">
        <v>9874</v>
      </c>
      <c r="Q2676" s="1" t="s">
        <v>9875</v>
      </c>
      <c r="R2676" s="1" t="s">
        <v>9876</v>
      </c>
      <c r="S2676" s="1">
        <v>1.0</v>
      </c>
      <c r="T2676" s="1">
        <v>0.0</v>
      </c>
      <c r="X2676" s="1" t="s">
        <v>56</v>
      </c>
      <c r="Z2676" s="1" t="s">
        <v>9877</v>
      </c>
    </row>
    <row r="2677">
      <c r="A2677" s="3" t="str">
        <f>HYPERLINK("https://stackoverflow.com/q/56675025", "56675025")</f>
        <v>56675025</v>
      </c>
      <c r="B2677" s="1" t="s">
        <v>7613</v>
      </c>
      <c r="C2677" s="1" t="s">
        <v>9878</v>
      </c>
      <c r="D2677" s="2" t="s">
        <v>9879</v>
      </c>
      <c r="E2677" s="1">
        <v>1.0</v>
      </c>
      <c r="I2677" s="1">
        <v>0.0</v>
      </c>
      <c r="J2677" s="1">
        <v>45.0</v>
      </c>
      <c r="L2677" s="1">
        <v>1.1672465E7</v>
      </c>
      <c r="N2677" s="1">
        <v>250259.0</v>
      </c>
      <c r="P2677" s="1" t="s">
        <v>9880</v>
      </c>
      <c r="Q2677" s="1" t="s">
        <v>9880</v>
      </c>
      <c r="R2677" s="1" t="s">
        <v>9881</v>
      </c>
      <c r="S2677" s="1">
        <v>1.0</v>
      </c>
      <c r="T2677" s="1">
        <v>0.0</v>
      </c>
      <c r="X2677" s="1" t="s">
        <v>56</v>
      </c>
    </row>
    <row r="2678">
      <c r="A2678" s="3" t="str">
        <f>HYPERLINK("https://stackoverflow.com/q/56709602", "56709602")</f>
        <v>56709602</v>
      </c>
      <c r="B2678" s="1" t="s">
        <v>7613</v>
      </c>
      <c r="C2678" s="1" t="s">
        <v>9882</v>
      </c>
      <c r="D2678" s="2" t="s">
        <v>9883</v>
      </c>
      <c r="E2678" s="1">
        <v>1.0</v>
      </c>
      <c r="I2678" s="1">
        <v>0.0</v>
      </c>
      <c r="J2678" s="1">
        <v>15.0</v>
      </c>
      <c r="L2678" s="1">
        <v>5491045.0</v>
      </c>
      <c r="Q2678" s="1" t="s">
        <v>9884</v>
      </c>
      <c r="R2678" s="1" t="s">
        <v>9885</v>
      </c>
      <c r="S2678" s="1">
        <v>1.0</v>
      </c>
      <c r="T2678" s="1">
        <v>0.0</v>
      </c>
      <c r="X2678" s="1" t="s">
        <v>56</v>
      </c>
    </row>
    <row r="2679">
      <c r="A2679" s="3" t="str">
        <f>HYPERLINK("https://stackoverflow.com/q/56716968", "56716968")</f>
        <v>56716968</v>
      </c>
      <c r="B2679" s="1" t="s">
        <v>7613</v>
      </c>
      <c r="C2679" s="1" t="s">
        <v>9886</v>
      </c>
      <c r="D2679" s="2" t="s">
        <v>9887</v>
      </c>
      <c r="E2679" s="1">
        <v>1.0</v>
      </c>
      <c r="I2679" s="1">
        <v>0.0</v>
      </c>
      <c r="J2679" s="1">
        <v>17.0</v>
      </c>
      <c r="L2679" s="1">
        <v>614946.0</v>
      </c>
      <c r="N2679" s="1">
        <v>614946.0</v>
      </c>
      <c r="P2679" s="1" t="s">
        <v>9888</v>
      </c>
      <c r="Q2679" s="1" t="s">
        <v>9888</v>
      </c>
      <c r="R2679" s="1" t="s">
        <v>8728</v>
      </c>
      <c r="S2679" s="1">
        <v>0.0</v>
      </c>
      <c r="T2679" s="1">
        <v>0.0</v>
      </c>
      <c r="X2679" s="1" t="s">
        <v>56</v>
      </c>
    </row>
    <row r="2680">
      <c r="A2680" s="3" t="str">
        <f>HYPERLINK("https://stackoverflow.com/q/56717423", "56717423")</f>
        <v>56717423</v>
      </c>
      <c r="B2680" s="1" t="s">
        <v>7613</v>
      </c>
      <c r="C2680" s="1" t="s">
        <v>9889</v>
      </c>
      <c r="D2680" s="2" t="s">
        <v>9890</v>
      </c>
      <c r="E2680" s="1">
        <v>1.0</v>
      </c>
      <c r="I2680" s="1">
        <v>1.0</v>
      </c>
      <c r="J2680" s="1">
        <v>1845.0</v>
      </c>
      <c r="L2680" s="1">
        <v>6548528.0</v>
      </c>
      <c r="N2680" s="1">
        <v>4600982.0</v>
      </c>
      <c r="P2680" s="1" t="s">
        <v>9891</v>
      </c>
      <c r="Q2680" s="1" t="s">
        <v>9891</v>
      </c>
      <c r="R2680" s="1" t="s">
        <v>9892</v>
      </c>
      <c r="S2680" s="1">
        <v>1.0</v>
      </c>
      <c r="T2680" s="1">
        <v>0.0</v>
      </c>
      <c r="X2680" s="1" t="s">
        <v>56</v>
      </c>
    </row>
    <row r="2681">
      <c r="A2681" s="3" t="str">
        <f>HYPERLINK("https://stackoverflow.com/q/56722062", "56722062")</f>
        <v>56722062</v>
      </c>
      <c r="B2681" s="1" t="s">
        <v>7613</v>
      </c>
      <c r="C2681" s="1" t="s">
        <v>9893</v>
      </c>
      <c r="D2681" s="2" t="s">
        <v>9894</v>
      </c>
      <c r="E2681" s="1">
        <v>1.0</v>
      </c>
      <c r="I2681" s="1">
        <v>0.0</v>
      </c>
      <c r="J2681" s="1">
        <v>664.0</v>
      </c>
      <c r="L2681" s="1">
        <v>8287458.0</v>
      </c>
      <c r="Q2681" s="1" t="s">
        <v>9893</v>
      </c>
      <c r="R2681" s="1" t="s">
        <v>8728</v>
      </c>
      <c r="S2681" s="1">
        <v>0.0</v>
      </c>
      <c r="T2681" s="1">
        <v>0.0</v>
      </c>
      <c r="X2681" s="1" t="s">
        <v>56</v>
      </c>
    </row>
    <row r="2682">
      <c r="A2682" s="3" t="str">
        <f>HYPERLINK("https://stackoverflow.com/q/56748978", "56748978")</f>
        <v>56748978</v>
      </c>
      <c r="B2682" s="1" t="s">
        <v>7613</v>
      </c>
      <c r="C2682" s="1" t="s">
        <v>9895</v>
      </c>
      <c r="D2682" s="2" t="s">
        <v>9896</v>
      </c>
      <c r="E2682" s="1">
        <v>1.0</v>
      </c>
      <c r="I2682" s="1">
        <v>0.0</v>
      </c>
      <c r="J2682" s="1">
        <v>83.0</v>
      </c>
      <c r="L2682" s="1">
        <v>2022498.0</v>
      </c>
      <c r="Q2682" s="1" t="s">
        <v>9895</v>
      </c>
      <c r="R2682" s="1" t="s">
        <v>9897</v>
      </c>
      <c r="S2682" s="1">
        <v>0.0</v>
      </c>
      <c r="T2682" s="1">
        <v>0.0</v>
      </c>
      <c r="X2682" s="1" t="s">
        <v>56</v>
      </c>
    </row>
    <row r="2683">
      <c r="A2683" s="3" t="str">
        <f>HYPERLINK("https://stackoverflow.com/q/56750074", "56750074")</f>
        <v>56750074</v>
      </c>
      <c r="B2683" s="1" t="s">
        <v>7613</v>
      </c>
      <c r="C2683" s="1" t="s">
        <v>9898</v>
      </c>
      <c r="D2683" s="2" t="s">
        <v>9899</v>
      </c>
      <c r="E2683" s="1">
        <v>1.0</v>
      </c>
      <c r="I2683" s="1">
        <v>0.0</v>
      </c>
      <c r="J2683" s="1">
        <v>181.0</v>
      </c>
      <c r="L2683" s="1">
        <v>4942084.0</v>
      </c>
      <c r="Q2683" s="1" t="s">
        <v>9898</v>
      </c>
      <c r="R2683" s="1" t="s">
        <v>9472</v>
      </c>
      <c r="S2683" s="1">
        <v>0.0</v>
      </c>
      <c r="T2683" s="1">
        <v>2.0</v>
      </c>
      <c r="X2683" s="1" t="s">
        <v>56</v>
      </c>
    </row>
    <row r="2684">
      <c r="A2684" s="3" t="str">
        <f>HYPERLINK("https://stackoverflow.com/q/56757229", "56757229")</f>
        <v>56757229</v>
      </c>
      <c r="B2684" s="1" t="s">
        <v>7613</v>
      </c>
      <c r="C2684" s="1" t="s">
        <v>9900</v>
      </c>
      <c r="D2684" s="2" t="s">
        <v>9901</v>
      </c>
      <c r="E2684" s="1">
        <v>1.0</v>
      </c>
      <c r="I2684" s="1">
        <v>0.0</v>
      </c>
      <c r="J2684" s="1">
        <v>156.0</v>
      </c>
      <c r="L2684" s="1">
        <v>1532260.0</v>
      </c>
      <c r="Q2684" s="1" t="s">
        <v>9902</v>
      </c>
      <c r="R2684" s="1" t="s">
        <v>8321</v>
      </c>
      <c r="S2684" s="1">
        <v>1.0</v>
      </c>
      <c r="T2684" s="1">
        <v>0.0</v>
      </c>
      <c r="X2684" s="1" t="s">
        <v>56</v>
      </c>
    </row>
    <row r="2685">
      <c r="A2685" s="3" t="str">
        <f>HYPERLINK("https://stackoverflow.com/q/56781753", "56781753")</f>
        <v>56781753</v>
      </c>
      <c r="B2685" s="1" t="s">
        <v>7613</v>
      </c>
      <c r="C2685" s="1" t="s">
        <v>9903</v>
      </c>
      <c r="D2685" s="2" t="s">
        <v>9904</v>
      </c>
      <c r="E2685" s="1">
        <v>1.0</v>
      </c>
      <c r="I2685" s="1">
        <v>1.0</v>
      </c>
      <c r="J2685" s="1">
        <v>1339.0</v>
      </c>
      <c r="L2685" s="1">
        <v>1278228.0</v>
      </c>
      <c r="N2685" s="1">
        <v>1278228.0</v>
      </c>
      <c r="P2685" s="1" t="s">
        <v>9905</v>
      </c>
      <c r="Q2685" s="1" t="s">
        <v>9906</v>
      </c>
      <c r="R2685" s="1" t="s">
        <v>9695</v>
      </c>
      <c r="S2685" s="1">
        <v>1.0</v>
      </c>
      <c r="T2685" s="1">
        <v>0.0</v>
      </c>
      <c r="X2685" s="1" t="s">
        <v>56</v>
      </c>
    </row>
    <row r="2686">
      <c r="A2686" s="3" t="str">
        <f>HYPERLINK("https://stackoverflow.com/q/56796657", "56796657")</f>
        <v>56796657</v>
      </c>
      <c r="B2686" s="1" t="s">
        <v>7613</v>
      </c>
      <c r="C2686" s="1" t="s">
        <v>9907</v>
      </c>
      <c r="D2686" s="2" t="s">
        <v>9908</v>
      </c>
      <c r="E2686" s="1">
        <v>1.0</v>
      </c>
      <c r="F2686" s="1">
        <v>5.6807265E7</v>
      </c>
      <c r="I2686" s="1">
        <v>1.0</v>
      </c>
      <c r="J2686" s="1">
        <v>7999.0</v>
      </c>
      <c r="L2686" s="1">
        <v>1.1710101E7</v>
      </c>
      <c r="N2686" s="1">
        <v>2413889.0</v>
      </c>
      <c r="P2686" s="1" t="s">
        <v>9909</v>
      </c>
      <c r="Q2686" s="1" t="s">
        <v>9910</v>
      </c>
      <c r="R2686" s="1" t="s">
        <v>8321</v>
      </c>
      <c r="S2686" s="1">
        <v>2.0</v>
      </c>
      <c r="T2686" s="1">
        <v>0.0</v>
      </c>
      <c r="X2686" s="1" t="s">
        <v>56</v>
      </c>
      <c r="Z2686" s="1" t="s">
        <v>9911</v>
      </c>
    </row>
    <row r="2687">
      <c r="A2687" s="3" t="str">
        <f>HYPERLINK("https://stackoverflow.com/q/56838816", "56838816")</f>
        <v>56838816</v>
      </c>
      <c r="B2687" s="1" t="s">
        <v>7613</v>
      </c>
      <c r="C2687" s="1" t="s">
        <v>9912</v>
      </c>
      <c r="D2687" s="2" t="s">
        <v>9913</v>
      </c>
      <c r="E2687" s="1">
        <v>1.0</v>
      </c>
      <c r="I2687" s="1">
        <v>1.0</v>
      </c>
      <c r="J2687" s="1">
        <v>250.0</v>
      </c>
      <c r="L2687" s="1">
        <v>8233408.0</v>
      </c>
      <c r="N2687" s="1">
        <v>8233408.0</v>
      </c>
      <c r="P2687" s="1" t="s">
        <v>9914</v>
      </c>
      <c r="Q2687" s="1" t="s">
        <v>9914</v>
      </c>
      <c r="R2687" s="1" t="s">
        <v>9915</v>
      </c>
      <c r="S2687" s="1">
        <v>0.0</v>
      </c>
      <c r="T2687" s="1">
        <v>2.0</v>
      </c>
      <c r="X2687" s="1" t="s">
        <v>56</v>
      </c>
    </row>
    <row r="2688">
      <c r="A2688" s="3" t="str">
        <f>HYPERLINK("https://stackoverflow.com/q/56852112", "56852112")</f>
        <v>56852112</v>
      </c>
      <c r="B2688" s="1" t="s">
        <v>7613</v>
      </c>
      <c r="C2688" s="1" t="s">
        <v>9916</v>
      </c>
      <c r="D2688" s="2" t="s">
        <v>9917</v>
      </c>
      <c r="E2688" s="1">
        <v>1.0</v>
      </c>
      <c r="I2688" s="1">
        <v>0.0</v>
      </c>
      <c r="J2688" s="1">
        <v>128.0</v>
      </c>
      <c r="L2688" s="1">
        <v>1158844.0</v>
      </c>
      <c r="Q2688" s="1" t="s">
        <v>9916</v>
      </c>
      <c r="R2688" s="1" t="s">
        <v>8728</v>
      </c>
      <c r="S2688" s="1">
        <v>0.0</v>
      </c>
      <c r="T2688" s="1">
        <v>0.0</v>
      </c>
      <c r="X2688" s="1" t="s">
        <v>56</v>
      </c>
    </row>
    <row r="2689">
      <c r="A2689" s="3" t="str">
        <f>HYPERLINK("https://stackoverflow.com/q/56876401", "56876401")</f>
        <v>56876401</v>
      </c>
      <c r="B2689" s="1" t="s">
        <v>7613</v>
      </c>
      <c r="C2689" s="1" t="s">
        <v>9918</v>
      </c>
      <c r="D2689" s="2" t="s">
        <v>9919</v>
      </c>
      <c r="E2689" s="1">
        <v>1.0</v>
      </c>
      <c r="I2689" s="1">
        <v>0.0</v>
      </c>
      <c r="J2689" s="1">
        <v>1319.0</v>
      </c>
      <c r="L2689" s="1">
        <v>8233408.0</v>
      </c>
      <c r="N2689" s="1">
        <v>8233408.0</v>
      </c>
      <c r="P2689" s="1" t="s">
        <v>9920</v>
      </c>
      <c r="Q2689" s="1" t="s">
        <v>9921</v>
      </c>
      <c r="R2689" s="1" t="s">
        <v>9915</v>
      </c>
      <c r="S2689" s="1">
        <v>1.0</v>
      </c>
      <c r="T2689" s="1">
        <v>0.0</v>
      </c>
      <c r="U2689" s="1">
        <v>1.0</v>
      </c>
      <c r="X2689" s="1" t="s">
        <v>56</v>
      </c>
    </row>
    <row r="2690">
      <c r="A2690" s="3" t="str">
        <f>HYPERLINK("https://stackoverflow.com/q/56892999", "56892999")</f>
        <v>56892999</v>
      </c>
      <c r="B2690" s="1" t="s">
        <v>7613</v>
      </c>
      <c r="C2690" s="1" t="s">
        <v>9922</v>
      </c>
      <c r="D2690" s="2" t="s">
        <v>9923</v>
      </c>
      <c r="E2690" s="1">
        <v>1.0</v>
      </c>
      <c r="I2690" s="1">
        <v>0.0</v>
      </c>
      <c r="J2690" s="1">
        <v>9.0</v>
      </c>
      <c r="L2690" s="1">
        <v>7747196.0</v>
      </c>
      <c r="Q2690" s="1" t="s">
        <v>9922</v>
      </c>
      <c r="R2690" s="1" t="s">
        <v>8728</v>
      </c>
      <c r="S2690" s="1">
        <v>0.0</v>
      </c>
      <c r="T2690" s="1">
        <v>0.0</v>
      </c>
      <c r="X2690" s="1" t="s">
        <v>56</v>
      </c>
    </row>
    <row r="2691">
      <c r="A2691" s="3" t="str">
        <f>HYPERLINK("https://stackoverflow.com/q/56896264", "56896264")</f>
        <v>56896264</v>
      </c>
      <c r="B2691" s="1" t="s">
        <v>7613</v>
      </c>
      <c r="C2691" s="1" t="s">
        <v>9924</v>
      </c>
      <c r="D2691" s="2" t="s">
        <v>9925</v>
      </c>
      <c r="E2691" s="1">
        <v>1.0</v>
      </c>
      <c r="I2691" s="1">
        <v>0.0</v>
      </c>
      <c r="J2691" s="1">
        <v>137.0</v>
      </c>
      <c r="L2691" s="1">
        <v>3032393.0</v>
      </c>
      <c r="Q2691" s="1" t="s">
        <v>9924</v>
      </c>
      <c r="R2691" s="1" t="s">
        <v>9926</v>
      </c>
      <c r="S2691" s="1">
        <v>0.0</v>
      </c>
      <c r="T2691" s="1">
        <v>0.0</v>
      </c>
      <c r="X2691" s="1" t="s">
        <v>56</v>
      </c>
    </row>
    <row r="2692">
      <c r="A2692" s="3" t="str">
        <f>HYPERLINK("https://stackoverflow.com/q/56896965", "56896965")</f>
        <v>56896965</v>
      </c>
      <c r="B2692" s="1" t="s">
        <v>7613</v>
      </c>
      <c r="C2692" s="1" t="s">
        <v>9927</v>
      </c>
      <c r="D2692" s="2" t="s">
        <v>9928</v>
      </c>
      <c r="E2692" s="1">
        <v>1.0</v>
      </c>
      <c r="I2692" s="1">
        <v>0.0</v>
      </c>
      <c r="J2692" s="1">
        <v>552.0</v>
      </c>
      <c r="L2692" s="1">
        <v>1.0253353E7</v>
      </c>
      <c r="Q2692" s="1" t="s">
        <v>9927</v>
      </c>
      <c r="R2692" s="1" t="s">
        <v>8728</v>
      </c>
      <c r="S2692" s="1">
        <v>0.0</v>
      </c>
      <c r="T2692" s="1">
        <v>0.0</v>
      </c>
      <c r="X2692" s="1" t="s">
        <v>56</v>
      </c>
    </row>
    <row r="2693">
      <c r="A2693" s="3" t="str">
        <f>HYPERLINK("https://stackoverflow.com/q/56900896", "56900896")</f>
        <v>56900896</v>
      </c>
      <c r="B2693" s="1" t="s">
        <v>7613</v>
      </c>
      <c r="C2693" s="1" t="s">
        <v>9929</v>
      </c>
      <c r="D2693" s="2" t="s">
        <v>9930</v>
      </c>
      <c r="E2693" s="1">
        <v>1.0</v>
      </c>
      <c r="I2693" s="1">
        <v>0.0</v>
      </c>
      <c r="J2693" s="1">
        <v>91.0</v>
      </c>
      <c r="L2693" s="1">
        <v>1.1394563E7</v>
      </c>
      <c r="N2693" s="1">
        <v>1.1394563E7</v>
      </c>
      <c r="P2693" s="1" t="s">
        <v>9931</v>
      </c>
      <c r="Q2693" s="1" t="s">
        <v>9931</v>
      </c>
      <c r="R2693" s="1" t="s">
        <v>9932</v>
      </c>
      <c r="S2693" s="1">
        <v>0.0</v>
      </c>
      <c r="T2693" s="1">
        <v>0.0</v>
      </c>
      <c r="X2693" s="1" t="s">
        <v>56</v>
      </c>
    </row>
    <row r="2694">
      <c r="A2694" s="3" t="str">
        <f>HYPERLINK("https://stackoverflow.com/q/56900955", "56900955")</f>
        <v>56900955</v>
      </c>
      <c r="B2694" s="1" t="s">
        <v>7613</v>
      </c>
      <c r="C2694" s="1" t="s">
        <v>9933</v>
      </c>
      <c r="D2694" s="2" t="s">
        <v>9934</v>
      </c>
      <c r="E2694" s="1">
        <v>1.0</v>
      </c>
      <c r="I2694" s="1">
        <v>0.0</v>
      </c>
      <c r="J2694" s="1">
        <v>223.0</v>
      </c>
      <c r="L2694" s="1">
        <v>1.1743448E7</v>
      </c>
      <c r="Q2694" s="1" t="s">
        <v>9933</v>
      </c>
      <c r="R2694" s="1" t="s">
        <v>9268</v>
      </c>
      <c r="S2694" s="1">
        <v>0.0</v>
      </c>
      <c r="T2694" s="1">
        <v>0.0</v>
      </c>
      <c r="X2694" s="1" t="s">
        <v>56</v>
      </c>
    </row>
    <row r="2695">
      <c r="A2695" s="3" t="str">
        <f>HYPERLINK("https://stackoverflow.com/q/56907474", "56907474")</f>
        <v>56907474</v>
      </c>
      <c r="B2695" s="1" t="s">
        <v>7613</v>
      </c>
      <c r="C2695" s="1" t="s">
        <v>9935</v>
      </c>
      <c r="D2695" s="2" t="s">
        <v>9936</v>
      </c>
      <c r="E2695" s="1">
        <v>1.0</v>
      </c>
      <c r="I2695" s="1">
        <v>0.0</v>
      </c>
      <c r="J2695" s="1">
        <v>14.0</v>
      </c>
      <c r="L2695" s="1">
        <v>2803661.0</v>
      </c>
      <c r="Q2695" s="1" t="s">
        <v>9937</v>
      </c>
      <c r="R2695" s="1" t="s">
        <v>9938</v>
      </c>
      <c r="S2695" s="1">
        <v>1.0</v>
      </c>
      <c r="T2695" s="1">
        <v>0.0</v>
      </c>
      <c r="X2695" s="1" t="s">
        <v>56</v>
      </c>
    </row>
    <row r="2696">
      <c r="A2696" s="3" t="str">
        <f>HYPERLINK("https://stackoverflow.com/q/56915601", "56915601")</f>
        <v>56915601</v>
      </c>
      <c r="B2696" s="1" t="s">
        <v>7613</v>
      </c>
      <c r="C2696" s="1" t="s">
        <v>9939</v>
      </c>
      <c r="D2696" s="2" t="s">
        <v>9940</v>
      </c>
      <c r="E2696" s="1">
        <v>1.0</v>
      </c>
      <c r="I2696" s="1">
        <v>0.0</v>
      </c>
      <c r="J2696" s="1">
        <v>486.0</v>
      </c>
      <c r="L2696" s="1">
        <v>8956187.0</v>
      </c>
      <c r="N2696" s="1">
        <v>7897395.0</v>
      </c>
      <c r="P2696" s="1" t="s">
        <v>9941</v>
      </c>
      <c r="Q2696" s="1" t="s">
        <v>9942</v>
      </c>
      <c r="R2696" s="1" t="s">
        <v>9943</v>
      </c>
      <c r="S2696" s="1">
        <v>1.0</v>
      </c>
      <c r="T2696" s="1">
        <v>0.0</v>
      </c>
      <c r="X2696" s="1" t="s">
        <v>56</v>
      </c>
    </row>
    <row r="2697">
      <c r="A2697" s="3" t="str">
        <f>HYPERLINK("https://stackoverflow.com/q/56920479", "56920479")</f>
        <v>56920479</v>
      </c>
      <c r="B2697" s="1" t="s">
        <v>7613</v>
      </c>
      <c r="C2697" s="1" t="s">
        <v>9944</v>
      </c>
      <c r="D2697" s="2" t="s">
        <v>9945</v>
      </c>
      <c r="E2697" s="1">
        <v>1.0</v>
      </c>
      <c r="I2697" s="1">
        <v>1.0</v>
      </c>
      <c r="J2697" s="1">
        <v>354.0</v>
      </c>
      <c r="L2697" s="1">
        <v>9106603.0</v>
      </c>
      <c r="Q2697" s="1" t="s">
        <v>9946</v>
      </c>
      <c r="R2697" s="1" t="s">
        <v>9947</v>
      </c>
      <c r="S2697" s="1">
        <v>1.0</v>
      </c>
      <c r="T2697" s="1">
        <v>0.0</v>
      </c>
      <c r="X2697" s="1" t="s">
        <v>56</v>
      </c>
    </row>
    <row r="2698">
      <c r="A2698" s="3" t="str">
        <f>HYPERLINK("https://stackoverflow.com/q/56921005", "56921005")</f>
        <v>56921005</v>
      </c>
      <c r="B2698" s="1" t="s">
        <v>7613</v>
      </c>
      <c r="C2698" s="1" t="s">
        <v>9948</v>
      </c>
      <c r="D2698" s="2" t="s">
        <v>9949</v>
      </c>
      <c r="E2698" s="1">
        <v>1.0</v>
      </c>
      <c r="I2698" s="1">
        <v>0.0</v>
      </c>
      <c r="J2698" s="1">
        <v>84.0</v>
      </c>
      <c r="L2698" s="1">
        <v>1.1750044E7</v>
      </c>
      <c r="N2698" s="1">
        <v>5565834.0</v>
      </c>
      <c r="P2698" s="1" t="s">
        <v>9950</v>
      </c>
      <c r="Q2698" s="1" t="s">
        <v>9950</v>
      </c>
      <c r="R2698" s="1" t="s">
        <v>9202</v>
      </c>
      <c r="S2698" s="1">
        <v>0.0</v>
      </c>
      <c r="T2698" s="1">
        <v>0.0</v>
      </c>
      <c r="X2698" s="1" t="s">
        <v>56</v>
      </c>
    </row>
    <row r="2699">
      <c r="A2699" s="3" t="str">
        <f>HYPERLINK("https://stackoverflow.com/q/56924243", "56924243")</f>
        <v>56924243</v>
      </c>
      <c r="B2699" s="1" t="s">
        <v>7613</v>
      </c>
      <c r="C2699" s="1" t="s">
        <v>9951</v>
      </c>
      <c r="D2699" s="2" t="s">
        <v>9952</v>
      </c>
      <c r="E2699" s="1">
        <v>1.0</v>
      </c>
      <c r="I2699" s="1">
        <v>0.0</v>
      </c>
      <c r="J2699" s="1">
        <v>418.0</v>
      </c>
      <c r="L2699" s="1">
        <v>6938609.0</v>
      </c>
      <c r="N2699" s="1">
        <v>6938609.0</v>
      </c>
      <c r="P2699" s="1" t="s">
        <v>9953</v>
      </c>
      <c r="Q2699" s="1" t="s">
        <v>9954</v>
      </c>
      <c r="R2699" s="1" t="s">
        <v>9955</v>
      </c>
      <c r="S2699" s="1">
        <v>1.0</v>
      </c>
      <c r="T2699" s="1">
        <v>0.0</v>
      </c>
      <c r="X2699" s="1" t="s">
        <v>56</v>
      </c>
    </row>
    <row r="2700">
      <c r="A2700" s="3" t="str">
        <f>HYPERLINK("https://stackoverflow.com/q/56929036", "56929036")</f>
        <v>56929036</v>
      </c>
      <c r="B2700" s="1" t="s">
        <v>7613</v>
      </c>
      <c r="C2700" s="1" t="s">
        <v>9956</v>
      </c>
      <c r="D2700" s="2" t="s">
        <v>9957</v>
      </c>
      <c r="E2700" s="1">
        <v>1.0</v>
      </c>
      <c r="I2700" s="1">
        <v>0.0</v>
      </c>
      <c r="J2700" s="1">
        <v>27.0</v>
      </c>
      <c r="L2700" s="1">
        <v>1.1752685E7</v>
      </c>
      <c r="N2700" s="1">
        <v>4985733.0</v>
      </c>
      <c r="P2700" s="1" t="s">
        <v>9958</v>
      </c>
      <c r="Q2700" s="1" t="s">
        <v>9958</v>
      </c>
      <c r="R2700" s="1" t="s">
        <v>8728</v>
      </c>
      <c r="S2700" s="1">
        <v>0.0</v>
      </c>
      <c r="T2700" s="1">
        <v>1.0</v>
      </c>
      <c r="X2700" s="1" t="s">
        <v>56</v>
      </c>
    </row>
    <row r="2701">
      <c r="A2701" s="3" t="str">
        <f>HYPERLINK("https://stackoverflow.com/q/56937207", "56937207")</f>
        <v>56937207</v>
      </c>
      <c r="B2701" s="1" t="s">
        <v>7613</v>
      </c>
      <c r="C2701" s="1" t="s">
        <v>9959</v>
      </c>
      <c r="D2701" s="2" t="s">
        <v>9960</v>
      </c>
      <c r="E2701" s="1">
        <v>1.0</v>
      </c>
      <c r="I2701" s="1">
        <v>0.0</v>
      </c>
      <c r="J2701" s="1">
        <v>40.0</v>
      </c>
      <c r="L2701" s="1">
        <v>8956187.0</v>
      </c>
      <c r="Q2701" s="1" t="s">
        <v>9959</v>
      </c>
      <c r="R2701" s="1" t="s">
        <v>9961</v>
      </c>
      <c r="S2701" s="1">
        <v>0.0</v>
      </c>
      <c r="T2701" s="1">
        <v>0.0</v>
      </c>
      <c r="X2701" s="1" t="s">
        <v>56</v>
      </c>
    </row>
    <row r="2702">
      <c r="A2702" s="3" t="str">
        <f>HYPERLINK("https://stackoverflow.com/q/56937356", "56937356")</f>
        <v>56937356</v>
      </c>
      <c r="B2702" s="1" t="s">
        <v>7613</v>
      </c>
      <c r="C2702" s="1" t="s">
        <v>9962</v>
      </c>
      <c r="D2702" s="2" t="s">
        <v>9963</v>
      </c>
      <c r="E2702" s="1">
        <v>1.0</v>
      </c>
      <c r="I2702" s="1">
        <v>0.0</v>
      </c>
      <c r="J2702" s="1">
        <v>242.0</v>
      </c>
      <c r="L2702" s="1">
        <v>3339122.0</v>
      </c>
      <c r="N2702" s="1">
        <v>3339122.0</v>
      </c>
      <c r="P2702" s="1" t="s">
        <v>9964</v>
      </c>
      <c r="Q2702" s="1" t="s">
        <v>9964</v>
      </c>
      <c r="R2702" s="1" t="s">
        <v>9965</v>
      </c>
      <c r="S2702" s="1">
        <v>1.0</v>
      </c>
      <c r="T2702" s="1">
        <v>0.0</v>
      </c>
      <c r="X2702" s="1" t="s">
        <v>56</v>
      </c>
    </row>
    <row r="2703">
      <c r="A2703" s="3" t="str">
        <f>HYPERLINK("https://stackoverflow.com/q/56938161", "56938161")</f>
        <v>56938161</v>
      </c>
      <c r="B2703" s="1" t="s">
        <v>7613</v>
      </c>
      <c r="C2703" s="1" t="s">
        <v>9966</v>
      </c>
      <c r="D2703" s="2" t="s">
        <v>9967</v>
      </c>
      <c r="E2703" s="1">
        <v>1.0</v>
      </c>
      <c r="I2703" s="1">
        <v>0.0</v>
      </c>
      <c r="J2703" s="1">
        <v>41.0</v>
      </c>
      <c r="L2703" s="1">
        <v>1.167691E7</v>
      </c>
      <c r="Q2703" s="1" t="s">
        <v>9966</v>
      </c>
      <c r="R2703" s="1" t="s">
        <v>9097</v>
      </c>
      <c r="S2703" s="1">
        <v>0.0</v>
      </c>
      <c r="T2703" s="1">
        <v>17.0</v>
      </c>
      <c r="X2703" s="1" t="s">
        <v>56</v>
      </c>
    </row>
    <row r="2704">
      <c r="A2704" s="3" t="str">
        <f>HYPERLINK("https://stackoverflow.com/q/56952560", "56952560")</f>
        <v>56952560</v>
      </c>
      <c r="B2704" s="1" t="s">
        <v>7613</v>
      </c>
      <c r="C2704" s="1" t="s">
        <v>9968</v>
      </c>
      <c r="D2704" s="2" t="s">
        <v>9969</v>
      </c>
      <c r="E2704" s="1">
        <v>1.0</v>
      </c>
      <c r="I2704" s="1">
        <v>0.0</v>
      </c>
      <c r="J2704" s="1">
        <v>10.0</v>
      </c>
      <c r="L2704" s="1">
        <v>1192558.0</v>
      </c>
      <c r="Q2704" s="1" t="s">
        <v>9968</v>
      </c>
      <c r="R2704" s="1" t="s">
        <v>8705</v>
      </c>
      <c r="S2704" s="1">
        <v>0.0</v>
      </c>
      <c r="T2704" s="1">
        <v>0.0</v>
      </c>
      <c r="X2704" s="1" t="s">
        <v>56</v>
      </c>
    </row>
    <row r="2705">
      <c r="A2705" s="3" t="str">
        <f>HYPERLINK("https://stackoverflow.com/q/56958772", "56958772")</f>
        <v>56958772</v>
      </c>
      <c r="B2705" s="1" t="s">
        <v>7613</v>
      </c>
      <c r="C2705" s="1" t="s">
        <v>9970</v>
      </c>
      <c r="D2705" s="2" t="s">
        <v>9971</v>
      </c>
      <c r="E2705" s="1">
        <v>1.0</v>
      </c>
      <c r="F2705" s="1">
        <v>5.6960675E7</v>
      </c>
      <c r="I2705" s="1">
        <v>0.0</v>
      </c>
      <c r="J2705" s="1">
        <v>1465.0</v>
      </c>
      <c r="L2705" s="1">
        <v>7034462.0</v>
      </c>
      <c r="N2705" s="1">
        <v>7034462.0</v>
      </c>
      <c r="P2705" s="1" t="s">
        <v>9972</v>
      </c>
      <c r="Q2705" s="1" t="s">
        <v>9973</v>
      </c>
      <c r="R2705" s="1" t="s">
        <v>9974</v>
      </c>
      <c r="S2705" s="1">
        <v>2.0</v>
      </c>
      <c r="T2705" s="1">
        <v>0.0</v>
      </c>
      <c r="X2705" s="1" t="s">
        <v>56</v>
      </c>
      <c r="Z2705" s="1" t="s">
        <v>9975</v>
      </c>
    </row>
    <row r="2706">
      <c r="A2706" s="3" t="str">
        <f>HYPERLINK("https://stackoverflow.com/q/56969396", "56969396")</f>
        <v>56969396</v>
      </c>
      <c r="B2706" s="1" t="s">
        <v>7613</v>
      </c>
      <c r="C2706" s="1" t="s">
        <v>9976</v>
      </c>
      <c r="D2706" s="2" t="s">
        <v>9977</v>
      </c>
      <c r="E2706" s="1">
        <v>1.0</v>
      </c>
      <c r="I2706" s="1">
        <v>0.0</v>
      </c>
      <c r="J2706" s="1">
        <v>564.0</v>
      </c>
      <c r="L2706" s="1">
        <v>5848211.0</v>
      </c>
      <c r="N2706" s="1">
        <v>4420967.0</v>
      </c>
      <c r="P2706" s="1" t="s">
        <v>9978</v>
      </c>
      <c r="Q2706" s="1" t="s">
        <v>9979</v>
      </c>
      <c r="R2706" s="1" t="s">
        <v>8321</v>
      </c>
      <c r="S2706" s="1">
        <v>2.0</v>
      </c>
      <c r="T2706" s="1">
        <v>0.0</v>
      </c>
      <c r="X2706" s="1" t="s">
        <v>56</v>
      </c>
    </row>
    <row r="2707">
      <c r="A2707" s="3" t="str">
        <f>HYPERLINK("https://stackoverflow.com/q/56981588", "56981588")</f>
        <v>56981588</v>
      </c>
      <c r="B2707" s="1" t="s">
        <v>7613</v>
      </c>
      <c r="C2707" s="1" t="s">
        <v>9980</v>
      </c>
      <c r="D2707" s="2" t="s">
        <v>9981</v>
      </c>
      <c r="E2707" s="1">
        <v>1.0</v>
      </c>
      <c r="F2707" s="1">
        <v>5.7468518E7</v>
      </c>
      <c r="I2707" s="1">
        <v>1.0</v>
      </c>
      <c r="J2707" s="1">
        <v>148.0</v>
      </c>
      <c r="L2707" s="1">
        <v>1.1767999E7</v>
      </c>
      <c r="N2707" s="1">
        <v>8306666.0</v>
      </c>
      <c r="P2707" s="1" t="s">
        <v>9982</v>
      </c>
      <c r="Q2707" s="1" t="s">
        <v>9983</v>
      </c>
      <c r="R2707" s="1" t="s">
        <v>8321</v>
      </c>
      <c r="S2707" s="1">
        <v>1.0</v>
      </c>
      <c r="T2707" s="1">
        <v>1.0</v>
      </c>
      <c r="X2707" s="1" t="s">
        <v>56</v>
      </c>
      <c r="Z2707" s="1" t="s">
        <v>9983</v>
      </c>
    </row>
    <row r="2708">
      <c r="A2708" s="3" t="str">
        <f>HYPERLINK("https://stackoverflow.com/q/56983444", "56983444")</f>
        <v>56983444</v>
      </c>
      <c r="B2708" s="1" t="s">
        <v>7613</v>
      </c>
      <c r="C2708" s="1" t="s">
        <v>9984</v>
      </c>
      <c r="D2708" s="2" t="s">
        <v>9985</v>
      </c>
      <c r="E2708" s="1">
        <v>1.0</v>
      </c>
      <c r="I2708" s="1">
        <v>0.0</v>
      </c>
      <c r="J2708" s="1">
        <v>103.0</v>
      </c>
      <c r="L2708" s="1">
        <v>9821597.0</v>
      </c>
      <c r="N2708" s="1">
        <v>1.1607574E7</v>
      </c>
      <c r="P2708" s="1" t="s">
        <v>9986</v>
      </c>
      <c r="Q2708" s="1" t="s">
        <v>9987</v>
      </c>
      <c r="R2708" s="1" t="s">
        <v>9988</v>
      </c>
      <c r="S2708" s="1">
        <v>1.0</v>
      </c>
      <c r="T2708" s="1">
        <v>4.0</v>
      </c>
      <c r="X2708" s="1" t="s">
        <v>56</v>
      </c>
    </row>
    <row r="2709">
      <c r="A2709" s="3" t="str">
        <f>HYPERLINK("https://stackoverflow.com/q/57006123", "57006123")</f>
        <v>57006123</v>
      </c>
      <c r="B2709" s="1" t="s">
        <v>7613</v>
      </c>
      <c r="C2709" s="1" t="s">
        <v>9989</v>
      </c>
      <c r="D2709" s="2" t="s">
        <v>9990</v>
      </c>
      <c r="E2709" s="1">
        <v>1.0</v>
      </c>
      <c r="I2709" s="1">
        <v>0.0</v>
      </c>
      <c r="J2709" s="1">
        <v>221.0</v>
      </c>
      <c r="L2709" s="1">
        <v>9821597.0</v>
      </c>
      <c r="Q2709" s="1" t="s">
        <v>9991</v>
      </c>
      <c r="R2709" s="1" t="s">
        <v>8321</v>
      </c>
      <c r="S2709" s="1">
        <v>1.0</v>
      </c>
      <c r="T2709" s="1">
        <v>0.0</v>
      </c>
      <c r="X2709" s="1" t="s">
        <v>56</v>
      </c>
    </row>
    <row r="2710">
      <c r="A2710" s="3" t="str">
        <f>HYPERLINK("https://stackoverflow.com/q/57007183", "57007183")</f>
        <v>57007183</v>
      </c>
      <c r="B2710" s="1" t="s">
        <v>7613</v>
      </c>
      <c r="C2710" s="1" t="s">
        <v>9992</v>
      </c>
      <c r="D2710" s="2" t="s">
        <v>9993</v>
      </c>
      <c r="E2710" s="1">
        <v>1.0</v>
      </c>
      <c r="I2710" s="1">
        <v>0.0</v>
      </c>
      <c r="J2710" s="1">
        <v>32.0</v>
      </c>
      <c r="L2710" s="1">
        <v>5749442.0</v>
      </c>
      <c r="Q2710" s="1" t="s">
        <v>9992</v>
      </c>
      <c r="R2710" s="1" t="s">
        <v>8705</v>
      </c>
      <c r="S2710" s="1">
        <v>0.0</v>
      </c>
      <c r="T2710" s="1">
        <v>0.0</v>
      </c>
      <c r="X2710" s="1" t="s">
        <v>56</v>
      </c>
    </row>
    <row r="2711">
      <c r="A2711" s="3" t="str">
        <f>HYPERLINK("https://stackoverflow.com/q/57008985", "57008985")</f>
        <v>57008985</v>
      </c>
      <c r="B2711" s="1" t="s">
        <v>7613</v>
      </c>
      <c r="C2711" s="1" t="s">
        <v>9994</v>
      </c>
      <c r="D2711" s="2" t="s">
        <v>9995</v>
      </c>
      <c r="E2711" s="1">
        <v>1.0</v>
      </c>
      <c r="F2711" s="1">
        <v>5.7014149E7</v>
      </c>
      <c r="I2711" s="1">
        <v>1.0</v>
      </c>
      <c r="J2711" s="1">
        <v>2898.0</v>
      </c>
      <c r="L2711" s="1">
        <v>3764425.0</v>
      </c>
      <c r="Q2711" s="1" t="s">
        <v>9996</v>
      </c>
      <c r="R2711" s="1" t="s">
        <v>9997</v>
      </c>
      <c r="S2711" s="1">
        <v>1.0</v>
      </c>
      <c r="T2711" s="1">
        <v>0.0</v>
      </c>
      <c r="X2711" s="1" t="s">
        <v>56</v>
      </c>
      <c r="Z2711" s="1" t="s">
        <v>9998</v>
      </c>
    </row>
    <row r="2712">
      <c r="A2712" s="3" t="str">
        <f>HYPERLINK("https://stackoverflow.com/q/57016969", "57016969")</f>
        <v>57016969</v>
      </c>
      <c r="B2712" s="1" t="s">
        <v>7613</v>
      </c>
      <c r="C2712" s="1" t="s">
        <v>9999</v>
      </c>
      <c r="D2712" s="2" t="s">
        <v>10000</v>
      </c>
      <c r="E2712" s="1">
        <v>1.0</v>
      </c>
      <c r="F2712" s="1">
        <v>5.7028236E7</v>
      </c>
      <c r="I2712" s="1">
        <v>0.0</v>
      </c>
      <c r="J2712" s="1">
        <v>450.0</v>
      </c>
      <c r="L2712" s="1">
        <v>9815307.0</v>
      </c>
      <c r="N2712" s="1">
        <v>1159783.0</v>
      </c>
      <c r="P2712" s="1" t="s">
        <v>10001</v>
      </c>
      <c r="Q2712" s="1" t="s">
        <v>10002</v>
      </c>
      <c r="R2712" s="1" t="s">
        <v>8321</v>
      </c>
      <c r="S2712" s="1">
        <v>1.0</v>
      </c>
      <c r="T2712" s="1">
        <v>1.0</v>
      </c>
      <c r="X2712" s="1" t="s">
        <v>56</v>
      </c>
      <c r="Z2712" s="1" t="s">
        <v>10002</v>
      </c>
    </row>
    <row r="2713">
      <c r="A2713" s="3" t="str">
        <f>HYPERLINK("https://stackoverflow.com/q/57017120", "57017120")</f>
        <v>57017120</v>
      </c>
      <c r="B2713" s="1" t="s">
        <v>7613</v>
      </c>
      <c r="C2713" s="1" t="s">
        <v>10003</v>
      </c>
      <c r="D2713" s="2" t="s">
        <v>10004</v>
      </c>
      <c r="E2713" s="1">
        <v>1.0</v>
      </c>
      <c r="F2713" s="1">
        <v>5.706983E7</v>
      </c>
      <c r="I2713" s="1">
        <v>0.0</v>
      </c>
      <c r="J2713" s="1">
        <v>66.0</v>
      </c>
      <c r="L2713" s="1">
        <v>4486216.0</v>
      </c>
      <c r="N2713" s="1">
        <v>4486216.0</v>
      </c>
      <c r="P2713" s="1" t="s">
        <v>10005</v>
      </c>
      <c r="Q2713" s="1" t="s">
        <v>10006</v>
      </c>
      <c r="R2713" s="1" t="s">
        <v>10007</v>
      </c>
      <c r="S2713" s="1">
        <v>1.0</v>
      </c>
      <c r="T2713" s="1">
        <v>0.0</v>
      </c>
      <c r="X2713" s="1" t="s">
        <v>56</v>
      </c>
      <c r="Z2713" s="1" t="s">
        <v>10006</v>
      </c>
    </row>
    <row r="2714">
      <c r="A2714" s="3" t="str">
        <f>HYPERLINK("https://stackoverflow.com/q/57072506", "57072506")</f>
        <v>57072506</v>
      </c>
      <c r="B2714" s="1" t="s">
        <v>7613</v>
      </c>
      <c r="C2714" s="1" t="s">
        <v>10008</v>
      </c>
      <c r="D2714" s="2" t="s">
        <v>10009</v>
      </c>
      <c r="E2714" s="1">
        <v>1.0</v>
      </c>
      <c r="I2714" s="1">
        <v>1.0</v>
      </c>
      <c r="J2714" s="1">
        <v>57.0</v>
      </c>
      <c r="L2714" s="1">
        <v>9106603.0</v>
      </c>
      <c r="N2714" s="1">
        <v>4999240.0</v>
      </c>
      <c r="P2714" s="1" t="s">
        <v>10010</v>
      </c>
      <c r="Q2714" s="1" t="s">
        <v>10010</v>
      </c>
      <c r="R2714" s="1" t="s">
        <v>9071</v>
      </c>
      <c r="S2714" s="1">
        <v>0.0</v>
      </c>
      <c r="T2714" s="1">
        <v>0.0</v>
      </c>
      <c r="X2714" s="1" t="s">
        <v>56</v>
      </c>
    </row>
    <row r="2715">
      <c r="A2715" s="3" t="str">
        <f>HYPERLINK("https://stackoverflow.com/q/57126292", "57126292")</f>
        <v>57126292</v>
      </c>
      <c r="B2715" s="1" t="s">
        <v>7613</v>
      </c>
      <c r="C2715" s="1" t="s">
        <v>10011</v>
      </c>
      <c r="D2715" s="2" t="s">
        <v>10012</v>
      </c>
      <c r="E2715" s="1">
        <v>1.0</v>
      </c>
      <c r="F2715" s="1">
        <v>5.7127077E7</v>
      </c>
      <c r="I2715" s="1">
        <v>0.0</v>
      </c>
      <c r="J2715" s="1">
        <v>457.0</v>
      </c>
      <c r="L2715" s="1">
        <v>7034462.0</v>
      </c>
      <c r="Q2715" s="1" t="s">
        <v>10013</v>
      </c>
      <c r="R2715" s="1" t="s">
        <v>10014</v>
      </c>
      <c r="S2715" s="1">
        <v>2.0</v>
      </c>
      <c r="T2715" s="1">
        <v>0.0</v>
      </c>
      <c r="X2715" s="1" t="s">
        <v>56</v>
      </c>
      <c r="Z2715" s="1" t="s">
        <v>10015</v>
      </c>
    </row>
    <row r="2716">
      <c r="A2716" s="3" t="str">
        <f>HYPERLINK("https://stackoverflow.com/q/57129117", "57129117")</f>
        <v>57129117</v>
      </c>
      <c r="B2716" s="1" t="s">
        <v>7613</v>
      </c>
      <c r="C2716" s="1" t="s">
        <v>10016</v>
      </c>
      <c r="D2716" s="2" t="s">
        <v>10017</v>
      </c>
      <c r="E2716" s="1">
        <v>1.0</v>
      </c>
      <c r="I2716" s="1">
        <v>1.0</v>
      </c>
      <c r="J2716" s="1">
        <v>44.0</v>
      </c>
      <c r="L2716" s="1">
        <v>7034462.0</v>
      </c>
      <c r="N2716" s="1">
        <v>7034462.0</v>
      </c>
      <c r="P2716" s="1" t="s">
        <v>10018</v>
      </c>
      <c r="Q2716" s="1" t="s">
        <v>10018</v>
      </c>
      <c r="R2716" s="1" t="s">
        <v>10014</v>
      </c>
      <c r="S2716" s="1">
        <v>0.0</v>
      </c>
      <c r="T2716" s="1">
        <v>0.0</v>
      </c>
      <c r="X2716" s="1" t="s">
        <v>56</v>
      </c>
    </row>
    <row r="2717">
      <c r="A2717" s="3" t="str">
        <f>HYPERLINK("https://stackoverflow.com/q/57139722", "57139722")</f>
        <v>57139722</v>
      </c>
      <c r="B2717" s="1" t="s">
        <v>7613</v>
      </c>
      <c r="C2717" s="1" t="s">
        <v>10019</v>
      </c>
      <c r="D2717" s="2" t="s">
        <v>10020</v>
      </c>
      <c r="E2717" s="1">
        <v>1.0</v>
      </c>
      <c r="I2717" s="1">
        <v>0.0</v>
      </c>
      <c r="J2717" s="1">
        <v>27.0</v>
      </c>
      <c r="L2717" s="1">
        <v>1731856.0</v>
      </c>
      <c r="Q2717" s="1" t="s">
        <v>10019</v>
      </c>
      <c r="R2717" s="1" t="s">
        <v>10021</v>
      </c>
      <c r="S2717" s="1">
        <v>0.0</v>
      </c>
      <c r="T2717" s="1">
        <v>1.0</v>
      </c>
      <c r="X2717" s="1" t="s">
        <v>56</v>
      </c>
    </row>
    <row r="2718">
      <c r="A2718" s="3" t="str">
        <f>HYPERLINK("https://stackoverflow.com/q/57156494", "57156494")</f>
        <v>57156494</v>
      </c>
      <c r="B2718" s="1" t="s">
        <v>7613</v>
      </c>
      <c r="C2718" s="1" t="s">
        <v>10022</v>
      </c>
      <c r="D2718" s="2" t="s">
        <v>10023</v>
      </c>
      <c r="E2718" s="1">
        <v>1.0</v>
      </c>
      <c r="I2718" s="1">
        <v>0.0</v>
      </c>
      <c r="J2718" s="1">
        <v>235.0</v>
      </c>
      <c r="L2718" s="1">
        <v>3996752.0</v>
      </c>
      <c r="Q2718" s="1" t="s">
        <v>10022</v>
      </c>
      <c r="R2718" s="1" t="s">
        <v>10024</v>
      </c>
      <c r="S2718" s="1">
        <v>0.0</v>
      </c>
      <c r="T2718" s="1">
        <v>2.0</v>
      </c>
      <c r="X2718" s="1" t="s">
        <v>56</v>
      </c>
    </row>
    <row r="2719">
      <c r="A2719" s="3" t="str">
        <f>HYPERLINK("https://stackoverflow.com/q/57160000", "57160000")</f>
        <v>57160000</v>
      </c>
      <c r="B2719" s="1" t="s">
        <v>7613</v>
      </c>
      <c r="C2719" s="1" t="s">
        <v>10025</v>
      </c>
      <c r="D2719" s="2" t="s">
        <v>10026</v>
      </c>
      <c r="E2719" s="1">
        <v>1.0</v>
      </c>
      <c r="I2719" s="1">
        <v>0.0</v>
      </c>
      <c r="J2719" s="1">
        <v>6.0</v>
      </c>
      <c r="L2719" s="1">
        <v>1.04845E7</v>
      </c>
      <c r="Q2719" s="1" t="s">
        <v>10025</v>
      </c>
      <c r="R2719" s="1" t="s">
        <v>9071</v>
      </c>
      <c r="S2719" s="1">
        <v>0.0</v>
      </c>
      <c r="T2719" s="1">
        <v>0.0</v>
      </c>
      <c r="X2719" s="1" t="s">
        <v>56</v>
      </c>
    </row>
    <row r="2720">
      <c r="A2720" s="3" t="str">
        <f>HYPERLINK("https://stackoverflow.com/q/57170193", "57170193")</f>
        <v>57170193</v>
      </c>
      <c r="B2720" s="1" t="s">
        <v>7613</v>
      </c>
      <c r="C2720" s="1" t="s">
        <v>10027</v>
      </c>
      <c r="D2720" s="2" t="s">
        <v>10028</v>
      </c>
      <c r="E2720" s="1">
        <v>1.0</v>
      </c>
      <c r="I2720" s="1">
        <v>0.0</v>
      </c>
      <c r="J2720" s="1">
        <v>90.0</v>
      </c>
      <c r="L2720" s="1">
        <v>9915405.0</v>
      </c>
      <c r="Q2720" s="1" t="s">
        <v>10027</v>
      </c>
      <c r="R2720" s="1" t="s">
        <v>9460</v>
      </c>
      <c r="S2720" s="1">
        <v>0.0</v>
      </c>
      <c r="T2720" s="1">
        <v>0.0</v>
      </c>
      <c r="X2720" s="1" t="s">
        <v>56</v>
      </c>
    </row>
    <row r="2721">
      <c r="A2721" s="3" t="str">
        <f>HYPERLINK("https://stackoverflow.com/q/57185134", "57185134")</f>
        <v>57185134</v>
      </c>
      <c r="B2721" s="1" t="s">
        <v>7613</v>
      </c>
      <c r="C2721" s="1" t="s">
        <v>10029</v>
      </c>
      <c r="D2721" s="2" t="s">
        <v>10030</v>
      </c>
      <c r="E2721" s="1">
        <v>1.0</v>
      </c>
      <c r="I2721" s="1">
        <v>0.0</v>
      </c>
      <c r="J2721" s="1">
        <v>24.0</v>
      </c>
      <c r="L2721" s="1">
        <v>1586764.0</v>
      </c>
      <c r="Q2721" s="1" t="s">
        <v>10029</v>
      </c>
      <c r="R2721" s="1" t="s">
        <v>10031</v>
      </c>
      <c r="S2721" s="1">
        <v>0.0</v>
      </c>
      <c r="T2721" s="1">
        <v>2.0</v>
      </c>
      <c r="X2721" s="1" t="s">
        <v>56</v>
      </c>
    </row>
    <row r="2722">
      <c r="A2722" s="3" t="str">
        <f>HYPERLINK("https://stackoverflow.com/q/57193206", "57193206")</f>
        <v>57193206</v>
      </c>
      <c r="B2722" s="1" t="s">
        <v>7613</v>
      </c>
      <c r="C2722" s="1" t="s">
        <v>10032</v>
      </c>
      <c r="D2722" s="2" t="s">
        <v>10033</v>
      </c>
      <c r="E2722" s="1">
        <v>1.0</v>
      </c>
      <c r="I2722" s="1">
        <v>0.0</v>
      </c>
      <c r="J2722" s="1">
        <v>68.0</v>
      </c>
      <c r="L2722" s="1">
        <v>1.1833506E7</v>
      </c>
      <c r="Q2722" s="1" t="s">
        <v>10034</v>
      </c>
      <c r="R2722" s="1" t="s">
        <v>8818</v>
      </c>
      <c r="S2722" s="1">
        <v>1.0</v>
      </c>
      <c r="T2722" s="1">
        <v>0.0</v>
      </c>
      <c r="X2722" s="1" t="s">
        <v>56</v>
      </c>
    </row>
    <row r="2723">
      <c r="A2723" s="3" t="str">
        <f>HYPERLINK("https://stackoverflow.com/q/57193594", "57193594")</f>
        <v>57193594</v>
      </c>
      <c r="B2723" s="1" t="s">
        <v>7613</v>
      </c>
      <c r="C2723" s="1" t="s">
        <v>10035</v>
      </c>
      <c r="D2723" s="2" t="s">
        <v>10036</v>
      </c>
      <c r="E2723" s="1">
        <v>1.0</v>
      </c>
      <c r="I2723" s="1">
        <v>0.0</v>
      </c>
      <c r="J2723" s="1">
        <v>33.0</v>
      </c>
      <c r="L2723" s="1">
        <v>2181780.0</v>
      </c>
      <c r="Q2723" s="1" t="s">
        <v>10037</v>
      </c>
      <c r="R2723" s="1" t="s">
        <v>8321</v>
      </c>
      <c r="S2723" s="1">
        <v>1.0</v>
      </c>
      <c r="T2723" s="1">
        <v>1.0</v>
      </c>
      <c r="X2723" s="1" t="s">
        <v>56</v>
      </c>
    </row>
    <row r="2724">
      <c r="A2724" s="3" t="str">
        <f>HYPERLINK("https://stackoverflow.com/q/57193893", "57193893")</f>
        <v>57193893</v>
      </c>
      <c r="B2724" s="1" t="s">
        <v>7613</v>
      </c>
      <c r="C2724" s="1" t="s">
        <v>10038</v>
      </c>
      <c r="D2724" s="2" t="s">
        <v>10039</v>
      </c>
      <c r="E2724" s="1">
        <v>1.0</v>
      </c>
      <c r="I2724" s="1">
        <v>0.0</v>
      </c>
      <c r="J2724" s="1">
        <v>66.0</v>
      </c>
      <c r="L2724" s="1">
        <v>1.1833506E7</v>
      </c>
      <c r="N2724" s="1">
        <v>5320802.0</v>
      </c>
      <c r="P2724" s="1" t="s">
        <v>10040</v>
      </c>
      <c r="Q2724" s="1" t="s">
        <v>10041</v>
      </c>
      <c r="R2724" s="1" t="s">
        <v>8818</v>
      </c>
      <c r="S2724" s="1">
        <v>1.0</v>
      </c>
      <c r="T2724" s="1">
        <v>0.0</v>
      </c>
      <c r="X2724" s="1" t="s">
        <v>56</v>
      </c>
    </row>
    <row r="2725">
      <c r="A2725" s="3" t="str">
        <f>HYPERLINK("https://stackoverflow.com/q/57204867", "57204867")</f>
        <v>57204867</v>
      </c>
      <c r="B2725" s="1" t="s">
        <v>7613</v>
      </c>
      <c r="C2725" s="1" t="s">
        <v>10042</v>
      </c>
      <c r="D2725" s="2" t="s">
        <v>10043</v>
      </c>
      <c r="E2725" s="1">
        <v>1.0</v>
      </c>
      <c r="I2725" s="1">
        <v>0.0</v>
      </c>
      <c r="J2725" s="1">
        <v>13.0</v>
      </c>
      <c r="L2725" s="1">
        <v>1.1155153E7</v>
      </c>
      <c r="Q2725" s="1" t="s">
        <v>10042</v>
      </c>
      <c r="R2725" s="1" t="s">
        <v>10044</v>
      </c>
      <c r="S2725" s="1">
        <v>0.0</v>
      </c>
      <c r="T2725" s="1">
        <v>0.0</v>
      </c>
      <c r="X2725" s="1" t="s">
        <v>56</v>
      </c>
    </row>
    <row r="2726">
      <c r="A2726" s="3" t="str">
        <f>HYPERLINK("https://stackoverflow.com/q/57205735", "57205735")</f>
        <v>57205735</v>
      </c>
      <c r="B2726" s="1" t="s">
        <v>7613</v>
      </c>
      <c r="C2726" s="1" t="s">
        <v>10045</v>
      </c>
      <c r="D2726" s="2" t="s">
        <v>10046</v>
      </c>
      <c r="E2726" s="1">
        <v>1.0</v>
      </c>
      <c r="F2726" s="1">
        <v>5.7206645E7</v>
      </c>
      <c r="I2726" s="1">
        <v>0.0</v>
      </c>
      <c r="J2726" s="1">
        <v>22.0</v>
      </c>
      <c r="L2726" s="1">
        <v>579442.0</v>
      </c>
      <c r="Q2726" s="1" t="s">
        <v>10047</v>
      </c>
      <c r="R2726" s="1" t="s">
        <v>10048</v>
      </c>
      <c r="S2726" s="1">
        <v>1.0</v>
      </c>
      <c r="T2726" s="1">
        <v>0.0</v>
      </c>
      <c r="X2726" s="1" t="s">
        <v>56</v>
      </c>
      <c r="Z2726" s="1" t="s">
        <v>10047</v>
      </c>
    </row>
    <row r="2727">
      <c r="A2727" s="3" t="str">
        <f>HYPERLINK("https://stackoverflow.com/q/57211188", "57211188")</f>
        <v>57211188</v>
      </c>
      <c r="B2727" s="1" t="s">
        <v>7613</v>
      </c>
      <c r="C2727" s="1" t="s">
        <v>10049</v>
      </c>
      <c r="D2727" s="2" t="s">
        <v>10050</v>
      </c>
      <c r="E2727" s="1">
        <v>1.0</v>
      </c>
      <c r="I2727" s="1">
        <v>0.0</v>
      </c>
      <c r="J2727" s="1">
        <v>43.0</v>
      </c>
      <c r="L2727" s="1">
        <v>1.1628601E7</v>
      </c>
      <c r="Q2727" s="1" t="s">
        <v>10049</v>
      </c>
      <c r="R2727" s="1" t="s">
        <v>10051</v>
      </c>
      <c r="S2727" s="1">
        <v>0.0</v>
      </c>
      <c r="T2727" s="1">
        <v>1.0</v>
      </c>
      <c r="X2727" s="1" t="s">
        <v>56</v>
      </c>
    </row>
    <row r="2728">
      <c r="A2728" s="3" t="str">
        <f>HYPERLINK("https://stackoverflow.com/q/57218185", "57218185")</f>
        <v>57218185</v>
      </c>
      <c r="B2728" s="1" t="s">
        <v>7613</v>
      </c>
      <c r="C2728" s="1" t="s">
        <v>10052</v>
      </c>
      <c r="D2728" s="2" t="s">
        <v>10053</v>
      </c>
      <c r="E2728" s="1">
        <v>1.0</v>
      </c>
      <c r="I2728" s="1">
        <v>0.0</v>
      </c>
      <c r="J2728" s="1">
        <v>48.0</v>
      </c>
      <c r="L2728" s="1">
        <v>1.1833506E7</v>
      </c>
      <c r="N2728" s="1">
        <v>4911868.0</v>
      </c>
      <c r="P2728" s="1" t="s">
        <v>10054</v>
      </c>
      <c r="Q2728" s="1" t="s">
        <v>10054</v>
      </c>
      <c r="R2728" s="1" t="s">
        <v>10055</v>
      </c>
      <c r="S2728" s="1">
        <v>0.0</v>
      </c>
      <c r="T2728" s="1">
        <v>0.0</v>
      </c>
      <c r="X2728" s="1" t="s">
        <v>56</v>
      </c>
    </row>
    <row r="2729">
      <c r="A2729" s="3" t="str">
        <f>HYPERLINK("https://stackoverflow.com/q/57219620", "57219620")</f>
        <v>57219620</v>
      </c>
      <c r="B2729" s="1" t="s">
        <v>7613</v>
      </c>
      <c r="C2729" s="1" t="s">
        <v>10056</v>
      </c>
      <c r="D2729" s="2" t="s">
        <v>10057</v>
      </c>
      <c r="E2729" s="1">
        <v>1.0</v>
      </c>
      <c r="I2729" s="1">
        <v>0.0</v>
      </c>
      <c r="J2729" s="1">
        <v>587.0</v>
      </c>
      <c r="L2729" s="1">
        <v>8956187.0</v>
      </c>
      <c r="N2729" s="1">
        <v>8956187.0</v>
      </c>
      <c r="P2729" s="1" t="s">
        <v>10058</v>
      </c>
      <c r="Q2729" s="1" t="s">
        <v>10059</v>
      </c>
      <c r="R2729" s="1" t="s">
        <v>10060</v>
      </c>
      <c r="S2729" s="1">
        <v>1.0</v>
      </c>
      <c r="T2729" s="1">
        <v>10.0</v>
      </c>
      <c r="X2729" s="1" t="s">
        <v>56</v>
      </c>
    </row>
    <row r="2730">
      <c r="A2730" s="3" t="str">
        <f>HYPERLINK("https://stackoverflow.com/q/57223376", "57223376")</f>
        <v>57223376</v>
      </c>
      <c r="B2730" s="1" t="s">
        <v>7613</v>
      </c>
      <c r="C2730" s="1" t="s">
        <v>10061</v>
      </c>
      <c r="D2730" s="2" t="s">
        <v>10062</v>
      </c>
      <c r="E2730" s="1">
        <v>1.0</v>
      </c>
      <c r="I2730" s="1">
        <v>0.0</v>
      </c>
      <c r="J2730" s="1">
        <v>1181.0</v>
      </c>
      <c r="L2730" s="1">
        <v>1.1842284E7</v>
      </c>
      <c r="Q2730" s="1" t="s">
        <v>10063</v>
      </c>
      <c r="R2730" s="1" t="s">
        <v>8774</v>
      </c>
      <c r="S2730" s="1">
        <v>1.0</v>
      </c>
      <c r="T2730" s="1">
        <v>0.0</v>
      </c>
      <c r="X2730" s="1" t="s">
        <v>56</v>
      </c>
    </row>
    <row r="2731">
      <c r="A2731" s="3" t="str">
        <f>HYPERLINK("https://stackoverflow.com/q/57235975", "57235975")</f>
        <v>57235975</v>
      </c>
      <c r="B2731" s="1" t="s">
        <v>7613</v>
      </c>
      <c r="C2731" s="1" t="s">
        <v>10064</v>
      </c>
      <c r="D2731" s="2" t="s">
        <v>10065</v>
      </c>
      <c r="E2731" s="1">
        <v>1.0</v>
      </c>
      <c r="I2731" s="1">
        <v>0.0</v>
      </c>
      <c r="J2731" s="1">
        <v>55.0</v>
      </c>
      <c r="L2731" s="1">
        <v>7908208.0</v>
      </c>
      <c r="Q2731" s="1" t="s">
        <v>10064</v>
      </c>
      <c r="R2731" s="1" t="s">
        <v>8728</v>
      </c>
      <c r="S2731" s="1">
        <v>0.0</v>
      </c>
      <c r="T2731" s="1">
        <v>0.0</v>
      </c>
      <c r="X2731" s="1" t="s">
        <v>56</v>
      </c>
    </row>
    <row r="2732">
      <c r="A2732" s="3" t="str">
        <f>HYPERLINK("https://stackoverflow.com/q/57250709", "57250709")</f>
        <v>57250709</v>
      </c>
      <c r="B2732" s="1" t="s">
        <v>7613</v>
      </c>
      <c r="C2732" s="1" t="s">
        <v>10066</v>
      </c>
      <c r="D2732" s="2" t="s">
        <v>10067</v>
      </c>
      <c r="E2732" s="1">
        <v>1.0</v>
      </c>
      <c r="I2732" s="1">
        <v>0.0</v>
      </c>
      <c r="J2732" s="1">
        <v>85.0</v>
      </c>
      <c r="L2732" s="1">
        <v>3445936.0</v>
      </c>
      <c r="Q2732" s="1" t="s">
        <v>10068</v>
      </c>
      <c r="R2732" s="1" t="s">
        <v>8412</v>
      </c>
      <c r="S2732" s="1">
        <v>1.0</v>
      </c>
      <c r="T2732" s="1">
        <v>0.0</v>
      </c>
      <c r="X2732" s="1" t="s">
        <v>56</v>
      </c>
    </row>
    <row r="2733">
      <c r="A2733" s="3" t="str">
        <f>HYPERLINK("https://stackoverflow.com/q/57265782", "57265782")</f>
        <v>57265782</v>
      </c>
      <c r="B2733" s="1" t="s">
        <v>7613</v>
      </c>
      <c r="C2733" s="1" t="s">
        <v>10069</v>
      </c>
      <c r="D2733" s="2" t="s">
        <v>10070</v>
      </c>
      <c r="E2733" s="1">
        <v>1.0</v>
      </c>
      <c r="I2733" s="1">
        <v>0.0</v>
      </c>
      <c r="J2733" s="1">
        <v>63.0</v>
      </c>
      <c r="L2733" s="1">
        <v>8057722.0</v>
      </c>
      <c r="Q2733" s="1" t="s">
        <v>10071</v>
      </c>
      <c r="R2733" s="1" t="s">
        <v>10072</v>
      </c>
      <c r="S2733" s="1">
        <v>1.0</v>
      </c>
      <c r="T2733" s="1">
        <v>0.0</v>
      </c>
      <c r="X2733" s="1" t="s">
        <v>56</v>
      </c>
    </row>
    <row r="2734">
      <c r="A2734" s="3" t="str">
        <f>HYPERLINK("https://stackoverflow.com/q/57278489", "57278489")</f>
        <v>57278489</v>
      </c>
      <c r="B2734" s="1" t="s">
        <v>7613</v>
      </c>
      <c r="C2734" s="1" t="s">
        <v>10073</v>
      </c>
      <c r="D2734" s="2" t="s">
        <v>10074</v>
      </c>
      <c r="E2734" s="1">
        <v>1.0</v>
      </c>
      <c r="I2734" s="1">
        <v>0.0</v>
      </c>
      <c r="J2734" s="1">
        <v>53.0</v>
      </c>
      <c r="L2734" s="1">
        <v>9922463.0</v>
      </c>
      <c r="Q2734" s="1" t="s">
        <v>10073</v>
      </c>
      <c r="R2734" s="1" t="s">
        <v>8321</v>
      </c>
      <c r="S2734" s="1">
        <v>0.0</v>
      </c>
      <c r="T2734" s="1">
        <v>2.0</v>
      </c>
      <c r="X2734" s="1" t="s">
        <v>56</v>
      </c>
    </row>
    <row r="2735">
      <c r="A2735" s="3" t="str">
        <f>HYPERLINK("https://stackoverflow.com/q/57279450", "57279450")</f>
        <v>57279450</v>
      </c>
      <c r="B2735" s="1" t="s">
        <v>7613</v>
      </c>
      <c r="C2735" s="1" t="s">
        <v>10075</v>
      </c>
      <c r="D2735" s="2" t="s">
        <v>10076</v>
      </c>
      <c r="E2735" s="1">
        <v>1.0</v>
      </c>
      <c r="I2735" s="1">
        <v>0.0</v>
      </c>
      <c r="J2735" s="1">
        <v>14.0</v>
      </c>
      <c r="L2735" s="1">
        <v>5749442.0</v>
      </c>
      <c r="Q2735" s="1" t="s">
        <v>10075</v>
      </c>
      <c r="R2735" s="1" t="s">
        <v>8818</v>
      </c>
      <c r="S2735" s="1">
        <v>0.0</v>
      </c>
      <c r="T2735" s="1">
        <v>1.0</v>
      </c>
      <c r="X2735" s="1" t="s">
        <v>56</v>
      </c>
    </row>
    <row r="2736">
      <c r="A2736" s="3" t="str">
        <f>HYPERLINK("https://stackoverflow.com/q/57290189", "57290189")</f>
        <v>57290189</v>
      </c>
      <c r="B2736" s="1" t="s">
        <v>7613</v>
      </c>
      <c r="C2736" s="1" t="s">
        <v>10077</v>
      </c>
      <c r="D2736" s="2" t="s">
        <v>10078</v>
      </c>
      <c r="E2736" s="1">
        <v>1.0</v>
      </c>
      <c r="I2736" s="1">
        <v>0.0</v>
      </c>
      <c r="J2736" s="1">
        <v>50.0</v>
      </c>
      <c r="L2736" s="1">
        <v>917467.0</v>
      </c>
      <c r="Q2736" s="1" t="s">
        <v>10077</v>
      </c>
      <c r="R2736" s="1" t="s">
        <v>8705</v>
      </c>
      <c r="S2736" s="1">
        <v>0.0</v>
      </c>
      <c r="T2736" s="1">
        <v>10.0</v>
      </c>
      <c r="X2736" s="1" t="s">
        <v>56</v>
      </c>
    </row>
    <row r="2737">
      <c r="A2737" s="3" t="str">
        <f>HYPERLINK("https://stackoverflow.com/q/57297387", "57297387")</f>
        <v>57297387</v>
      </c>
      <c r="B2737" s="1" t="s">
        <v>7613</v>
      </c>
      <c r="C2737" s="1" t="s">
        <v>10079</v>
      </c>
      <c r="D2737" s="2" t="s">
        <v>10080</v>
      </c>
      <c r="E2737" s="1">
        <v>1.0</v>
      </c>
      <c r="I2737" s="1">
        <v>0.0</v>
      </c>
      <c r="J2737" s="1">
        <v>26.0</v>
      </c>
      <c r="L2737" s="1">
        <v>5678230.0</v>
      </c>
      <c r="Q2737" s="1" t="s">
        <v>10079</v>
      </c>
      <c r="R2737" s="1" t="s">
        <v>10081</v>
      </c>
      <c r="S2737" s="1">
        <v>0.0</v>
      </c>
      <c r="T2737" s="1">
        <v>0.0</v>
      </c>
      <c r="X2737" s="1" t="s">
        <v>56</v>
      </c>
    </row>
    <row r="2738">
      <c r="A2738" s="3" t="str">
        <f>HYPERLINK("https://stackoverflow.com/q/57304116", "57304116")</f>
        <v>57304116</v>
      </c>
      <c r="B2738" s="1" t="s">
        <v>7613</v>
      </c>
      <c r="C2738" s="1" t="s">
        <v>10082</v>
      </c>
      <c r="D2738" s="2" t="s">
        <v>10083</v>
      </c>
      <c r="E2738" s="1">
        <v>1.0</v>
      </c>
      <c r="I2738" s="1">
        <v>0.0</v>
      </c>
      <c r="J2738" s="1">
        <v>259.0</v>
      </c>
      <c r="L2738" s="1">
        <v>4931054.0</v>
      </c>
      <c r="Q2738" s="1" t="s">
        <v>10082</v>
      </c>
      <c r="R2738" s="1" t="s">
        <v>10084</v>
      </c>
      <c r="S2738" s="1">
        <v>0.0</v>
      </c>
      <c r="T2738" s="1">
        <v>0.0</v>
      </c>
      <c r="X2738" s="1" t="s">
        <v>56</v>
      </c>
    </row>
    <row r="2739">
      <c r="A2739" s="3" t="str">
        <f>HYPERLINK("https://stackoverflow.com/q/57309184", "57309184")</f>
        <v>57309184</v>
      </c>
      <c r="B2739" s="1" t="s">
        <v>7613</v>
      </c>
      <c r="C2739" s="1" t="s">
        <v>10085</v>
      </c>
      <c r="D2739" s="2" t="s">
        <v>10086</v>
      </c>
      <c r="E2739" s="1">
        <v>1.0</v>
      </c>
      <c r="I2739" s="1">
        <v>0.0</v>
      </c>
      <c r="J2739" s="1">
        <v>19.0</v>
      </c>
      <c r="L2739" s="1">
        <v>5142950.0</v>
      </c>
      <c r="N2739" s="1">
        <v>8285811.0</v>
      </c>
      <c r="P2739" s="1" t="s">
        <v>10087</v>
      </c>
      <c r="Q2739" s="1" t="s">
        <v>10087</v>
      </c>
      <c r="R2739" s="1" t="s">
        <v>9527</v>
      </c>
      <c r="S2739" s="1">
        <v>0.0</v>
      </c>
      <c r="T2739" s="1">
        <v>2.0</v>
      </c>
      <c r="X2739" s="1" t="s">
        <v>56</v>
      </c>
    </row>
    <row r="2740">
      <c r="A2740" s="3" t="str">
        <f>HYPERLINK("https://stackoverflow.com/q/57314923", "57314923")</f>
        <v>57314923</v>
      </c>
      <c r="B2740" s="1" t="s">
        <v>7613</v>
      </c>
      <c r="C2740" s="1" t="s">
        <v>10088</v>
      </c>
      <c r="D2740" s="2" t="s">
        <v>10089</v>
      </c>
      <c r="E2740" s="1">
        <v>1.0</v>
      </c>
      <c r="I2740" s="1">
        <v>0.0</v>
      </c>
      <c r="J2740" s="1">
        <v>119.0</v>
      </c>
      <c r="L2740" s="1">
        <v>8705682.0</v>
      </c>
      <c r="Q2740" s="1" t="s">
        <v>10090</v>
      </c>
      <c r="R2740" s="1" t="s">
        <v>8321</v>
      </c>
      <c r="S2740" s="1">
        <v>1.0</v>
      </c>
      <c r="T2740" s="1">
        <v>0.0</v>
      </c>
      <c r="X2740" s="1" t="s">
        <v>56</v>
      </c>
    </row>
    <row r="2741">
      <c r="A2741" s="3" t="str">
        <f>HYPERLINK("https://stackoverflow.com/q/57322919", "57322919")</f>
        <v>57322919</v>
      </c>
      <c r="B2741" s="1" t="s">
        <v>7613</v>
      </c>
      <c r="C2741" s="1" t="s">
        <v>10091</v>
      </c>
      <c r="D2741" s="2" t="s">
        <v>10092</v>
      </c>
      <c r="E2741" s="1">
        <v>1.0</v>
      </c>
      <c r="F2741" s="1">
        <v>5.7347806E7</v>
      </c>
      <c r="I2741" s="1">
        <v>0.0</v>
      </c>
      <c r="J2741" s="1">
        <v>82.0</v>
      </c>
      <c r="L2741" s="1">
        <v>1.187305E7</v>
      </c>
      <c r="Q2741" s="1" t="s">
        <v>10093</v>
      </c>
      <c r="R2741" s="1" t="s">
        <v>8818</v>
      </c>
      <c r="S2741" s="1">
        <v>1.0</v>
      </c>
      <c r="T2741" s="1">
        <v>0.0</v>
      </c>
      <c r="X2741" s="1" t="s">
        <v>56</v>
      </c>
      <c r="Z2741" s="1" t="s">
        <v>10093</v>
      </c>
    </row>
    <row r="2742">
      <c r="A2742" s="3" t="str">
        <f>HYPERLINK("https://stackoverflow.com/q/57325762", "57325762")</f>
        <v>57325762</v>
      </c>
      <c r="B2742" s="1" t="s">
        <v>7613</v>
      </c>
      <c r="C2742" s="1" t="s">
        <v>10094</v>
      </c>
      <c r="D2742" s="2" t="s">
        <v>10095</v>
      </c>
      <c r="E2742" s="1">
        <v>1.0</v>
      </c>
      <c r="I2742" s="1">
        <v>1.0</v>
      </c>
      <c r="J2742" s="1">
        <v>511.0</v>
      </c>
      <c r="L2742" s="1">
        <v>1.0253353E7</v>
      </c>
      <c r="N2742" s="1">
        <v>1.0253353E7</v>
      </c>
      <c r="P2742" s="1" t="s">
        <v>10096</v>
      </c>
      <c r="Q2742" s="1" t="s">
        <v>10097</v>
      </c>
      <c r="R2742" s="1" t="s">
        <v>8271</v>
      </c>
      <c r="S2742" s="1">
        <v>1.0</v>
      </c>
      <c r="T2742" s="1">
        <v>1.0</v>
      </c>
      <c r="X2742" s="1" t="s">
        <v>56</v>
      </c>
    </row>
    <row r="2743">
      <c r="A2743" s="3" t="str">
        <f>HYPERLINK("https://stackoverflow.com/q/57357758", "57357758")</f>
        <v>57357758</v>
      </c>
      <c r="B2743" s="1" t="s">
        <v>7613</v>
      </c>
      <c r="C2743" s="1" t="s">
        <v>10098</v>
      </c>
      <c r="D2743" s="2" t="s">
        <v>10099</v>
      </c>
      <c r="E2743" s="1">
        <v>1.0</v>
      </c>
      <c r="I2743" s="1">
        <v>0.0</v>
      </c>
      <c r="J2743" s="1">
        <v>192.0</v>
      </c>
      <c r="L2743" s="1">
        <v>8165681.0</v>
      </c>
      <c r="Q2743" s="1" t="s">
        <v>10098</v>
      </c>
      <c r="R2743" s="1" t="s">
        <v>10100</v>
      </c>
      <c r="S2743" s="1">
        <v>0.0</v>
      </c>
      <c r="T2743" s="1">
        <v>1.0</v>
      </c>
      <c r="X2743" s="1" t="s">
        <v>56</v>
      </c>
    </row>
    <row r="2744">
      <c r="A2744" s="3" t="str">
        <f>HYPERLINK("https://stackoverflow.com/q/57368043", "57368043")</f>
        <v>57368043</v>
      </c>
      <c r="B2744" s="1" t="s">
        <v>7613</v>
      </c>
      <c r="C2744" s="1" t="s">
        <v>10101</v>
      </c>
      <c r="D2744" s="2" t="s">
        <v>10102</v>
      </c>
      <c r="E2744" s="1">
        <v>1.0</v>
      </c>
      <c r="I2744" s="1">
        <v>1.0</v>
      </c>
      <c r="J2744" s="1">
        <v>31.0</v>
      </c>
      <c r="L2744" s="1">
        <v>133611.0</v>
      </c>
      <c r="Q2744" s="1" t="s">
        <v>10101</v>
      </c>
      <c r="R2744" s="1" t="s">
        <v>10103</v>
      </c>
      <c r="S2744" s="1">
        <v>0.0</v>
      </c>
      <c r="T2744" s="1">
        <v>0.0</v>
      </c>
      <c r="X2744" s="1" t="s">
        <v>56</v>
      </c>
    </row>
    <row r="2745">
      <c r="A2745" s="3" t="str">
        <f>HYPERLINK("https://stackoverflow.com/q/57372691", "57372691")</f>
        <v>57372691</v>
      </c>
      <c r="B2745" s="1" t="s">
        <v>7613</v>
      </c>
      <c r="C2745" s="1" t="s">
        <v>10104</v>
      </c>
      <c r="D2745" s="2" t="s">
        <v>10105</v>
      </c>
      <c r="E2745" s="1">
        <v>1.0</v>
      </c>
      <c r="I2745" s="1">
        <v>1.0</v>
      </c>
      <c r="J2745" s="1">
        <v>458.0</v>
      </c>
      <c r="L2745" s="1">
        <v>1.1883411E7</v>
      </c>
      <c r="Q2745" s="1" t="s">
        <v>10106</v>
      </c>
      <c r="R2745" s="1" t="s">
        <v>10107</v>
      </c>
      <c r="S2745" s="1">
        <v>1.0</v>
      </c>
      <c r="T2745" s="1">
        <v>0.0</v>
      </c>
      <c r="X2745" s="1" t="s">
        <v>56</v>
      </c>
    </row>
    <row r="2746">
      <c r="A2746" s="3" t="str">
        <f>HYPERLINK("https://stackoverflow.com/q/57428689", "57428689")</f>
        <v>57428689</v>
      </c>
      <c r="B2746" s="1" t="s">
        <v>7613</v>
      </c>
      <c r="C2746" s="1" t="s">
        <v>10108</v>
      </c>
      <c r="D2746" s="2" t="s">
        <v>10109</v>
      </c>
      <c r="E2746" s="1">
        <v>1.0</v>
      </c>
      <c r="I2746" s="1">
        <v>0.0</v>
      </c>
      <c r="J2746" s="1">
        <v>66.0</v>
      </c>
      <c r="L2746" s="1">
        <v>822522.0</v>
      </c>
      <c r="Q2746" s="1" t="s">
        <v>10108</v>
      </c>
      <c r="R2746" s="1" t="s">
        <v>8321</v>
      </c>
      <c r="S2746" s="1">
        <v>0.0</v>
      </c>
      <c r="T2746" s="1">
        <v>1.0</v>
      </c>
      <c r="X2746" s="1" t="s">
        <v>56</v>
      </c>
    </row>
    <row r="2747">
      <c r="A2747" s="3" t="str">
        <f>HYPERLINK("https://stackoverflow.com/q/57430993", "57430993")</f>
        <v>57430993</v>
      </c>
      <c r="B2747" s="1" t="s">
        <v>7613</v>
      </c>
      <c r="C2747" s="1" t="s">
        <v>10110</v>
      </c>
      <c r="D2747" s="2" t="s">
        <v>10111</v>
      </c>
      <c r="E2747" s="1">
        <v>1.0</v>
      </c>
      <c r="F2747" s="1">
        <v>5.7431457E7</v>
      </c>
      <c r="I2747" s="1">
        <v>0.0</v>
      </c>
      <c r="J2747" s="1">
        <v>95.0</v>
      </c>
      <c r="L2747" s="1">
        <v>1.1873537E7</v>
      </c>
      <c r="Q2747" s="1" t="s">
        <v>10112</v>
      </c>
      <c r="R2747" s="1" t="s">
        <v>9559</v>
      </c>
      <c r="S2747" s="1">
        <v>1.0</v>
      </c>
      <c r="T2747" s="1">
        <v>0.0</v>
      </c>
      <c r="U2747" s="1">
        <v>0.0</v>
      </c>
      <c r="X2747" s="1" t="s">
        <v>56</v>
      </c>
      <c r="Z2747" s="1" t="s">
        <v>10112</v>
      </c>
    </row>
    <row r="2748">
      <c r="A2748" s="3" t="str">
        <f>HYPERLINK("https://stackoverflow.com/q/57493498", "57493498")</f>
        <v>57493498</v>
      </c>
      <c r="B2748" s="1" t="s">
        <v>7613</v>
      </c>
      <c r="C2748" s="1" t="s">
        <v>10113</v>
      </c>
      <c r="D2748" s="2" t="s">
        <v>10114</v>
      </c>
      <c r="E2748" s="1">
        <v>1.0</v>
      </c>
      <c r="I2748" s="1">
        <v>0.0</v>
      </c>
      <c r="J2748" s="1">
        <v>67.0</v>
      </c>
      <c r="L2748" s="1">
        <v>1.1926914E7</v>
      </c>
      <c r="N2748" s="1">
        <v>7404943.0</v>
      </c>
      <c r="P2748" s="1" t="s">
        <v>10115</v>
      </c>
      <c r="Q2748" s="1" t="s">
        <v>10115</v>
      </c>
      <c r="R2748" s="1" t="s">
        <v>10116</v>
      </c>
      <c r="S2748" s="1">
        <v>0.0</v>
      </c>
      <c r="T2748" s="1">
        <v>0.0</v>
      </c>
      <c r="X2748" s="1" t="s">
        <v>56</v>
      </c>
    </row>
    <row r="2749">
      <c r="A2749" s="3" t="str">
        <f>HYPERLINK("https://stackoverflow.com/q/57500473", "57500473")</f>
        <v>57500473</v>
      </c>
      <c r="B2749" s="1" t="s">
        <v>7613</v>
      </c>
      <c r="C2749" s="1" t="s">
        <v>10117</v>
      </c>
      <c r="D2749" s="2" t="s">
        <v>10118</v>
      </c>
      <c r="E2749" s="1">
        <v>1.0</v>
      </c>
      <c r="I2749" s="1">
        <v>0.0</v>
      </c>
      <c r="J2749" s="1">
        <v>27.0</v>
      </c>
      <c r="L2749" s="1">
        <v>9915405.0</v>
      </c>
      <c r="Q2749" s="1" t="s">
        <v>10117</v>
      </c>
      <c r="R2749" s="1" t="s">
        <v>8321</v>
      </c>
      <c r="S2749" s="1">
        <v>0.0</v>
      </c>
      <c r="T2749" s="1">
        <v>1.0</v>
      </c>
      <c r="X2749" s="1" t="s">
        <v>56</v>
      </c>
    </row>
    <row r="2750">
      <c r="A2750" s="3" t="str">
        <f>HYPERLINK("https://stackoverflow.com/q/57516603", "57516603")</f>
        <v>57516603</v>
      </c>
      <c r="B2750" s="1" t="s">
        <v>7613</v>
      </c>
      <c r="C2750" s="1" t="s">
        <v>10119</v>
      </c>
      <c r="D2750" s="2" t="s">
        <v>10120</v>
      </c>
      <c r="E2750" s="1">
        <v>1.0</v>
      </c>
      <c r="I2750" s="1">
        <v>1.0</v>
      </c>
      <c r="J2750" s="1">
        <v>99.0</v>
      </c>
      <c r="L2750" s="1">
        <v>1.193353E7</v>
      </c>
      <c r="N2750" s="1">
        <v>1.193353E7</v>
      </c>
      <c r="P2750" s="1" t="s">
        <v>10121</v>
      </c>
      <c r="Q2750" s="1" t="s">
        <v>10121</v>
      </c>
      <c r="R2750" s="1" t="s">
        <v>10122</v>
      </c>
      <c r="S2750" s="1">
        <v>0.0</v>
      </c>
      <c r="T2750" s="1">
        <v>0.0</v>
      </c>
      <c r="X2750" s="1" t="s">
        <v>56</v>
      </c>
    </row>
    <row r="2751">
      <c r="A2751" s="3" t="str">
        <f>HYPERLINK("https://stackoverflow.com/q/57523091", "57523091")</f>
        <v>57523091</v>
      </c>
      <c r="B2751" s="1" t="s">
        <v>7613</v>
      </c>
      <c r="C2751" s="1" t="s">
        <v>10123</v>
      </c>
      <c r="D2751" s="2" t="s">
        <v>10124</v>
      </c>
      <c r="E2751" s="1">
        <v>1.0</v>
      </c>
      <c r="I2751" s="1">
        <v>0.0</v>
      </c>
      <c r="J2751" s="1">
        <v>101.0</v>
      </c>
      <c r="L2751" s="1">
        <v>1.1549666E7</v>
      </c>
      <c r="Q2751" s="1" t="s">
        <v>10125</v>
      </c>
      <c r="R2751" s="1" t="s">
        <v>10126</v>
      </c>
      <c r="S2751" s="1">
        <v>1.0</v>
      </c>
      <c r="T2751" s="1">
        <v>1.0</v>
      </c>
      <c r="X2751" s="1" t="s">
        <v>56</v>
      </c>
    </row>
    <row r="2752">
      <c r="A2752" s="3" t="str">
        <f>HYPERLINK("https://stackoverflow.com/q/57523823", "57523823")</f>
        <v>57523823</v>
      </c>
      <c r="B2752" s="1" t="s">
        <v>7613</v>
      </c>
      <c r="C2752" s="1" t="s">
        <v>10127</v>
      </c>
      <c r="D2752" s="2" t="s">
        <v>10128</v>
      </c>
      <c r="E2752" s="1">
        <v>1.0</v>
      </c>
      <c r="I2752" s="1">
        <v>0.0</v>
      </c>
      <c r="J2752" s="1">
        <v>1895.0</v>
      </c>
      <c r="L2752" s="1">
        <v>1.1935795E7</v>
      </c>
      <c r="N2752" s="1">
        <v>1.1935795E7</v>
      </c>
      <c r="P2752" s="1" t="s">
        <v>10129</v>
      </c>
      <c r="Q2752" s="1" t="s">
        <v>10130</v>
      </c>
      <c r="R2752" s="1" t="s">
        <v>8321</v>
      </c>
      <c r="S2752" s="1">
        <v>1.0</v>
      </c>
      <c r="T2752" s="1">
        <v>0.0</v>
      </c>
      <c r="X2752" s="1" t="s">
        <v>56</v>
      </c>
    </row>
    <row r="2753">
      <c r="A2753" s="3" t="str">
        <f>HYPERLINK("https://stackoverflow.com/q/57528695", "57528695")</f>
        <v>57528695</v>
      </c>
      <c r="B2753" s="1" t="s">
        <v>7613</v>
      </c>
      <c r="C2753" s="1" t="s">
        <v>10131</v>
      </c>
      <c r="D2753" s="2" t="s">
        <v>10132</v>
      </c>
      <c r="E2753" s="1">
        <v>1.0</v>
      </c>
      <c r="I2753" s="1">
        <v>3.0</v>
      </c>
      <c r="J2753" s="1">
        <v>2757.0</v>
      </c>
      <c r="L2753" s="1">
        <v>1.1935795E7</v>
      </c>
      <c r="N2753" s="1">
        <v>7891828.0</v>
      </c>
      <c r="P2753" s="1" t="s">
        <v>10133</v>
      </c>
      <c r="Q2753" s="1" t="s">
        <v>10134</v>
      </c>
      <c r="R2753" s="1" t="s">
        <v>8321</v>
      </c>
      <c r="S2753" s="1">
        <v>1.0</v>
      </c>
      <c r="T2753" s="1">
        <v>1.0</v>
      </c>
      <c r="X2753" s="1" t="s">
        <v>56</v>
      </c>
    </row>
    <row r="2754">
      <c r="A2754" s="3" t="str">
        <f>HYPERLINK("https://stackoverflow.com/q/57535384", "57535384")</f>
        <v>57535384</v>
      </c>
      <c r="B2754" s="1" t="s">
        <v>7613</v>
      </c>
      <c r="C2754" s="1" t="s">
        <v>10135</v>
      </c>
      <c r="D2754" s="2" t="s">
        <v>10136</v>
      </c>
      <c r="E2754" s="1">
        <v>1.0</v>
      </c>
      <c r="I2754" s="1">
        <v>0.0</v>
      </c>
      <c r="J2754" s="1">
        <v>13.0</v>
      </c>
      <c r="L2754" s="1">
        <v>1.0306344E7</v>
      </c>
      <c r="Q2754" s="1" t="s">
        <v>10135</v>
      </c>
      <c r="R2754" s="1" t="s">
        <v>9527</v>
      </c>
      <c r="S2754" s="1">
        <v>0.0</v>
      </c>
      <c r="T2754" s="1">
        <v>0.0</v>
      </c>
      <c r="X2754" s="1" t="s">
        <v>56</v>
      </c>
    </row>
    <row r="2755">
      <c r="A2755" s="3" t="str">
        <f>HYPERLINK("https://stackoverflow.com/q/57558625", "57558625")</f>
        <v>57558625</v>
      </c>
      <c r="B2755" s="1" t="s">
        <v>7613</v>
      </c>
      <c r="C2755" s="1" t="s">
        <v>10137</v>
      </c>
      <c r="D2755" s="2" t="s">
        <v>10138</v>
      </c>
      <c r="E2755" s="1">
        <v>1.0</v>
      </c>
      <c r="F2755" s="1">
        <v>5.7559603E7</v>
      </c>
      <c r="I2755" s="1">
        <v>3.0</v>
      </c>
      <c r="J2755" s="1">
        <v>1315.0</v>
      </c>
      <c r="L2755" s="1">
        <v>1.1254029E7</v>
      </c>
      <c r="N2755" s="1">
        <v>1.1254029E7</v>
      </c>
      <c r="P2755" s="1" t="s">
        <v>10139</v>
      </c>
      <c r="Q2755" s="1" t="s">
        <v>10140</v>
      </c>
      <c r="R2755" s="1" t="s">
        <v>10141</v>
      </c>
      <c r="S2755" s="1">
        <v>4.0</v>
      </c>
      <c r="T2755" s="1">
        <v>0.0</v>
      </c>
      <c r="U2755" s="1">
        <v>1.0</v>
      </c>
      <c r="X2755" s="1" t="s">
        <v>56</v>
      </c>
      <c r="Z2755" s="1" t="s">
        <v>10142</v>
      </c>
    </row>
    <row r="2756">
      <c r="A2756" s="3" t="str">
        <f>HYPERLINK("https://stackoverflow.com/q/57575852", "57575852")</f>
        <v>57575852</v>
      </c>
      <c r="B2756" s="1" t="s">
        <v>7613</v>
      </c>
      <c r="C2756" s="1" t="s">
        <v>10143</v>
      </c>
      <c r="D2756" s="2" t="s">
        <v>10144</v>
      </c>
      <c r="E2756" s="1">
        <v>1.0</v>
      </c>
      <c r="F2756" s="1">
        <v>5.7585405E7</v>
      </c>
      <c r="I2756" s="1">
        <v>2.0</v>
      </c>
      <c r="J2756" s="1">
        <v>438.0</v>
      </c>
      <c r="L2756" s="1">
        <v>7506236.0</v>
      </c>
      <c r="Q2756" s="1" t="s">
        <v>10145</v>
      </c>
      <c r="R2756" s="1" t="s">
        <v>10146</v>
      </c>
      <c r="S2756" s="1">
        <v>1.0</v>
      </c>
      <c r="T2756" s="1">
        <v>0.0</v>
      </c>
      <c r="X2756" s="1" t="s">
        <v>56</v>
      </c>
      <c r="Z2756" s="1" t="s">
        <v>10145</v>
      </c>
    </row>
    <row r="2757">
      <c r="A2757" s="3" t="str">
        <f>HYPERLINK("https://stackoverflow.com/q/57594014", "57594014")</f>
        <v>57594014</v>
      </c>
      <c r="B2757" s="1" t="s">
        <v>7613</v>
      </c>
      <c r="C2757" s="1" t="s">
        <v>10147</v>
      </c>
      <c r="D2757" s="2" t="s">
        <v>10148</v>
      </c>
      <c r="E2757" s="1">
        <v>1.0</v>
      </c>
      <c r="I2757" s="1">
        <v>0.0</v>
      </c>
      <c r="J2757" s="1">
        <v>654.0</v>
      </c>
      <c r="L2757" s="1">
        <v>1.0144968E7</v>
      </c>
      <c r="Q2757" s="1" t="s">
        <v>10149</v>
      </c>
      <c r="R2757" s="1" t="s">
        <v>10150</v>
      </c>
      <c r="S2757" s="1">
        <v>1.0</v>
      </c>
      <c r="T2757" s="1">
        <v>4.0</v>
      </c>
      <c r="X2757" s="1" t="s">
        <v>56</v>
      </c>
    </row>
    <row r="2758">
      <c r="A2758" s="3" t="str">
        <f>HYPERLINK("https://stackoverflow.com/q/57599366", "57599366")</f>
        <v>57599366</v>
      </c>
      <c r="B2758" s="1" t="s">
        <v>7613</v>
      </c>
      <c r="C2758" s="1" t="s">
        <v>10151</v>
      </c>
      <c r="D2758" s="2" t="s">
        <v>10152</v>
      </c>
      <c r="E2758" s="1">
        <v>1.0</v>
      </c>
      <c r="I2758" s="1">
        <v>0.0</v>
      </c>
      <c r="J2758" s="1">
        <v>113.0</v>
      </c>
      <c r="L2758" s="1">
        <v>1.1950969E7</v>
      </c>
      <c r="Q2758" s="1" t="s">
        <v>10151</v>
      </c>
      <c r="R2758" s="1" t="s">
        <v>10153</v>
      </c>
      <c r="S2758" s="1">
        <v>0.0</v>
      </c>
      <c r="T2758" s="1">
        <v>0.0</v>
      </c>
      <c r="X2758" s="1" t="s">
        <v>56</v>
      </c>
    </row>
    <row r="2759">
      <c r="A2759" s="3" t="str">
        <f>HYPERLINK("https://stackoverflow.com/q/57620833", "57620833")</f>
        <v>57620833</v>
      </c>
      <c r="B2759" s="1" t="s">
        <v>7613</v>
      </c>
      <c r="C2759" s="1" t="s">
        <v>10154</v>
      </c>
      <c r="D2759" s="2" t="s">
        <v>10155</v>
      </c>
      <c r="E2759" s="1">
        <v>1.0</v>
      </c>
      <c r="I2759" s="1">
        <v>0.0</v>
      </c>
      <c r="J2759" s="1">
        <v>68.0</v>
      </c>
      <c r="L2759" s="1">
        <v>9469447.0</v>
      </c>
      <c r="N2759" s="1">
        <v>9469447.0</v>
      </c>
      <c r="P2759" s="1" t="s">
        <v>10156</v>
      </c>
      <c r="Q2759" s="1" t="s">
        <v>10156</v>
      </c>
      <c r="R2759" s="1" t="s">
        <v>10157</v>
      </c>
      <c r="S2759" s="1">
        <v>0.0</v>
      </c>
      <c r="T2759" s="1">
        <v>0.0</v>
      </c>
      <c r="X2759" s="1" t="s">
        <v>56</v>
      </c>
    </row>
    <row r="2760">
      <c r="A2760" s="3" t="str">
        <f>HYPERLINK("https://stackoverflow.com/q/57623152", "57623152")</f>
        <v>57623152</v>
      </c>
      <c r="B2760" s="1" t="s">
        <v>7613</v>
      </c>
      <c r="C2760" s="1" t="s">
        <v>10158</v>
      </c>
      <c r="D2760" s="2" t="s">
        <v>10159</v>
      </c>
      <c r="E2760" s="1">
        <v>1.0</v>
      </c>
      <c r="I2760" s="1">
        <v>1.0</v>
      </c>
      <c r="J2760" s="1">
        <v>88.0</v>
      </c>
      <c r="L2760" s="1">
        <v>9921392.0</v>
      </c>
      <c r="Q2760" s="1" t="s">
        <v>10160</v>
      </c>
      <c r="R2760" s="1" t="s">
        <v>10161</v>
      </c>
      <c r="S2760" s="1">
        <v>1.0</v>
      </c>
      <c r="T2760" s="1">
        <v>2.0</v>
      </c>
      <c r="X2760" s="1" t="s">
        <v>56</v>
      </c>
    </row>
    <row r="2761">
      <c r="A2761" s="3" t="str">
        <f>HYPERLINK("https://stackoverflow.com/q/57626023", "57626023")</f>
        <v>57626023</v>
      </c>
      <c r="B2761" s="1" t="s">
        <v>7613</v>
      </c>
      <c r="C2761" s="1" t="s">
        <v>10162</v>
      </c>
      <c r="D2761" s="2" t="s">
        <v>10163</v>
      </c>
      <c r="E2761" s="1">
        <v>1.0</v>
      </c>
      <c r="I2761" s="1">
        <v>0.0</v>
      </c>
      <c r="J2761" s="1">
        <v>10.0</v>
      </c>
      <c r="L2761" s="1">
        <v>7322531.0</v>
      </c>
      <c r="Q2761" s="1" t="s">
        <v>10162</v>
      </c>
      <c r="R2761" s="1" t="s">
        <v>8728</v>
      </c>
      <c r="S2761" s="1">
        <v>0.0</v>
      </c>
      <c r="T2761" s="1">
        <v>0.0</v>
      </c>
      <c r="X2761" s="1" t="s">
        <v>56</v>
      </c>
    </row>
    <row r="2762">
      <c r="A2762" s="3" t="str">
        <f>HYPERLINK("https://stackoverflow.com/q/57647663", "57647663")</f>
        <v>57647663</v>
      </c>
      <c r="B2762" s="1" t="s">
        <v>7613</v>
      </c>
      <c r="C2762" s="1" t="s">
        <v>10164</v>
      </c>
      <c r="D2762" s="2" t="s">
        <v>10165</v>
      </c>
      <c r="E2762" s="1">
        <v>1.0</v>
      </c>
      <c r="I2762" s="1">
        <v>0.0</v>
      </c>
      <c r="J2762" s="1">
        <v>85.0</v>
      </c>
      <c r="L2762" s="1">
        <v>3289350.0</v>
      </c>
      <c r="N2762" s="1">
        <v>2080764.0</v>
      </c>
      <c r="P2762" s="1" t="s">
        <v>10166</v>
      </c>
      <c r="Q2762" s="1" t="s">
        <v>10166</v>
      </c>
      <c r="R2762" s="1" t="s">
        <v>8728</v>
      </c>
      <c r="S2762" s="1">
        <v>0.0</v>
      </c>
      <c r="T2762" s="1">
        <v>0.0</v>
      </c>
      <c r="X2762" s="1" t="s">
        <v>56</v>
      </c>
    </row>
    <row r="2763">
      <c r="A2763" s="3" t="str">
        <f>HYPERLINK("https://stackoverflow.com/q/57652832", "57652832")</f>
        <v>57652832</v>
      </c>
      <c r="B2763" s="1" t="s">
        <v>7613</v>
      </c>
      <c r="C2763" s="1" t="s">
        <v>10167</v>
      </c>
      <c r="D2763" s="2" t="s">
        <v>10168</v>
      </c>
      <c r="E2763" s="1">
        <v>1.0</v>
      </c>
      <c r="F2763" s="1">
        <v>5.7655716E7</v>
      </c>
      <c r="I2763" s="1">
        <v>0.0</v>
      </c>
      <c r="J2763" s="1">
        <v>45.0</v>
      </c>
      <c r="L2763" s="1">
        <v>8486505.0</v>
      </c>
      <c r="Q2763" s="1" t="s">
        <v>10169</v>
      </c>
      <c r="R2763" s="1" t="s">
        <v>8774</v>
      </c>
      <c r="S2763" s="1">
        <v>1.0</v>
      </c>
      <c r="T2763" s="1">
        <v>0.0</v>
      </c>
      <c r="X2763" s="1" t="s">
        <v>56</v>
      </c>
      <c r="Z2763" s="1" t="s">
        <v>10169</v>
      </c>
    </row>
    <row r="2764">
      <c r="A2764" s="3" t="str">
        <f>HYPERLINK("https://stackoverflow.com/q/57654496", "57654496")</f>
        <v>57654496</v>
      </c>
      <c r="B2764" s="1" t="s">
        <v>7613</v>
      </c>
      <c r="C2764" s="1" t="s">
        <v>10170</v>
      </c>
      <c r="D2764" s="2" t="s">
        <v>10171</v>
      </c>
      <c r="E2764" s="1">
        <v>1.0</v>
      </c>
      <c r="I2764" s="1">
        <v>0.0</v>
      </c>
      <c r="J2764" s="1">
        <v>53.0</v>
      </c>
      <c r="L2764" s="1">
        <v>1.1977248E7</v>
      </c>
      <c r="Q2764" s="1" t="s">
        <v>10172</v>
      </c>
      <c r="R2764" s="1" t="s">
        <v>10173</v>
      </c>
      <c r="S2764" s="1">
        <v>1.0</v>
      </c>
      <c r="T2764" s="1">
        <v>0.0</v>
      </c>
      <c r="X2764" s="1" t="s">
        <v>56</v>
      </c>
    </row>
    <row r="2765">
      <c r="A2765" s="3" t="str">
        <f>HYPERLINK("https://stackoverflow.com/q/57657610", "57657610")</f>
        <v>57657610</v>
      </c>
      <c r="B2765" s="1" t="s">
        <v>7613</v>
      </c>
      <c r="C2765" s="1" t="s">
        <v>10174</v>
      </c>
      <c r="D2765" s="2" t="s">
        <v>10175</v>
      </c>
      <c r="E2765" s="1">
        <v>1.0</v>
      </c>
      <c r="F2765" s="1">
        <v>5.7657878E7</v>
      </c>
      <c r="I2765" s="1">
        <v>0.0</v>
      </c>
      <c r="J2765" s="1">
        <v>28.0</v>
      </c>
      <c r="L2765" s="1">
        <v>1.1175569E7</v>
      </c>
      <c r="Q2765" s="1" t="s">
        <v>10176</v>
      </c>
      <c r="R2765" s="1" t="s">
        <v>7688</v>
      </c>
      <c r="S2765" s="1">
        <v>1.0</v>
      </c>
      <c r="T2765" s="1">
        <v>0.0</v>
      </c>
      <c r="X2765" s="1" t="s">
        <v>56</v>
      </c>
      <c r="Z2765" s="1" t="s">
        <v>10176</v>
      </c>
    </row>
    <row r="2766">
      <c r="A2766" s="3" t="str">
        <f>HYPERLINK("https://stackoverflow.com/q/57685832", "57685832")</f>
        <v>57685832</v>
      </c>
      <c r="B2766" s="1" t="s">
        <v>7613</v>
      </c>
      <c r="C2766" s="1" t="s">
        <v>10177</v>
      </c>
      <c r="D2766" s="2" t="s">
        <v>10178</v>
      </c>
      <c r="E2766" s="1">
        <v>1.0</v>
      </c>
      <c r="I2766" s="1">
        <v>0.0</v>
      </c>
      <c r="J2766" s="1">
        <v>15.0</v>
      </c>
      <c r="L2766" s="1">
        <v>7240783.0</v>
      </c>
      <c r="Q2766" s="1" t="s">
        <v>10177</v>
      </c>
      <c r="R2766" s="1" t="s">
        <v>10179</v>
      </c>
      <c r="S2766" s="1">
        <v>0.0</v>
      </c>
      <c r="T2766" s="1">
        <v>0.0</v>
      </c>
      <c r="X2766" s="1" t="s">
        <v>56</v>
      </c>
    </row>
    <row r="2767">
      <c r="A2767" s="3" t="str">
        <f>HYPERLINK("https://stackoverflow.com/q/57687014", "57687014")</f>
        <v>57687014</v>
      </c>
      <c r="B2767" s="1" t="s">
        <v>7613</v>
      </c>
      <c r="C2767" s="1" t="s">
        <v>10180</v>
      </c>
      <c r="D2767" s="2" t="s">
        <v>10181</v>
      </c>
      <c r="E2767" s="1">
        <v>1.0</v>
      </c>
      <c r="I2767" s="1">
        <v>0.0</v>
      </c>
      <c r="J2767" s="1">
        <v>191.0</v>
      </c>
      <c r="L2767" s="1">
        <v>5367403.0</v>
      </c>
      <c r="Q2767" s="1" t="s">
        <v>10180</v>
      </c>
      <c r="R2767" s="1" t="s">
        <v>10182</v>
      </c>
      <c r="S2767" s="1">
        <v>0.0</v>
      </c>
      <c r="T2767" s="1">
        <v>0.0</v>
      </c>
      <c r="X2767" s="1" t="s">
        <v>56</v>
      </c>
    </row>
    <row r="2768">
      <c r="A2768" s="3" t="str">
        <f>HYPERLINK("https://stackoverflow.com/q/57755093", "57755093")</f>
        <v>57755093</v>
      </c>
      <c r="B2768" s="1" t="s">
        <v>7613</v>
      </c>
      <c r="C2768" s="1" t="s">
        <v>10183</v>
      </c>
      <c r="D2768" s="2" t="s">
        <v>10184</v>
      </c>
      <c r="E2768" s="1">
        <v>1.0</v>
      </c>
      <c r="I2768" s="1">
        <v>0.0</v>
      </c>
      <c r="J2768" s="1">
        <v>218.0</v>
      </c>
      <c r="L2768" s="1">
        <v>2542953.0</v>
      </c>
      <c r="Q2768" s="1" t="s">
        <v>10183</v>
      </c>
      <c r="R2768" s="1" t="s">
        <v>10185</v>
      </c>
      <c r="S2768" s="1">
        <v>0.0</v>
      </c>
      <c r="T2768" s="1">
        <v>0.0</v>
      </c>
      <c r="X2768" s="1" t="s">
        <v>56</v>
      </c>
    </row>
    <row r="2769">
      <c r="A2769" s="3" t="str">
        <f>HYPERLINK("https://stackoverflow.com/q/57795677", "57795677")</f>
        <v>57795677</v>
      </c>
      <c r="B2769" s="1" t="s">
        <v>7613</v>
      </c>
      <c r="C2769" s="1" t="s">
        <v>10186</v>
      </c>
      <c r="D2769" s="2" t="s">
        <v>10187</v>
      </c>
      <c r="E2769" s="1">
        <v>1.0</v>
      </c>
      <c r="I2769" s="1">
        <v>2.0</v>
      </c>
      <c r="J2769" s="1">
        <v>534.0</v>
      </c>
      <c r="L2769" s="1">
        <v>1.2022038E7</v>
      </c>
      <c r="N2769" s="1">
        <v>1.2022038E7</v>
      </c>
      <c r="P2769" s="1" t="s">
        <v>10188</v>
      </c>
      <c r="Q2769" s="1" t="s">
        <v>10188</v>
      </c>
      <c r="R2769" s="1" t="s">
        <v>8774</v>
      </c>
      <c r="S2769" s="1">
        <v>0.0</v>
      </c>
      <c r="T2769" s="1">
        <v>2.0</v>
      </c>
      <c r="V2769" s="1" t="s">
        <v>10189</v>
      </c>
      <c r="X2769" s="1" t="s">
        <v>56</v>
      </c>
    </row>
    <row r="2770">
      <c r="A2770" s="3" t="str">
        <f>HYPERLINK("https://stackoverflow.com/q/57814318", "57814318")</f>
        <v>57814318</v>
      </c>
      <c r="B2770" s="1" t="s">
        <v>7613</v>
      </c>
      <c r="C2770" s="1" t="s">
        <v>10190</v>
      </c>
      <c r="D2770" s="2" t="s">
        <v>10191</v>
      </c>
      <c r="E2770" s="1">
        <v>1.0</v>
      </c>
      <c r="I2770" s="1">
        <v>0.0</v>
      </c>
      <c r="J2770" s="1">
        <v>60.0</v>
      </c>
      <c r="L2770" s="1">
        <v>1.1833506E7</v>
      </c>
      <c r="Q2770" s="1" t="s">
        <v>10192</v>
      </c>
      <c r="R2770" s="1" t="s">
        <v>8412</v>
      </c>
      <c r="S2770" s="1">
        <v>0.0</v>
      </c>
      <c r="T2770" s="1">
        <v>1.0</v>
      </c>
      <c r="X2770" s="1" t="s">
        <v>56</v>
      </c>
    </row>
    <row r="2771">
      <c r="A2771" s="3" t="str">
        <f>HYPERLINK("https://stackoverflow.com/q/57836593", "57836593")</f>
        <v>57836593</v>
      </c>
      <c r="B2771" s="1" t="s">
        <v>7613</v>
      </c>
      <c r="C2771" s="1" t="s">
        <v>10193</v>
      </c>
      <c r="D2771" s="2" t="s">
        <v>10194</v>
      </c>
      <c r="E2771" s="1">
        <v>1.0</v>
      </c>
      <c r="I2771" s="1">
        <v>0.0</v>
      </c>
      <c r="J2771" s="1">
        <v>108.0</v>
      </c>
      <c r="L2771" s="1">
        <v>1.1072742E7</v>
      </c>
      <c r="Q2771" s="1" t="s">
        <v>10195</v>
      </c>
      <c r="R2771" s="1" t="s">
        <v>10196</v>
      </c>
      <c r="S2771" s="1">
        <v>1.0</v>
      </c>
      <c r="T2771" s="1">
        <v>0.0</v>
      </c>
      <c r="X2771" s="1" t="s">
        <v>56</v>
      </c>
    </row>
    <row r="2772">
      <c r="A2772" s="3" t="str">
        <f>HYPERLINK("https://stackoverflow.com/q/57849964", "57849964")</f>
        <v>57849964</v>
      </c>
      <c r="B2772" s="1" t="s">
        <v>7613</v>
      </c>
      <c r="C2772" s="1" t="s">
        <v>10197</v>
      </c>
      <c r="D2772" s="2" t="s">
        <v>10198</v>
      </c>
      <c r="E2772" s="1">
        <v>1.0</v>
      </c>
      <c r="I2772" s="1">
        <v>0.0</v>
      </c>
      <c r="J2772" s="1">
        <v>20.0</v>
      </c>
      <c r="L2772" s="1">
        <v>1.0650636E7</v>
      </c>
      <c r="Q2772" s="1" t="s">
        <v>10199</v>
      </c>
      <c r="R2772" s="1" t="s">
        <v>10200</v>
      </c>
      <c r="S2772" s="1">
        <v>1.0</v>
      </c>
      <c r="T2772" s="1">
        <v>0.0</v>
      </c>
      <c r="X2772" s="1" t="s">
        <v>56</v>
      </c>
    </row>
    <row r="2773">
      <c r="A2773" s="3" t="str">
        <f>HYPERLINK("https://stackoverflow.com/q/57850922", "57850922")</f>
        <v>57850922</v>
      </c>
      <c r="B2773" s="1" t="s">
        <v>7613</v>
      </c>
      <c r="C2773" s="1" t="s">
        <v>10201</v>
      </c>
      <c r="D2773" s="2" t="s">
        <v>10202</v>
      </c>
      <c r="E2773" s="1">
        <v>1.0</v>
      </c>
      <c r="F2773" s="1">
        <v>5.7863771E7</v>
      </c>
      <c r="I2773" s="1">
        <v>1.0</v>
      </c>
      <c r="J2773" s="1">
        <v>29.0</v>
      </c>
      <c r="L2773" s="1">
        <v>1635060.0</v>
      </c>
      <c r="N2773" s="1">
        <v>1635060.0</v>
      </c>
      <c r="P2773" s="1" t="s">
        <v>10203</v>
      </c>
      <c r="Q2773" s="1" t="s">
        <v>10204</v>
      </c>
      <c r="R2773" s="1" t="s">
        <v>8412</v>
      </c>
      <c r="S2773" s="1">
        <v>1.0</v>
      </c>
      <c r="T2773" s="1">
        <v>0.0</v>
      </c>
      <c r="X2773" s="1" t="s">
        <v>56</v>
      </c>
      <c r="Z2773" s="1" t="s">
        <v>10204</v>
      </c>
    </row>
    <row r="2774">
      <c r="A2774" s="3" t="str">
        <f>HYPERLINK("https://stackoverflow.com/q/57858132", "57858132")</f>
        <v>57858132</v>
      </c>
      <c r="B2774" s="1" t="s">
        <v>7613</v>
      </c>
      <c r="C2774" s="1" t="s">
        <v>10205</v>
      </c>
      <c r="D2774" s="2" t="s">
        <v>10206</v>
      </c>
      <c r="E2774" s="1">
        <v>1.0</v>
      </c>
      <c r="F2774" s="1">
        <v>5.7869545E7</v>
      </c>
      <c r="I2774" s="1">
        <v>0.0</v>
      </c>
      <c r="J2774" s="1">
        <v>29.0</v>
      </c>
      <c r="L2774" s="1">
        <v>1.2042808E7</v>
      </c>
      <c r="N2774" s="1">
        <v>1.2042808E7</v>
      </c>
      <c r="P2774" s="1" t="s">
        <v>10207</v>
      </c>
      <c r="Q2774" s="1" t="s">
        <v>10208</v>
      </c>
      <c r="R2774" s="1" t="s">
        <v>9460</v>
      </c>
      <c r="S2774" s="1">
        <v>1.0</v>
      </c>
      <c r="T2774" s="1">
        <v>0.0</v>
      </c>
      <c r="X2774" s="1" t="s">
        <v>56</v>
      </c>
      <c r="Z2774" s="1" t="s">
        <v>10208</v>
      </c>
    </row>
    <row r="2775">
      <c r="A2775" s="3" t="str">
        <f>HYPERLINK("https://stackoverflow.com/q/57879053", "57879053")</f>
        <v>57879053</v>
      </c>
      <c r="B2775" s="1" t="s">
        <v>7613</v>
      </c>
      <c r="C2775" s="1" t="s">
        <v>10209</v>
      </c>
      <c r="D2775" s="2" t="s">
        <v>10210</v>
      </c>
      <c r="E2775" s="1">
        <v>1.0</v>
      </c>
      <c r="I2775" s="1">
        <v>0.0</v>
      </c>
      <c r="J2775" s="1">
        <v>95.0</v>
      </c>
      <c r="L2775" s="1">
        <v>1.1584771E7</v>
      </c>
      <c r="Q2775" s="1" t="s">
        <v>10209</v>
      </c>
      <c r="R2775" s="1" t="s">
        <v>8321</v>
      </c>
      <c r="S2775" s="1">
        <v>0.0</v>
      </c>
      <c r="T2775" s="1">
        <v>0.0</v>
      </c>
      <c r="X2775" s="1" t="s">
        <v>56</v>
      </c>
    </row>
    <row r="2776">
      <c r="A2776" s="3" t="str">
        <f>HYPERLINK("https://stackoverflow.com/q/57892682", "57892682")</f>
        <v>57892682</v>
      </c>
      <c r="B2776" s="1" t="s">
        <v>7613</v>
      </c>
      <c r="C2776" s="1" t="s">
        <v>10211</v>
      </c>
      <c r="D2776" s="2" t="s">
        <v>10212</v>
      </c>
      <c r="E2776" s="1">
        <v>1.0</v>
      </c>
      <c r="I2776" s="1">
        <v>0.0</v>
      </c>
      <c r="J2776" s="1">
        <v>11.0</v>
      </c>
      <c r="L2776" s="1">
        <v>4645574.0</v>
      </c>
      <c r="Q2776" s="1" t="s">
        <v>10213</v>
      </c>
      <c r="R2776" s="1" t="s">
        <v>8321</v>
      </c>
      <c r="S2776" s="1">
        <v>1.0</v>
      </c>
      <c r="T2776" s="1">
        <v>0.0</v>
      </c>
      <c r="X2776" s="1" t="s">
        <v>56</v>
      </c>
    </row>
    <row r="2777">
      <c r="A2777" s="3" t="str">
        <f>HYPERLINK("https://stackoverflow.com/q/57894957", "57894957")</f>
        <v>57894957</v>
      </c>
      <c r="B2777" s="1" t="s">
        <v>7613</v>
      </c>
      <c r="C2777" s="1" t="s">
        <v>10214</v>
      </c>
      <c r="D2777" s="2" t="s">
        <v>10215</v>
      </c>
      <c r="E2777" s="1">
        <v>1.0</v>
      </c>
      <c r="I2777" s="1">
        <v>0.0</v>
      </c>
      <c r="J2777" s="1">
        <v>20.0</v>
      </c>
      <c r="L2777" s="1">
        <v>8625027.0</v>
      </c>
      <c r="N2777" s="1">
        <v>8625027.0</v>
      </c>
      <c r="P2777" s="1" t="s">
        <v>10216</v>
      </c>
      <c r="Q2777" s="1" t="s">
        <v>10216</v>
      </c>
      <c r="R2777" s="1" t="s">
        <v>10217</v>
      </c>
      <c r="S2777" s="1">
        <v>0.0</v>
      </c>
      <c r="T2777" s="1">
        <v>0.0</v>
      </c>
      <c r="X2777" s="1" t="s">
        <v>56</v>
      </c>
    </row>
    <row r="2778">
      <c r="A2778" s="3" t="str">
        <f>HYPERLINK("https://stackoverflow.com/q/57927698", "57927698")</f>
        <v>57927698</v>
      </c>
      <c r="B2778" s="1" t="s">
        <v>7613</v>
      </c>
      <c r="C2778" s="1" t="s">
        <v>10218</v>
      </c>
      <c r="D2778" s="2" t="s">
        <v>10219</v>
      </c>
      <c r="E2778" s="1">
        <v>1.0</v>
      </c>
      <c r="I2778" s="1">
        <v>1.0</v>
      </c>
      <c r="J2778" s="1">
        <v>1376.0</v>
      </c>
      <c r="L2778" s="1">
        <v>214131.0</v>
      </c>
      <c r="N2778" s="1">
        <v>214131.0</v>
      </c>
      <c r="P2778" s="1" t="s">
        <v>10220</v>
      </c>
      <c r="Q2778" s="1" t="s">
        <v>10221</v>
      </c>
      <c r="R2778" s="1" t="s">
        <v>10222</v>
      </c>
      <c r="S2778" s="1">
        <v>3.0</v>
      </c>
      <c r="T2778" s="1">
        <v>0.0</v>
      </c>
      <c r="X2778" s="1" t="s">
        <v>56</v>
      </c>
    </row>
    <row r="2779">
      <c r="A2779" s="3" t="str">
        <f>HYPERLINK("https://stackoverflow.com/q/57963215", "57963215")</f>
        <v>57963215</v>
      </c>
      <c r="B2779" s="1" t="s">
        <v>7613</v>
      </c>
      <c r="C2779" s="1" t="s">
        <v>10223</v>
      </c>
      <c r="D2779" s="2" t="s">
        <v>10224</v>
      </c>
      <c r="E2779" s="1">
        <v>1.0</v>
      </c>
      <c r="I2779" s="1">
        <v>0.0</v>
      </c>
      <c r="J2779" s="1">
        <v>19.0</v>
      </c>
      <c r="L2779" s="1">
        <v>1.0783163E7</v>
      </c>
      <c r="N2779" s="1">
        <v>1.0783163E7</v>
      </c>
      <c r="P2779" s="1" t="s">
        <v>10225</v>
      </c>
      <c r="Q2779" s="1" t="s">
        <v>10225</v>
      </c>
      <c r="R2779" s="1" t="s">
        <v>9655</v>
      </c>
      <c r="S2779" s="1">
        <v>0.0</v>
      </c>
      <c r="T2779" s="1">
        <v>5.0</v>
      </c>
      <c r="X2779" s="1" t="s">
        <v>56</v>
      </c>
    </row>
    <row r="2780">
      <c r="A2780" s="3" t="str">
        <f>HYPERLINK("https://stackoverflow.com/q/57969107", "57969107")</f>
        <v>57969107</v>
      </c>
      <c r="B2780" s="1" t="s">
        <v>7613</v>
      </c>
      <c r="C2780" s="1" t="s">
        <v>10226</v>
      </c>
      <c r="D2780" s="2" t="s">
        <v>10227</v>
      </c>
      <c r="E2780" s="1">
        <v>1.0</v>
      </c>
      <c r="I2780" s="1">
        <v>0.0</v>
      </c>
      <c r="J2780" s="1">
        <v>66.0</v>
      </c>
      <c r="L2780" s="1">
        <v>1.1154428E7</v>
      </c>
      <c r="N2780" s="1">
        <v>2386774.0</v>
      </c>
      <c r="P2780" s="1" t="s">
        <v>10228</v>
      </c>
      <c r="Q2780" s="1" t="s">
        <v>10229</v>
      </c>
      <c r="R2780" s="1" t="s">
        <v>10230</v>
      </c>
      <c r="S2780" s="1">
        <v>1.0</v>
      </c>
      <c r="T2780" s="1">
        <v>0.0</v>
      </c>
      <c r="U2780" s="1">
        <v>1.0</v>
      </c>
      <c r="X2780" s="1" t="s">
        <v>56</v>
      </c>
    </row>
    <row r="2781">
      <c r="A2781" s="3" t="str">
        <f>HYPERLINK("https://stackoverflow.com/q/57982913", "57982913")</f>
        <v>57982913</v>
      </c>
      <c r="B2781" s="1" t="s">
        <v>7613</v>
      </c>
      <c r="C2781" s="1" t="s">
        <v>10231</v>
      </c>
      <c r="D2781" s="2" t="s">
        <v>10232</v>
      </c>
      <c r="E2781" s="1">
        <v>1.0</v>
      </c>
      <c r="I2781" s="1">
        <v>0.0</v>
      </c>
      <c r="J2781" s="1">
        <v>222.0</v>
      </c>
      <c r="L2781" s="1">
        <v>8956187.0</v>
      </c>
      <c r="Q2781" s="1" t="s">
        <v>10233</v>
      </c>
      <c r="R2781" s="1" t="s">
        <v>10234</v>
      </c>
      <c r="S2781" s="1">
        <v>1.0</v>
      </c>
      <c r="T2781" s="1">
        <v>2.0</v>
      </c>
      <c r="X2781" s="1" t="s">
        <v>56</v>
      </c>
    </row>
    <row r="2782">
      <c r="A2782" s="3" t="str">
        <f>HYPERLINK("https://stackoverflow.com/q/57984097", "57984097")</f>
        <v>57984097</v>
      </c>
      <c r="B2782" s="1" t="s">
        <v>7613</v>
      </c>
      <c r="C2782" s="1" t="s">
        <v>10235</v>
      </c>
      <c r="D2782" s="2" t="s">
        <v>10236</v>
      </c>
      <c r="E2782" s="1">
        <v>1.0</v>
      </c>
      <c r="I2782" s="1">
        <v>0.0</v>
      </c>
      <c r="J2782" s="1">
        <v>2120.0</v>
      </c>
      <c r="L2782" s="1">
        <v>8039401.0</v>
      </c>
      <c r="Q2782" s="1" t="s">
        <v>10237</v>
      </c>
      <c r="R2782" s="1" t="s">
        <v>10238</v>
      </c>
      <c r="S2782" s="1">
        <v>3.0</v>
      </c>
      <c r="T2782" s="1">
        <v>0.0</v>
      </c>
      <c r="X2782" s="1" t="s">
        <v>56</v>
      </c>
    </row>
    <row r="2783">
      <c r="A2783" s="3" t="str">
        <f>HYPERLINK("https://stackoverflow.com/q/58004855", "58004855")</f>
        <v>58004855</v>
      </c>
      <c r="B2783" s="1" t="s">
        <v>7613</v>
      </c>
      <c r="C2783" s="1" t="s">
        <v>10239</v>
      </c>
      <c r="D2783" s="2" t="s">
        <v>10240</v>
      </c>
      <c r="E2783" s="1">
        <v>1.0</v>
      </c>
      <c r="I2783" s="1">
        <v>1.0</v>
      </c>
      <c r="J2783" s="1">
        <v>13.0</v>
      </c>
      <c r="L2783" s="1">
        <v>1.1959376E7</v>
      </c>
      <c r="Q2783" s="1" t="s">
        <v>10239</v>
      </c>
      <c r="R2783" s="1" t="s">
        <v>10241</v>
      </c>
      <c r="S2783" s="1">
        <v>0.0</v>
      </c>
      <c r="T2783" s="1">
        <v>0.0</v>
      </c>
      <c r="X2783" s="1" t="s">
        <v>56</v>
      </c>
    </row>
    <row r="2784">
      <c r="A2784" s="3" t="str">
        <f>HYPERLINK("https://stackoverflow.com/q/58010768", "58010768")</f>
        <v>58010768</v>
      </c>
      <c r="B2784" s="1" t="s">
        <v>7613</v>
      </c>
      <c r="C2784" s="1" t="s">
        <v>10242</v>
      </c>
      <c r="D2784" s="2" t="s">
        <v>10243</v>
      </c>
      <c r="E2784" s="1">
        <v>1.0</v>
      </c>
      <c r="I2784" s="1">
        <v>0.0</v>
      </c>
      <c r="J2784" s="1">
        <v>415.0</v>
      </c>
      <c r="L2784" s="1">
        <v>6136155.0</v>
      </c>
      <c r="Q2784" s="1" t="s">
        <v>10244</v>
      </c>
      <c r="R2784" s="1" t="s">
        <v>9651</v>
      </c>
      <c r="S2784" s="1">
        <v>1.0</v>
      </c>
      <c r="T2784" s="1">
        <v>0.0</v>
      </c>
      <c r="X2784" s="1" t="s">
        <v>56</v>
      </c>
    </row>
    <row r="2785">
      <c r="A2785" s="3" t="str">
        <f>HYPERLINK("https://stackoverflow.com/q/58018611", "58018611")</f>
        <v>58018611</v>
      </c>
      <c r="B2785" s="1" t="s">
        <v>7613</v>
      </c>
      <c r="C2785" s="1" t="s">
        <v>10245</v>
      </c>
      <c r="D2785" s="2" t="s">
        <v>10246</v>
      </c>
      <c r="E2785" s="1">
        <v>1.0</v>
      </c>
      <c r="I2785" s="1">
        <v>0.0</v>
      </c>
      <c r="J2785" s="1">
        <v>31.0</v>
      </c>
      <c r="L2785" s="1">
        <v>1.2090481E7</v>
      </c>
      <c r="Q2785" s="1" t="s">
        <v>10245</v>
      </c>
      <c r="R2785" s="1" t="s">
        <v>10247</v>
      </c>
      <c r="S2785" s="1">
        <v>0.0</v>
      </c>
      <c r="T2785" s="1">
        <v>0.0</v>
      </c>
      <c r="U2785" s="1">
        <v>0.0</v>
      </c>
      <c r="X2785" s="1" t="s">
        <v>56</v>
      </c>
    </row>
    <row r="2786">
      <c r="A2786" s="3" t="str">
        <f>HYPERLINK("https://stackoverflow.com/q/58018964", "58018964")</f>
        <v>58018964</v>
      </c>
      <c r="B2786" s="1" t="s">
        <v>7613</v>
      </c>
      <c r="C2786" s="1" t="s">
        <v>10248</v>
      </c>
      <c r="D2786" s="2" t="s">
        <v>10249</v>
      </c>
      <c r="E2786" s="1">
        <v>1.0</v>
      </c>
      <c r="I2786" s="1">
        <v>0.0</v>
      </c>
      <c r="J2786" s="1">
        <v>924.0</v>
      </c>
      <c r="L2786" s="1">
        <v>6149744.0</v>
      </c>
      <c r="N2786" s="1">
        <v>6149744.0</v>
      </c>
      <c r="P2786" s="1" t="s">
        <v>10250</v>
      </c>
      <c r="Q2786" s="1" t="s">
        <v>10250</v>
      </c>
      <c r="R2786" s="1" t="s">
        <v>10251</v>
      </c>
      <c r="S2786" s="1">
        <v>0.0</v>
      </c>
      <c r="T2786" s="1">
        <v>0.0</v>
      </c>
      <c r="X2786" s="1" t="s">
        <v>56</v>
      </c>
    </row>
    <row r="2787">
      <c r="A2787" s="3" t="str">
        <f>HYPERLINK("https://stackoverflow.com/q/58020564", "58020564")</f>
        <v>58020564</v>
      </c>
      <c r="B2787" s="1" t="s">
        <v>7613</v>
      </c>
      <c r="C2787" s="1" t="s">
        <v>10252</v>
      </c>
      <c r="D2787" s="2" t="s">
        <v>10253</v>
      </c>
      <c r="E2787" s="1">
        <v>1.0</v>
      </c>
      <c r="I2787" s="1">
        <v>0.0</v>
      </c>
      <c r="J2787" s="1">
        <v>155.0</v>
      </c>
      <c r="L2787" s="1">
        <v>1.2093046E7</v>
      </c>
      <c r="N2787" s="1">
        <v>1.2093046E7</v>
      </c>
      <c r="P2787" s="1" t="s">
        <v>10254</v>
      </c>
      <c r="Q2787" s="1" t="s">
        <v>10255</v>
      </c>
      <c r="R2787" s="1" t="s">
        <v>10256</v>
      </c>
      <c r="S2787" s="1">
        <v>0.0</v>
      </c>
      <c r="T2787" s="1">
        <v>5.0</v>
      </c>
      <c r="V2787" s="1" t="s">
        <v>10257</v>
      </c>
      <c r="X2787" s="1" t="s">
        <v>56</v>
      </c>
    </row>
    <row r="2788">
      <c r="A2788" s="3" t="str">
        <f>HYPERLINK("https://stackoverflow.com/q/58028882", "58028882")</f>
        <v>58028882</v>
      </c>
      <c r="B2788" s="1" t="s">
        <v>7613</v>
      </c>
      <c r="C2788" s="1" t="s">
        <v>10258</v>
      </c>
      <c r="D2788" s="2" t="s">
        <v>10259</v>
      </c>
      <c r="E2788" s="1">
        <v>1.0</v>
      </c>
      <c r="I2788" s="1">
        <v>1.0</v>
      </c>
      <c r="J2788" s="1">
        <v>395.0</v>
      </c>
      <c r="L2788" s="1">
        <v>4464220.0</v>
      </c>
      <c r="Q2788" s="1" t="s">
        <v>10258</v>
      </c>
      <c r="R2788" s="1" t="s">
        <v>10260</v>
      </c>
      <c r="S2788" s="1">
        <v>0.0</v>
      </c>
      <c r="T2788" s="1">
        <v>0.0</v>
      </c>
      <c r="X2788" s="1" t="s">
        <v>56</v>
      </c>
    </row>
    <row r="2789">
      <c r="A2789" s="3" t="str">
        <f>HYPERLINK("https://stackoverflow.com/q/58030372", "58030372")</f>
        <v>58030372</v>
      </c>
      <c r="B2789" s="1" t="s">
        <v>7613</v>
      </c>
      <c r="C2789" s="1" t="s">
        <v>10261</v>
      </c>
      <c r="D2789" s="2" t="s">
        <v>10262</v>
      </c>
      <c r="E2789" s="1">
        <v>1.0</v>
      </c>
      <c r="I2789" s="1">
        <v>0.0</v>
      </c>
      <c r="J2789" s="1">
        <v>9.0</v>
      </c>
      <c r="L2789" s="1">
        <v>7322531.0</v>
      </c>
      <c r="Q2789" s="1" t="s">
        <v>10261</v>
      </c>
      <c r="R2789" s="1" t="s">
        <v>8728</v>
      </c>
      <c r="S2789" s="1">
        <v>0.0</v>
      </c>
      <c r="T2789" s="1">
        <v>0.0</v>
      </c>
      <c r="X2789" s="1" t="s">
        <v>56</v>
      </c>
    </row>
    <row r="2790">
      <c r="A2790" s="3" t="str">
        <f>HYPERLINK("https://stackoverflow.com/q/58032332", "58032332")</f>
        <v>58032332</v>
      </c>
      <c r="B2790" s="1" t="s">
        <v>7613</v>
      </c>
      <c r="C2790" s="1" t="s">
        <v>10263</v>
      </c>
      <c r="D2790" s="2" t="s">
        <v>10264</v>
      </c>
      <c r="E2790" s="1">
        <v>1.0</v>
      </c>
      <c r="F2790" s="1">
        <v>5.8090824E7</v>
      </c>
      <c r="I2790" s="1">
        <v>1.0</v>
      </c>
      <c r="J2790" s="1">
        <v>245.0</v>
      </c>
      <c r="L2790" s="1">
        <v>3648885.0</v>
      </c>
      <c r="Q2790" s="1" t="s">
        <v>10265</v>
      </c>
      <c r="R2790" s="1" t="s">
        <v>9866</v>
      </c>
      <c r="S2790" s="1">
        <v>1.0</v>
      </c>
      <c r="T2790" s="1">
        <v>4.0</v>
      </c>
      <c r="X2790" s="1" t="s">
        <v>56</v>
      </c>
      <c r="Z2790" s="1" t="s">
        <v>10265</v>
      </c>
    </row>
    <row r="2791">
      <c r="A2791" s="3" t="str">
        <f>HYPERLINK("https://stackoverflow.com/q/58036007", "58036007")</f>
        <v>58036007</v>
      </c>
      <c r="B2791" s="1" t="s">
        <v>7613</v>
      </c>
      <c r="C2791" s="1" t="s">
        <v>10266</v>
      </c>
      <c r="D2791" s="2" t="s">
        <v>10267</v>
      </c>
      <c r="E2791" s="1">
        <v>1.0</v>
      </c>
      <c r="I2791" s="1">
        <v>0.0</v>
      </c>
      <c r="J2791" s="1">
        <v>333.0</v>
      </c>
      <c r="L2791" s="1">
        <v>1382114.0</v>
      </c>
      <c r="N2791" s="1">
        <v>1382114.0</v>
      </c>
      <c r="P2791" s="1" t="s">
        <v>10268</v>
      </c>
      <c r="Q2791" s="1" t="s">
        <v>10268</v>
      </c>
      <c r="R2791" s="1" t="s">
        <v>8728</v>
      </c>
      <c r="S2791" s="1">
        <v>0.0</v>
      </c>
      <c r="T2791" s="1">
        <v>0.0</v>
      </c>
      <c r="X2791" s="1" t="s">
        <v>56</v>
      </c>
    </row>
    <row r="2792">
      <c r="A2792" s="3" t="str">
        <f>HYPERLINK("https://stackoverflow.com/q/58041573", "58041573")</f>
        <v>58041573</v>
      </c>
      <c r="B2792" s="1" t="s">
        <v>7613</v>
      </c>
      <c r="C2792" s="1" t="s">
        <v>10269</v>
      </c>
      <c r="D2792" s="2" t="s">
        <v>10270</v>
      </c>
      <c r="E2792" s="1">
        <v>1.0</v>
      </c>
      <c r="I2792" s="1">
        <v>1.0</v>
      </c>
      <c r="J2792" s="1">
        <v>95.0</v>
      </c>
      <c r="L2792" s="1">
        <v>1.0109201E7</v>
      </c>
      <c r="N2792" s="1">
        <v>7901720.0</v>
      </c>
      <c r="P2792" s="1" t="s">
        <v>10271</v>
      </c>
      <c r="Q2792" s="1" t="s">
        <v>10272</v>
      </c>
      <c r="R2792" s="1" t="s">
        <v>10273</v>
      </c>
      <c r="S2792" s="1">
        <v>1.0</v>
      </c>
      <c r="T2792" s="1">
        <v>1.0</v>
      </c>
      <c r="U2792" s="1">
        <v>1.0</v>
      </c>
      <c r="X2792" s="1" t="s">
        <v>56</v>
      </c>
    </row>
    <row r="2793">
      <c r="A2793" s="3" t="str">
        <f>HYPERLINK("https://stackoverflow.com/q/58053093", "58053093")</f>
        <v>58053093</v>
      </c>
      <c r="B2793" s="1" t="s">
        <v>7613</v>
      </c>
      <c r="C2793" s="1" t="s">
        <v>10274</v>
      </c>
      <c r="D2793" s="2" t="s">
        <v>10275</v>
      </c>
      <c r="E2793" s="1">
        <v>1.0</v>
      </c>
      <c r="F2793" s="1">
        <v>5.8067736E7</v>
      </c>
      <c r="I2793" s="1">
        <v>1.0</v>
      </c>
      <c r="J2793" s="1">
        <v>226.0</v>
      </c>
      <c r="L2793" s="1">
        <v>5485433.0</v>
      </c>
      <c r="Q2793" s="1" t="s">
        <v>10276</v>
      </c>
      <c r="R2793" s="1" t="s">
        <v>10277</v>
      </c>
      <c r="S2793" s="1">
        <v>1.0</v>
      </c>
      <c r="T2793" s="1">
        <v>0.0</v>
      </c>
      <c r="X2793" s="1" t="s">
        <v>56</v>
      </c>
      <c r="Z2793" s="1" t="s">
        <v>10276</v>
      </c>
    </row>
    <row r="2794">
      <c r="A2794" s="3" t="str">
        <f>HYPERLINK("https://stackoverflow.com/q/58058193", "58058193")</f>
        <v>58058193</v>
      </c>
      <c r="B2794" s="1" t="s">
        <v>7613</v>
      </c>
      <c r="C2794" s="1" t="s">
        <v>10278</v>
      </c>
      <c r="D2794" s="2" t="s">
        <v>10279</v>
      </c>
      <c r="E2794" s="1">
        <v>1.0</v>
      </c>
      <c r="I2794" s="1">
        <v>0.0</v>
      </c>
      <c r="J2794" s="1">
        <v>12.0</v>
      </c>
      <c r="L2794" s="1">
        <v>7824558.0</v>
      </c>
      <c r="Q2794" s="1" t="s">
        <v>10280</v>
      </c>
      <c r="R2794" s="1" t="s">
        <v>8412</v>
      </c>
      <c r="S2794" s="1">
        <v>1.0</v>
      </c>
      <c r="T2794" s="1">
        <v>0.0</v>
      </c>
      <c r="X2794" s="1" t="s">
        <v>56</v>
      </c>
    </row>
    <row r="2795">
      <c r="A2795" s="3" t="str">
        <f>HYPERLINK("https://stackoverflow.com/q/58072710", "58072710")</f>
        <v>58072710</v>
      </c>
      <c r="B2795" s="1" t="s">
        <v>7613</v>
      </c>
      <c r="C2795" s="1" t="s">
        <v>10281</v>
      </c>
      <c r="D2795" s="2" t="s">
        <v>10282</v>
      </c>
      <c r="E2795" s="1">
        <v>1.0</v>
      </c>
      <c r="I2795" s="1">
        <v>0.0</v>
      </c>
      <c r="J2795" s="1">
        <v>368.0</v>
      </c>
      <c r="L2795" s="1">
        <v>1719652.0</v>
      </c>
      <c r="N2795" s="1">
        <v>5168011.0</v>
      </c>
      <c r="P2795" s="1" t="s">
        <v>10283</v>
      </c>
      <c r="Q2795" s="1" t="s">
        <v>10284</v>
      </c>
      <c r="R2795" s="1" t="s">
        <v>8517</v>
      </c>
      <c r="S2795" s="1">
        <v>3.0</v>
      </c>
      <c r="T2795" s="1">
        <v>4.0</v>
      </c>
      <c r="X2795" s="1" t="s">
        <v>56</v>
      </c>
    </row>
    <row r="2796">
      <c r="A2796" s="3" t="str">
        <f>HYPERLINK("https://stackoverflow.com/q/58081210", "58081210")</f>
        <v>58081210</v>
      </c>
      <c r="B2796" s="1" t="s">
        <v>7613</v>
      </c>
      <c r="C2796" s="1" t="s">
        <v>10285</v>
      </c>
      <c r="D2796" s="2" t="s">
        <v>10286</v>
      </c>
      <c r="E2796" s="1">
        <v>1.0</v>
      </c>
      <c r="I2796" s="1">
        <v>0.0</v>
      </c>
      <c r="J2796" s="1">
        <v>1020.0</v>
      </c>
      <c r="L2796" s="1">
        <v>7322531.0</v>
      </c>
      <c r="Q2796" s="1" t="s">
        <v>10287</v>
      </c>
      <c r="R2796" s="1" t="s">
        <v>8321</v>
      </c>
      <c r="S2796" s="1">
        <v>1.0</v>
      </c>
      <c r="T2796" s="1">
        <v>0.0</v>
      </c>
      <c r="X2796" s="1" t="s">
        <v>56</v>
      </c>
    </row>
    <row r="2797">
      <c r="A2797" s="3" t="str">
        <f>HYPERLINK("https://stackoverflow.com/q/58081651", "58081651")</f>
        <v>58081651</v>
      </c>
      <c r="B2797" s="1" t="s">
        <v>7613</v>
      </c>
      <c r="C2797" s="1" t="s">
        <v>10288</v>
      </c>
      <c r="D2797" s="2" t="s">
        <v>10289</v>
      </c>
      <c r="E2797" s="1">
        <v>1.0</v>
      </c>
      <c r="I2797" s="1">
        <v>0.0</v>
      </c>
      <c r="J2797" s="1">
        <v>28.0</v>
      </c>
      <c r="L2797" s="1">
        <v>3564120.0</v>
      </c>
      <c r="N2797" s="1">
        <v>3564120.0</v>
      </c>
      <c r="P2797" s="1" t="s">
        <v>10290</v>
      </c>
      <c r="Q2797" s="1" t="s">
        <v>10290</v>
      </c>
      <c r="R2797" s="1" t="s">
        <v>8321</v>
      </c>
      <c r="S2797" s="1">
        <v>0.0</v>
      </c>
      <c r="T2797" s="1">
        <v>0.0</v>
      </c>
      <c r="X2797" s="1" t="s">
        <v>56</v>
      </c>
    </row>
    <row r="2798">
      <c r="A2798" s="3" t="str">
        <f>HYPERLINK("https://stackoverflow.com/q/58090624", "58090624")</f>
        <v>58090624</v>
      </c>
      <c r="B2798" s="1" t="s">
        <v>7613</v>
      </c>
      <c r="C2798" s="1" t="s">
        <v>10291</v>
      </c>
      <c r="D2798" s="2" t="s">
        <v>10292</v>
      </c>
      <c r="E2798" s="1">
        <v>1.0</v>
      </c>
      <c r="I2798" s="1">
        <v>0.0</v>
      </c>
      <c r="J2798" s="1">
        <v>91.0</v>
      </c>
      <c r="L2798" s="1">
        <v>2477731.0</v>
      </c>
      <c r="Q2798" s="1" t="s">
        <v>10291</v>
      </c>
      <c r="R2798" s="1" t="s">
        <v>10293</v>
      </c>
      <c r="S2798" s="1">
        <v>0.0</v>
      </c>
      <c r="T2798" s="1">
        <v>0.0</v>
      </c>
      <c r="X2798" s="1" t="s">
        <v>56</v>
      </c>
    </row>
    <row r="2799">
      <c r="A2799" s="3" t="str">
        <f>HYPERLINK("https://stackoverflow.com/q/58090993", "58090993")</f>
        <v>58090993</v>
      </c>
      <c r="B2799" s="1" t="s">
        <v>7613</v>
      </c>
      <c r="C2799" s="1" t="s">
        <v>10294</v>
      </c>
      <c r="D2799" s="2" t="s">
        <v>10295</v>
      </c>
      <c r="E2799" s="1">
        <v>1.0</v>
      </c>
      <c r="I2799" s="1">
        <v>0.0</v>
      </c>
      <c r="J2799" s="1">
        <v>11.0</v>
      </c>
      <c r="L2799" s="1">
        <v>1.211658E7</v>
      </c>
      <c r="Q2799" s="1" t="s">
        <v>10294</v>
      </c>
      <c r="R2799" s="1" t="s">
        <v>10296</v>
      </c>
      <c r="S2799" s="1">
        <v>0.0</v>
      </c>
      <c r="T2799" s="1">
        <v>3.0</v>
      </c>
      <c r="X2799" s="1" t="s">
        <v>56</v>
      </c>
    </row>
    <row r="2800">
      <c r="A2800" s="3" t="str">
        <f>HYPERLINK("https://stackoverflow.com/q/58101336", "58101336")</f>
        <v>58101336</v>
      </c>
      <c r="B2800" s="1" t="s">
        <v>7613</v>
      </c>
      <c r="C2800" s="1" t="s">
        <v>10297</v>
      </c>
      <c r="D2800" s="2" t="s">
        <v>10298</v>
      </c>
      <c r="E2800" s="1">
        <v>1.0</v>
      </c>
      <c r="F2800" s="1">
        <v>5.8113061E7</v>
      </c>
      <c r="I2800" s="1">
        <v>1.0</v>
      </c>
      <c r="J2800" s="1">
        <v>286.0</v>
      </c>
      <c r="L2800" s="1">
        <v>6316820.0</v>
      </c>
      <c r="N2800" s="1">
        <v>4370109.0</v>
      </c>
      <c r="P2800" s="1" t="s">
        <v>10299</v>
      </c>
      <c r="Q2800" s="1" t="s">
        <v>10299</v>
      </c>
      <c r="R2800" s="1" t="s">
        <v>10300</v>
      </c>
      <c r="S2800" s="1">
        <v>1.0</v>
      </c>
      <c r="T2800" s="1">
        <v>3.0</v>
      </c>
      <c r="U2800" s="1">
        <v>1.0</v>
      </c>
      <c r="X2800" s="1" t="s">
        <v>56</v>
      </c>
      <c r="Z2800" s="1" t="s">
        <v>10301</v>
      </c>
    </row>
    <row r="2801">
      <c r="A2801" s="3" t="str">
        <f>HYPERLINK("https://stackoverflow.com/q/58101949", "58101949")</f>
        <v>58101949</v>
      </c>
      <c r="B2801" s="1" t="s">
        <v>7613</v>
      </c>
      <c r="C2801" s="1" t="s">
        <v>10302</v>
      </c>
      <c r="D2801" s="2" t="s">
        <v>10303</v>
      </c>
      <c r="E2801" s="1">
        <v>1.0</v>
      </c>
      <c r="I2801" s="1">
        <v>0.0</v>
      </c>
      <c r="J2801" s="1">
        <v>36.0</v>
      </c>
      <c r="L2801" s="1">
        <v>8886291.0</v>
      </c>
      <c r="Q2801" s="1" t="s">
        <v>10302</v>
      </c>
      <c r="R2801" s="1" t="s">
        <v>10060</v>
      </c>
      <c r="S2801" s="1">
        <v>0.0</v>
      </c>
      <c r="T2801" s="1">
        <v>0.0</v>
      </c>
      <c r="X2801" s="1" t="s">
        <v>56</v>
      </c>
    </row>
    <row r="2802">
      <c r="A2802" s="3" t="str">
        <f>HYPERLINK("https://stackoverflow.com/q/58111227", "58111227")</f>
        <v>58111227</v>
      </c>
      <c r="B2802" s="1" t="s">
        <v>7613</v>
      </c>
      <c r="C2802" s="1" t="s">
        <v>10304</v>
      </c>
      <c r="D2802" s="2" t="s">
        <v>10305</v>
      </c>
      <c r="E2802" s="1">
        <v>1.0</v>
      </c>
      <c r="I2802" s="1">
        <v>0.0</v>
      </c>
      <c r="J2802" s="1">
        <v>209.0</v>
      </c>
      <c r="L2802" s="1">
        <v>1.1674326E7</v>
      </c>
      <c r="Q2802" s="1" t="s">
        <v>10304</v>
      </c>
      <c r="R2802" s="1" t="s">
        <v>10306</v>
      </c>
      <c r="S2802" s="1">
        <v>0.0</v>
      </c>
      <c r="T2802" s="1">
        <v>1.0</v>
      </c>
      <c r="X2802" s="1" t="s">
        <v>56</v>
      </c>
    </row>
    <row r="2803">
      <c r="A2803" s="3" t="str">
        <f>HYPERLINK("https://stackoverflow.com/q/58114590", "58114590")</f>
        <v>58114590</v>
      </c>
      <c r="B2803" s="1" t="s">
        <v>7613</v>
      </c>
      <c r="C2803" s="1" t="s">
        <v>10307</v>
      </c>
      <c r="D2803" s="2" t="s">
        <v>10308</v>
      </c>
      <c r="E2803" s="1">
        <v>1.0</v>
      </c>
      <c r="I2803" s="1">
        <v>0.0</v>
      </c>
      <c r="J2803" s="1">
        <v>139.0</v>
      </c>
      <c r="L2803" s="1">
        <v>5894263.0</v>
      </c>
      <c r="N2803" s="1">
        <v>1.1019743E7</v>
      </c>
      <c r="P2803" s="1" t="s">
        <v>10309</v>
      </c>
      <c r="Q2803" s="1" t="s">
        <v>10309</v>
      </c>
      <c r="R2803" s="1" t="s">
        <v>10310</v>
      </c>
      <c r="S2803" s="1">
        <v>0.0</v>
      </c>
      <c r="T2803" s="1">
        <v>0.0</v>
      </c>
      <c r="X2803" s="1" t="s">
        <v>56</v>
      </c>
    </row>
    <row r="2804">
      <c r="A2804" s="3" t="str">
        <f>HYPERLINK("https://stackoverflow.com/q/58116800", "58116800")</f>
        <v>58116800</v>
      </c>
      <c r="B2804" s="1" t="s">
        <v>7613</v>
      </c>
      <c r="C2804" s="1" t="s">
        <v>10311</v>
      </c>
      <c r="D2804" s="2" t="s">
        <v>10312</v>
      </c>
      <c r="E2804" s="1">
        <v>1.0</v>
      </c>
      <c r="F2804" s="1">
        <v>5.8117723E7</v>
      </c>
      <c r="I2804" s="1">
        <v>0.0</v>
      </c>
      <c r="J2804" s="1">
        <v>678.0</v>
      </c>
      <c r="L2804" s="1">
        <v>8956187.0</v>
      </c>
      <c r="N2804" s="1">
        <v>8956187.0</v>
      </c>
      <c r="P2804" s="1" t="s">
        <v>10313</v>
      </c>
      <c r="Q2804" s="1" t="s">
        <v>10314</v>
      </c>
      <c r="R2804" s="1" t="s">
        <v>10315</v>
      </c>
      <c r="S2804" s="1">
        <v>2.0</v>
      </c>
      <c r="T2804" s="1">
        <v>0.0</v>
      </c>
      <c r="X2804" s="1" t="s">
        <v>56</v>
      </c>
      <c r="Z2804" s="1" t="s">
        <v>10316</v>
      </c>
    </row>
    <row r="2805">
      <c r="A2805" s="3" t="str">
        <f>HYPERLINK("https://stackoverflow.com/q/58118210", "58118210")</f>
        <v>58118210</v>
      </c>
      <c r="B2805" s="1" t="s">
        <v>7613</v>
      </c>
      <c r="C2805" s="1" t="s">
        <v>10317</v>
      </c>
      <c r="D2805" s="2" t="s">
        <v>10318</v>
      </c>
      <c r="E2805" s="1">
        <v>1.0</v>
      </c>
      <c r="I2805" s="1">
        <v>0.0</v>
      </c>
      <c r="J2805" s="1">
        <v>135.0</v>
      </c>
      <c r="L2805" s="1">
        <v>5434264.0</v>
      </c>
      <c r="N2805" s="1">
        <v>5434264.0</v>
      </c>
      <c r="P2805" s="1" t="s">
        <v>10319</v>
      </c>
      <c r="Q2805" s="1" t="s">
        <v>10320</v>
      </c>
      <c r="R2805" s="1" t="s">
        <v>10321</v>
      </c>
      <c r="S2805" s="1">
        <v>0.0</v>
      </c>
      <c r="T2805" s="1">
        <v>2.0</v>
      </c>
      <c r="X2805" s="1" t="s">
        <v>56</v>
      </c>
    </row>
    <row r="2806">
      <c r="A2806" s="3" t="str">
        <f>HYPERLINK("https://stackoverflow.com/q/58118966", "58118966")</f>
        <v>58118966</v>
      </c>
      <c r="B2806" s="1" t="s">
        <v>7613</v>
      </c>
      <c r="C2806" s="1" t="s">
        <v>10322</v>
      </c>
      <c r="D2806" s="2" t="s">
        <v>10323</v>
      </c>
      <c r="E2806" s="1">
        <v>1.0</v>
      </c>
      <c r="F2806" s="1">
        <v>5.812008E7</v>
      </c>
      <c r="I2806" s="1">
        <v>0.0</v>
      </c>
      <c r="J2806" s="1">
        <v>95.0</v>
      </c>
      <c r="L2806" s="1">
        <v>6316820.0</v>
      </c>
      <c r="N2806" s="1">
        <v>6316820.0</v>
      </c>
      <c r="P2806" s="1" t="s">
        <v>10324</v>
      </c>
      <c r="Q2806" s="1" t="s">
        <v>10325</v>
      </c>
      <c r="R2806" s="1" t="s">
        <v>10326</v>
      </c>
      <c r="S2806" s="1">
        <v>3.0</v>
      </c>
      <c r="T2806" s="1">
        <v>0.0</v>
      </c>
      <c r="X2806" s="1" t="s">
        <v>56</v>
      </c>
      <c r="Z2806" s="1" t="s">
        <v>10327</v>
      </c>
    </row>
    <row r="2807">
      <c r="A2807" s="3" t="str">
        <f>HYPERLINK("https://stackoverflow.com/q/58143160", "58143160")</f>
        <v>58143160</v>
      </c>
      <c r="B2807" s="1" t="s">
        <v>7613</v>
      </c>
      <c r="C2807" s="1" t="s">
        <v>10328</v>
      </c>
      <c r="D2807" s="2" t="s">
        <v>10329</v>
      </c>
      <c r="E2807" s="1">
        <v>1.0</v>
      </c>
      <c r="I2807" s="1">
        <v>0.0</v>
      </c>
      <c r="J2807" s="1">
        <v>74.0</v>
      </c>
      <c r="L2807" s="1">
        <v>2348365.0</v>
      </c>
      <c r="Q2807" s="1" t="s">
        <v>10330</v>
      </c>
      <c r="R2807" s="1" t="s">
        <v>9655</v>
      </c>
      <c r="S2807" s="1">
        <v>1.0</v>
      </c>
      <c r="T2807" s="1">
        <v>0.0</v>
      </c>
      <c r="X2807" s="1" t="s">
        <v>56</v>
      </c>
    </row>
    <row r="2808">
      <c r="A2808" s="3" t="str">
        <f>HYPERLINK("https://stackoverflow.com/q/58144437", "58144437")</f>
        <v>58144437</v>
      </c>
      <c r="B2808" s="1" t="s">
        <v>7613</v>
      </c>
      <c r="C2808" s="1" t="s">
        <v>10331</v>
      </c>
      <c r="D2808" s="2" t="s">
        <v>10332</v>
      </c>
      <c r="E2808" s="1">
        <v>1.0</v>
      </c>
      <c r="I2808" s="1">
        <v>1.0</v>
      </c>
      <c r="J2808" s="1">
        <v>60.0</v>
      </c>
      <c r="L2808" s="1">
        <v>2348365.0</v>
      </c>
      <c r="Q2808" s="1" t="s">
        <v>10333</v>
      </c>
      <c r="R2808" s="1" t="s">
        <v>10334</v>
      </c>
      <c r="S2808" s="1">
        <v>1.0</v>
      </c>
      <c r="T2808" s="1">
        <v>0.0</v>
      </c>
      <c r="X2808" s="1" t="s">
        <v>56</v>
      </c>
    </row>
    <row r="2809">
      <c r="A2809" s="3" t="str">
        <f>HYPERLINK("https://stackoverflow.com/q/58148161", "58148161")</f>
        <v>58148161</v>
      </c>
      <c r="B2809" s="1" t="s">
        <v>7613</v>
      </c>
      <c r="C2809" s="1" t="s">
        <v>10335</v>
      </c>
      <c r="D2809" s="2" t="s">
        <v>10336</v>
      </c>
      <c r="E2809" s="1">
        <v>1.0</v>
      </c>
      <c r="I2809" s="1">
        <v>0.0</v>
      </c>
      <c r="J2809" s="1">
        <v>68.0</v>
      </c>
      <c r="L2809" s="1">
        <v>5485433.0</v>
      </c>
      <c r="Q2809" s="1" t="s">
        <v>10335</v>
      </c>
      <c r="R2809" s="1" t="s">
        <v>10337</v>
      </c>
      <c r="S2809" s="1">
        <v>0.0</v>
      </c>
      <c r="T2809" s="1">
        <v>0.0</v>
      </c>
      <c r="X2809" s="1" t="s">
        <v>56</v>
      </c>
    </row>
    <row r="2810">
      <c r="A2810" s="3" t="str">
        <f>HYPERLINK("https://stackoverflow.com/q/58155631", "58155631")</f>
        <v>58155631</v>
      </c>
      <c r="B2810" s="1" t="s">
        <v>7613</v>
      </c>
      <c r="C2810" s="1" t="s">
        <v>10338</v>
      </c>
      <c r="D2810" s="2" t="s">
        <v>10339</v>
      </c>
      <c r="E2810" s="1">
        <v>1.0</v>
      </c>
      <c r="I2810" s="1">
        <v>0.0</v>
      </c>
      <c r="J2810" s="1">
        <v>179.0</v>
      </c>
      <c r="L2810" s="1">
        <v>8956187.0</v>
      </c>
      <c r="N2810" s="1">
        <v>8956187.0</v>
      </c>
      <c r="P2810" s="1" t="s">
        <v>10340</v>
      </c>
      <c r="Q2810" s="1" t="s">
        <v>10340</v>
      </c>
      <c r="R2810" s="1" t="s">
        <v>10341</v>
      </c>
      <c r="S2810" s="1">
        <v>0.0</v>
      </c>
      <c r="T2810" s="1">
        <v>1.0</v>
      </c>
      <c r="X2810" s="1" t="s">
        <v>56</v>
      </c>
    </row>
    <row r="2811">
      <c r="A2811" s="3" t="str">
        <f>HYPERLINK("https://stackoverflow.com/q/58163017", "58163017")</f>
        <v>58163017</v>
      </c>
      <c r="B2811" s="1" t="s">
        <v>7613</v>
      </c>
      <c r="C2811" s="1" t="s">
        <v>10342</v>
      </c>
      <c r="D2811" s="2" t="s">
        <v>10343</v>
      </c>
      <c r="E2811" s="1">
        <v>1.0</v>
      </c>
      <c r="I2811" s="1">
        <v>0.0</v>
      </c>
      <c r="J2811" s="1">
        <v>158.0</v>
      </c>
      <c r="L2811" s="1">
        <v>2257288.0</v>
      </c>
      <c r="N2811" s="1">
        <v>2257288.0</v>
      </c>
      <c r="P2811" s="1" t="s">
        <v>10344</v>
      </c>
      <c r="Q2811" s="1" t="s">
        <v>10344</v>
      </c>
      <c r="R2811" s="1" t="s">
        <v>10345</v>
      </c>
      <c r="S2811" s="1">
        <v>2.0</v>
      </c>
      <c r="T2811" s="1">
        <v>2.0</v>
      </c>
      <c r="X2811" s="1" t="s">
        <v>56</v>
      </c>
    </row>
    <row r="2812">
      <c r="A2812" s="3" t="str">
        <f>HYPERLINK("https://stackoverflow.com/q/58185005", "58185005")</f>
        <v>58185005</v>
      </c>
      <c r="B2812" s="1" t="s">
        <v>7613</v>
      </c>
      <c r="C2812" s="1" t="s">
        <v>10346</v>
      </c>
      <c r="D2812" s="2" t="s">
        <v>10347</v>
      </c>
      <c r="E2812" s="1">
        <v>1.0</v>
      </c>
      <c r="I2812" s="1">
        <v>3.0</v>
      </c>
      <c r="J2812" s="1">
        <v>142.0</v>
      </c>
      <c r="L2812" s="1">
        <v>4928469.0</v>
      </c>
      <c r="N2812" s="1">
        <v>4928469.0</v>
      </c>
      <c r="P2812" s="1" t="s">
        <v>10348</v>
      </c>
      <c r="Q2812" s="1" t="s">
        <v>10348</v>
      </c>
      <c r="R2812" s="1" t="s">
        <v>10349</v>
      </c>
      <c r="S2812" s="1">
        <v>2.0</v>
      </c>
      <c r="T2812" s="1">
        <v>0.0</v>
      </c>
      <c r="U2812" s="1">
        <v>1.0</v>
      </c>
      <c r="X2812" s="1" t="s">
        <v>56</v>
      </c>
    </row>
    <row r="2813">
      <c r="A2813" s="3" t="str">
        <f>HYPERLINK("https://stackoverflow.com/q/58207245", "58207245")</f>
        <v>58207245</v>
      </c>
      <c r="B2813" s="1" t="s">
        <v>7613</v>
      </c>
      <c r="C2813" s="1" t="s">
        <v>10350</v>
      </c>
      <c r="D2813" s="2" t="s">
        <v>10351</v>
      </c>
      <c r="E2813" s="1">
        <v>1.0</v>
      </c>
      <c r="I2813" s="1">
        <v>0.0</v>
      </c>
      <c r="J2813" s="1">
        <v>369.0</v>
      </c>
      <c r="L2813" s="1">
        <v>1719652.0</v>
      </c>
      <c r="N2813" s="1">
        <v>1719652.0</v>
      </c>
      <c r="P2813" s="1" t="s">
        <v>10352</v>
      </c>
      <c r="Q2813" s="1" t="s">
        <v>10353</v>
      </c>
      <c r="R2813" s="1" t="s">
        <v>10354</v>
      </c>
      <c r="S2813" s="1">
        <v>1.0</v>
      </c>
      <c r="T2813" s="1">
        <v>4.0</v>
      </c>
      <c r="X2813" s="1" t="s">
        <v>56</v>
      </c>
    </row>
    <row r="2814">
      <c r="A2814" s="3" t="str">
        <f>HYPERLINK("https://stackoverflow.com/q/58229641", "58229641")</f>
        <v>58229641</v>
      </c>
      <c r="B2814" s="1" t="s">
        <v>7613</v>
      </c>
      <c r="C2814" s="1" t="s">
        <v>10355</v>
      </c>
      <c r="D2814" s="2" t="s">
        <v>10356</v>
      </c>
      <c r="E2814" s="1">
        <v>1.0</v>
      </c>
      <c r="I2814" s="1">
        <v>0.0</v>
      </c>
      <c r="J2814" s="1">
        <v>10.0</v>
      </c>
      <c r="L2814" s="1">
        <v>5352719.0</v>
      </c>
      <c r="Q2814" s="1" t="s">
        <v>10355</v>
      </c>
      <c r="R2814" s="1" t="s">
        <v>10357</v>
      </c>
      <c r="S2814" s="1">
        <v>0.0</v>
      </c>
      <c r="T2814" s="1">
        <v>0.0</v>
      </c>
      <c r="U2814" s="1">
        <v>1.0</v>
      </c>
      <c r="X2814" s="1" t="s">
        <v>56</v>
      </c>
    </row>
    <row r="2815">
      <c r="A2815" s="3" t="str">
        <f>HYPERLINK("https://stackoverflow.com/q/58249552", "58249552")</f>
        <v>58249552</v>
      </c>
      <c r="B2815" s="1" t="s">
        <v>7613</v>
      </c>
      <c r="C2815" s="1" t="s">
        <v>10358</v>
      </c>
      <c r="D2815" s="2" t="s">
        <v>10359</v>
      </c>
      <c r="E2815" s="1">
        <v>1.0</v>
      </c>
      <c r="I2815" s="1">
        <v>0.0</v>
      </c>
      <c r="J2815" s="1">
        <v>41.0</v>
      </c>
      <c r="L2815" s="1">
        <v>1.0591564E7</v>
      </c>
      <c r="Q2815" s="1" t="s">
        <v>10358</v>
      </c>
      <c r="R2815" s="1" t="s">
        <v>10360</v>
      </c>
      <c r="S2815" s="1">
        <v>0.0</v>
      </c>
      <c r="T2815" s="1">
        <v>0.0</v>
      </c>
      <c r="X2815" s="1" t="s">
        <v>56</v>
      </c>
    </row>
    <row r="2816">
      <c r="A2816" s="3" t="str">
        <f>HYPERLINK("https://stackoverflow.com/q/58251999", "58251999")</f>
        <v>58251999</v>
      </c>
      <c r="B2816" s="1" t="s">
        <v>7613</v>
      </c>
      <c r="C2816" s="1" t="s">
        <v>10361</v>
      </c>
      <c r="D2816" s="2" t="s">
        <v>10362</v>
      </c>
      <c r="E2816" s="1">
        <v>1.0</v>
      </c>
      <c r="I2816" s="1">
        <v>0.0</v>
      </c>
      <c r="J2816" s="1">
        <v>56.0</v>
      </c>
      <c r="L2816" s="1">
        <v>1382114.0</v>
      </c>
      <c r="N2816" s="1">
        <v>1382114.0</v>
      </c>
      <c r="P2816" s="1" t="s">
        <v>10363</v>
      </c>
      <c r="Q2816" s="1" t="s">
        <v>10363</v>
      </c>
      <c r="R2816" s="1" t="s">
        <v>8432</v>
      </c>
      <c r="S2816" s="1">
        <v>0.0</v>
      </c>
      <c r="T2816" s="1">
        <v>0.0</v>
      </c>
      <c r="X2816" s="1" t="s">
        <v>56</v>
      </c>
    </row>
    <row r="2817">
      <c r="A2817" s="3" t="str">
        <f>HYPERLINK("https://stackoverflow.com/q/58264615", "58264615")</f>
        <v>58264615</v>
      </c>
      <c r="B2817" s="1" t="s">
        <v>7613</v>
      </c>
      <c r="C2817" s="1" t="s">
        <v>10364</v>
      </c>
      <c r="D2817" s="2" t="s">
        <v>10365</v>
      </c>
      <c r="E2817" s="1">
        <v>1.0</v>
      </c>
      <c r="I2817" s="1">
        <v>0.0</v>
      </c>
      <c r="J2817" s="1">
        <v>21.0</v>
      </c>
      <c r="L2817" s="1">
        <v>1.2175025E7</v>
      </c>
      <c r="Q2817" s="1" t="s">
        <v>10364</v>
      </c>
      <c r="R2817" s="1" t="s">
        <v>8321</v>
      </c>
      <c r="S2817" s="1">
        <v>0.0</v>
      </c>
      <c r="T2817" s="1">
        <v>0.0</v>
      </c>
      <c r="X2817" s="1" t="s">
        <v>56</v>
      </c>
    </row>
    <row r="2818">
      <c r="A2818" s="3" t="str">
        <f>HYPERLINK("https://stackoverflow.com/q/58275712", "58275712")</f>
        <v>58275712</v>
      </c>
      <c r="B2818" s="1" t="s">
        <v>7613</v>
      </c>
      <c r="C2818" s="1" t="s">
        <v>10366</v>
      </c>
      <c r="D2818" s="2" t="s">
        <v>10367</v>
      </c>
      <c r="E2818" s="1">
        <v>1.0</v>
      </c>
      <c r="I2818" s="1">
        <v>0.0</v>
      </c>
      <c r="J2818" s="1">
        <v>16.0</v>
      </c>
      <c r="L2818" s="1">
        <v>1.1896439E7</v>
      </c>
      <c r="Q2818" s="1" t="s">
        <v>10366</v>
      </c>
      <c r="R2818" s="1" t="s">
        <v>8728</v>
      </c>
      <c r="S2818" s="1">
        <v>0.0</v>
      </c>
      <c r="T2818" s="1">
        <v>1.0</v>
      </c>
      <c r="X2818" s="1" t="s">
        <v>56</v>
      </c>
    </row>
    <row r="2819">
      <c r="A2819" s="3" t="str">
        <f>HYPERLINK("https://stackoverflow.com/q/58289430", "58289430")</f>
        <v>58289430</v>
      </c>
      <c r="B2819" s="1" t="s">
        <v>7613</v>
      </c>
      <c r="C2819" s="1" t="s">
        <v>10368</v>
      </c>
      <c r="D2819" s="2" t="s">
        <v>10369</v>
      </c>
      <c r="E2819" s="1">
        <v>1.0</v>
      </c>
      <c r="I2819" s="1">
        <v>0.0</v>
      </c>
      <c r="J2819" s="1">
        <v>1256.0</v>
      </c>
      <c r="L2819" s="1">
        <v>1207856.0</v>
      </c>
      <c r="N2819" s="1">
        <v>1207856.0</v>
      </c>
      <c r="P2819" s="1" t="s">
        <v>10370</v>
      </c>
      <c r="Q2819" s="1" t="s">
        <v>10371</v>
      </c>
      <c r="R2819" s="1" t="s">
        <v>10372</v>
      </c>
      <c r="S2819" s="1">
        <v>1.0</v>
      </c>
      <c r="T2819" s="1">
        <v>0.0</v>
      </c>
      <c r="X2819" s="1" t="s">
        <v>56</v>
      </c>
    </row>
    <row r="2820">
      <c r="A2820" s="3" t="str">
        <f>HYPERLINK("https://stackoverflow.com/q/58289560", "58289560")</f>
        <v>58289560</v>
      </c>
      <c r="B2820" s="1" t="s">
        <v>7613</v>
      </c>
      <c r="C2820" s="1" t="s">
        <v>10373</v>
      </c>
      <c r="D2820" s="2" t="s">
        <v>10374</v>
      </c>
      <c r="E2820" s="1">
        <v>1.0</v>
      </c>
      <c r="I2820" s="1">
        <v>0.0</v>
      </c>
      <c r="J2820" s="1">
        <v>34.0</v>
      </c>
      <c r="L2820" s="1">
        <v>7739430.0</v>
      </c>
      <c r="N2820" s="1">
        <v>7739430.0</v>
      </c>
      <c r="P2820" s="1" t="s">
        <v>10375</v>
      </c>
      <c r="Q2820" s="1" t="s">
        <v>10375</v>
      </c>
      <c r="R2820" s="1" t="s">
        <v>8321</v>
      </c>
      <c r="S2820" s="1">
        <v>0.0</v>
      </c>
      <c r="T2820" s="1">
        <v>0.0</v>
      </c>
      <c r="X2820" s="1" t="s">
        <v>56</v>
      </c>
    </row>
    <row r="2821">
      <c r="A2821" s="3" t="str">
        <f>HYPERLINK("https://stackoverflow.com/q/58292569", "58292569")</f>
        <v>58292569</v>
      </c>
      <c r="B2821" s="1" t="s">
        <v>7613</v>
      </c>
      <c r="C2821" s="1" t="s">
        <v>10376</v>
      </c>
      <c r="D2821" s="2" t="s">
        <v>10377</v>
      </c>
      <c r="E2821" s="1">
        <v>1.0</v>
      </c>
      <c r="F2821" s="1">
        <v>5.8299013E7</v>
      </c>
      <c r="I2821" s="1">
        <v>0.0</v>
      </c>
      <c r="J2821" s="1">
        <v>485.0</v>
      </c>
      <c r="L2821" s="1">
        <v>9922463.0</v>
      </c>
      <c r="Q2821" s="1" t="s">
        <v>10378</v>
      </c>
      <c r="R2821" s="1" t="s">
        <v>8321</v>
      </c>
      <c r="S2821" s="1">
        <v>1.0</v>
      </c>
      <c r="T2821" s="1">
        <v>0.0</v>
      </c>
      <c r="X2821" s="1" t="s">
        <v>56</v>
      </c>
      <c r="Z2821" s="1" t="s">
        <v>10378</v>
      </c>
    </row>
    <row r="2822">
      <c r="A2822" s="3" t="str">
        <f>HYPERLINK("https://stackoverflow.com/q/58300168", "58300168")</f>
        <v>58300168</v>
      </c>
      <c r="B2822" s="1" t="s">
        <v>7613</v>
      </c>
      <c r="C2822" s="1" t="s">
        <v>10379</v>
      </c>
      <c r="D2822" s="2" t="s">
        <v>10380</v>
      </c>
      <c r="E2822" s="1">
        <v>1.0</v>
      </c>
      <c r="I2822" s="1">
        <v>0.0</v>
      </c>
      <c r="J2822" s="1">
        <v>34.0</v>
      </c>
      <c r="L2822" s="1">
        <v>1825973.0</v>
      </c>
      <c r="Q2822" s="1" t="s">
        <v>10379</v>
      </c>
      <c r="R2822" s="1" t="s">
        <v>10381</v>
      </c>
      <c r="S2822" s="1">
        <v>0.0</v>
      </c>
      <c r="T2822" s="1">
        <v>0.0</v>
      </c>
      <c r="X2822" s="1" t="s">
        <v>56</v>
      </c>
    </row>
    <row r="2823">
      <c r="A2823" s="3" t="str">
        <f>HYPERLINK("https://stackoverflow.com/q/58302431", "58302431")</f>
        <v>58302431</v>
      </c>
      <c r="B2823" s="1" t="s">
        <v>7613</v>
      </c>
      <c r="C2823" s="1" t="s">
        <v>10382</v>
      </c>
      <c r="D2823" s="2" t="s">
        <v>10383</v>
      </c>
      <c r="E2823" s="1">
        <v>1.0</v>
      </c>
      <c r="I2823" s="1">
        <v>0.0</v>
      </c>
      <c r="J2823" s="1">
        <v>9.0</v>
      </c>
      <c r="L2823" s="1">
        <v>1.0829606E7</v>
      </c>
      <c r="N2823" s="1">
        <v>1.0829606E7</v>
      </c>
      <c r="P2823" s="1" t="s">
        <v>10384</v>
      </c>
      <c r="Q2823" s="1" t="s">
        <v>10384</v>
      </c>
      <c r="R2823" s="1" t="s">
        <v>9527</v>
      </c>
      <c r="S2823" s="1">
        <v>0.0</v>
      </c>
      <c r="T2823" s="1">
        <v>0.0</v>
      </c>
      <c r="X2823" s="1" t="s">
        <v>56</v>
      </c>
    </row>
    <row r="2824">
      <c r="A2824" s="3" t="str">
        <f>HYPERLINK("https://stackoverflow.com/q/58325798", "58325798")</f>
        <v>58325798</v>
      </c>
      <c r="B2824" s="1" t="s">
        <v>7613</v>
      </c>
      <c r="C2824" s="1" t="s">
        <v>10385</v>
      </c>
      <c r="D2824" s="2" t="s">
        <v>10386</v>
      </c>
      <c r="E2824" s="1">
        <v>1.0</v>
      </c>
      <c r="I2824" s="1">
        <v>0.0</v>
      </c>
      <c r="J2824" s="1">
        <v>382.0</v>
      </c>
      <c r="L2824" s="1">
        <v>1.2195859E7</v>
      </c>
      <c r="N2824" s="1">
        <v>2957291.0</v>
      </c>
      <c r="P2824" s="1" t="s">
        <v>10387</v>
      </c>
      <c r="Q2824" s="1" t="s">
        <v>10387</v>
      </c>
      <c r="R2824" s="1" t="s">
        <v>10388</v>
      </c>
      <c r="S2824" s="1">
        <v>0.0</v>
      </c>
      <c r="T2824" s="1">
        <v>1.0</v>
      </c>
      <c r="U2824" s="1">
        <v>1.0</v>
      </c>
      <c r="X2824" s="1" t="s">
        <v>56</v>
      </c>
    </row>
    <row r="2825">
      <c r="A2825" s="3" t="str">
        <f>HYPERLINK("https://stackoverflow.com/q/58328684", "58328684")</f>
        <v>58328684</v>
      </c>
      <c r="B2825" s="1" t="s">
        <v>7613</v>
      </c>
      <c r="C2825" s="1" t="s">
        <v>10389</v>
      </c>
      <c r="D2825" s="2" t="s">
        <v>10390</v>
      </c>
      <c r="E2825" s="1">
        <v>1.0</v>
      </c>
      <c r="I2825" s="1">
        <v>0.0</v>
      </c>
      <c r="J2825" s="1">
        <v>11.0</v>
      </c>
      <c r="L2825" s="1">
        <v>1.1335542E7</v>
      </c>
      <c r="Q2825" s="1" t="s">
        <v>10389</v>
      </c>
      <c r="R2825" s="1" t="s">
        <v>8412</v>
      </c>
      <c r="S2825" s="1">
        <v>0.0</v>
      </c>
      <c r="T2825" s="1">
        <v>0.0</v>
      </c>
      <c r="X2825" s="1" t="s">
        <v>56</v>
      </c>
    </row>
    <row r="2826">
      <c r="A2826" s="3" t="str">
        <f>HYPERLINK("https://stackoverflow.com/q/58339319", "58339319")</f>
        <v>58339319</v>
      </c>
      <c r="B2826" s="1" t="s">
        <v>7613</v>
      </c>
      <c r="C2826" s="1" t="s">
        <v>10391</v>
      </c>
      <c r="D2826" s="2" t="s">
        <v>10392</v>
      </c>
      <c r="E2826" s="1">
        <v>1.0</v>
      </c>
      <c r="F2826" s="1">
        <v>5.8339408E7</v>
      </c>
      <c r="I2826" s="1">
        <v>0.0</v>
      </c>
      <c r="J2826" s="1">
        <v>42.0</v>
      </c>
      <c r="L2826" s="1">
        <v>2257288.0</v>
      </c>
      <c r="Q2826" s="1" t="s">
        <v>10393</v>
      </c>
      <c r="R2826" s="1" t="s">
        <v>10394</v>
      </c>
      <c r="S2826" s="1">
        <v>2.0</v>
      </c>
      <c r="T2826" s="1">
        <v>0.0</v>
      </c>
      <c r="X2826" s="1" t="s">
        <v>56</v>
      </c>
      <c r="Z2826" s="1" t="s">
        <v>10395</v>
      </c>
    </row>
    <row r="2827">
      <c r="A2827" s="3" t="str">
        <f>HYPERLINK("https://stackoverflow.com/q/58344651", "58344651")</f>
        <v>58344651</v>
      </c>
      <c r="B2827" s="1" t="s">
        <v>7613</v>
      </c>
      <c r="C2827" s="1" t="s">
        <v>10396</v>
      </c>
      <c r="D2827" s="2" t="s">
        <v>10397</v>
      </c>
      <c r="E2827" s="1">
        <v>1.0</v>
      </c>
      <c r="I2827" s="1">
        <v>0.0</v>
      </c>
      <c r="J2827" s="1">
        <v>1222.0</v>
      </c>
      <c r="L2827" s="1">
        <v>9922463.0</v>
      </c>
      <c r="Q2827" s="1" t="s">
        <v>10398</v>
      </c>
      <c r="R2827" s="1" t="s">
        <v>8321</v>
      </c>
      <c r="S2827" s="1">
        <v>1.0</v>
      </c>
      <c r="T2827" s="1">
        <v>0.0</v>
      </c>
      <c r="X2827" s="1" t="s">
        <v>56</v>
      </c>
    </row>
    <row r="2828">
      <c r="A2828" s="3" t="str">
        <f>HYPERLINK("https://stackoverflow.com/q/58371510", "58371510")</f>
        <v>58371510</v>
      </c>
      <c r="B2828" s="1" t="s">
        <v>7613</v>
      </c>
      <c r="C2828" s="1" t="s">
        <v>10399</v>
      </c>
      <c r="D2828" s="2" t="s">
        <v>10400</v>
      </c>
      <c r="E2828" s="1">
        <v>1.0</v>
      </c>
      <c r="I2828" s="1">
        <v>0.0</v>
      </c>
      <c r="J2828" s="1">
        <v>186.0</v>
      </c>
      <c r="L2828" s="1">
        <v>8861099.0</v>
      </c>
      <c r="Q2828" s="1" t="s">
        <v>10399</v>
      </c>
      <c r="R2828" s="1" t="s">
        <v>10401</v>
      </c>
      <c r="S2828" s="1">
        <v>0.0</v>
      </c>
      <c r="T2828" s="1">
        <v>0.0</v>
      </c>
      <c r="U2828" s="1">
        <v>1.0</v>
      </c>
      <c r="X2828" s="1" t="s">
        <v>56</v>
      </c>
    </row>
    <row r="2829">
      <c r="A2829" s="3" t="str">
        <f>HYPERLINK("https://stackoverflow.com/q/58372218", "58372218")</f>
        <v>58372218</v>
      </c>
      <c r="B2829" s="1" t="s">
        <v>7613</v>
      </c>
      <c r="C2829" s="1" t="s">
        <v>10402</v>
      </c>
      <c r="D2829" s="2" t="s">
        <v>10403</v>
      </c>
      <c r="E2829" s="1">
        <v>1.0</v>
      </c>
      <c r="I2829" s="1">
        <v>0.0</v>
      </c>
      <c r="J2829" s="1">
        <v>67.0</v>
      </c>
      <c r="L2829" s="1">
        <v>3375368.0</v>
      </c>
      <c r="N2829" s="1">
        <v>3375368.0</v>
      </c>
      <c r="P2829" s="1" t="s">
        <v>10404</v>
      </c>
      <c r="Q2829" s="1" t="s">
        <v>10404</v>
      </c>
      <c r="R2829" s="1" t="s">
        <v>9202</v>
      </c>
      <c r="S2829" s="1">
        <v>1.0</v>
      </c>
      <c r="T2829" s="1">
        <v>0.0</v>
      </c>
      <c r="X2829" s="1" t="s">
        <v>56</v>
      </c>
    </row>
    <row r="2830">
      <c r="A2830" s="3" t="str">
        <f>HYPERLINK("https://stackoverflow.com/q/58372921", "58372921")</f>
        <v>58372921</v>
      </c>
      <c r="B2830" s="1" t="s">
        <v>7613</v>
      </c>
      <c r="C2830" s="1" t="s">
        <v>10405</v>
      </c>
      <c r="D2830" s="2" t="s">
        <v>10406</v>
      </c>
      <c r="E2830" s="1">
        <v>1.0</v>
      </c>
      <c r="F2830" s="1">
        <v>5.8375021E7</v>
      </c>
      <c r="I2830" s="1">
        <v>0.0</v>
      </c>
      <c r="J2830" s="1">
        <v>36.0</v>
      </c>
      <c r="L2830" s="1">
        <v>1.1669186E7</v>
      </c>
      <c r="Q2830" s="1" t="s">
        <v>10407</v>
      </c>
      <c r="R2830" s="1" t="s">
        <v>8774</v>
      </c>
      <c r="S2830" s="1">
        <v>1.0</v>
      </c>
      <c r="T2830" s="1">
        <v>0.0</v>
      </c>
      <c r="X2830" s="1" t="s">
        <v>56</v>
      </c>
      <c r="Z2830" s="1" t="s">
        <v>10407</v>
      </c>
    </row>
    <row r="2831">
      <c r="A2831" s="3" t="str">
        <f>HYPERLINK("https://stackoverflow.com/q/58374422", "58374422")</f>
        <v>58374422</v>
      </c>
      <c r="B2831" s="1" t="s">
        <v>7613</v>
      </c>
      <c r="C2831" s="1" t="s">
        <v>10408</v>
      </c>
      <c r="D2831" s="2" t="s">
        <v>10409</v>
      </c>
      <c r="E2831" s="1">
        <v>1.0</v>
      </c>
      <c r="I2831" s="1">
        <v>0.0</v>
      </c>
      <c r="J2831" s="1">
        <v>146.0</v>
      </c>
      <c r="L2831" s="1">
        <v>5482686.0</v>
      </c>
      <c r="N2831" s="1">
        <v>5482686.0</v>
      </c>
      <c r="P2831" s="1" t="s">
        <v>10410</v>
      </c>
      <c r="Q2831" s="1" t="s">
        <v>10411</v>
      </c>
      <c r="R2831" s="1" t="s">
        <v>10412</v>
      </c>
      <c r="S2831" s="1">
        <v>0.0</v>
      </c>
      <c r="T2831" s="1">
        <v>0.0</v>
      </c>
      <c r="X2831" s="1" t="s">
        <v>56</v>
      </c>
    </row>
    <row r="2832">
      <c r="A2832" s="3" t="str">
        <f>HYPERLINK("https://stackoverflow.com/q/58376301", "58376301")</f>
        <v>58376301</v>
      </c>
      <c r="B2832" s="1" t="s">
        <v>7613</v>
      </c>
      <c r="C2832" s="1" t="s">
        <v>10413</v>
      </c>
      <c r="D2832" s="2" t="s">
        <v>10414</v>
      </c>
      <c r="E2832" s="1">
        <v>1.0</v>
      </c>
      <c r="F2832" s="1">
        <v>5.8393215E7</v>
      </c>
      <c r="I2832" s="1">
        <v>0.0</v>
      </c>
      <c r="J2832" s="1">
        <v>93.0</v>
      </c>
      <c r="L2832" s="1">
        <v>8861099.0</v>
      </c>
      <c r="Q2832" s="1" t="s">
        <v>10415</v>
      </c>
      <c r="R2832" s="1" t="s">
        <v>10416</v>
      </c>
      <c r="S2832" s="1">
        <v>1.0</v>
      </c>
      <c r="T2832" s="1">
        <v>0.0</v>
      </c>
      <c r="X2832" s="1" t="s">
        <v>56</v>
      </c>
      <c r="Z2832" s="1" t="s">
        <v>10417</v>
      </c>
    </row>
    <row r="2833">
      <c r="A2833" s="3" t="str">
        <f>HYPERLINK("https://stackoverflow.com/q/58382314", "58382314")</f>
        <v>58382314</v>
      </c>
      <c r="B2833" s="1" t="s">
        <v>7613</v>
      </c>
      <c r="C2833" s="1" t="s">
        <v>10418</v>
      </c>
      <c r="D2833" s="2" t="s">
        <v>10419</v>
      </c>
      <c r="E2833" s="1">
        <v>1.0</v>
      </c>
      <c r="I2833" s="1">
        <v>2.0</v>
      </c>
      <c r="J2833" s="1">
        <v>220.0</v>
      </c>
      <c r="M2833" s="1" t="s">
        <v>10420</v>
      </c>
      <c r="N2833" s="1">
        <v>4481000.0</v>
      </c>
      <c r="P2833" s="1" t="s">
        <v>10421</v>
      </c>
      <c r="Q2833" s="1" t="s">
        <v>10421</v>
      </c>
      <c r="R2833" s="1" t="s">
        <v>10422</v>
      </c>
      <c r="S2833" s="1">
        <v>1.0</v>
      </c>
      <c r="T2833" s="1">
        <v>0.0</v>
      </c>
      <c r="U2833" s="1">
        <v>0.0</v>
      </c>
      <c r="X2833" s="1" t="s">
        <v>56</v>
      </c>
    </row>
    <row r="2834">
      <c r="A2834" s="3" t="str">
        <f>HYPERLINK("https://stackoverflow.com/q/58416987", "58416987")</f>
        <v>58416987</v>
      </c>
      <c r="B2834" s="1" t="s">
        <v>7613</v>
      </c>
      <c r="C2834" s="1" t="s">
        <v>10423</v>
      </c>
      <c r="D2834" s="2" t="s">
        <v>10424</v>
      </c>
      <c r="E2834" s="1">
        <v>1.0</v>
      </c>
      <c r="I2834" s="1">
        <v>0.0</v>
      </c>
      <c r="J2834" s="1">
        <v>61.0</v>
      </c>
      <c r="L2834" s="1">
        <v>1.0776493E7</v>
      </c>
      <c r="Q2834" s="1" t="s">
        <v>10423</v>
      </c>
      <c r="R2834" s="1" t="s">
        <v>9460</v>
      </c>
      <c r="S2834" s="1">
        <v>0.0</v>
      </c>
      <c r="T2834" s="1">
        <v>0.0</v>
      </c>
      <c r="X2834" s="1" t="s">
        <v>56</v>
      </c>
    </row>
    <row r="2835">
      <c r="A2835" s="3" t="str">
        <f>HYPERLINK("https://stackoverflow.com/q/58428940", "58428940")</f>
        <v>58428940</v>
      </c>
      <c r="B2835" s="1" t="s">
        <v>7613</v>
      </c>
      <c r="C2835" s="1" t="s">
        <v>10425</v>
      </c>
      <c r="D2835" s="2" t="s">
        <v>10426</v>
      </c>
      <c r="E2835" s="1">
        <v>1.0</v>
      </c>
      <c r="I2835" s="1">
        <v>0.0</v>
      </c>
      <c r="J2835" s="1">
        <v>56.0</v>
      </c>
      <c r="L2835" s="1">
        <v>1.1977248E7</v>
      </c>
      <c r="Q2835" s="1" t="s">
        <v>10425</v>
      </c>
      <c r="R2835" s="1" t="s">
        <v>10427</v>
      </c>
      <c r="S2835" s="1">
        <v>0.0</v>
      </c>
      <c r="T2835" s="1">
        <v>0.0</v>
      </c>
      <c r="X2835" s="1" t="s">
        <v>56</v>
      </c>
    </row>
    <row r="2836">
      <c r="A2836" s="3" t="str">
        <f>HYPERLINK("https://stackoverflow.com/q/58429974", "58429974")</f>
        <v>58429974</v>
      </c>
      <c r="B2836" s="1" t="s">
        <v>7613</v>
      </c>
      <c r="C2836" s="1" t="s">
        <v>10428</v>
      </c>
      <c r="D2836" s="2" t="s">
        <v>10429</v>
      </c>
      <c r="E2836" s="1">
        <v>1.0</v>
      </c>
      <c r="I2836" s="1">
        <v>0.0</v>
      </c>
      <c r="J2836" s="1">
        <v>12.0</v>
      </c>
      <c r="L2836" s="1">
        <v>3584029.0</v>
      </c>
      <c r="Q2836" s="1" t="s">
        <v>10430</v>
      </c>
      <c r="R2836" s="1" t="s">
        <v>8525</v>
      </c>
      <c r="S2836" s="1">
        <v>1.0</v>
      </c>
      <c r="T2836" s="1">
        <v>0.0</v>
      </c>
      <c r="X2836" s="1" t="s">
        <v>56</v>
      </c>
    </row>
    <row r="2837">
      <c r="A2837" s="3" t="str">
        <f>HYPERLINK("https://stackoverflow.com/q/58432441", "58432441")</f>
        <v>58432441</v>
      </c>
      <c r="B2837" s="1" t="s">
        <v>7613</v>
      </c>
      <c r="C2837" s="1" t="s">
        <v>10431</v>
      </c>
      <c r="D2837" s="2" t="s">
        <v>10432</v>
      </c>
      <c r="E2837" s="1">
        <v>1.0</v>
      </c>
      <c r="I2837" s="1">
        <v>0.0</v>
      </c>
      <c r="J2837" s="1">
        <v>23.0</v>
      </c>
      <c r="L2837" s="1">
        <v>1.2232579E7</v>
      </c>
      <c r="Q2837" s="1" t="s">
        <v>10431</v>
      </c>
      <c r="R2837" s="1" t="s">
        <v>10433</v>
      </c>
      <c r="S2837" s="1">
        <v>0.0</v>
      </c>
      <c r="T2837" s="1">
        <v>0.0</v>
      </c>
      <c r="X2837" s="1" t="s">
        <v>56</v>
      </c>
    </row>
    <row r="2838">
      <c r="A2838" s="3" t="str">
        <f>HYPERLINK("https://stackoverflow.com/q/58438270", "58438270")</f>
        <v>58438270</v>
      </c>
      <c r="B2838" s="1" t="s">
        <v>7613</v>
      </c>
      <c r="C2838" s="1" t="s">
        <v>10434</v>
      </c>
      <c r="D2838" s="2" t="s">
        <v>10435</v>
      </c>
      <c r="E2838" s="1">
        <v>1.0</v>
      </c>
      <c r="I2838" s="1">
        <v>1.0</v>
      </c>
      <c r="J2838" s="1">
        <v>67.0</v>
      </c>
      <c r="L2838" s="1">
        <v>1.2234433E7</v>
      </c>
      <c r="Q2838" s="1" t="s">
        <v>10436</v>
      </c>
      <c r="R2838" s="1" t="s">
        <v>10437</v>
      </c>
      <c r="S2838" s="1">
        <v>1.0</v>
      </c>
      <c r="T2838" s="1">
        <v>0.0</v>
      </c>
      <c r="X2838" s="1" t="s">
        <v>56</v>
      </c>
    </row>
    <row r="2839">
      <c r="A2839" s="3" t="str">
        <f>HYPERLINK("https://stackoverflow.com/q/58439034", "58439034")</f>
        <v>58439034</v>
      </c>
      <c r="B2839" s="1" t="s">
        <v>7613</v>
      </c>
      <c r="C2839" s="1" t="s">
        <v>10438</v>
      </c>
      <c r="D2839" s="2" t="s">
        <v>10439</v>
      </c>
      <c r="E2839" s="1">
        <v>1.0</v>
      </c>
      <c r="I2839" s="1">
        <v>0.0</v>
      </c>
      <c r="J2839" s="1">
        <v>38.0</v>
      </c>
      <c r="L2839" s="1">
        <v>1.1898062E7</v>
      </c>
      <c r="N2839" s="1">
        <v>1.1898062E7</v>
      </c>
      <c r="P2839" s="1" t="s">
        <v>10440</v>
      </c>
      <c r="Q2839" s="1" t="s">
        <v>10440</v>
      </c>
      <c r="R2839" s="1" t="s">
        <v>10441</v>
      </c>
      <c r="S2839" s="1">
        <v>0.0</v>
      </c>
      <c r="T2839" s="1">
        <v>0.0</v>
      </c>
      <c r="X2839" s="1" t="s">
        <v>56</v>
      </c>
    </row>
    <row r="2840">
      <c r="A2840" s="3" t="str">
        <f>HYPERLINK("https://stackoverflow.com/q/58449923", "58449923")</f>
        <v>58449923</v>
      </c>
      <c r="B2840" s="1" t="s">
        <v>7613</v>
      </c>
      <c r="C2840" s="1" t="s">
        <v>10442</v>
      </c>
      <c r="D2840" s="2" t="s">
        <v>10443</v>
      </c>
      <c r="E2840" s="1">
        <v>1.0</v>
      </c>
      <c r="I2840" s="1">
        <v>1.0</v>
      </c>
      <c r="J2840" s="1">
        <v>38.0</v>
      </c>
      <c r="L2840" s="1">
        <v>7020896.0</v>
      </c>
      <c r="N2840" s="1">
        <v>4197679.0</v>
      </c>
      <c r="P2840" s="1" t="s">
        <v>10444</v>
      </c>
      <c r="Q2840" s="1" t="s">
        <v>10444</v>
      </c>
      <c r="R2840" s="1" t="s">
        <v>10445</v>
      </c>
      <c r="S2840" s="1">
        <v>0.0</v>
      </c>
      <c r="T2840" s="1">
        <v>0.0</v>
      </c>
      <c r="X2840" s="1" t="s">
        <v>56</v>
      </c>
    </row>
    <row r="2841">
      <c r="A2841" s="3" t="str">
        <f>HYPERLINK("https://stackoverflow.com/q/58457054", "58457054")</f>
        <v>58457054</v>
      </c>
      <c r="B2841" s="1" t="s">
        <v>7613</v>
      </c>
      <c r="C2841" s="1" t="s">
        <v>10446</v>
      </c>
      <c r="D2841" s="2" t="s">
        <v>10447</v>
      </c>
      <c r="E2841" s="1">
        <v>1.0</v>
      </c>
      <c r="F2841" s="1">
        <v>5.8468726E7</v>
      </c>
      <c r="I2841" s="1">
        <v>0.0</v>
      </c>
      <c r="J2841" s="1">
        <v>1107.0</v>
      </c>
      <c r="L2841" s="1">
        <v>1.0238204E7</v>
      </c>
      <c r="Q2841" s="1" t="s">
        <v>10448</v>
      </c>
      <c r="R2841" s="1" t="s">
        <v>10449</v>
      </c>
      <c r="S2841" s="1">
        <v>1.0</v>
      </c>
      <c r="T2841" s="1">
        <v>1.0</v>
      </c>
      <c r="X2841" s="1" t="s">
        <v>56</v>
      </c>
      <c r="Z2841" s="1" t="s">
        <v>10448</v>
      </c>
    </row>
    <row r="2842">
      <c r="A2842" s="3" t="str">
        <f>HYPERLINK("https://stackoverflow.com/q/58463784", "58463784")</f>
        <v>58463784</v>
      </c>
      <c r="B2842" s="1" t="s">
        <v>7613</v>
      </c>
      <c r="C2842" s="1" t="s">
        <v>10450</v>
      </c>
      <c r="D2842" s="2" t="s">
        <v>10451</v>
      </c>
      <c r="E2842" s="1">
        <v>1.0</v>
      </c>
      <c r="I2842" s="1">
        <v>0.0</v>
      </c>
      <c r="J2842" s="1">
        <v>41.0</v>
      </c>
      <c r="L2842" s="1">
        <v>4842793.0</v>
      </c>
      <c r="Q2842" s="1" t="s">
        <v>10450</v>
      </c>
      <c r="R2842" s="1" t="s">
        <v>9202</v>
      </c>
      <c r="S2842" s="1">
        <v>0.0</v>
      </c>
      <c r="T2842" s="1">
        <v>0.0</v>
      </c>
      <c r="X2842" s="1" t="s">
        <v>56</v>
      </c>
    </row>
    <row r="2843">
      <c r="A2843" s="3" t="str">
        <f>HYPERLINK("https://stackoverflow.com/q/58473180", "58473180")</f>
        <v>58473180</v>
      </c>
      <c r="B2843" s="1" t="s">
        <v>7613</v>
      </c>
      <c r="C2843" s="1" t="s">
        <v>10452</v>
      </c>
      <c r="D2843" s="2" t="s">
        <v>10453</v>
      </c>
      <c r="E2843" s="1">
        <v>1.0</v>
      </c>
      <c r="I2843" s="1">
        <v>0.0</v>
      </c>
      <c r="J2843" s="1">
        <v>10.0</v>
      </c>
      <c r="L2843" s="1">
        <v>1.0238204E7</v>
      </c>
      <c r="Q2843" s="1" t="s">
        <v>10452</v>
      </c>
      <c r="R2843" s="1" t="s">
        <v>9559</v>
      </c>
      <c r="S2843" s="1">
        <v>0.0</v>
      </c>
      <c r="T2843" s="1">
        <v>0.0</v>
      </c>
      <c r="X2843" s="1" t="s">
        <v>56</v>
      </c>
    </row>
    <row r="2844">
      <c r="A2844" s="3" t="str">
        <f>HYPERLINK("https://stackoverflow.com/q/58473686", "58473686")</f>
        <v>58473686</v>
      </c>
      <c r="B2844" s="1" t="s">
        <v>7613</v>
      </c>
      <c r="C2844" s="1" t="s">
        <v>10454</v>
      </c>
      <c r="D2844" s="2" t="s">
        <v>10455</v>
      </c>
      <c r="E2844" s="1">
        <v>1.0</v>
      </c>
      <c r="I2844" s="1">
        <v>1.0</v>
      </c>
      <c r="J2844" s="1">
        <v>1258.0</v>
      </c>
      <c r="L2844" s="1">
        <v>1.1999783E7</v>
      </c>
      <c r="N2844" s="1">
        <v>1.1999783E7</v>
      </c>
      <c r="P2844" s="1" t="s">
        <v>10456</v>
      </c>
      <c r="Q2844" s="1" t="s">
        <v>10457</v>
      </c>
      <c r="R2844" s="1" t="s">
        <v>10458</v>
      </c>
      <c r="S2844" s="1">
        <v>2.0</v>
      </c>
      <c r="T2844" s="1">
        <v>0.0</v>
      </c>
      <c r="U2844" s="1">
        <v>1.0</v>
      </c>
      <c r="X2844" s="1" t="s">
        <v>56</v>
      </c>
    </row>
    <row r="2845">
      <c r="A2845" s="3" t="str">
        <f>HYPERLINK("https://stackoverflow.com/q/58481700", "58481700")</f>
        <v>58481700</v>
      </c>
      <c r="B2845" s="1" t="s">
        <v>7613</v>
      </c>
      <c r="C2845" s="1" t="s">
        <v>10459</v>
      </c>
      <c r="D2845" s="2" t="s">
        <v>10460</v>
      </c>
      <c r="E2845" s="1">
        <v>1.0</v>
      </c>
      <c r="I2845" s="1">
        <v>0.0</v>
      </c>
      <c r="J2845" s="1">
        <v>64.0</v>
      </c>
      <c r="L2845" s="1">
        <v>1.2249984E7</v>
      </c>
      <c r="N2845" s="1">
        <v>1611459.0</v>
      </c>
      <c r="P2845" s="1" t="s">
        <v>10461</v>
      </c>
      <c r="Q2845" s="1" t="s">
        <v>10461</v>
      </c>
      <c r="R2845" s="1" t="s">
        <v>8321</v>
      </c>
      <c r="S2845" s="1">
        <v>0.0</v>
      </c>
      <c r="T2845" s="1">
        <v>0.0</v>
      </c>
      <c r="X2845" s="1" t="s">
        <v>56</v>
      </c>
    </row>
    <row r="2846">
      <c r="A2846" s="3" t="str">
        <f>HYPERLINK("https://stackoverflow.com/q/58483028", "58483028")</f>
        <v>58483028</v>
      </c>
      <c r="B2846" s="1" t="s">
        <v>7613</v>
      </c>
      <c r="C2846" s="1" t="s">
        <v>10462</v>
      </c>
      <c r="D2846" s="2" t="s">
        <v>10463</v>
      </c>
      <c r="E2846" s="1">
        <v>1.0</v>
      </c>
      <c r="I2846" s="1">
        <v>1.0</v>
      </c>
      <c r="J2846" s="1">
        <v>17.0</v>
      </c>
      <c r="L2846" s="1">
        <v>7240783.0</v>
      </c>
      <c r="Q2846" s="1" t="s">
        <v>10462</v>
      </c>
      <c r="R2846" s="1" t="s">
        <v>10179</v>
      </c>
      <c r="S2846" s="1">
        <v>0.0</v>
      </c>
      <c r="T2846" s="1">
        <v>0.0</v>
      </c>
      <c r="U2846" s="1">
        <v>1.0</v>
      </c>
      <c r="X2846" s="1" t="s">
        <v>56</v>
      </c>
    </row>
    <row r="2847">
      <c r="A2847" s="3" t="str">
        <f>HYPERLINK("https://stackoverflow.com/q/58510336", "58510336")</f>
        <v>58510336</v>
      </c>
      <c r="B2847" s="1" t="s">
        <v>7613</v>
      </c>
      <c r="C2847" s="1" t="s">
        <v>10464</v>
      </c>
      <c r="D2847" s="2" t="s">
        <v>10465</v>
      </c>
      <c r="E2847" s="1">
        <v>1.0</v>
      </c>
      <c r="F2847" s="1">
        <v>5.8613547E7</v>
      </c>
      <c r="I2847" s="1">
        <v>0.0</v>
      </c>
      <c r="J2847" s="1">
        <v>160.0</v>
      </c>
      <c r="L2847" s="1">
        <v>1.092593E7</v>
      </c>
      <c r="Q2847" s="1" t="s">
        <v>10466</v>
      </c>
      <c r="R2847" s="1" t="s">
        <v>10467</v>
      </c>
      <c r="S2847" s="1">
        <v>1.0</v>
      </c>
      <c r="T2847" s="1">
        <v>0.0</v>
      </c>
      <c r="X2847" s="1" t="s">
        <v>56</v>
      </c>
      <c r="Z2847" s="1" t="s">
        <v>10466</v>
      </c>
    </row>
    <row r="2848">
      <c r="A2848" s="3" t="str">
        <f>HYPERLINK("https://stackoverflow.com/q/58526738", "58526738")</f>
        <v>58526738</v>
      </c>
      <c r="B2848" s="1" t="s">
        <v>7613</v>
      </c>
      <c r="C2848" s="1" t="s">
        <v>10468</v>
      </c>
      <c r="D2848" s="2" t="s">
        <v>10469</v>
      </c>
      <c r="E2848" s="1">
        <v>1.0</v>
      </c>
      <c r="I2848" s="1">
        <v>0.0</v>
      </c>
      <c r="J2848" s="1">
        <v>66.0</v>
      </c>
      <c r="L2848" s="1">
        <v>1.0876289E7</v>
      </c>
      <c r="N2848" s="1">
        <v>1636173.0</v>
      </c>
      <c r="P2848" s="1" t="s">
        <v>10470</v>
      </c>
      <c r="Q2848" s="1" t="s">
        <v>10470</v>
      </c>
      <c r="R2848" s="1" t="s">
        <v>8728</v>
      </c>
      <c r="S2848" s="1">
        <v>0.0</v>
      </c>
      <c r="T2848" s="1">
        <v>1.0</v>
      </c>
      <c r="X2848" s="1" t="s">
        <v>56</v>
      </c>
    </row>
    <row r="2849">
      <c r="A2849" s="3" t="str">
        <f>HYPERLINK("https://stackoverflow.com/q/58538753", "58538753")</f>
        <v>58538753</v>
      </c>
      <c r="B2849" s="1" t="s">
        <v>7613</v>
      </c>
      <c r="C2849" s="1" t="s">
        <v>10471</v>
      </c>
      <c r="D2849" s="2" t="s">
        <v>10472</v>
      </c>
      <c r="E2849" s="1">
        <v>1.0</v>
      </c>
      <c r="I2849" s="1">
        <v>0.0</v>
      </c>
      <c r="J2849" s="1">
        <v>45.0</v>
      </c>
      <c r="L2849" s="1">
        <v>8861099.0</v>
      </c>
      <c r="Q2849" s="1" t="s">
        <v>10471</v>
      </c>
      <c r="R2849" s="1" t="s">
        <v>8321</v>
      </c>
      <c r="S2849" s="1">
        <v>0.0</v>
      </c>
      <c r="T2849" s="1">
        <v>0.0</v>
      </c>
      <c r="X2849" s="1" t="s">
        <v>56</v>
      </c>
    </row>
    <row r="2850">
      <c r="A2850" s="3" t="str">
        <f>HYPERLINK("https://stackoverflow.com/q/58561304", "58561304")</f>
        <v>58561304</v>
      </c>
      <c r="B2850" s="1" t="s">
        <v>7613</v>
      </c>
      <c r="C2850" s="1" t="s">
        <v>10473</v>
      </c>
      <c r="D2850" s="2" t="s">
        <v>10474</v>
      </c>
      <c r="E2850" s="1">
        <v>1.0</v>
      </c>
      <c r="I2850" s="1">
        <v>0.0</v>
      </c>
      <c r="J2850" s="1">
        <v>15.0</v>
      </c>
      <c r="L2850" s="1">
        <v>9354390.0</v>
      </c>
      <c r="Q2850" s="1" t="s">
        <v>10473</v>
      </c>
      <c r="R2850" s="1" t="s">
        <v>8321</v>
      </c>
      <c r="S2850" s="1">
        <v>0.0</v>
      </c>
      <c r="T2850" s="1">
        <v>0.0</v>
      </c>
      <c r="X2850" s="1" t="s">
        <v>56</v>
      </c>
    </row>
    <row r="2851">
      <c r="A2851" s="3" t="str">
        <f>HYPERLINK("https://stackoverflow.com/q/58575034", "58575034")</f>
        <v>58575034</v>
      </c>
      <c r="B2851" s="1" t="s">
        <v>7613</v>
      </c>
      <c r="C2851" s="1" t="s">
        <v>10475</v>
      </c>
      <c r="D2851" s="2" t="s">
        <v>10476</v>
      </c>
      <c r="E2851" s="1">
        <v>1.0</v>
      </c>
      <c r="I2851" s="1">
        <v>0.0</v>
      </c>
      <c r="J2851" s="1">
        <v>29.0</v>
      </c>
      <c r="L2851" s="1">
        <v>1.2279573E7</v>
      </c>
      <c r="Q2851" s="1" t="s">
        <v>10475</v>
      </c>
      <c r="R2851" s="1" t="s">
        <v>8728</v>
      </c>
      <c r="S2851" s="1">
        <v>0.0</v>
      </c>
      <c r="T2851" s="1">
        <v>0.0</v>
      </c>
      <c r="X2851" s="1" t="s">
        <v>56</v>
      </c>
    </row>
    <row r="2852">
      <c r="A2852" s="3" t="str">
        <f>HYPERLINK("https://stackoverflow.com/q/58613452", "58613452")</f>
        <v>58613452</v>
      </c>
      <c r="B2852" s="1" t="s">
        <v>7613</v>
      </c>
      <c r="C2852" s="1" t="s">
        <v>10477</v>
      </c>
      <c r="D2852" s="2" t="s">
        <v>10478</v>
      </c>
      <c r="E2852" s="1">
        <v>1.0</v>
      </c>
      <c r="I2852" s="1">
        <v>0.0</v>
      </c>
      <c r="J2852" s="1">
        <v>18.0</v>
      </c>
      <c r="L2852" s="1">
        <v>9922463.0</v>
      </c>
      <c r="Q2852" s="1" t="s">
        <v>10477</v>
      </c>
      <c r="R2852" s="1" t="s">
        <v>8321</v>
      </c>
      <c r="S2852" s="1">
        <v>0.0</v>
      </c>
      <c r="T2852" s="1">
        <v>0.0</v>
      </c>
      <c r="X2852" s="1" t="s">
        <v>56</v>
      </c>
    </row>
    <row r="2853">
      <c r="A2853" s="3" t="str">
        <f>HYPERLINK("https://stackoverflow.com/q/58626811", "58626811")</f>
        <v>58626811</v>
      </c>
      <c r="B2853" s="1" t="s">
        <v>7613</v>
      </c>
      <c r="C2853" s="1" t="s">
        <v>10479</v>
      </c>
      <c r="D2853" s="2" t="s">
        <v>10480</v>
      </c>
      <c r="E2853" s="1">
        <v>1.0</v>
      </c>
      <c r="F2853" s="1">
        <v>5.8633954E7</v>
      </c>
      <c r="I2853" s="1">
        <v>0.0</v>
      </c>
      <c r="J2853" s="1">
        <v>36.0</v>
      </c>
      <c r="L2853" s="1">
        <v>1.2297625E7</v>
      </c>
      <c r="Q2853" s="1" t="s">
        <v>10481</v>
      </c>
      <c r="R2853" s="1" t="s">
        <v>10482</v>
      </c>
      <c r="S2853" s="1">
        <v>1.0</v>
      </c>
      <c r="T2853" s="1">
        <v>0.0</v>
      </c>
      <c r="X2853" s="1" t="s">
        <v>56</v>
      </c>
      <c r="Z2853" s="1" t="s">
        <v>10483</v>
      </c>
    </row>
    <row r="2854">
      <c r="A2854" s="3" t="str">
        <f>HYPERLINK("https://stackoverflow.com/q/58631966", "58631966")</f>
        <v>58631966</v>
      </c>
      <c r="B2854" s="1" t="s">
        <v>7613</v>
      </c>
      <c r="C2854" s="1" t="s">
        <v>10484</v>
      </c>
      <c r="D2854" s="2" t="s">
        <v>10485</v>
      </c>
      <c r="E2854" s="1">
        <v>1.0</v>
      </c>
      <c r="I2854" s="1">
        <v>0.0</v>
      </c>
      <c r="J2854" s="1">
        <v>26.0</v>
      </c>
      <c r="L2854" s="1">
        <v>9174956.0</v>
      </c>
      <c r="Q2854" s="1" t="s">
        <v>10486</v>
      </c>
      <c r="R2854" s="1" t="s">
        <v>10487</v>
      </c>
      <c r="S2854" s="1">
        <v>0.0</v>
      </c>
      <c r="T2854" s="1">
        <v>0.0</v>
      </c>
      <c r="X2854" s="1" t="s">
        <v>56</v>
      </c>
    </row>
    <row r="2855">
      <c r="A2855" s="3" t="str">
        <f>HYPERLINK("https://stackoverflow.com/q/58639195", "58639195")</f>
        <v>58639195</v>
      </c>
      <c r="B2855" s="1" t="s">
        <v>7613</v>
      </c>
      <c r="C2855" s="1" t="s">
        <v>10488</v>
      </c>
      <c r="D2855" s="2" t="s">
        <v>10489</v>
      </c>
      <c r="E2855" s="1">
        <v>1.0</v>
      </c>
      <c r="I2855" s="1">
        <v>0.0</v>
      </c>
      <c r="J2855" s="1">
        <v>473.0</v>
      </c>
      <c r="L2855" s="1">
        <v>1.0238037E7</v>
      </c>
      <c r="N2855" s="1">
        <v>1.0238037E7</v>
      </c>
      <c r="P2855" s="1" t="s">
        <v>10490</v>
      </c>
      <c r="Q2855" s="1" t="s">
        <v>10491</v>
      </c>
      <c r="R2855" s="1" t="s">
        <v>8728</v>
      </c>
      <c r="S2855" s="1">
        <v>2.0</v>
      </c>
      <c r="T2855" s="1">
        <v>0.0</v>
      </c>
      <c r="X2855" s="1" t="s">
        <v>56</v>
      </c>
    </row>
    <row r="2856">
      <c r="A2856" s="3" t="str">
        <f>HYPERLINK("https://stackoverflow.com/q/58644060", "58644060")</f>
        <v>58644060</v>
      </c>
      <c r="B2856" s="1" t="s">
        <v>7613</v>
      </c>
      <c r="C2856" s="1" t="s">
        <v>10492</v>
      </c>
      <c r="D2856" s="2" t="s">
        <v>10493</v>
      </c>
      <c r="E2856" s="1">
        <v>1.0</v>
      </c>
      <c r="I2856" s="1">
        <v>0.0</v>
      </c>
      <c r="J2856" s="1">
        <v>263.0</v>
      </c>
      <c r="L2856" s="1">
        <v>1.2261766E7</v>
      </c>
      <c r="N2856" s="1">
        <v>6463558.0</v>
      </c>
      <c r="P2856" s="1" t="s">
        <v>10494</v>
      </c>
      <c r="Q2856" s="1" t="s">
        <v>10495</v>
      </c>
      <c r="R2856" s="1" t="s">
        <v>10496</v>
      </c>
      <c r="S2856" s="1">
        <v>1.0</v>
      </c>
      <c r="T2856" s="1">
        <v>0.0</v>
      </c>
      <c r="X2856" s="1" t="s">
        <v>56</v>
      </c>
    </row>
    <row r="2857">
      <c r="A2857" s="3" t="str">
        <f>HYPERLINK("https://stackoverflow.com/q/58649380", "58649380")</f>
        <v>58649380</v>
      </c>
      <c r="B2857" s="1" t="s">
        <v>7613</v>
      </c>
      <c r="C2857" s="1" t="s">
        <v>10497</v>
      </c>
      <c r="D2857" s="2" t="s">
        <v>10498</v>
      </c>
      <c r="E2857" s="1">
        <v>1.0</v>
      </c>
      <c r="I2857" s="1">
        <v>0.0</v>
      </c>
      <c r="J2857" s="1">
        <v>64.0</v>
      </c>
      <c r="L2857" s="1">
        <v>1.2261766E7</v>
      </c>
      <c r="Q2857" s="1" t="s">
        <v>10497</v>
      </c>
      <c r="R2857" s="1" t="s">
        <v>10499</v>
      </c>
      <c r="S2857" s="1">
        <v>0.0</v>
      </c>
      <c r="T2857" s="1">
        <v>0.0</v>
      </c>
      <c r="X2857" s="1" t="s">
        <v>56</v>
      </c>
    </row>
    <row r="2858">
      <c r="A2858" s="3" t="str">
        <f>HYPERLINK("https://stackoverflow.com/q/58660181", "58660181")</f>
        <v>58660181</v>
      </c>
      <c r="B2858" s="1" t="s">
        <v>7613</v>
      </c>
      <c r="C2858" s="1" t="s">
        <v>10500</v>
      </c>
      <c r="D2858" s="2" t="s">
        <v>10501</v>
      </c>
      <c r="E2858" s="1">
        <v>1.0</v>
      </c>
      <c r="I2858" s="1">
        <v>0.0</v>
      </c>
      <c r="J2858" s="1">
        <v>41.0</v>
      </c>
      <c r="L2858" s="1">
        <v>8677173.0</v>
      </c>
      <c r="N2858" s="1">
        <v>8677173.0</v>
      </c>
      <c r="P2858" s="1" t="s">
        <v>10502</v>
      </c>
      <c r="Q2858" s="1" t="s">
        <v>10503</v>
      </c>
      <c r="R2858" s="1" t="s">
        <v>10504</v>
      </c>
      <c r="S2858" s="1">
        <v>0.0</v>
      </c>
      <c r="T2858" s="1">
        <v>7.0</v>
      </c>
      <c r="X2858" s="1" t="s">
        <v>56</v>
      </c>
    </row>
    <row r="2859">
      <c r="A2859" s="3" t="str">
        <f>HYPERLINK("https://stackoverflow.com/q/58675434", "58675434")</f>
        <v>58675434</v>
      </c>
      <c r="B2859" s="1" t="s">
        <v>7613</v>
      </c>
      <c r="C2859" s="1" t="s">
        <v>10505</v>
      </c>
      <c r="D2859" s="2" t="s">
        <v>10506</v>
      </c>
      <c r="E2859" s="1">
        <v>1.0</v>
      </c>
      <c r="I2859" s="1">
        <v>0.0</v>
      </c>
      <c r="J2859" s="1">
        <v>20.0</v>
      </c>
      <c r="L2859" s="1">
        <v>1510223.0</v>
      </c>
      <c r="Q2859" s="1" t="s">
        <v>10507</v>
      </c>
      <c r="R2859" s="1" t="s">
        <v>8412</v>
      </c>
      <c r="S2859" s="1">
        <v>1.0</v>
      </c>
      <c r="T2859" s="1">
        <v>0.0</v>
      </c>
      <c r="X2859" s="1" t="s">
        <v>56</v>
      </c>
    </row>
    <row r="2860">
      <c r="A2860" s="3" t="str">
        <f>HYPERLINK("https://stackoverflow.com/q/58677883", "58677883")</f>
        <v>58677883</v>
      </c>
      <c r="B2860" s="1" t="s">
        <v>7613</v>
      </c>
      <c r="C2860" s="1" t="s">
        <v>10508</v>
      </c>
      <c r="D2860" s="2" t="s">
        <v>10509</v>
      </c>
      <c r="E2860" s="1">
        <v>1.0</v>
      </c>
      <c r="I2860" s="1">
        <v>2.0</v>
      </c>
      <c r="J2860" s="1">
        <v>76.0</v>
      </c>
      <c r="L2860" s="1">
        <v>7648790.0</v>
      </c>
      <c r="N2860" s="1">
        <v>7648790.0</v>
      </c>
      <c r="P2860" s="1" t="s">
        <v>10510</v>
      </c>
      <c r="Q2860" s="1" t="s">
        <v>10510</v>
      </c>
      <c r="R2860" s="1" t="s">
        <v>10511</v>
      </c>
      <c r="S2860" s="1">
        <v>0.0</v>
      </c>
      <c r="T2860" s="1">
        <v>5.0</v>
      </c>
      <c r="X2860" s="1" t="s">
        <v>56</v>
      </c>
    </row>
    <row r="2861">
      <c r="A2861" s="3" t="str">
        <f>HYPERLINK("https://stackoverflow.com/q/58746612", "58746612")</f>
        <v>58746612</v>
      </c>
      <c r="B2861" s="1" t="s">
        <v>7613</v>
      </c>
      <c r="C2861" s="1" t="s">
        <v>10512</v>
      </c>
      <c r="D2861" s="2" t="s">
        <v>10513</v>
      </c>
      <c r="E2861" s="1">
        <v>1.0</v>
      </c>
      <c r="I2861" s="1">
        <v>0.0</v>
      </c>
      <c r="J2861" s="1">
        <v>14.0</v>
      </c>
      <c r="L2861" s="1">
        <v>1.2337023E7</v>
      </c>
      <c r="Q2861" s="1" t="s">
        <v>10512</v>
      </c>
      <c r="R2861" s="1" t="s">
        <v>8321</v>
      </c>
      <c r="S2861" s="1">
        <v>0.0</v>
      </c>
      <c r="T2861" s="1">
        <v>0.0</v>
      </c>
      <c r="X2861" s="1" t="s">
        <v>56</v>
      </c>
    </row>
    <row r="2862">
      <c r="A2862" s="3" t="str">
        <f>HYPERLINK("https://stackoverflow.com/q/58776201", "58776201")</f>
        <v>58776201</v>
      </c>
      <c r="B2862" s="1" t="s">
        <v>7613</v>
      </c>
      <c r="C2862" s="1" t="s">
        <v>10514</v>
      </c>
      <c r="D2862" s="2" t="s">
        <v>10515</v>
      </c>
      <c r="E2862" s="1">
        <v>1.0</v>
      </c>
      <c r="I2862" s="1">
        <v>0.0</v>
      </c>
      <c r="J2862" s="1">
        <v>108.0</v>
      </c>
      <c r="L2862" s="1">
        <v>2698249.0</v>
      </c>
      <c r="Q2862" s="1" t="s">
        <v>10514</v>
      </c>
      <c r="R2862" s="1" t="s">
        <v>8321</v>
      </c>
      <c r="S2862" s="1">
        <v>0.0</v>
      </c>
      <c r="T2862" s="1">
        <v>5.0</v>
      </c>
      <c r="X2862" s="1" t="s">
        <v>56</v>
      </c>
    </row>
    <row r="2863">
      <c r="A2863" s="3" t="str">
        <f>HYPERLINK("https://stackoverflow.com/q/58794905", "58794905")</f>
        <v>58794905</v>
      </c>
      <c r="B2863" s="1" t="s">
        <v>7613</v>
      </c>
      <c r="C2863" s="1" t="s">
        <v>10516</v>
      </c>
      <c r="D2863" s="2" t="s">
        <v>10517</v>
      </c>
      <c r="E2863" s="1">
        <v>1.0</v>
      </c>
      <c r="I2863" s="1">
        <v>0.0</v>
      </c>
      <c r="J2863" s="1">
        <v>6.0</v>
      </c>
      <c r="L2863" s="1">
        <v>5223088.0</v>
      </c>
      <c r="Q2863" s="1" t="s">
        <v>10516</v>
      </c>
      <c r="R2863" s="1" t="s">
        <v>10518</v>
      </c>
      <c r="S2863" s="1">
        <v>0.0</v>
      </c>
      <c r="T2863" s="1">
        <v>0.0</v>
      </c>
      <c r="X2863" s="1" t="s">
        <v>56</v>
      </c>
    </row>
    <row r="2864">
      <c r="A2864" s="3" t="str">
        <f>HYPERLINK("https://stackoverflow.com/q/58796302", "58796302")</f>
        <v>58796302</v>
      </c>
      <c r="B2864" s="1" t="s">
        <v>7613</v>
      </c>
      <c r="C2864" s="1" t="s">
        <v>10519</v>
      </c>
      <c r="D2864" s="2" t="s">
        <v>10520</v>
      </c>
      <c r="E2864" s="1">
        <v>1.0</v>
      </c>
      <c r="I2864" s="1">
        <v>0.0</v>
      </c>
      <c r="J2864" s="1">
        <v>6.0</v>
      </c>
      <c r="L2864" s="1">
        <v>5223088.0</v>
      </c>
      <c r="Q2864" s="1" t="s">
        <v>10519</v>
      </c>
      <c r="R2864" s="1" t="s">
        <v>8728</v>
      </c>
      <c r="S2864" s="1">
        <v>0.0</v>
      </c>
      <c r="T2864" s="1">
        <v>0.0</v>
      </c>
      <c r="X2864" s="1" t="s">
        <v>56</v>
      </c>
    </row>
    <row r="2865">
      <c r="A2865" s="3" t="str">
        <f>HYPERLINK("https://stackoverflow.com/q/58799098", "58799098")</f>
        <v>58799098</v>
      </c>
      <c r="B2865" s="1" t="s">
        <v>7613</v>
      </c>
      <c r="C2865" s="1" t="s">
        <v>10521</v>
      </c>
      <c r="D2865" s="2" t="s">
        <v>10522</v>
      </c>
      <c r="E2865" s="1">
        <v>1.0</v>
      </c>
      <c r="I2865" s="1">
        <v>0.0</v>
      </c>
      <c r="J2865" s="1">
        <v>208.0</v>
      </c>
      <c r="L2865" s="1">
        <v>4928469.0</v>
      </c>
      <c r="N2865" s="1">
        <v>4928469.0</v>
      </c>
      <c r="P2865" s="1" t="s">
        <v>10523</v>
      </c>
      <c r="Q2865" s="1" t="s">
        <v>10523</v>
      </c>
      <c r="R2865" s="1" t="s">
        <v>10524</v>
      </c>
      <c r="S2865" s="1">
        <v>0.0</v>
      </c>
      <c r="T2865" s="1">
        <v>3.0</v>
      </c>
      <c r="X2865" s="1" t="s">
        <v>56</v>
      </c>
    </row>
    <row r="2866">
      <c r="A2866" s="3" t="str">
        <f>HYPERLINK("https://stackoverflow.com/q/58802554", "58802554")</f>
        <v>58802554</v>
      </c>
      <c r="B2866" s="1" t="s">
        <v>7613</v>
      </c>
      <c r="C2866" s="1" t="s">
        <v>10525</v>
      </c>
      <c r="D2866" s="2" t="s">
        <v>10526</v>
      </c>
      <c r="E2866" s="1">
        <v>1.0</v>
      </c>
      <c r="I2866" s="1">
        <v>0.0</v>
      </c>
      <c r="J2866" s="1">
        <v>69.0</v>
      </c>
      <c r="L2866" s="1">
        <v>9841812.0</v>
      </c>
      <c r="N2866" s="1">
        <v>9374673.0</v>
      </c>
      <c r="P2866" s="1" t="s">
        <v>10527</v>
      </c>
      <c r="Q2866" s="1" t="s">
        <v>10528</v>
      </c>
      <c r="R2866" s="1" t="s">
        <v>10529</v>
      </c>
      <c r="S2866" s="1">
        <v>1.0</v>
      </c>
      <c r="T2866" s="1">
        <v>2.0</v>
      </c>
      <c r="X2866" s="1" t="s">
        <v>56</v>
      </c>
    </row>
    <row r="2867">
      <c r="A2867" s="3" t="str">
        <f>HYPERLINK("https://stackoverflow.com/q/58821575", "58821575")</f>
        <v>58821575</v>
      </c>
      <c r="B2867" s="1" t="s">
        <v>7613</v>
      </c>
      <c r="C2867" s="1" t="s">
        <v>10530</v>
      </c>
      <c r="D2867" s="2" t="s">
        <v>10531</v>
      </c>
      <c r="E2867" s="1">
        <v>1.0</v>
      </c>
      <c r="I2867" s="1">
        <v>0.0</v>
      </c>
      <c r="J2867" s="1">
        <v>38.0</v>
      </c>
      <c r="L2867" s="1">
        <v>1.2361777E7</v>
      </c>
      <c r="Q2867" s="1" t="s">
        <v>10530</v>
      </c>
      <c r="R2867" s="1" t="s">
        <v>10532</v>
      </c>
      <c r="S2867" s="1">
        <v>0.0</v>
      </c>
      <c r="T2867" s="1">
        <v>1.0</v>
      </c>
      <c r="X2867" s="1" t="s">
        <v>56</v>
      </c>
    </row>
    <row r="2868">
      <c r="A2868" s="3" t="str">
        <f>HYPERLINK("https://stackoverflow.com/q/58832168", "58832168")</f>
        <v>58832168</v>
      </c>
      <c r="B2868" s="1" t="s">
        <v>7613</v>
      </c>
      <c r="C2868" s="1" t="s">
        <v>10533</v>
      </c>
      <c r="D2868" s="2" t="s">
        <v>10534</v>
      </c>
      <c r="E2868" s="1">
        <v>1.0</v>
      </c>
      <c r="I2868" s="1">
        <v>0.0</v>
      </c>
      <c r="J2868" s="1">
        <v>80.0</v>
      </c>
      <c r="L2868" s="1">
        <v>1.2365265E7</v>
      </c>
      <c r="Q2868" s="1" t="s">
        <v>10533</v>
      </c>
      <c r="R2868" s="1" t="s">
        <v>10535</v>
      </c>
      <c r="S2868" s="1">
        <v>0.0</v>
      </c>
      <c r="T2868" s="1">
        <v>0.0</v>
      </c>
      <c r="X2868" s="1" t="s">
        <v>56</v>
      </c>
    </row>
    <row r="2869">
      <c r="A2869" s="3" t="str">
        <f>HYPERLINK("https://stackoverflow.com/q/58832626", "58832626")</f>
        <v>58832626</v>
      </c>
      <c r="B2869" s="1" t="s">
        <v>7613</v>
      </c>
      <c r="C2869" s="1" t="s">
        <v>10536</v>
      </c>
      <c r="D2869" s="2" t="s">
        <v>10537</v>
      </c>
      <c r="E2869" s="1">
        <v>1.0</v>
      </c>
      <c r="I2869" s="1">
        <v>0.0</v>
      </c>
      <c r="J2869" s="1">
        <v>276.0</v>
      </c>
      <c r="L2869" s="1">
        <v>9257630.0</v>
      </c>
      <c r="Q2869" s="1" t="s">
        <v>10536</v>
      </c>
      <c r="R2869" s="1" t="s">
        <v>8321</v>
      </c>
      <c r="S2869" s="1">
        <v>0.0</v>
      </c>
      <c r="T2869" s="1">
        <v>0.0</v>
      </c>
      <c r="X2869" s="1" t="s">
        <v>56</v>
      </c>
    </row>
    <row r="2870">
      <c r="A2870" s="3" t="str">
        <f>HYPERLINK("https://stackoverflow.com/q/58839197", "58839197")</f>
        <v>58839197</v>
      </c>
      <c r="B2870" s="1" t="s">
        <v>7613</v>
      </c>
      <c r="C2870" s="1" t="s">
        <v>10538</v>
      </c>
      <c r="D2870" s="2" t="s">
        <v>10539</v>
      </c>
      <c r="E2870" s="1">
        <v>1.0</v>
      </c>
      <c r="I2870" s="1">
        <v>5.0</v>
      </c>
      <c r="J2870" s="1">
        <v>1308.0</v>
      </c>
      <c r="L2870" s="1">
        <v>687985.0</v>
      </c>
      <c r="Q2870" s="1" t="s">
        <v>10540</v>
      </c>
      <c r="R2870" s="1" t="s">
        <v>9212</v>
      </c>
      <c r="S2870" s="1">
        <v>2.0</v>
      </c>
      <c r="T2870" s="1">
        <v>1.0</v>
      </c>
      <c r="U2870" s="1">
        <v>1.0</v>
      </c>
      <c r="X2870" s="1" t="s">
        <v>56</v>
      </c>
    </row>
    <row r="2871">
      <c r="A2871" s="3" t="str">
        <f>HYPERLINK("https://stackoverflow.com/q/58841047", "58841047")</f>
        <v>58841047</v>
      </c>
      <c r="B2871" s="1" t="s">
        <v>7613</v>
      </c>
      <c r="C2871" s="1" t="s">
        <v>10541</v>
      </c>
      <c r="D2871" s="2" t="s">
        <v>10542</v>
      </c>
      <c r="E2871" s="1">
        <v>1.0</v>
      </c>
      <c r="I2871" s="1">
        <v>2.0</v>
      </c>
      <c r="J2871" s="1">
        <v>73.0</v>
      </c>
      <c r="L2871" s="1">
        <v>5378357.0</v>
      </c>
      <c r="Q2871" s="1" t="s">
        <v>10541</v>
      </c>
      <c r="R2871" s="1" t="s">
        <v>10543</v>
      </c>
      <c r="S2871" s="1">
        <v>0.0</v>
      </c>
      <c r="T2871" s="1">
        <v>0.0</v>
      </c>
      <c r="X2871" s="1" t="s">
        <v>56</v>
      </c>
    </row>
    <row r="2872">
      <c r="A2872" s="3" t="str">
        <f>HYPERLINK("https://stackoverflow.com/q/58874315", "58874315")</f>
        <v>58874315</v>
      </c>
      <c r="B2872" s="1" t="s">
        <v>7613</v>
      </c>
      <c r="C2872" s="1" t="s">
        <v>10544</v>
      </c>
      <c r="D2872" s="2" t="s">
        <v>10545</v>
      </c>
      <c r="E2872" s="1">
        <v>1.0</v>
      </c>
      <c r="I2872" s="1">
        <v>0.0</v>
      </c>
      <c r="J2872" s="1">
        <v>89.0</v>
      </c>
      <c r="L2872" s="1">
        <v>1.2365265E7</v>
      </c>
      <c r="N2872" s="1">
        <v>328605.0</v>
      </c>
      <c r="P2872" s="1" t="s">
        <v>10546</v>
      </c>
      <c r="Q2872" s="1" t="s">
        <v>10546</v>
      </c>
      <c r="R2872" s="1" t="s">
        <v>10535</v>
      </c>
      <c r="S2872" s="1">
        <v>0.0</v>
      </c>
      <c r="T2872" s="1">
        <v>1.0</v>
      </c>
      <c r="X2872" s="1" t="s">
        <v>56</v>
      </c>
    </row>
    <row r="2873">
      <c r="A2873" s="3" t="str">
        <f>HYPERLINK("https://stackoverflow.com/q/58885774", "58885774")</f>
        <v>58885774</v>
      </c>
      <c r="B2873" s="1" t="s">
        <v>7613</v>
      </c>
      <c r="C2873" s="1" t="s">
        <v>10547</v>
      </c>
      <c r="D2873" s="2" t="s">
        <v>10548</v>
      </c>
      <c r="E2873" s="1">
        <v>1.0</v>
      </c>
      <c r="F2873" s="1">
        <v>5.8886343E7</v>
      </c>
      <c r="I2873" s="1">
        <v>0.0</v>
      </c>
      <c r="J2873" s="1">
        <v>24.0</v>
      </c>
      <c r="L2873" s="1">
        <v>6645920.0</v>
      </c>
      <c r="Q2873" s="1" t="s">
        <v>10549</v>
      </c>
      <c r="R2873" s="1" t="s">
        <v>10416</v>
      </c>
      <c r="S2873" s="1">
        <v>1.0</v>
      </c>
      <c r="T2873" s="1">
        <v>0.0</v>
      </c>
      <c r="X2873" s="1" t="s">
        <v>56</v>
      </c>
      <c r="Z2873" s="1" t="s">
        <v>10549</v>
      </c>
    </row>
    <row r="2874">
      <c r="A2874" s="3" t="str">
        <f>HYPERLINK("https://stackoverflow.com/q/58887435", "58887435")</f>
        <v>58887435</v>
      </c>
      <c r="B2874" s="1" t="s">
        <v>7613</v>
      </c>
      <c r="C2874" s="1" t="s">
        <v>10550</v>
      </c>
      <c r="D2874" s="2" t="s">
        <v>10551</v>
      </c>
      <c r="E2874" s="1">
        <v>1.0</v>
      </c>
      <c r="I2874" s="1">
        <v>0.0</v>
      </c>
      <c r="J2874" s="1">
        <v>27.0</v>
      </c>
      <c r="L2874" s="1">
        <v>2446188.0</v>
      </c>
      <c r="N2874" s="1">
        <v>7823505.0</v>
      </c>
      <c r="P2874" s="1" t="s">
        <v>10552</v>
      </c>
      <c r="Q2874" s="1" t="s">
        <v>10552</v>
      </c>
      <c r="R2874" s="1" t="s">
        <v>10553</v>
      </c>
      <c r="S2874" s="1">
        <v>0.0</v>
      </c>
      <c r="T2874" s="1">
        <v>0.0</v>
      </c>
      <c r="U2874" s="1">
        <v>1.0</v>
      </c>
      <c r="X2874" s="1" t="s">
        <v>56</v>
      </c>
    </row>
    <row r="2875">
      <c r="A2875" s="3" t="str">
        <f>HYPERLINK("https://stackoverflow.com/q/58913715", "58913715")</f>
        <v>58913715</v>
      </c>
      <c r="B2875" s="1" t="s">
        <v>7613</v>
      </c>
      <c r="C2875" s="1" t="s">
        <v>10554</v>
      </c>
      <c r="D2875" s="2" t="s">
        <v>10555</v>
      </c>
      <c r="E2875" s="1">
        <v>1.0</v>
      </c>
      <c r="I2875" s="1">
        <v>0.0</v>
      </c>
      <c r="J2875" s="1">
        <v>17.0</v>
      </c>
      <c r="L2875" s="1">
        <v>938909.0</v>
      </c>
      <c r="N2875" s="1">
        <v>938909.0</v>
      </c>
      <c r="P2875" s="1" t="s">
        <v>10556</v>
      </c>
      <c r="Q2875" s="1" t="s">
        <v>10556</v>
      </c>
      <c r="R2875" s="1" t="s">
        <v>10557</v>
      </c>
      <c r="S2875" s="1">
        <v>0.0</v>
      </c>
      <c r="T2875" s="1">
        <v>0.0</v>
      </c>
      <c r="X2875" s="1" t="s">
        <v>56</v>
      </c>
    </row>
    <row r="2876">
      <c r="A2876" s="3" t="str">
        <f>HYPERLINK("https://stackoverflow.com/q/58914330", "58914330")</f>
        <v>58914330</v>
      </c>
      <c r="B2876" s="1" t="s">
        <v>7613</v>
      </c>
      <c r="C2876" s="1" t="s">
        <v>10558</v>
      </c>
      <c r="D2876" s="2" t="s">
        <v>10559</v>
      </c>
      <c r="E2876" s="1">
        <v>1.0</v>
      </c>
      <c r="I2876" s="1">
        <v>0.0</v>
      </c>
      <c r="J2876" s="1">
        <v>176.0</v>
      </c>
      <c r="L2876" s="1">
        <v>1.1544114E7</v>
      </c>
      <c r="N2876" s="1">
        <v>5194706.0</v>
      </c>
      <c r="P2876" s="1" t="s">
        <v>10560</v>
      </c>
      <c r="Q2876" s="1" t="s">
        <v>10561</v>
      </c>
      <c r="R2876" s="1" t="s">
        <v>9527</v>
      </c>
      <c r="S2876" s="1">
        <v>1.0</v>
      </c>
      <c r="T2876" s="1">
        <v>0.0</v>
      </c>
      <c r="X2876" s="1" t="s">
        <v>56</v>
      </c>
    </row>
    <row r="2877">
      <c r="A2877" s="3" t="str">
        <f>HYPERLINK("https://stackoverflow.com/q/58942442", "58942442")</f>
        <v>58942442</v>
      </c>
      <c r="B2877" s="1" t="s">
        <v>7613</v>
      </c>
      <c r="C2877" s="1" t="s">
        <v>10562</v>
      </c>
      <c r="D2877" s="2" t="s">
        <v>10563</v>
      </c>
      <c r="E2877" s="1">
        <v>1.0</v>
      </c>
      <c r="I2877" s="1">
        <v>1.0</v>
      </c>
      <c r="J2877" s="1">
        <v>1256.0</v>
      </c>
      <c r="L2877" s="1">
        <v>1.0876289E7</v>
      </c>
      <c r="N2877" s="1">
        <v>1.0876289E7</v>
      </c>
      <c r="P2877" s="1" t="s">
        <v>10564</v>
      </c>
      <c r="Q2877" s="1" t="s">
        <v>10565</v>
      </c>
      <c r="R2877" s="1" t="s">
        <v>10222</v>
      </c>
      <c r="S2877" s="1">
        <v>1.0</v>
      </c>
      <c r="T2877" s="1">
        <v>0.0</v>
      </c>
      <c r="X2877" s="1" t="s">
        <v>56</v>
      </c>
    </row>
    <row r="2878">
      <c r="A2878" s="3" t="str">
        <f>HYPERLINK("https://stackoverflow.com/q/58952758", "58952758")</f>
        <v>58952758</v>
      </c>
      <c r="B2878" s="1" t="s">
        <v>7613</v>
      </c>
      <c r="C2878" s="1" t="s">
        <v>10566</v>
      </c>
      <c r="D2878" s="2" t="s">
        <v>10567</v>
      </c>
      <c r="E2878" s="1">
        <v>1.0</v>
      </c>
      <c r="I2878" s="1">
        <v>1.0</v>
      </c>
      <c r="J2878" s="1">
        <v>83.0</v>
      </c>
      <c r="L2878" s="1">
        <v>1.0555828E7</v>
      </c>
      <c r="Q2878" s="1" t="s">
        <v>10568</v>
      </c>
      <c r="R2878" s="1" t="s">
        <v>10569</v>
      </c>
      <c r="S2878" s="1">
        <v>1.0</v>
      </c>
      <c r="T2878" s="1">
        <v>0.0</v>
      </c>
      <c r="X2878" s="1" t="s">
        <v>56</v>
      </c>
    </row>
    <row r="2879">
      <c r="A2879" s="3" t="str">
        <f>HYPERLINK("https://stackoverflow.com/q/58959973", "58959973")</f>
        <v>58959973</v>
      </c>
      <c r="B2879" s="1" t="s">
        <v>7613</v>
      </c>
      <c r="C2879" s="1" t="s">
        <v>10570</v>
      </c>
      <c r="D2879" s="2" t="s">
        <v>10571</v>
      </c>
      <c r="E2879" s="1">
        <v>1.0</v>
      </c>
      <c r="I2879" s="1">
        <v>0.0</v>
      </c>
      <c r="J2879" s="1">
        <v>69.0</v>
      </c>
      <c r="L2879" s="1">
        <v>1418020.0</v>
      </c>
      <c r="Q2879" s="1" t="s">
        <v>10572</v>
      </c>
      <c r="R2879" s="1" t="s">
        <v>8271</v>
      </c>
      <c r="S2879" s="1">
        <v>1.0</v>
      </c>
      <c r="T2879" s="1">
        <v>0.0</v>
      </c>
      <c r="X2879" s="1" t="s">
        <v>56</v>
      </c>
    </row>
    <row r="2880">
      <c r="A2880" s="3" t="str">
        <f>HYPERLINK("https://stackoverflow.com/q/58973104", "58973104")</f>
        <v>58973104</v>
      </c>
      <c r="B2880" s="1" t="s">
        <v>7613</v>
      </c>
      <c r="C2880" s="1" t="s">
        <v>10573</v>
      </c>
      <c r="D2880" s="2" t="s">
        <v>10574</v>
      </c>
      <c r="E2880" s="1">
        <v>1.0</v>
      </c>
      <c r="I2880" s="1">
        <v>0.0</v>
      </c>
      <c r="J2880" s="1">
        <v>13.0</v>
      </c>
      <c r="L2880" s="1">
        <v>1172972.0</v>
      </c>
      <c r="Q2880" s="1" t="s">
        <v>10573</v>
      </c>
      <c r="R2880" s="1" t="s">
        <v>8321</v>
      </c>
      <c r="S2880" s="1">
        <v>0.0</v>
      </c>
      <c r="T2880" s="1">
        <v>1.0</v>
      </c>
      <c r="X2880" s="1" t="s">
        <v>56</v>
      </c>
    </row>
    <row r="2881">
      <c r="A2881" s="3" t="str">
        <f>HYPERLINK("https://stackoverflow.com/q/58982487", "58982487")</f>
        <v>58982487</v>
      </c>
      <c r="B2881" s="1" t="s">
        <v>7613</v>
      </c>
      <c r="C2881" s="1" t="s">
        <v>10575</v>
      </c>
      <c r="D2881" s="2" t="s">
        <v>10576</v>
      </c>
      <c r="E2881" s="1">
        <v>1.0</v>
      </c>
      <c r="I2881" s="1">
        <v>0.0</v>
      </c>
      <c r="J2881" s="1">
        <v>356.0</v>
      </c>
      <c r="L2881" s="1">
        <v>1.0914001E7</v>
      </c>
      <c r="Q2881" s="1" t="s">
        <v>10575</v>
      </c>
      <c r="R2881" s="1" t="s">
        <v>10577</v>
      </c>
      <c r="S2881" s="1">
        <v>0.0</v>
      </c>
      <c r="T2881" s="1">
        <v>1.0</v>
      </c>
      <c r="X2881" s="1" t="s">
        <v>56</v>
      </c>
    </row>
    <row r="2882">
      <c r="A2882" s="3" t="str">
        <f>HYPERLINK("https://stackoverflow.com/q/58993188", "58993188")</f>
        <v>58993188</v>
      </c>
      <c r="B2882" s="1" t="s">
        <v>7613</v>
      </c>
      <c r="C2882" s="1" t="s">
        <v>10578</v>
      </c>
      <c r="D2882" s="2" t="s">
        <v>10579</v>
      </c>
      <c r="E2882" s="1">
        <v>1.0</v>
      </c>
      <c r="I2882" s="1">
        <v>0.0</v>
      </c>
      <c r="J2882" s="1">
        <v>8.0</v>
      </c>
      <c r="L2882" s="1">
        <v>1.1775755E7</v>
      </c>
      <c r="Q2882" s="1" t="s">
        <v>10578</v>
      </c>
      <c r="R2882" s="1" t="s">
        <v>9202</v>
      </c>
      <c r="S2882" s="1">
        <v>0.0</v>
      </c>
      <c r="T2882" s="1">
        <v>0.0</v>
      </c>
      <c r="X2882" s="1" t="s">
        <v>56</v>
      </c>
    </row>
    <row r="2883">
      <c r="A2883" s="3" t="str">
        <f>HYPERLINK("https://stackoverflow.com/q/59022984", "59022984")</f>
        <v>59022984</v>
      </c>
      <c r="B2883" s="1" t="s">
        <v>7613</v>
      </c>
      <c r="C2883" s="1" t="s">
        <v>10580</v>
      </c>
      <c r="D2883" s="2" t="s">
        <v>10581</v>
      </c>
      <c r="E2883" s="1">
        <v>1.0</v>
      </c>
      <c r="I2883" s="1">
        <v>1.0</v>
      </c>
      <c r="J2883" s="1">
        <v>100.0</v>
      </c>
      <c r="L2883" s="1">
        <v>3675980.0</v>
      </c>
      <c r="N2883" s="1">
        <v>3675980.0</v>
      </c>
      <c r="P2883" s="1" t="s">
        <v>10582</v>
      </c>
      <c r="Q2883" s="1" t="s">
        <v>10582</v>
      </c>
      <c r="R2883" s="1" t="s">
        <v>8412</v>
      </c>
      <c r="S2883" s="1">
        <v>0.0</v>
      </c>
      <c r="T2883" s="1">
        <v>2.0</v>
      </c>
      <c r="X2883" s="1" t="s">
        <v>56</v>
      </c>
    </row>
    <row r="2884">
      <c r="A2884" s="3" t="str">
        <f>HYPERLINK("https://stackoverflow.com/q/59029108", "59029108")</f>
        <v>59029108</v>
      </c>
      <c r="B2884" s="1" t="s">
        <v>7613</v>
      </c>
      <c r="C2884" s="1" t="s">
        <v>10583</v>
      </c>
      <c r="D2884" s="2" t="s">
        <v>10584</v>
      </c>
      <c r="E2884" s="1">
        <v>1.0</v>
      </c>
      <c r="I2884" s="1">
        <v>0.0</v>
      </c>
      <c r="J2884" s="1">
        <v>42.0</v>
      </c>
      <c r="L2884" s="1">
        <v>1.0579949E7</v>
      </c>
      <c r="N2884" s="1">
        <v>420558.0</v>
      </c>
      <c r="P2884" s="1" t="s">
        <v>10585</v>
      </c>
      <c r="Q2884" s="1" t="s">
        <v>10586</v>
      </c>
      <c r="R2884" s="1" t="s">
        <v>10587</v>
      </c>
      <c r="S2884" s="1">
        <v>1.0</v>
      </c>
      <c r="T2884" s="1">
        <v>0.0</v>
      </c>
      <c r="X2884" s="1" t="s">
        <v>56</v>
      </c>
    </row>
    <row r="2885">
      <c r="A2885" s="3" t="str">
        <f>HYPERLINK("https://stackoverflow.com/q/59029392", "59029392")</f>
        <v>59029392</v>
      </c>
      <c r="B2885" s="1" t="s">
        <v>7613</v>
      </c>
      <c r="C2885" s="1" t="s">
        <v>10588</v>
      </c>
      <c r="D2885" s="2" t="s">
        <v>10589</v>
      </c>
      <c r="E2885" s="1">
        <v>1.0</v>
      </c>
      <c r="I2885" s="1">
        <v>1.0</v>
      </c>
      <c r="J2885" s="1">
        <v>60.0</v>
      </c>
      <c r="L2885" s="1">
        <v>6301616.0</v>
      </c>
      <c r="Q2885" s="1" t="s">
        <v>10590</v>
      </c>
      <c r="R2885" s="1" t="s">
        <v>10306</v>
      </c>
      <c r="S2885" s="1">
        <v>2.0</v>
      </c>
      <c r="T2885" s="1">
        <v>0.0</v>
      </c>
      <c r="X2885" s="1" t="s">
        <v>56</v>
      </c>
    </row>
    <row r="2886">
      <c r="A2886" s="3" t="str">
        <f>HYPERLINK("https://stackoverflow.com/q/59043054", "59043054")</f>
        <v>59043054</v>
      </c>
      <c r="B2886" s="1" t="s">
        <v>7613</v>
      </c>
      <c r="C2886" s="1" t="s">
        <v>10591</v>
      </c>
      <c r="D2886" s="2" t="s">
        <v>10592</v>
      </c>
      <c r="E2886" s="1">
        <v>1.0</v>
      </c>
      <c r="I2886" s="1">
        <v>0.0</v>
      </c>
      <c r="J2886" s="1">
        <v>288.0</v>
      </c>
      <c r="L2886" s="1">
        <v>7228802.0</v>
      </c>
      <c r="Q2886" s="1" t="s">
        <v>10593</v>
      </c>
      <c r="R2886" s="1" t="s">
        <v>9915</v>
      </c>
      <c r="S2886" s="1">
        <v>1.0</v>
      </c>
      <c r="T2886" s="1">
        <v>0.0</v>
      </c>
      <c r="X2886" s="1" t="s">
        <v>56</v>
      </c>
    </row>
    <row r="2887">
      <c r="A2887" s="3" t="str">
        <f>HYPERLINK("https://stackoverflow.com/q/59053286", "59053286")</f>
        <v>59053286</v>
      </c>
      <c r="B2887" s="1" t="s">
        <v>7613</v>
      </c>
      <c r="C2887" s="1" t="s">
        <v>10594</v>
      </c>
      <c r="D2887" s="2" t="s">
        <v>10595</v>
      </c>
      <c r="E2887" s="1">
        <v>1.0</v>
      </c>
      <c r="F2887" s="1">
        <v>5.9054958E7</v>
      </c>
      <c r="I2887" s="1">
        <v>0.0</v>
      </c>
      <c r="J2887" s="1">
        <v>43.0</v>
      </c>
      <c r="L2887" s="1">
        <v>2424544.0</v>
      </c>
      <c r="N2887" s="1">
        <v>2424544.0</v>
      </c>
      <c r="P2887" s="1" t="s">
        <v>10596</v>
      </c>
      <c r="Q2887" s="1" t="s">
        <v>10596</v>
      </c>
      <c r="R2887" s="1" t="s">
        <v>10597</v>
      </c>
      <c r="S2887" s="1">
        <v>1.0</v>
      </c>
      <c r="T2887" s="1">
        <v>0.0</v>
      </c>
      <c r="X2887" s="1" t="s">
        <v>56</v>
      </c>
      <c r="Z2887" s="1" t="s">
        <v>10598</v>
      </c>
    </row>
    <row r="2888">
      <c r="A2888" s="3" t="str">
        <f>HYPERLINK("https://stackoverflow.com/q/59062489", "59062489")</f>
        <v>59062489</v>
      </c>
      <c r="B2888" s="1" t="s">
        <v>7613</v>
      </c>
      <c r="C2888" s="1" t="s">
        <v>10599</v>
      </c>
      <c r="D2888" s="2" t="s">
        <v>10600</v>
      </c>
      <c r="E2888" s="1">
        <v>1.0</v>
      </c>
      <c r="I2888" s="1">
        <v>0.0</v>
      </c>
      <c r="J2888" s="1">
        <v>82.0</v>
      </c>
      <c r="L2888" s="1">
        <v>2768359.0</v>
      </c>
      <c r="N2888" s="1">
        <v>2768359.0</v>
      </c>
      <c r="P2888" s="1" t="s">
        <v>10601</v>
      </c>
      <c r="Q2888" s="1" t="s">
        <v>10601</v>
      </c>
      <c r="R2888" s="1" t="s">
        <v>10602</v>
      </c>
      <c r="S2888" s="1">
        <v>0.0</v>
      </c>
      <c r="T2888" s="1">
        <v>0.0</v>
      </c>
      <c r="U2888" s="1">
        <v>1.0</v>
      </c>
      <c r="X2888" s="1" t="s">
        <v>56</v>
      </c>
    </row>
    <row r="2889">
      <c r="A2889" s="3" t="str">
        <f>HYPERLINK("https://stackoverflow.com/q/59082961", "59082961")</f>
        <v>59082961</v>
      </c>
      <c r="B2889" s="1" t="s">
        <v>7613</v>
      </c>
      <c r="C2889" s="1" t="s">
        <v>10603</v>
      </c>
      <c r="D2889" s="2" t="s">
        <v>10604</v>
      </c>
      <c r="E2889" s="1">
        <v>1.0</v>
      </c>
      <c r="I2889" s="1">
        <v>0.0</v>
      </c>
      <c r="J2889" s="1">
        <v>7.0</v>
      </c>
      <c r="L2889" s="1">
        <v>5143567.0</v>
      </c>
      <c r="Q2889" s="1" t="s">
        <v>10603</v>
      </c>
      <c r="R2889" s="1" t="s">
        <v>10605</v>
      </c>
      <c r="S2889" s="1">
        <v>0.0</v>
      </c>
      <c r="T2889" s="1">
        <v>0.0</v>
      </c>
      <c r="X2889" s="1" t="s">
        <v>56</v>
      </c>
    </row>
    <row r="2890">
      <c r="A2890" s="3" t="str">
        <f>HYPERLINK("https://stackoverflow.com/q/59089647", "59089647")</f>
        <v>59089647</v>
      </c>
      <c r="B2890" s="1" t="s">
        <v>7613</v>
      </c>
      <c r="C2890" s="1" t="s">
        <v>10606</v>
      </c>
      <c r="D2890" s="2" t="s">
        <v>10607</v>
      </c>
      <c r="E2890" s="1">
        <v>1.0</v>
      </c>
      <c r="F2890" s="1">
        <v>5.9137259E7</v>
      </c>
      <c r="I2890" s="1">
        <v>1.0</v>
      </c>
      <c r="J2890" s="1">
        <v>227.0</v>
      </c>
      <c r="L2890" s="1">
        <v>1107547.0</v>
      </c>
      <c r="Q2890" s="1" t="s">
        <v>10608</v>
      </c>
      <c r="R2890" s="1" t="s">
        <v>10609</v>
      </c>
      <c r="S2890" s="1">
        <v>1.0</v>
      </c>
      <c r="T2890" s="1">
        <v>1.0</v>
      </c>
      <c r="X2890" s="1" t="s">
        <v>56</v>
      </c>
      <c r="Z2890" s="1" t="s">
        <v>10608</v>
      </c>
    </row>
    <row r="2891">
      <c r="A2891" s="3" t="str">
        <f>HYPERLINK("https://stackoverflow.com/q/59110327", "59110327")</f>
        <v>59110327</v>
      </c>
      <c r="B2891" s="1" t="s">
        <v>7613</v>
      </c>
      <c r="C2891" s="1" t="s">
        <v>10610</v>
      </c>
      <c r="D2891" s="2" t="s">
        <v>10611</v>
      </c>
      <c r="E2891" s="1">
        <v>1.0</v>
      </c>
      <c r="I2891" s="1">
        <v>0.0</v>
      </c>
      <c r="J2891" s="1">
        <v>22.0</v>
      </c>
      <c r="L2891" s="1">
        <v>1917034.0</v>
      </c>
      <c r="N2891" s="1">
        <v>1917034.0</v>
      </c>
      <c r="P2891" s="1" t="s">
        <v>10612</v>
      </c>
      <c r="Q2891" s="1" t="s">
        <v>10612</v>
      </c>
      <c r="R2891" s="1" t="s">
        <v>8412</v>
      </c>
      <c r="S2891" s="1">
        <v>0.0</v>
      </c>
      <c r="T2891" s="1">
        <v>0.0</v>
      </c>
      <c r="X2891" s="1" t="s">
        <v>56</v>
      </c>
    </row>
    <row r="2892">
      <c r="A2892" s="3" t="str">
        <f>HYPERLINK("https://stackoverflow.com/q/59140407", "59140407")</f>
        <v>59140407</v>
      </c>
      <c r="B2892" s="1" t="s">
        <v>7613</v>
      </c>
      <c r="C2892" s="1" t="s">
        <v>10613</v>
      </c>
      <c r="D2892" s="2" t="s">
        <v>10614</v>
      </c>
      <c r="E2892" s="1">
        <v>1.0</v>
      </c>
      <c r="I2892" s="1">
        <v>1.0</v>
      </c>
      <c r="J2892" s="1">
        <v>145.0</v>
      </c>
      <c r="L2892" s="1">
        <v>8091865.0</v>
      </c>
      <c r="Q2892" s="1" t="s">
        <v>10613</v>
      </c>
      <c r="R2892" s="1" t="s">
        <v>10615</v>
      </c>
      <c r="S2892" s="1">
        <v>0.0</v>
      </c>
      <c r="T2892" s="1">
        <v>0.0</v>
      </c>
      <c r="X2892" s="1" t="s">
        <v>56</v>
      </c>
    </row>
    <row r="2893">
      <c r="A2893" s="3" t="str">
        <f>HYPERLINK("https://stackoverflow.com/q/59150237", "59150237")</f>
        <v>59150237</v>
      </c>
      <c r="B2893" s="1" t="s">
        <v>7613</v>
      </c>
      <c r="C2893" s="1" t="s">
        <v>10616</v>
      </c>
      <c r="D2893" s="2" t="s">
        <v>10617</v>
      </c>
      <c r="E2893" s="1">
        <v>1.0</v>
      </c>
      <c r="I2893" s="1">
        <v>0.0</v>
      </c>
      <c r="J2893" s="1">
        <v>204.0</v>
      </c>
      <c r="L2893" s="1">
        <v>2475170.0</v>
      </c>
      <c r="Q2893" s="1" t="s">
        <v>10616</v>
      </c>
      <c r="R2893" s="1" t="s">
        <v>10618</v>
      </c>
      <c r="S2893" s="1">
        <v>0.0</v>
      </c>
      <c r="T2893" s="1">
        <v>0.0</v>
      </c>
      <c r="X2893" s="1" t="s">
        <v>56</v>
      </c>
    </row>
    <row r="2894">
      <c r="A2894" s="3" t="str">
        <f>HYPERLINK("https://stackoverflow.com/q/59150977", "59150977")</f>
        <v>59150977</v>
      </c>
      <c r="B2894" s="1" t="s">
        <v>7613</v>
      </c>
      <c r="C2894" s="1" t="s">
        <v>10619</v>
      </c>
      <c r="D2894" s="2" t="s">
        <v>10620</v>
      </c>
      <c r="E2894" s="1">
        <v>1.0</v>
      </c>
      <c r="I2894" s="1">
        <v>0.0</v>
      </c>
      <c r="J2894" s="1">
        <v>37.0</v>
      </c>
      <c r="L2894" s="1">
        <v>1.2472126E7</v>
      </c>
      <c r="Q2894" s="1" t="s">
        <v>10619</v>
      </c>
      <c r="R2894" s="1" t="s">
        <v>8828</v>
      </c>
      <c r="S2894" s="1">
        <v>0.0</v>
      </c>
      <c r="T2894" s="1">
        <v>0.0</v>
      </c>
      <c r="X2894" s="1" t="s">
        <v>56</v>
      </c>
    </row>
    <row r="2895">
      <c r="A2895" s="3" t="str">
        <f>HYPERLINK("https://stackoverflow.com/q/59175116", "59175116")</f>
        <v>59175116</v>
      </c>
      <c r="B2895" s="1" t="s">
        <v>7613</v>
      </c>
      <c r="C2895" s="1" t="s">
        <v>10621</v>
      </c>
      <c r="D2895" s="2" t="s">
        <v>10622</v>
      </c>
      <c r="E2895" s="1">
        <v>1.0</v>
      </c>
      <c r="I2895" s="1">
        <v>0.0</v>
      </c>
      <c r="J2895" s="1">
        <v>8.0</v>
      </c>
      <c r="L2895" s="1">
        <v>5730945.0</v>
      </c>
      <c r="Q2895" s="1" t="s">
        <v>10621</v>
      </c>
      <c r="R2895" s="1" t="s">
        <v>8321</v>
      </c>
      <c r="S2895" s="1">
        <v>0.0</v>
      </c>
      <c r="T2895" s="1">
        <v>1.0</v>
      </c>
      <c r="X2895" s="1" t="s">
        <v>56</v>
      </c>
    </row>
    <row r="2896">
      <c r="A2896" s="3" t="str">
        <f>HYPERLINK("https://stackoverflow.com/q/59182574", "59182574")</f>
        <v>59182574</v>
      </c>
      <c r="B2896" s="1" t="s">
        <v>7613</v>
      </c>
      <c r="C2896" s="1" t="s">
        <v>10623</v>
      </c>
      <c r="D2896" s="2" t="s">
        <v>10624</v>
      </c>
      <c r="E2896" s="1">
        <v>1.0</v>
      </c>
      <c r="I2896" s="1">
        <v>0.0</v>
      </c>
      <c r="J2896" s="1">
        <v>22.0</v>
      </c>
      <c r="L2896" s="1">
        <v>1.1677624E7</v>
      </c>
      <c r="N2896" s="1">
        <v>1.1677624E7</v>
      </c>
      <c r="P2896" s="1" t="s">
        <v>10625</v>
      </c>
      <c r="Q2896" s="1" t="s">
        <v>10625</v>
      </c>
      <c r="R2896" s="1" t="s">
        <v>10626</v>
      </c>
      <c r="S2896" s="1">
        <v>0.0</v>
      </c>
      <c r="T2896" s="1">
        <v>1.0</v>
      </c>
      <c r="X2896" s="1" t="s">
        <v>56</v>
      </c>
    </row>
    <row r="2897">
      <c r="A2897" s="3" t="str">
        <f>HYPERLINK("https://stackoverflow.com/q/59201429", "59201429")</f>
        <v>59201429</v>
      </c>
      <c r="B2897" s="1" t="s">
        <v>7613</v>
      </c>
      <c r="C2897" s="1" t="s">
        <v>10627</v>
      </c>
      <c r="D2897" s="2" t="s">
        <v>10628</v>
      </c>
      <c r="E2897" s="1">
        <v>1.0</v>
      </c>
      <c r="I2897" s="1">
        <v>0.0</v>
      </c>
      <c r="J2897" s="1">
        <v>108.0</v>
      </c>
      <c r="L2897" s="1">
        <v>6114199.0</v>
      </c>
      <c r="Q2897" s="1" t="s">
        <v>10627</v>
      </c>
      <c r="R2897" s="1" t="s">
        <v>10629</v>
      </c>
      <c r="S2897" s="1">
        <v>0.0</v>
      </c>
      <c r="T2897" s="1">
        <v>0.0</v>
      </c>
      <c r="X2897" s="1" t="s">
        <v>56</v>
      </c>
    </row>
    <row r="2898">
      <c r="A2898" s="3" t="str">
        <f>HYPERLINK("https://stackoverflow.com/q/59202953", "59202953")</f>
        <v>59202953</v>
      </c>
      <c r="B2898" s="1" t="s">
        <v>7613</v>
      </c>
      <c r="C2898" s="1" t="s">
        <v>10630</v>
      </c>
      <c r="D2898" s="2" t="s">
        <v>10631</v>
      </c>
      <c r="E2898" s="1">
        <v>1.0</v>
      </c>
      <c r="F2898" s="1">
        <v>5.9346837E7</v>
      </c>
      <c r="I2898" s="1">
        <v>0.0</v>
      </c>
      <c r="J2898" s="1">
        <v>875.0</v>
      </c>
      <c r="L2898" s="1">
        <v>2463287.0</v>
      </c>
      <c r="N2898" s="1">
        <v>2463287.0</v>
      </c>
      <c r="P2898" s="1" t="s">
        <v>10632</v>
      </c>
      <c r="Q2898" s="1" t="s">
        <v>10633</v>
      </c>
      <c r="R2898" s="1" t="s">
        <v>10634</v>
      </c>
      <c r="S2898" s="1">
        <v>1.0</v>
      </c>
      <c r="T2898" s="1">
        <v>0.0</v>
      </c>
      <c r="X2898" s="1" t="s">
        <v>56</v>
      </c>
      <c r="Z2898" s="1" t="s">
        <v>10635</v>
      </c>
    </row>
    <row r="2899">
      <c r="A2899" s="3" t="str">
        <f>HYPERLINK("https://stackoverflow.com/q/59223342", "59223342")</f>
        <v>59223342</v>
      </c>
      <c r="B2899" s="1" t="s">
        <v>7613</v>
      </c>
      <c r="C2899" s="1" t="s">
        <v>10636</v>
      </c>
      <c r="D2899" s="2" t="s">
        <v>10637</v>
      </c>
      <c r="E2899" s="1">
        <v>1.0</v>
      </c>
      <c r="I2899" s="1">
        <v>0.0</v>
      </c>
      <c r="J2899" s="1">
        <v>22.0</v>
      </c>
      <c r="L2899" s="1">
        <v>7240783.0</v>
      </c>
      <c r="Q2899" s="1" t="s">
        <v>10636</v>
      </c>
      <c r="R2899" s="1" t="s">
        <v>10638</v>
      </c>
      <c r="S2899" s="1">
        <v>0.0</v>
      </c>
      <c r="T2899" s="1">
        <v>0.0</v>
      </c>
      <c r="X2899" s="1" t="s">
        <v>56</v>
      </c>
    </row>
    <row r="2900">
      <c r="A2900" s="3" t="str">
        <f>HYPERLINK("https://stackoverflow.com/q/59233638", "59233638")</f>
        <v>59233638</v>
      </c>
      <c r="B2900" s="1" t="s">
        <v>7613</v>
      </c>
      <c r="C2900" s="1" t="s">
        <v>10639</v>
      </c>
      <c r="D2900" s="2" t="s">
        <v>10640</v>
      </c>
      <c r="E2900" s="1">
        <v>1.0</v>
      </c>
      <c r="F2900" s="1">
        <v>6.0182878E7</v>
      </c>
      <c r="I2900" s="1">
        <v>0.0</v>
      </c>
      <c r="J2900" s="1">
        <v>61.0</v>
      </c>
      <c r="L2900" s="1">
        <v>3032393.0</v>
      </c>
      <c r="Q2900" s="1" t="s">
        <v>10641</v>
      </c>
      <c r="R2900" s="1" t="s">
        <v>8920</v>
      </c>
      <c r="S2900" s="1">
        <v>1.0</v>
      </c>
      <c r="T2900" s="1">
        <v>0.0</v>
      </c>
      <c r="X2900" s="1" t="s">
        <v>56</v>
      </c>
      <c r="Z2900" s="1" t="s">
        <v>10641</v>
      </c>
    </row>
    <row r="2901">
      <c r="A2901" s="3" t="str">
        <f>HYPERLINK("https://stackoverflow.com/q/59246446", "59246446")</f>
        <v>59246446</v>
      </c>
      <c r="B2901" s="1" t="s">
        <v>7613</v>
      </c>
      <c r="C2901" s="1" t="s">
        <v>10642</v>
      </c>
      <c r="D2901" s="2" t="s">
        <v>10643</v>
      </c>
      <c r="E2901" s="1">
        <v>1.0</v>
      </c>
      <c r="I2901" s="1">
        <v>0.0</v>
      </c>
      <c r="J2901" s="1">
        <v>20.0</v>
      </c>
      <c r="L2901" s="1">
        <v>1.2485298E7</v>
      </c>
      <c r="N2901" s="1">
        <v>1.2485298E7</v>
      </c>
      <c r="P2901" s="1" t="s">
        <v>10644</v>
      </c>
      <c r="Q2901" s="1" t="s">
        <v>10644</v>
      </c>
      <c r="R2901" s="1" t="s">
        <v>8828</v>
      </c>
      <c r="S2901" s="1">
        <v>0.0</v>
      </c>
      <c r="T2901" s="1">
        <v>0.0</v>
      </c>
      <c r="X2901" s="1" t="s">
        <v>56</v>
      </c>
    </row>
    <row r="2902">
      <c r="A2902" s="3" t="str">
        <f>HYPERLINK("https://stackoverflow.com/q/59251524", "59251524")</f>
        <v>59251524</v>
      </c>
      <c r="B2902" s="1" t="s">
        <v>7613</v>
      </c>
      <c r="C2902" s="1" t="s">
        <v>10645</v>
      </c>
      <c r="D2902" s="2" t="s">
        <v>10646</v>
      </c>
      <c r="E2902" s="1">
        <v>1.0</v>
      </c>
      <c r="I2902" s="1">
        <v>2.0</v>
      </c>
      <c r="J2902" s="1">
        <v>126.0</v>
      </c>
      <c r="L2902" s="1">
        <v>670164.0</v>
      </c>
      <c r="N2902" s="1">
        <v>4600982.0</v>
      </c>
      <c r="P2902" s="1" t="s">
        <v>10647</v>
      </c>
      <c r="Q2902" s="1" t="s">
        <v>10647</v>
      </c>
      <c r="R2902" s="1" t="s">
        <v>10648</v>
      </c>
      <c r="S2902" s="1">
        <v>1.0</v>
      </c>
      <c r="T2902" s="1">
        <v>2.0</v>
      </c>
      <c r="X2902" s="1" t="s">
        <v>56</v>
      </c>
    </row>
    <row r="2903">
      <c r="A2903" s="3" t="str">
        <f>HYPERLINK("https://stackoverflow.com/q/59261369", "59261369")</f>
        <v>59261369</v>
      </c>
      <c r="B2903" s="1" t="s">
        <v>7613</v>
      </c>
      <c r="C2903" s="1" t="s">
        <v>10649</v>
      </c>
      <c r="D2903" s="2" t="s">
        <v>10650</v>
      </c>
      <c r="E2903" s="1">
        <v>1.0</v>
      </c>
      <c r="I2903" s="1">
        <v>0.0</v>
      </c>
      <c r="J2903" s="1">
        <v>40.0</v>
      </c>
      <c r="L2903" s="1">
        <v>4935653.0</v>
      </c>
      <c r="Q2903" s="1" t="s">
        <v>10649</v>
      </c>
      <c r="R2903" s="1" t="s">
        <v>10651</v>
      </c>
      <c r="S2903" s="1">
        <v>0.0</v>
      </c>
      <c r="T2903" s="1">
        <v>0.0</v>
      </c>
      <c r="X2903" s="1" t="s">
        <v>56</v>
      </c>
    </row>
    <row r="2904">
      <c r="A2904" s="3" t="str">
        <f>HYPERLINK("https://stackoverflow.com/q/59262742", "59262742")</f>
        <v>59262742</v>
      </c>
      <c r="B2904" s="1" t="s">
        <v>7613</v>
      </c>
      <c r="C2904" s="1" t="s">
        <v>10652</v>
      </c>
      <c r="D2904" s="2" t="s">
        <v>10653</v>
      </c>
      <c r="E2904" s="1">
        <v>1.0</v>
      </c>
      <c r="I2904" s="1">
        <v>0.0</v>
      </c>
      <c r="J2904" s="1">
        <v>35.0</v>
      </c>
      <c r="L2904" s="1">
        <v>4477150.0</v>
      </c>
      <c r="N2904" s="1">
        <v>4477150.0</v>
      </c>
      <c r="P2904" s="1" t="s">
        <v>10654</v>
      </c>
      <c r="Q2904" s="1" t="s">
        <v>10655</v>
      </c>
      <c r="R2904" s="1" t="s">
        <v>10656</v>
      </c>
      <c r="S2904" s="1">
        <v>1.0</v>
      </c>
      <c r="T2904" s="1">
        <v>3.0</v>
      </c>
      <c r="X2904" s="1" t="s">
        <v>56</v>
      </c>
    </row>
    <row r="2905">
      <c r="A2905" s="3" t="str">
        <f>HYPERLINK("https://stackoverflow.com/q/59268690", "59268690")</f>
        <v>59268690</v>
      </c>
      <c r="B2905" s="1" t="s">
        <v>7613</v>
      </c>
      <c r="C2905" s="1" t="s">
        <v>10657</v>
      </c>
      <c r="D2905" s="2" t="s">
        <v>10658</v>
      </c>
      <c r="E2905" s="1">
        <v>1.0</v>
      </c>
      <c r="I2905" s="1">
        <v>0.0</v>
      </c>
      <c r="J2905" s="1">
        <v>306.0</v>
      </c>
      <c r="L2905" s="1">
        <v>5184234.0</v>
      </c>
      <c r="N2905" s="1">
        <v>1159783.0</v>
      </c>
      <c r="P2905" s="1" t="s">
        <v>10659</v>
      </c>
      <c r="Q2905" s="1" t="s">
        <v>10659</v>
      </c>
      <c r="R2905" s="1" t="s">
        <v>8321</v>
      </c>
      <c r="S2905" s="1">
        <v>0.0</v>
      </c>
      <c r="T2905" s="1">
        <v>0.0</v>
      </c>
      <c r="X2905" s="1" t="s">
        <v>56</v>
      </c>
    </row>
    <row r="2906">
      <c r="A2906" s="3" t="str">
        <f>HYPERLINK("https://stackoverflow.com/q/59282347", "59282347")</f>
        <v>59282347</v>
      </c>
      <c r="B2906" s="1" t="s">
        <v>7613</v>
      </c>
      <c r="C2906" s="1" t="s">
        <v>10660</v>
      </c>
      <c r="D2906" s="2" t="s">
        <v>10661</v>
      </c>
      <c r="E2906" s="1">
        <v>1.0</v>
      </c>
      <c r="I2906" s="1">
        <v>0.0</v>
      </c>
      <c r="J2906" s="1">
        <v>16.0</v>
      </c>
      <c r="L2906" s="1">
        <v>1.0192155E7</v>
      </c>
      <c r="Q2906" s="1" t="s">
        <v>10662</v>
      </c>
      <c r="R2906" s="1" t="s">
        <v>10663</v>
      </c>
      <c r="S2906" s="1">
        <v>1.0</v>
      </c>
      <c r="T2906" s="1">
        <v>0.0</v>
      </c>
      <c r="X2906" s="1" t="s">
        <v>56</v>
      </c>
    </row>
    <row r="2907">
      <c r="A2907" s="3" t="str">
        <f>HYPERLINK("https://stackoverflow.com/q/59283319", "59283319")</f>
        <v>59283319</v>
      </c>
      <c r="B2907" s="1" t="s">
        <v>7613</v>
      </c>
      <c r="C2907" s="1" t="s">
        <v>10664</v>
      </c>
      <c r="D2907" s="2" t="s">
        <v>10665</v>
      </c>
      <c r="E2907" s="1">
        <v>1.0</v>
      </c>
      <c r="F2907" s="1">
        <v>5.9324238E7</v>
      </c>
      <c r="I2907" s="1">
        <v>0.0</v>
      </c>
      <c r="J2907" s="1">
        <v>583.0</v>
      </c>
      <c r="L2907" s="1">
        <v>6951110.0</v>
      </c>
      <c r="Q2907" s="1" t="s">
        <v>10666</v>
      </c>
      <c r="R2907" s="1" t="s">
        <v>10667</v>
      </c>
      <c r="S2907" s="1">
        <v>1.0</v>
      </c>
      <c r="T2907" s="1">
        <v>2.0</v>
      </c>
      <c r="X2907" s="1" t="s">
        <v>56</v>
      </c>
      <c r="Z2907" s="1" t="s">
        <v>10666</v>
      </c>
    </row>
    <row r="2908">
      <c r="A2908" s="3" t="str">
        <f>HYPERLINK("https://stackoverflow.com/q/59293403", "59293403")</f>
        <v>59293403</v>
      </c>
      <c r="B2908" s="1" t="s">
        <v>7613</v>
      </c>
      <c r="C2908" s="1" t="s">
        <v>10668</v>
      </c>
      <c r="D2908" s="2" t="s">
        <v>10669</v>
      </c>
      <c r="E2908" s="1">
        <v>1.0</v>
      </c>
      <c r="I2908" s="1">
        <v>1.0</v>
      </c>
      <c r="J2908" s="1">
        <v>51.0</v>
      </c>
      <c r="L2908" s="1">
        <v>1.2520727E7</v>
      </c>
      <c r="Q2908" s="1" t="s">
        <v>10668</v>
      </c>
      <c r="R2908" s="1" t="s">
        <v>8728</v>
      </c>
      <c r="S2908" s="1">
        <v>0.0</v>
      </c>
      <c r="T2908" s="1">
        <v>1.0</v>
      </c>
      <c r="X2908" s="1" t="s">
        <v>56</v>
      </c>
    </row>
    <row r="2909">
      <c r="A2909" s="3" t="str">
        <f>HYPERLINK("https://stackoverflow.com/q/59346308", "59346308")</f>
        <v>59346308</v>
      </c>
      <c r="B2909" s="1" t="s">
        <v>7613</v>
      </c>
      <c r="C2909" s="1" t="s">
        <v>10670</v>
      </c>
      <c r="D2909" s="2" t="s">
        <v>10671</v>
      </c>
      <c r="E2909" s="1">
        <v>1.0</v>
      </c>
      <c r="I2909" s="1">
        <v>0.0</v>
      </c>
      <c r="J2909" s="1">
        <v>64.0</v>
      </c>
      <c r="L2909" s="1">
        <v>1.0451936E7</v>
      </c>
      <c r="Q2909" s="1" t="s">
        <v>10672</v>
      </c>
      <c r="R2909" s="1" t="s">
        <v>8321</v>
      </c>
      <c r="S2909" s="1">
        <v>1.0</v>
      </c>
      <c r="T2909" s="1">
        <v>1.0</v>
      </c>
      <c r="X2909" s="1" t="s">
        <v>56</v>
      </c>
    </row>
    <row r="2910">
      <c r="A2910" s="3" t="str">
        <f>HYPERLINK("https://stackoverflow.com/q/59351603", "59351603")</f>
        <v>59351603</v>
      </c>
      <c r="B2910" s="1" t="s">
        <v>7613</v>
      </c>
      <c r="C2910" s="1" t="s">
        <v>10673</v>
      </c>
      <c r="D2910" s="4" t="s">
        <v>10674</v>
      </c>
      <c r="E2910" s="1">
        <v>1.0</v>
      </c>
      <c r="I2910" s="1">
        <v>0.0</v>
      </c>
      <c r="J2910" s="1">
        <v>26.0</v>
      </c>
      <c r="L2910" s="1">
        <v>7430335.0</v>
      </c>
      <c r="Q2910" s="1" t="s">
        <v>10673</v>
      </c>
      <c r="R2910" s="1" t="s">
        <v>10675</v>
      </c>
      <c r="S2910" s="1">
        <v>0.0</v>
      </c>
      <c r="T2910" s="1">
        <v>0.0</v>
      </c>
      <c r="X2910" s="1" t="s">
        <v>56</v>
      </c>
    </row>
    <row r="2911">
      <c r="A2911" s="3" t="str">
        <f>HYPERLINK("https://stackoverflow.com/q/59352243", "59352243")</f>
        <v>59352243</v>
      </c>
      <c r="B2911" s="1" t="s">
        <v>7613</v>
      </c>
      <c r="C2911" s="1" t="s">
        <v>10676</v>
      </c>
      <c r="D2911" s="2" t="s">
        <v>10677</v>
      </c>
      <c r="E2911" s="1">
        <v>1.0</v>
      </c>
      <c r="I2911" s="1">
        <v>0.0</v>
      </c>
      <c r="J2911" s="1">
        <v>20.0</v>
      </c>
      <c r="L2911" s="1">
        <v>1.2485298E7</v>
      </c>
      <c r="N2911" s="1">
        <v>4469739.0</v>
      </c>
      <c r="P2911" s="1" t="s">
        <v>10678</v>
      </c>
      <c r="Q2911" s="1" t="s">
        <v>10678</v>
      </c>
      <c r="R2911" s="1" t="s">
        <v>9460</v>
      </c>
      <c r="S2911" s="1">
        <v>0.0</v>
      </c>
      <c r="T2911" s="1">
        <v>0.0</v>
      </c>
      <c r="X2911" s="1" t="s">
        <v>56</v>
      </c>
    </row>
    <row r="2912">
      <c r="A2912" s="3" t="str">
        <f>HYPERLINK("https://stackoverflow.com/q/59370100", "59370100")</f>
        <v>59370100</v>
      </c>
      <c r="B2912" s="1" t="s">
        <v>7613</v>
      </c>
      <c r="C2912" s="1" t="s">
        <v>10679</v>
      </c>
      <c r="D2912" s="2" t="s">
        <v>10680</v>
      </c>
      <c r="E2912" s="1">
        <v>1.0</v>
      </c>
      <c r="I2912" s="1">
        <v>0.0</v>
      </c>
      <c r="J2912" s="1">
        <v>760.0</v>
      </c>
      <c r="L2912" s="1">
        <v>1694368.0</v>
      </c>
      <c r="Q2912" s="1" t="s">
        <v>10681</v>
      </c>
      <c r="R2912" s="1" t="s">
        <v>10577</v>
      </c>
      <c r="S2912" s="1">
        <v>1.0</v>
      </c>
      <c r="T2912" s="1">
        <v>0.0</v>
      </c>
      <c r="X2912" s="1" t="s">
        <v>56</v>
      </c>
    </row>
    <row r="2913">
      <c r="A2913" s="3" t="str">
        <f>HYPERLINK("https://stackoverflow.com/q/59389533", "59389533")</f>
        <v>59389533</v>
      </c>
      <c r="B2913" s="1" t="s">
        <v>7613</v>
      </c>
      <c r="C2913" s="1" t="s">
        <v>10682</v>
      </c>
      <c r="D2913" s="2" t="s">
        <v>10683</v>
      </c>
      <c r="E2913" s="1">
        <v>1.0</v>
      </c>
      <c r="I2913" s="1">
        <v>0.0</v>
      </c>
      <c r="J2913" s="1">
        <v>116.0</v>
      </c>
      <c r="L2913" s="1">
        <v>9127929.0</v>
      </c>
      <c r="Q2913" s="1" t="s">
        <v>10684</v>
      </c>
      <c r="R2913" s="1" t="s">
        <v>10685</v>
      </c>
      <c r="S2913" s="1">
        <v>2.0</v>
      </c>
      <c r="T2913" s="1">
        <v>0.0</v>
      </c>
      <c r="X2913" s="1" t="s">
        <v>56</v>
      </c>
    </row>
    <row r="2914">
      <c r="A2914" s="3" t="str">
        <f>HYPERLINK("https://stackoverflow.com/q/59392920", "59392920")</f>
        <v>59392920</v>
      </c>
      <c r="B2914" s="1" t="s">
        <v>7613</v>
      </c>
      <c r="C2914" s="1" t="s">
        <v>10686</v>
      </c>
      <c r="D2914" s="2" t="s">
        <v>10687</v>
      </c>
      <c r="E2914" s="1">
        <v>1.0</v>
      </c>
      <c r="I2914" s="1">
        <v>0.0</v>
      </c>
      <c r="J2914" s="1">
        <v>43.0</v>
      </c>
      <c r="L2914" s="1">
        <v>1.2558889E7</v>
      </c>
      <c r="Q2914" s="1" t="s">
        <v>10688</v>
      </c>
      <c r="R2914" s="1" t="s">
        <v>10689</v>
      </c>
      <c r="S2914" s="1">
        <v>1.0</v>
      </c>
      <c r="T2914" s="1">
        <v>0.0</v>
      </c>
      <c r="X2914" s="1" t="s">
        <v>56</v>
      </c>
    </row>
    <row r="2915">
      <c r="A2915" s="3" t="str">
        <f>HYPERLINK("https://stackoverflow.com/q/59399174", "59399174")</f>
        <v>59399174</v>
      </c>
      <c r="B2915" s="1" t="s">
        <v>7613</v>
      </c>
      <c r="C2915" s="1" t="s">
        <v>10690</v>
      </c>
      <c r="D2915" s="2" t="s">
        <v>10691</v>
      </c>
      <c r="E2915" s="1">
        <v>1.0</v>
      </c>
      <c r="I2915" s="1">
        <v>0.0</v>
      </c>
      <c r="J2915" s="1">
        <v>30.0</v>
      </c>
      <c r="L2915" s="1">
        <v>1.256091E7</v>
      </c>
      <c r="Q2915" s="1" t="s">
        <v>10692</v>
      </c>
      <c r="R2915" s="1" t="s">
        <v>10693</v>
      </c>
      <c r="S2915" s="1">
        <v>1.0</v>
      </c>
      <c r="T2915" s="1">
        <v>0.0</v>
      </c>
      <c r="X2915" s="1" t="s">
        <v>56</v>
      </c>
    </row>
    <row r="2916">
      <c r="A2916" s="3" t="str">
        <f>HYPERLINK("https://stackoverflow.com/q/59406878", "59406878")</f>
        <v>59406878</v>
      </c>
      <c r="B2916" s="1" t="s">
        <v>7613</v>
      </c>
      <c r="C2916" s="1" t="s">
        <v>10694</v>
      </c>
      <c r="D2916" s="2" t="s">
        <v>10695</v>
      </c>
      <c r="E2916" s="1">
        <v>1.0</v>
      </c>
      <c r="I2916" s="1">
        <v>0.0</v>
      </c>
      <c r="J2916" s="1">
        <v>31.0</v>
      </c>
      <c r="L2916" s="1">
        <v>1.2564177E7</v>
      </c>
      <c r="Q2916" s="1" t="s">
        <v>10694</v>
      </c>
      <c r="R2916" s="1" t="s">
        <v>8321</v>
      </c>
      <c r="S2916" s="1">
        <v>0.0</v>
      </c>
      <c r="T2916" s="1">
        <v>0.0</v>
      </c>
      <c r="X2916" s="1" t="s">
        <v>56</v>
      </c>
    </row>
    <row r="2917">
      <c r="A2917" s="3" t="str">
        <f>HYPERLINK("https://stackoverflow.com/q/59412488", "59412488")</f>
        <v>59412488</v>
      </c>
      <c r="B2917" s="1" t="s">
        <v>7613</v>
      </c>
      <c r="C2917" s="1" t="s">
        <v>10696</v>
      </c>
      <c r="D2917" s="2" t="s">
        <v>10697</v>
      </c>
      <c r="E2917" s="1">
        <v>1.0</v>
      </c>
      <c r="I2917" s="1">
        <v>0.0</v>
      </c>
      <c r="J2917" s="1">
        <v>17.0</v>
      </c>
      <c r="L2917" s="1">
        <v>214131.0</v>
      </c>
      <c r="Q2917" s="1" t="s">
        <v>10698</v>
      </c>
      <c r="R2917" s="1" t="s">
        <v>10699</v>
      </c>
      <c r="S2917" s="1">
        <v>1.0</v>
      </c>
      <c r="T2917" s="1">
        <v>0.0</v>
      </c>
      <c r="X2917" s="1" t="s">
        <v>56</v>
      </c>
    </row>
    <row r="2918">
      <c r="A2918" s="3" t="str">
        <f>HYPERLINK("https://stackoverflow.com/q/59419349", "59419349")</f>
        <v>59419349</v>
      </c>
      <c r="B2918" s="1" t="s">
        <v>7613</v>
      </c>
      <c r="C2918" s="1" t="s">
        <v>10700</v>
      </c>
      <c r="D2918" s="2" t="s">
        <v>10701</v>
      </c>
      <c r="E2918" s="1">
        <v>1.0</v>
      </c>
      <c r="I2918" s="1">
        <v>0.0</v>
      </c>
      <c r="J2918" s="1">
        <v>25.0</v>
      </c>
      <c r="L2918" s="1">
        <v>2698249.0</v>
      </c>
      <c r="Q2918" s="1" t="s">
        <v>10700</v>
      </c>
      <c r="R2918" s="1" t="s">
        <v>8321</v>
      </c>
      <c r="S2918" s="1">
        <v>0.0</v>
      </c>
      <c r="T2918" s="1">
        <v>0.0</v>
      </c>
      <c r="X2918" s="1" t="s">
        <v>56</v>
      </c>
    </row>
    <row r="2919">
      <c r="A2919" s="3" t="str">
        <f>HYPERLINK("https://stackoverflow.com/q/59442097", "59442097")</f>
        <v>59442097</v>
      </c>
      <c r="B2919" s="1" t="s">
        <v>7613</v>
      </c>
      <c r="C2919" s="1" t="s">
        <v>10702</v>
      </c>
      <c r="D2919" s="2" t="s">
        <v>10703</v>
      </c>
      <c r="E2919" s="1">
        <v>1.0</v>
      </c>
      <c r="I2919" s="1">
        <v>0.0</v>
      </c>
      <c r="J2919" s="1">
        <v>278.0</v>
      </c>
      <c r="L2919" s="1">
        <v>9127929.0</v>
      </c>
      <c r="Q2919" s="1" t="s">
        <v>10704</v>
      </c>
      <c r="R2919" s="1" t="s">
        <v>10705</v>
      </c>
      <c r="S2919" s="1">
        <v>2.0</v>
      </c>
      <c r="T2919" s="1">
        <v>0.0</v>
      </c>
      <c r="X2919" s="1" t="s">
        <v>56</v>
      </c>
    </row>
    <row r="2920">
      <c r="A2920" s="3" t="str">
        <f>HYPERLINK("https://stackoverflow.com/q/59453712", "59453712")</f>
        <v>59453712</v>
      </c>
      <c r="B2920" s="1" t="s">
        <v>7613</v>
      </c>
      <c r="C2920" s="1" t="s">
        <v>10706</v>
      </c>
      <c r="D2920" s="2" t="s">
        <v>10707</v>
      </c>
      <c r="E2920" s="1">
        <v>1.0</v>
      </c>
      <c r="I2920" s="1">
        <v>0.0</v>
      </c>
      <c r="J2920" s="1">
        <v>26.0</v>
      </c>
      <c r="L2920" s="1">
        <v>1.2485298E7</v>
      </c>
      <c r="Q2920" s="1" t="s">
        <v>10706</v>
      </c>
      <c r="R2920" s="1" t="s">
        <v>9460</v>
      </c>
      <c r="S2920" s="1">
        <v>0.0</v>
      </c>
      <c r="T2920" s="1">
        <v>0.0</v>
      </c>
      <c r="X2920" s="1" t="s">
        <v>56</v>
      </c>
    </row>
    <row r="2921">
      <c r="A2921" s="3" t="str">
        <f>HYPERLINK("https://stackoverflow.com/q/59457801", "59457801")</f>
        <v>59457801</v>
      </c>
      <c r="B2921" s="1" t="s">
        <v>7613</v>
      </c>
      <c r="C2921" s="1" t="s">
        <v>10708</v>
      </c>
      <c r="D2921" s="2" t="s">
        <v>10709</v>
      </c>
      <c r="E2921" s="1">
        <v>1.0</v>
      </c>
      <c r="F2921" s="1">
        <v>5.9541049E7</v>
      </c>
      <c r="I2921" s="1">
        <v>0.0</v>
      </c>
      <c r="J2921" s="1">
        <v>198.0</v>
      </c>
      <c r="L2921" s="1">
        <v>1.0238204E7</v>
      </c>
      <c r="Q2921" s="1" t="s">
        <v>10710</v>
      </c>
      <c r="R2921" s="1" t="s">
        <v>9577</v>
      </c>
      <c r="S2921" s="1">
        <v>1.0</v>
      </c>
      <c r="T2921" s="1">
        <v>0.0</v>
      </c>
      <c r="X2921" s="1" t="s">
        <v>56</v>
      </c>
      <c r="Z2921" s="1" t="s">
        <v>10711</v>
      </c>
    </row>
    <row r="2922">
      <c r="A2922" s="3" t="str">
        <f>HYPERLINK("https://stackoverflow.com/q/59464598", "59464598")</f>
        <v>59464598</v>
      </c>
      <c r="B2922" s="1" t="s">
        <v>7613</v>
      </c>
      <c r="C2922" s="1" t="s">
        <v>10712</v>
      </c>
      <c r="D2922" s="2" t="s">
        <v>10713</v>
      </c>
      <c r="E2922" s="1">
        <v>1.0</v>
      </c>
      <c r="I2922" s="1">
        <v>0.0</v>
      </c>
      <c r="J2922" s="1">
        <v>23.0</v>
      </c>
      <c r="L2922" s="1">
        <v>1.1962897E7</v>
      </c>
      <c r="Q2922" s="1" t="s">
        <v>10712</v>
      </c>
      <c r="R2922" s="1" t="s">
        <v>10714</v>
      </c>
      <c r="S2922" s="1">
        <v>0.0</v>
      </c>
      <c r="T2922" s="1">
        <v>0.0</v>
      </c>
      <c r="X2922" s="1" t="s">
        <v>56</v>
      </c>
    </row>
    <row r="2923">
      <c r="A2923" s="3" t="str">
        <f>HYPERLINK("https://stackoverflow.com/q/59475173", "59475173")</f>
        <v>59475173</v>
      </c>
      <c r="B2923" s="1" t="s">
        <v>7613</v>
      </c>
      <c r="C2923" s="1" t="s">
        <v>10715</v>
      </c>
      <c r="D2923" s="2" t="s">
        <v>10716</v>
      </c>
      <c r="E2923" s="1">
        <v>1.0</v>
      </c>
      <c r="I2923" s="1">
        <v>0.0</v>
      </c>
      <c r="J2923" s="1">
        <v>97.0</v>
      </c>
      <c r="L2923" s="1">
        <v>614946.0</v>
      </c>
      <c r="Q2923" s="1" t="s">
        <v>10717</v>
      </c>
      <c r="R2923" s="1" t="s">
        <v>10222</v>
      </c>
      <c r="S2923" s="1">
        <v>1.0</v>
      </c>
      <c r="T2923" s="1">
        <v>0.0</v>
      </c>
      <c r="X2923" s="1" t="s">
        <v>56</v>
      </c>
    </row>
    <row r="2924">
      <c r="A2924" s="3" t="str">
        <f>HYPERLINK("https://stackoverflow.com/q/59496809", "59496809")</f>
        <v>59496809</v>
      </c>
      <c r="B2924" s="1" t="s">
        <v>7613</v>
      </c>
      <c r="C2924" s="1" t="s">
        <v>10718</v>
      </c>
      <c r="D2924" s="2" t="s">
        <v>10719</v>
      </c>
      <c r="E2924" s="1">
        <v>1.0</v>
      </c>
      <c r="I2924" s="1">
        <v>0.0</v>
      </c>
      <c r="J2924" s="1">
        <v>28.0</v>
      </c>
      <c r="L2924" s="1">
        <v>614946.0</v>
      </c>
      <c r="Q2924" s="1" t="s">
        <v>10718</v>
      </c>
      <c r="R2924" s="1" t="s">
        <v>10720</v>
      </c>
      <c r="S2924" s="1">
        <v>0.0</v>
      </c>
      <c r="T2924" s="1">
        <v>0.0</v>
      </c>
      <c r="X2924" s="1" t="s">
        <v>56</v>
      </c>
    </row>
    <row r="2925">
      <c r="A2925" s="3" t="str">
        <f>HYPERLINK("https://stackoverflow.com/q/59516378", "59516378")</f>
        <v>59516378</v>
      </c>
      <c r="B2925" s="1" t="s">
        <v>7613</v>
      </c>
      <c r="C2925" s="1" t="s">
        <v>10721</v>
      </c>
      <c r="D2925" s="2" t="s">
        <v>10722</v>
      </c>
      <c r="E2925" s="1">
        <v>1.0</v>
      </c>
      <c r="I2925" s="1">
        <v>0.0</v>
      </c>
      <c r="J2925" s="1">
        <v>165.0</v>
      </c>
      <c r="L2925" s="1">
        <v>1.2392778E7</v>
      </c>
      <c r="Q2925" s="1" t="s">
        <v>10723</v>
      </c>
      <c r="R2925" s="1" t="s">
        <v>9202</v>
      </c>
      <c r="S2925" s="1">
        <v>2.0</v>
      </c>
      <c r="T2925" s="1">
        <v>0.0</v>
      </c>
      <c r="X2925" s="1" t="s">
        <v>56</v>
      </c>
    </row>
    <row r="2926">
      <c r="A2926" s="3" t="str">
        <f>HYPERLINK("https://stackoverflow.com/q/59524629", "59524629")</f>
        <v>59524629</v>
      </c>
      <c r="B2926" s="1" t="s">
        <v>7613</v>
      </c>
      <c r="C2926" s="1" t="s">
        <v>10724</v>
      </c>
      <c r="D2926" s="2" t="s">
        <v>10725</v>
      </c>
      <c r="E2926" s="1">
        <v>1.0</v>
      </c>
      <c r="I2926" s="1">
        <v>0.0</v>
      </c>
      <c r="J2926" s="1">
        <v>297.0</v>
      </c>
      <c r="L2926" s="1">
        <v>1225891.0</v>
      </c>
      <c r="Q2926" s="1" t="s">
        <v>10726</v>
      </c>
      <c r="R2926" s="1" t="s">
        <v>10727</v>
      </c>
      <c r="S2926" s="1">
        <v>2.0</v>
      </c>
      <c r="T2926" s="1">
        <v>0.0</v>
      </c>
      <c r="X2926" s="1" t="s">
        <v>56</v>
      </c>
    </row>
    <row r="2927">
      <c r="A2927" s="3" t="str">
        <f>HYPERLINK("https://stackoverflow.com/q/59527840", "59527840")</f>
        <v>59527840</v>
      </c>
      <c r="B2927" s="1" t="s">
        <v>7613</v>
      </c>
      <c r="C2927" s="1" t="s">
        <v>10728</v>
      </c>
      <c r="D2927" s="2" t="s">
        <v>10729</v>
      </c>
      <c r="E2927" s="1">
        <v>1.0</v>
      </c>
      <c r="I2927" s="1">
        <v>1.0</v>
      </c>
      <c r="J2927" s="1">
        <v>39.0</v>
      </c>
      <c r="L2927" s="1">
        <v>1.2623956E7</v>
      </c>
      <c r="Q2927" s="1" t="s">
        <v>10728</v>
      </c>
      <c r="R2927" s="1" t="s">
        <v>10730</v>
      </c>
      <c r="S2927" s="1">
        <v>0.0</v>
      </c>
      <c r="T2927" s="1">
        <v>1.0</v>
      </c>
      <c r="X2927" s="1" t="s">
        <v>56</v>
      </c>
    </row>
    <row r="2928">
      <c r="A2928" s="3" t="str">
        <f>HYPERLINK("https://stackoverflow.com/q/59533959", "59533959")</f>
        <v>59533959</v>
      </c>
      <c r="B2928" s="1" t="s">
        <v>7613</v>
      </c>
      <c r="C2928" s="1" t="s">
        <v>10731</v>
      </c>
      <c r="D2928" s="2" t="s">
        <v>10732</v>
      </c>
      <c r="E2928" s="1">
        <v>1.0</v>
      </c>
      <c r="I2928" s="1">
        <v>0.0</v>
      </c>
      <c r="J2928" s="1">
        <v>166.0</v>
      </c>
      <c r="L2928" s="1">
        <v>2698249.0</v>
      </c>
      <c r="Q2928" s="1" t="s">
        <v>10731</v>
      </c>
      <c r="R2928" s="1" t="s">
        <v>10416</v>
      </c>
      <c r="S2928" s="1">
        <v>0.0</v>
      </c>
      <c r="T2928" s="1">
        <v>0.0</v>
      </c>
      <c r="X2928" s="1" t="s">
        <v>56</v>
      </c>
    </row>
    <row r="2929">
      <c r="A2929" s="3" t="str">
        <f>HYPERLINK("https://stackoverflow.com/q/59538599", "59538599")</f>
        <v>59538599</v>
      </c>
      <c r="B2929" s="1" t="s">
        <v>7613</v>
      </c>
      <c r="C2929" s="1" t="s">
        <v>10733</v>
      </c>
      <c r="D2929" s="2" t="s">
        <v>10734</v>
      </c>
      <c r="E2929" s="1">
        <v>1.0</v>
      </c>
      <c r="I2929" s="1">
        <v>0.0</v>
      </c>
      <c r="J2929" s="1">
        <v>164.0</v>
      </c>
      <c r="L2929" s="1">
        <v>1.090142E7</v>
      </c>
      <c r="Q2929" s="1" t="s">
        <v>10735</v>
      </c>
      <c r="R2929" s="1" t="s">
        <v>8321</v>
      </c>
      <c r="S2929" s="1">
        <v>1.0</v>
      </c>
      <c r="T2929" s="1">
        <v>0.0</v>
      </c>
      <c r="X2929" s="1" t="s">
        <v>56</v>
      </c>
    </row>
    <row r="2930">
      <c r="A2930" s="3" t="str">
        <f>HYPERLINK("https://stackoverflow.com/q/59544770", "59544770")</f>
        <v>59544770</v>
      </c>
      <c r="B2930" s="1" t="s">
        <v>7613</v>
      </c>
      <c r="C2930" s="1" t="s">
        <v>10736</v>
      </c>
      <c r="D2930" s="2" t="s">
        <v>10737</v>
      </c>
      <c r="E2930" s="1">
        <v>1.0</v>
      </c>
      <c r="I2930" s="1">
        <v>0.0</v>
      </c>
      <c r="J2930" s="1">
        <v>25.0</v>
      </c>
      <c r="L2930" s="1">
        <v>590980.0</v>
      </c>
      <c r="N2930" s="1">
        <v>590980.0</v>
      </c>
      <c r="P2930" s="1" t="s">
        <v>10738</v>
      </c>
      <c r="Q2930" s="1" t="s">
        <v>10738</v>
      </c>
      <c r="R2930" s="1" t="s">
        <v>10739</v>
      </c>
      <c r="S2930" s="1">
        <v>0.0</v>
      </c>
      <c r="T2930" s="1">
        <v>0.0</v>
      </c>
      <c r="X2930" s="1" t="s">
        <v>56</v>
      </c>
    </row>
    <row r="2931">
      <c r="A2931" s="3" t="str">
        <f>HYPERLINK("https://stackoverflow.com/q/59551703", "59551703")</f>
        <v>59551703</v>
      </c>
      <c r="B2931" s="1" t="s">
        <v>7613</v>
      </c>
      <c r="C2931" s="1" t="s">
        <v>10740</v>
      </c>
      <c r="D2931" s="2" t="s">
        <v>10741</v>
      </c>
      <c r="E2931" s="1">
        <v>1.0</v>
      </c>
      <c r="I2931" s="1">
        <v>0.0</v>
      </c>
      <c r="J2931" s="1">
        <v>27.0</v>
      </c>
      <c r="L2931" s="1">
        <v>1.2635759E7</v>
      </c>
      <c r="Q2931" s="1" t="s">
        <v>10740</v>
      </c>
      <c r="R2931" s="1" t="s">
        <v>10742</v>
      </c>
      <c r="S2931" s="1">
        <v>0.0</v>
      </c>
      <c r="T2931" s="1">
        <v>0.0</v>
      </c>
      <c r="X2931" s="1" t="s">
        <v>56</v>
      </c>
    </row>
    <row r="2932">
      <c r="A2932" s="3" t="str">
        <f>HYPERLINK("https://stackoverflow.com/q/59624024", "59624024")</f>
        <v>59624024</v>
      </c>
      <c r="B2932" s="1" t="s">
        <v>7613</v>
      </c>
      <c r="C2932" s="1" t="s">
        <v>10743</v>
      </c>
      <c r="D2932" s="2" t="s">
        <v>10744</v>
      </c>
      <c r="E2932" s="1">
        <v>1.0</v>
      </c>
      <c r="I2932" s="1">
        <v>1.0</v>
      </c>
      <c r="J2932" s="1">
        <v>54.0</v>
      </c>
      <c r="L2932" s="1">
        <v>1.2666485E7</v>
      </c>
      <c r="N2932" s="1">
        <v>1.0871073E7</v>
      </c>
      <c r="P2932" s="1" t="s">
        <v>10745</v>
      </c>
      <c r="Q2932" s="1" t="s">
        <v>10745</v>
      </c>
      <c r="R2932" s="1" t="s">
        <v>10746</v>
      </c>
      <c r="S2932" s="1">
        <v>0.0</v>
      </c>
      <c r="T2932" s="1">
        <v>0.0</v>
      </c>
      <c r="X2932" s="1" t="s">
        <v>56</v>
      </c>
    </row>
    <row r="2933">
      <c r="A2933" s="3" t="str">
        <f>HYPERLINK("https://stackoverflow.com/q/59625264", "59625264")</f>
        <v>59625264</v>
      </c>
      <c r="B2933" s="1" t="s">
        <v>7613</v>
      </c>
      <c r="C2933" s="1" t="s">
        <v>10747</v>
      </c>
      <c r="D2933" s="2" t="s">
        <v>10748</v>
      </c>
      <c r="E2933" s="1">
        <v>1.0</v>
      </c>
      <c r="I2933" s="1">
        <v>0.0</v>
      </c>
      <c r="J2933" s="1">
        <v>17.0</v>
      </c>
      <c r="L2933" s="1">
        <v>9359451.0</v>
      </c>
      <c r="N2933" s="1">
        <v>1379243.0</v>
      </c>
      <c r="P2933" s="1" t="s">
        <v>10749</v>
      </c>
      <c r="Q2933" s="1" t="s">
        <v>10749</v>
      </c>
      <c r="R2933" s="1" t="s">
        <v>10750</v>
      </c>
      <c r="S2933" s="1">
        <v>0.0</v>
      </c>
      <c r="T2933" s="1">
        <v>0.0</v>
      </c>
      <c r="X2933" s="1" t="s">
        <v>56</v>
      </c>
    </row>
    <row r="2934">
      <c r="A2934" s="3" t="str">
        <f>HYPERLINK("https://stackoverflow.com/q/59640223", "59640223")</f>
        <v>59640223</v>
      </c>
      <c r="B2934" s="1" t="s">
        <v>7613</v>
      </c>
      <c r="C2934" s="1" t="s">
        <v>10751</v>
      </c>
      <c r="D2934" s="2" t="s">
        <v>10752</v>
      </c>
      <c r="E2934" s="1">
        <v>1.0</v>
      </c>
      <c r="I2934" s="1">
        <v>0.0</v>
      </c>
      <c r="J2934" s="1">
        <v>355.0</v>
      </c>
      <c r="L2934" s="1">
        <v>8533906.0</v>
      </c>
      <c r="Q2934" s="1" t="s">
        <v>10753</v>
      </c>
      <c r="R2934" s="1" t="s">
        <v>10754</v>
      </c>
      <c r="S2934" s="1">
        <v>1.0</v>
      </c>
      <c r="T2934" s="1">
        <v>0.0</v>
      </c>
      <c r="X2934" s="1" t="s">
        <v>56</v>
      </c>
    </row>
    <row r="2935">
      <c r="A2935" s="3" t="str">
        <f>HYPERLINK("https://stackoverflow.com/q/59645309", "59645309")</f>
        <v>59645309</v>
      </c>
      <c r="B2935" s="1" t="s">
        <v>7613</v>
      </c>
      <c r="C2935" s="1" t="s">
        <v>10755</v>
      </c>
      <c r="D2935" s="2" t="s">
        <v>10756</v>
      </c>
      <c r="E2935" s="1">
        <v>1.0</v>
      </c>
      <c r="I2935" s="1">
        <v>0.0</v>
      </c>
      <c r="J2935" s="1">
        <v>16.0</v>
      </c>
      <c r="L2935" s="1">
        <v>1.1101438E7</v>
      </c>
      <c r="Q2935" s="1" t="s">
        <v>10755</v>
      </c>
      <c r="R2935" s="1" t="s">
        <v>10757</v>
      </c>
      <c r="S2935" s="1">
        <v>0.0</v>
      </c>
      <c r="T2935" s="1">
        <v>1.0</v>
      </c>
      <c r="X2935" s="1" t="s">
        <v>56</v>
      </c>
    </row>
    <row r="2936">
      <c r="A2936" s="3" t="str">
        <f>HYPERLINK("https://stackoverflow.com/q/59672677", "59672677")</f>
        <v>59672677</v>
      </c>
      <c r="B2936" s="1" t="s">
        <v>7613</v>
      </c>
      <c r="C2936" s="1" t="s">
        <v>10758</v>
      </c>
      <c r="D2936" s="2" t="s">
        <v>10759</v>
      </c>
      <c r="E2936" s="1">
        <v>1.0</v>
      </c>
      <c r="I2936" s="1">
        <v>0.0</v>
      </c>
      <c r="J2936" s="1">
        <v>63.0</v>
      </c>
      <c r="L2936" s="1">
        <v>1.090142E7</v>
      </c>
      <c r="Q2936" s="1" t="s">
        <v>10760</v>
      </c>
      <c r="R2936" s="1" t="s">
        <v>8321</v>
      </c>
      <c r="S2936" s="1">
        <v>1.0</v>
      </c>
      <c r="T2936" s="1">
        <v>1.0</v>
      </c>
      <c r="X2936" s="1" t="s">
        <v>56</v>
      </c>
    </row>
    <row r="2937">
      <c r="A2937" s="3" t="str">
        <f>HYPERLINK("https://stackoverflow.com/q/59704836", "59704836")</f>
        <v>59704836</v>
      </c>
      <c r="B2937" s="1" t="s">
        <v>7613</v>
      </c>
      <c r="C2937" s="1" t="s">
        <v>10761</v>
      </c>
      <c r="D2937" s="2" t="s">
        <v>10762</v>
      </c>
      <c r="E2937" s="1">
        <v>1.0</v>
      </c>
      <c r="I2937" s="1">
        <v>0.0</v>
      </c>
      <c r="J2937" s="1">
        <v>20.0</v>
      </c>
      <c r="L2937" s="1">
        <v>2120800.0</v>
      </c>
      <c r="Q2937" s="1" t="s">
        <v>10761</v>
      </c>
      <c r="R2937" s="1" t="s">
        <v>9446</v>
      </c>
      <c r="S2937" s="1">
        <v>0.0</v>
      </c>
      <c r="T2937" s="1">
        <v>0.0</v>
      </c>
      <c r="X2937" s="1" t="s">
        <v>56</v>
      </c>
    </row>
    <row r="2938">
      <c r="A2938" s="3" t="str">
        <f>HYPERLINK("https://stackoverflow.com/q/59717333", "59717333")</f>
        <v>59717333</v>
      </c>
      <c r="B2938" s="1" t="s">
        <v>7613</v>
      </c>
      <c r="C2938" s="1" t="s">
        <v>10763</v>
      </c>
      <c r="D2938" s="2" t="s">
        <v>10764</v>
      </c>
      <c r="E2938" s="1">
        <v>1.0</v>
      </c>
      <c r="I2938" s="1">
        <v>0.0</v>
      </c>
      <c r="J2938" s="1">
        <v>66.0</v>
      </c>
      <c r="L2938" s="1">
        <v>1.2703324E7</v>
      </c>
      <c r="N2938" s="1">
        <v>1.2703324E7</v>
      </c>
      <c r="P2938" s="1" t="s">
        <v>10765</v>
      </c>
      <c r="Q2938" s="1" t="s">
        <v>10765</v>
      </c>
      <c r="R2938" s="1" t="s">
        <v>10766</v>
      </c>
      <c r="S2938" s="1">
        <v>0.0</v>
      </c>
      <c r="T2938" s="1">
        <v>2.0</v>
      </c>
      <c r="X2938" s="1" t="s">
        <v>56</v>
      </c>
    </row>
    <row r="2939">
      <c r="A2939" s="3" t="str">
        <f>HYPERLINK("https://stackoverflow.com/q/59722652", "59722652")</f>
        <v>59722652</v>
      </c>
      <c r="B2939" s="1" t="s">
        <v>7613</v>
      </c>
      <c r="C2939" s="1" t="s">
        <v>10767</v>
      </c>
      <c r="D2939" s="2" t="s">
        <v>10768</v>
      </c>
      <c r="E2939" s="1">
        <v>1.0</v>
      </c>
      <c r="I2939" s="1">
        <v>1.0</v>
      </c>
      <c r="J2939" s="1">
        <v>35.0</v>
      </c>
      <c r="L2939" s="1">
        <v>1935898.0</v>
      </c>
      <c r="Q2939" s="1" t="s">
        <v>10767</v>
      </c>
      <c r="R2939" s="1" t="s">
        <v>10769</v>
      </c>
      <c r="S2939" s="1">
        <v>0.0</v>
      </c>
      <c r="T2939" s="1">
        <v>0.0</v>
      </c>
      <c r="X2939" s="1" t="s">
        <v>56</v>
      </c>
    </row>
    <row r="2940">
      <c r="A2940" s="3" t="str">
        <f>HYPERLINK("https://stackoverflow.com/q/59729377", "59729377")</f>
        <v>59729377</v>
      </c>
      <c r="B2940" s="1" t="s">
        <v>7613</v>
      </c>
      <c r="C2940" s="1" t="s">
        <v>10770</v>
      </c>
      <c r="D2940" s="2" t="s">
        <v>10771</v>
      </c>
      <c r="E2940" s="1">
        <v>1.0</v>
      </c>
      <c r="I2940" s="1">
        <v>0.0</v>
      </c>
      <c r="J2940" s="1">
        <v>15.0</v>
      </c>
      <c r="L2940" s="1">
        <v>4528064.0</v>
      </c>
      <c r="N2940" s="1">
        <v>1981088.0</v>
      </c>
      <c r="P2940" s="1" t="s">
        <v>10772</v>
      </c>
      <c r="Q2940" s="1" t="s">
        <v>10772</v>
      </c>
      <c r="R2940" s="1" t="s">
        <v>9460</v>
      </c>
      <c r="S2940" s="1">
        <v>0.0</v>
      </c>
      <c r="T2940" s="1">
        <v>1.0</v>
      </c>
      <c r="X2940" s="1" t="s">
        <v>56</v>
      </c>
    </row>
    <row r="2941">
      <c r="A2941" s="3" t="str">
        <f>HYPERLINK("https://stackoverflow.com/q/59730158", "59730158")</f>
        <v>59730158</v>
      </c>
      <c r="B2941" s="1" t="s">
        <v>7613</v>
      </c>
      <c r="C2941" s="1" t="s">
        <v>10773</v>
      </c>
      <c r="D2941" s="2" t="s">
        <v>10774</v>
      </c>
      <c r="E2941" s="1">
        <v>1.0</v>
      </c>
      <c r="I2941" s="1">
        <v>0.0</v>
      </c>
      <c r="J2941" s="1">
        <v>32.0</v>
      </c>
      <c r="L2941" s="1">
        <v>1.2708593E7</v>
      </c>
      <c r="N2941" s="1">
        <v>7606764.0</v>
      </c>
      <c r="P2941" s="1" t="s">
        <v>10775</v>
      </c>
      <c r="Q2941" s="1" t="s">
        <v>10775</v>
      </c>
      <c r="R2941" s="1" t="s">
        <v>8412</v>
      </c>
      <c r="S2941" s="1">
        <v>0.0</v>
      </c>
      <c r="T2941" s="1">
        <v>0.0</v>
      </c>
      <c r="X2941" s="1" t="s">
        <v>56</v>
      </c>
    </row>
    <row r="2942">
      <c r="A2942" s="3" t="str">
        <f>HYPERLINK("https://stackoverflow.com/q/59771209", "59771209")</f>
        <v>59771209</v>
      </c>
      <c r="B2942" s="1" t="s">
        <v>7613</v>
      </c>
      <c r="C2942" s="1" t="s">
        <v>10776</v>
      </c>
      <c r="D2942" s="2" t="s">
        <v>10777</v>
      </c>
      <c r="E2942" s="1">
        <v>1.0</v>
      </c>
      <c r="I2942" s="1">
        <v>0.0</v>
      </c>
      <c r="J2942" s="1">
        <v>13.0</v>
      </c>
      <c r="L2942" s="1">
        <v>1.2725061E7</v>
      </c>
      <c r="Q2942" s="1" t="s">
        <v>10778</v>
      </c>
      <c r="R2942" s="1" t="s">
        <v>10779</v>
      </c>
      <c r="S2942" s="1">
        <v>1.0</v>
      </c>
      <c r="T2942" s="1">
        <v>0.0</v>
      </c>
      <c r="X2942" s="1" t="s">
        <v>56</v>
      </c>
    </row>
    <row r="2943">
      <c r="A2943" s="3" t="str">
        <f>HYPERLINK("https://stackoverflow.com/q/59771214", "59771214")</f>
        <v>59771214</v>
      </c>
      <c r="B2943" s="1" t="s">
        <v>7613</v>
      </c>
      <c r="C2943" s="1" t="s">
        <v>10780</v>
      </c>
      <c r="D2943" s="2" t="s">
        <v>10781</v>
      </c>
      <c r="E2943" s="1">
        <v>1.0</v>
      </c>
      <c r="F2943" s="1">
        <v>5.9781532E7</v>
      </c>
      <c r="I2943" s="1">
        <v>0.0</v>
      </c>
      <c r="J2943" s="1">
        <v>52.0</v>
      </c>
      <c r="L2943" s="1">
        <v>6361618.0</v>
      </c>
      <c r="Q2943" s="1" t="s">
        <v>10782</v>
      </c>
      <c r="R2943" s="1" t="s">
        <v>9655</v>
      </c>
      <c r="S2943" s="1">
        <v>1.0</v>
      </c>
      <c r="T2943" s="1">
        <v>2.0</v>
      </c>
      <c r="X2943" s="1" t="s">
        <v>56</v>
      </c>
      <c r="Z2943" s="1" t="s">
        <v>10782</v>
      </c>
    </row>
    <row r="2944">
      <c r="A2944" s="3" t="str">
        <f>HYPERLINK("https://stackoverflow.com/q/59784776", "59784776")</f>
        <v>59784776</v>
      </c>
      <c r="B2944" s="1" t="s">
        <v>7613</v>
      </c>
      <c r="C2944" s="1" t="s">
        <v>10783</v>
      </c>
      <c r="D2944" s="2" t="s">
        <v>10784</v>
      </c>
      <c r="E2944" s="1">
        <v>1.0</v>
      </c>
      <c r="I2944" s="1">
        <v>0.0</v>
      </c>
      <c r="J2944" s="1">
        <v>14.0</v>
      </c>
      <c r="L2944" s="1">
        <v>1.0878253E7</v>
      </c>
      <c r="Q2944" s="1" t="s">
        <v>10783</v>
      </c>
      <c r="R2944" s="1" t="s">
        <v>9820</v>
      </c>
      <c r="S2944" s="1">
        <v>0.0</v>
      </c>
      <c r="T2944" s="1">
        <v>0.0</v>
      </c>
      <c r="X2944" s="1" t="s">
        <v>56</v>
      </c>
    </row>
    <row r="2945">
      <c r="A2945" s="3" t="str">
        <f>HYPERLINK("https://stackoverflow.com/q/59794418", "59794418")</f>
        <v>59794418</v>
      </c>
      <c r="B2945" s="1" t="s">
        <v>7613</v>
      </c>
      <c r="C2945" s="1" t="s">
        <v>10785</v>
      </c>
      <c r="D2945" s="2" t="s">
        <v>10786</v>
      </c>
      <c r="E2945" s="1">
        <v>1.0</v>
      </c>
      <c r="I2945" s="1">
        <v>0.0</v>
      </c>
      <c r="J2945" s="1">
        <v>9.0</v>
      </c>
      <c r="L2945" s="1">
        <v>2698249.0</v>
      </c>
      <c r="Q2945" s="1" t="s">
        <v>10785</v>
      </c>
      <c r="R2945" s="1" t="s">
        <v>8321</v>
      </c>
      <c r="S2945" s="1">
        <v>0.0</v>
      </c>
      <c r="T2945" s="1">
        <v>0.0</v>
      </c>
      <c r="X2945" s="1" t="s">
        <v>56</v>
      </c>
    </row>
    <row r="2946">
      <c r="A2946" s="3" t="str">
        <f>HYPERLINK("https://stackoverflow.com/q/59833955", "59833955")</f>
        <v>59833955</v>
      </c>
      <c r="B2946" s="1" t="s">
        <v>7613</v>
      </c>
      <c r="C2946" s="1" t="s">
        <v>10787</v>
      </c>
      <c r="D2946" s="2" t="s">
        <v>10788</v>
      </c>
      <c r="E2946" s="1">
        <v>1.0</v>
      </c>
      <c r="I2946" s="1">
        <v>0.0</v>
      </c>
      <c r="J2946" s="1">
        <v>19.0</v>
      </c>
      <c r="L2946" s="1">
        <v>2698249.0</v>
      </c>
      <c r="Q2946" s="1" t="s">
        <v>10787</v>
      </c>
      <c r="R2946" s="1" t="s">
        <v>8321</v>
      </c>
      <c r="S2946" s="1">
        <v>0.0</v>
      </c>
      <c r="T2946" s="1">
        <v>0.0</v>
      </c>
      <c r="X2946" s="1" t="s">
        <v>56</v>
      </c>
    </row>
    <row r="2947">
      <c r="A2947" s="3" t="str">
        <f>HYPERLINK("https://stackoverflow.com/q/59854316", "59854316")</f>
        <v>59854316</v>
      </c>
      <c r="B2947" s="1" t="s">
        <v>7613</v>
      </c>
      <c r="C2947" s="1" t="s">
        <v>10789</v>
      </c>
      <c r="D2947" s="2" t="s">
        <v>10790</v>
      </c>
      <c r="E2947" s="1">
        <v>1.0</v>
      </c>
      <c r="I2947" s="1">
        <v>0.0</v>
      </c>
      <c r="J2947" s="1">
        <v>49.0</v>
      </c>
      <c r="L2947" s="1">
        <v>1.2543721E7</v>
      </c>
      <c r="N2947" s="1">
        <v>7606764.0</v>
      </c>
      <c r="P2947" s="1" t="s">
        <v>10791</v>
      </c>
      <c r="Q2947" s="1" t="s">
        <v>10791</v>
      </c>
      <c r="R2947" s="1" t="s">
        <v>10792</v>
      </c>
      <c r="S2947" s="1">
        <v>0.0</v>
      </c>
      <c r="T2947" s="1">
        <v>0.0</v>
      </c>
      <c r="X2947" s="1" t="s">
        <v>56</v>
      </c>
    </row>
    <row r="2948">
      <c r="A2948" s="3" t="str">
        <f>HYPERLINK("https://stackoverflow.com/q/59857501", "59857501")</f>
        <v>59857501</v>
      </c>
      <c r="B2948" s="1" t="s">
        <v>7613</v>
      </c>
      <c r="C2948" s="1" t="s">
        <v>10793</v>
      </c>
      <c r="D2948" s="2" t="s">
        <v>10794</v>
      </c>
      <c r="E2948" s="1">
        <v>1.0</v>
      </c>
      <c r="I2948" s="1">
        <v>0.0</v>
      </c>
      <c r="J2948" s="1">
        <v>9.0</v>
      </c>
      <c r="L2948" s="1">
        <v>1.1101438E7</v>
      </c>
      <c r="Q2948" s="1" t="s">
        <v>10793</v>
      </c>
      <c r="R2948" s="1" t="s">
        <v>10795</v>
      </c>
      <c r="S2948" s="1">
        <v>0.0</v>
      </c>
      <c r="T2948" s="1">
        <v>0.0</v>
      </c>
      <c r="X2948" s="1" t="s">
        <v>56</v>
      </c>
    </row>
    <row r="2949">
      <c r="A2949" s="3" t="str">
        <f>HYPERLINK("https://stackoverflow.com/q/59869329", "59869329")</f>
        <v>59869329</v>
      </c>
      <c r="B2949" s="1" t="s">
        <v>7613</v>
      </c>
      <c r="C2949" s="1" t="s">
        <v>10796</v>
      </c>
      <c r="D2949" s="2" t="s">
        <v>10797</v>
      </c>
      <c r="E2949" s="1">
        <v>1.0</v>
      </c>
      <c r="I2949" s="1">
        <v>0.0</v>
      </c>
      <c r="J2949" s="1">
        <v>10.0</v>
      </c>
      <c r="L2949" s="1">
        <v>1401133.0</v>
      </c>
      <c r="Q2949" s="1" t="s">
        <v>10796</v>
      </c>
      <c r="R2949" s="1" t="s">
        <v>8321</v>
      </c>
      <c r="S2949" s="1">
        <v>0.0</v>
      </c>
      <c r="T2949" s="1">
        <v>0.0</v>
      </c>
      <c r="X2949" s="1" t="s">
        <v>56</v>
      </c>
    </row>
    <row r="2950">
      <c r="A2950" s="3" t="str">
        <f>HYPERLINK("https://stackoverflow.com/q/59880170", "59880170")</f>
        <v>59880170</v>
      </c>
      <c r="B2950" s="1" t="s">
        <v>7613</v>
      </c>
      <c r="C2950" s="1" t="s">
        <v>10798</v>
      </c>
      <c r="D2950" s="2" t="s">
        <v>10799</v>
      </c>
      <c r="E2950" s="1">
        <v>1.0</v>
      </c>
      <c r="I2950" s="1">
        <v>0.0</v>
      </c>
      <c r="J2950" s="1">
        <v>12.0</v>
      </c>
      <c r="L2950" s="1">
        <v>4295994.0</v>
      </c>
      <c r="Q2950" s="1" t="s">
        <v>10798</v>
      </c>
      <c r="R2950" s="1" t="s">
        <v>8321</v>
      </c>
      <c r="S2950" s="1">
        <v>0.0</v>
      </c>
      <c r="T2950" s="1">
        <v>0.0</v>
      </c>
      <c r="X2950" s="1" t="s">
        <v>56</v>
      </c>
    </row>
    <row r="2951">
      <c r="A2951" s="3" t="str">
        <f>HYPERLINK("https://stackoverflow.com/q/59881776", "59881776")</f>
        <v>59881776</v>
      </c>
      <c r="B2951" s="1" t="s">
        <v>7613</v>
      </c>
      <c r="C2951" s="1" t="s">
        <v>10800</v>
      </c>
      <c r="D2951" s="2" t="s">
        <v>10801</v>
      </c>
      <c r="E2951" s="1">
        <v>1.0</v>
      </c>
      <c r="I2951" s="1">
        <v>0.0</v>
      </c>
      <c r="J2951" s="1">
        <v>10.0</v>
      </c>
      <c r="L2951" s="1">
        <v>7592863.0</v>
      </c>
      <c r="Q2951" s="1" t="s">
        <v>10800</v>
      </c>
      <c r="R2951" s="1" t="s">
        <v>9472</v>
      </c>
      <c r="S2951" s="1">
        <v>0.0</v>
      </c>
      <c r="T2951" s="1">
        <v>0.0</v>
      </c>
      <c r="X2951" s="1" t="s">
        <v>56</v>
      </c>
    </row>
    <row r="2952">
      <c r="A2952" s="3" t="str">
        <f>HYPERLINK("https://stackoverflow.com/q/59897345", "59897345")</f>
        <v>59897345</v>
      </c>
      <c r="B2952" s="1" t="s">
        <v>7613</v>
      </c>
      <c r="C2952" s="1" t="s">
        <v>10802</v>
      </c>
      <c r="D2952" s="2" t="s">
        <v>10803</v>
      </c>
      <c r="E2952" s="1">
        <v>1.0</v>
      </c>
      <c r="F2952" s="1">
        <v>5.9947111E7</v>
      </c>
      <c r="I2952" s="1">
        <v>1.0</v>
      </c>
      <c r="J2952" s="1">
        <v>352.0</v>
      </c>
      <c r="L2952" s="1">
        <v>1.177011E7</v>
      </c>
      <c r="Q2952" s="1" t="s">
        <v>10804</v>
      </c>
      <c r="R2952" s="1" t="s">
        <v>10805</v>
      </c>
      <c r="S2952" s="1">
        <v>1.0</v>
      </c>
      <c r="T2952" s="1">
        <v>0.0</v>
      </c>
      <c r="X2952" s="1" t="s">
        <v>56</v>
      </c>
      <c r="Z2952" s="1" t="s">
        <v>10804</v>
      </c>
    </row>
    <row r="2953">
      <c r="A2953" s="3" t="str">
        <f>HYPERLINK("https://stackoverflow.com/q/59926810", "59926810")</f>
        <v>59926810</v>
      </c>
      <c r="B2953" s="1" t="s">
        <v>7613</v>
      </c>
      <c r="C2953" s="1" t="s">
        <v>10806</v>
      </c>
      <c r="D2953" s="2" t="s">
        <v>10807</v>
      </c>
      <c r="E2953" s="1">
        <v>1.0</v>
      </c>
      <c r="I2953" s="1">
        <v>0.0</v>
      </c>
      <c r="J2953" s="1">
        <v>11.0</v>
      </c>
      <c r="L2953" s="1">
        <v>1.2256651E7</v>
      </c>
      <c r="Q2953" s="1" t="s">
        <v>10806</v>
      </c>
      <c r="R2953" s="1" t="s">
        <v>10808</v>
      </c>
      <c r="S2953" s="1">
        <v>0.0</v>
      </c>
      <c r="T2953" s="1">
        <v>1.0</v>
      </c>
      <c r="X2953" s="1" t="s">
        <v>56</v>
      </c>
    </row>
    <row r="2954">
      <c r="A2954" s="3" t="str">
        <f>HYPERLINK("https://stackoverflow.com/q/59929281", "59929281")</f>
        <v>59929281</v>
      </c>
      <c r="B2954" s="1" t="s">
        <v>7613</v>
      </c>
      <c r="C2954" s="1" t="s">
        <v>10809</v>
      </c>
      <c r="D2954" s="2" t="s">
        <v>10810</v>
      </c>
      <c r="E2954" s="1">
        <v>1.0</v>
      </c>
      <c r="I2954" s="1">
        <v>0.0</v>
      </c>
      <c r="J2954" s="1">
        <v>28.0</v>
      </c>
      <c r="L2954" s="1">
        <v>4614707.0</v>
      </c>
      <c r="Q2954" s="1" t="s">
        <v>10811</v>
      </c>
      <c r="R2954" s="1" t="s">
        <v>8321</v>
      </c>
      <c r="S2954" s="1">
        <v>1.0</v>
      </c>
      <c r="T2954" s="1">
        <v>0.0</v>
      </c>
      <c r="X2954" s="1" t="s">
        <v>56</v>
      </c>
    </row>
    <row r="2955">
      <c r="A2955" s="3" t="str">
        <f>HYPERLINK("https://stackoverflow.com/q/59932262", "59932262")</f>
        <v>59932262</v>
      </c>
      <c r="B2955" s="1" t="s">
        <v>7613</v>
      </c>
      <c r="C2955" s="1" t="s">
        <v>10812</v>
      </c>
      <c r="D2955" s="2" t="s">
        <v>10813</v>
      </c>
      <c r="E2955" s="1">
        <v>1.0</v>
      </c>
      <c r="I2955" s="1">
        <v>0.0</v>
      </c>
      <c r="J2955" s="1">
        <v>172.0</v>
      </c>
      <c r="L2955" s="1">
        <v>1.2791651E7</v>
      </c>
      <c r="Q2955" s="1" t="s">
        <v>10814</v>
      </c>
      <c r="R2955" s="1" t="s">
        <v>10815</v>
      </c>
      <c r="S2955" s="1">
        <v>1.0</v>
      </c>
      <c r="T2955" s="1">
        <v>0.0</v>
      </c>
      <c r="X2955" s="1" t="s">
        <v>56</v>
      </c>
    </row>
    <row r="2956">
      <c r="A2956" s="3" t="str">
        <f>HYPERLINK("https://stackoverflow.com/q/59943554", "59943554")</f>
        <v>59943554</v>
      </c>
      <c r="B2956" s="1" t="s">
        <v>7613</v>
      </c>
      <c r="C2956" s="1" t="s">
        <v>10816</v>
      </c>
      <c r="D2956" s="2" t="s">
        <v>10817</v>
      </c>
      <c r="E2956" s="1">
        <v>1.0</v>
      </c>
      <c r="I2956" s="1">
        <v>0.0</v>
      </c>
      <c r="J2956" s="1">
        <v>86.0</v>
      </c>
      <c r="L2956" s="1">
        <v>1.2766545E7</v>
      </c>
      <c r="N2956" s="1">
        <v>1.2766545E7</v>
      </c>
      <c r="P2956" s="1" t="s">
        <v>10818</v>
      </c>
      <c r="Q2956" s="1" t="s">
        <v>10819</v>
      </c>
      <c r="R2956" s="1" t="s">
        <v>9527</v>
      </c>
      <c r="S2956" s="1">
        <v>1.0</v>
      </c>
      <c r="T2956" s="1">
        <v>2.0</v>
      </c>
      <c r="X2956" s="1" t="s">
        <v>56</v>
      </c>
    </row>
    <row r="2957">
      <c r="A2957" s="3" t="str">
        <f>HYPERLINK("https://stackoverflow.com/q/59962143", "59962143")</f>
        <v>59962143</v>
      </c>
      <c r="B2957" s="1" t="s">
        <v>7613</v>
      </c>
      <c r="C2957" s="1" t="s">
        <v>10820</v>
      </c>
      <c r="D2957" s="2" t="s">
        <v>10821</v>
      </c>
      <c r="E2957" s="1">
        <v>1.0</v>
      </c>
      <c r="I2957" s="1">
        <v>0.0</v>
      </c>
      <c r="J2957" s="1">
        <v>119.0</v>
      </c>
      <c r="L2957" s="1">
        <v>1.0190695E7</v>
      </c>
      <c r="Q2957" s="1" t="s">
        <v>10822</v>
      </c>
      <c r="R2957" s="1" t="s">
        <v>10306</v>
      </c>
      <c r="S2957" s="1">
        <v>1.0</v>
      </c>
      <c r="T2957" s="1">
        <v>3.0</v>
      </c>
      <c r="X2957" s="1" t="s">
        <v>56</v>
      </c>
    </row>
    <row r="2958">
      <c r="A2958" s="3" t="str">
        <f>HYPERLINK("https://stackoverflow.com/q/59965143", "59965143")</f>
        <v>59965143</v>
      </c>
      <c r="B2958" s="1" t="s">
        <v>7613</v>
      </c>
      <c r="C2958" s="1" t="s">
        <v>10823</v>
      </c>
      <c r="D2958" s="2" t="s">
        <v>10824</v>
      </c>
      <c r="E2958" s="1">
        <v>1.0</v>
      </c>
      <c r="I2958" s="1">
        <v>0.0</v>
      </c>
      <c r="J2958" s="1">
        <v>33.0</v>
      </c>
      <c r="L2958" s="1">
        <v>1.2766545E7</v>
      </c>
      <c r="Q2958" s="1" t="s">
        <v>10823</v>
      </c>
      <c r="R2958" s="1" t="s">
        <v>9527</v>
      </c>
      <c r="S2958" s="1">
        <v>0.0</v>
      </c>
      <c r="T2958" s="1">
        <v>0.0</v>
      </c>
      <c r="X2958" s="1" t="s">
        <v>56</v>
      </c>
    </row>
    <row r="2959">
      <c r="A2959" s="3" t="str">
        <f>HYPERLINK("https://stackoverflow.com/q/59979336", "59979336")</f>
        <v>59979336</v>
      </c>
      <c r="B2959" s="1" t="s">
        <v>7613</v>
      </c>
      <c r="C2959" s="1" t="s">
        <v>10825</v>
      </c>
      <c r="D2959" s="2" t="s">
        <v>10826</v>
      </c>
      <c r="E2959" s="1">
        <v>1.0</v>
      </c>
      <c r="I2959" s="1">
        <v>0.0</v>
      </c>
      <c r="J2959" s="1">
        <v>58.0</v>
      </c>
      <c r="L2959" s="1">
        <v>9821597.0</v>
      </c>
      <c r="Q2959" s="1" t="s">
        <v>10827</v>
      </c>
      <c r="R2959" s="1" t="s">
        <v>8774</v>
      </c>
      <c r="S2959" s="1">
        <v>1.0</v>
      </c>
      <c r="T2959" s="1">
        <v>0.0</v>
      </c>
      <c r="X2959" s="1" t="s">
        <v>56</v>
      </c>
    </row>
    <row r="2960">
      <c r="A2960" s="3" t="str">
        <f>HYPERLINK("https://stackoverflow.com/q/59979487", "59979487")</f>
        <v>59979487</v>
      </c>
      <c r="B2960" s="1" t="s">
        <v>7613</v>
      </c>
      <c r="C2960" s="1" t="s">
        <v>10828</v>
      </c>
      <c r="D2960" s="2" t="s">
        <v>10829</v>
      </c>
      <c r="E2960" s="1">
        <v>1.0</v>
      </c>
      <c r="I2960" s="1">
        <v>0.0</v>
      </c>
      <c r="J2960" s="1">
        <v>22.0</v>
      </c>
      <c r="L2960" s="1">
        <v>6935413.0</v>
      </c>
      <c r="Q2960" s="1" t="s">
        <v>10828</v>
      </c>
      <c r="R2960" s="1" t="s">
        <v>10830</v>
      </c>
      <c r="S2960" s="1">
        <v>0.0</v>
      </c>
      <c r="T2960" s="1">
        <v>3.0</v>
      </c>
      <c r="U2960" s="1">
        <v>1.0</v>
      </c>
      <c r="X2960" s="1" t="s">
        <v>56</v>
      </c>
    </row>
    <row r="2961">
      <c r="A2961" s="3" t="str">
        <f>HYPERLINK("https://stackoverflow.com/q/60005599", "60005599")</f>
        <v>60005599</v>
      </c>
      <c r="B2961" s="1" t="s">
        <v>7613</v>
      </c>
      <c r="C2961" s="1" t="s">
        <v>10831</v>
      </c>
      <c r="D2961" s="2" t="s">
        <v>10832</v>
      </c>
      <c r="E2961" s="1">
        <v>1.0</v>
      </c>
      <c r="I2961" s="1">
        <v>0.0</v>
      </c>
      <c r="J2961" s="1">
        <v>13.0</v>
      </c>
      <c r="L2961" s="1">
        <v>7550921.0</v>
      </c>
      <c r="Q2961" s="1" t="s">
        <v>10831</v>
      </c>
      <c r="R2961" s="1" t="s">
        <v>10833</v>
      </c>
      <c r="S2961" s="1">
        <v>0.0</v>
      </c>
      <c r="T2961" s="1">
        <v>0.0</v>
      </c>
      <c r="X2961" s="1" t="s">
        <v>56</v>
      </c>
    </row>
    <row r="2962">
      <c r="A2962" s="3" t="str">
        <f>HYPERLINK("https://stackoverflow.com/q/60044307", "60044307")</f>
        <v>60044307</v>
      </c>
      <c r="B2962" s="1" t="s">
        <v>7613</v>
      </c>
      <c r="C2962" s="1" t="s">
        <v>10834</v>
      </c>
      <c r="D2962" s="2" t="s">
        <v>10835</v>
      </c>
      <c r="E2962" s="1">
        <v>1.0</v>
      </c>
      <c r="I2962" s="1">
        <v>1.0</v>
      </c>
      <c r="J2962" s="1">
        <v>64.0</v>
      </c>
      <c r="L2962" s="1">
        <v>428073.0</v>
      </c>
      <c r="N2962" s="1">
        <v>1.2473216E7</v>
      </c>
      <c r="P2962" s="1" t="s">
        <v>10836</v>
      </c>
      <c r="Q2962" s="1" t="s">
        <v>10836</v>
      </c>
      <c r="R2962" s="1" t="s">
        <v>10837</v>
      </c>
      <c r="S2962" s="1">
        <v>0.0</v>
      </c>
      <c r="T2962" s="1">
        <v>1.0</v>
      </c>
      <c r="U2962" s="1">
        <v>1.0</v>
      </c>
      <c r="X2962" s="1" t="s">
        <v>56</v>
      </c>
    </row>
    <row r="2963">
      <c r="A2963" s="3" t="str">
        <f>HYPERLINK("https://stackoverflow.com/q/60153052", "60153052")</f>
        <v>60153052</v>
      </c>
      <c r="B2963" s="1" t="s">
        <v>7613</v>
      </c>
      <c r="C2963" s="1" t="s">
        <v>10838</v>
      </c>
      <c r="D2963" s="2" t="s">
        <v>10839</v>
      </c>
      <c r="E2963" s="1">
        <v>1.0</v>
      </c>
      <c r="I2963" s="1">
        <v>0.0</v>
      </c>
      <c r="J2963" s="1">
        <v>33.0</v>
      </c>
      <c r="L2963" s="1">
        <v>7548477.0</v>
      </c>
      <c r="Q2963" s="1" t="s">
        <v>10838</v>
      </c>
      <c r="R2963" s="1" t="s">
        <v>10840</v>
      </c>
      <c r="S2963" s="1">
        <v>0.0</v>
      </c>
      <c r="T2963" s="1">
        <v>0.0</v>
      </c>
      <c r="X2963" s="1" t="s">
        <v>56</v>
      </c>
    </row>
    <row r="2964">
      <c r="A2964" s="3" t="str">
        <f>HYPERLINK("https://stackoverflow.com/q/60155095", "60155095")</f>
        <v>60155095</v>
      </c>
      <c r="B2964" s="1" t="s">
        <v>7613</v>
      </c>
      <c r="C2964" s="1" t="s">
        <v>10841</v>
      </c>
      <c r="D2964" s="2" t="s">
        <v>10842</v>
      </c>
      <c r="E2964" s="1">
        <v>1.0</v>
      </c>
      <c r="I2964" s="1">
        <v>0.0</v>
      </c>
      <c r="J2964" s="1">
        <v>18.0</v>
      </c>
      <c r="L2964" s="1">
        <v>1.2873822E7</v>
      </c>
      <c r="N2964" s="1">
        <v>1.0686048E7</v>
      </c>
      <c r="P2964" s="1" t="s">
        <v>10843</v>
      </c>
      <c r="Q2964" s="1" t="s">
        <v>10843</v>
      </c>
      <c r="R2964" s="1" t="s">
        <v>8218</v>
      </c>
      <c r="S2964" s="1">
        <v>0.0</v>
      </c>
      <c r="T2964" s="1">
        <v>2.0</v>
      </c>
      <c r="X2964" s="1" t="s">
        <v>56</v>
      </c>
    </row>
    <row r="2965">
      <c r="A2965" s="3" t="str">
        <f>HYPERLINK("https://stackoverflow.com/q/60175980", "60175980")</f>
        <v>60175980</v>
      </c>
      <c r="B2965" s="1" t="s">
        <v>7613</v>
      </c>
      <c r="C2965" s="1" t="s">
        <v>10844</v>
      </c>
      <c r="D2965" s="2" t="s">
        <v>10845</v>
      </c>
      <c r="E2965" s="1">
        <v>1.0</v>
      </c>
      <c r="I2965" s="1">
        <v>0.0</v>
      </c>
      <c r="J2965" s="1">
        <v>146.0</v>
      </c>
      <c r="L2965" s="1">
        <v>4072552.0</v>
      </c>
      <c r="Q2965" s="1" t="s">
        <v>10844</v>
      </c>
      <c r="R2965" s="1" t="s">
        <v>8728</v>
      </c>
      <c r="S2965" s="1">
        <v>0.0</v>
      </c>
      <c r="T2965" s="1">
        <v>0.0</v>
      </c>
      <c r="X2965" s="1" t="s">
        <v>56</v>
      </c>
    </row>
    <row r="2966">
      <c r="A2966" s="3" t="str">
        <f>HYPERLINK("https://stackoverflow.com/q/60176349", "60176349")</f>
        <v>60176349</v>
      </c>
      <c r="B2966" s="1" t="s">
        <v>7613</v>
      </c>
      <c r="C2966" s="1" t="s">
        <v>10846</v>
      </c>
      <c r="D2966" s="2" t="s">
        <v>10847</v>
      </c>
      <c r="E2966" s="1">
        <v>1.0</v>
      </c>
      <c r="I2966" s="1">
        <v>0.0</v>
      </c>
      <c r="J2966" s="1">
        <v>7.0</v>
      </c>
      <c r="L2966" s="1">
        <v>1.2873401E7</v>
      </c>
      <c r="Q2966" s="1" t="s">
        <v>10846</v>
      </c>
      <c r="R2966" s="1" t="s">
        <v>10848</v>
      </c>
      <c r="S2966" s="1">
        <v>0.0</v>
      </c>
      <c r="T2966" s="1">
        <v>0.0</v>
      </c>
      <c r="X2966" s="1" t="s">
        <v>56</v>
      </c>
    </row>
    <row r="2967">
      <c r="A2967" s="3" t="str">
        <f>HYPERLINK("https://stackoverflow.com/q/60181728", "60181728")</f>
        <v>60181728</v>
      </c>
      <c r="B2967" s="1" t="s">
        <v>7613</v>
      </c>
      <c r="C2967" s="1" t="s">
        <v>10849</v>
      </c>
      <c r="D2967" s="2" t="s">
        <v>10850</v>
      </c>
      <c r="E2967" s="1">
        <v>1.0</v>
      </c>
      <c r="I2967" s="1">
        <v>0.0</v>
      </c>
      <c r="J2967" s="1">
        <v>24.0</v>
      </c>
      <c r="L2967" s="1">
        <v>3839441.0</v>
      </c>
      <c r="Q2967" s="1" t="s">
        <v>10851</v>
      </c>
      <c r="R2967" s="1" t="s">
        <v>8321</v>
      </c>
      <c r="S2967" s="1">
        <v>1.0</v>
      </c>
      <c r="T2967" s="1">
        <v>0.0</v>
      </c>
      <c r="X2967" s="1" t="s">
        <v>56</v>
      </c>
    </row>
    <row r="2968">
      <c r="A2968" s="3" t="str">
        <f>HYPERLINK("https://stackoverflow.com/q/60218411", "60218411")</f>
        <v>60218411</v>
      </c>
      <c r="B2968" s="1" t="s">
        <v>7613</v>
      </c>
      <c r="C2968" s="1" t="s">
        <v>10852</v>
      </c>
      <c r="D2968" s="2" t="s">
        <v>10853</v>
      </c>
      <c r="E2968" s="1">
        <v>1.0</v>
      </c>
      <c r="I2968" s="1">
        <v>0.0</v>
      </c>
      <c r="J2968" s="1">
        <v>15.0</v>
      </c>
      <c r="L2968" s="1">
        <v>1.289533E7</v>
      </c>
      <c r="Q2968" s="1" t="s">
        <v>10852</v>
      </c>
      <c r="R2968" s="1" t="s">
        <v>10182</v>
      </c>
      <c r="S2968" s="1">
        <v>0.0</v>
      </c>
      <c r="T2968" s="1">
        <v>0.0</v>
      </c>
      <c r="X2968" s="1" t="s">
        <v>56</v>
      </c>
    </row>
    <row r="2969">
      <c r="A2969" s="3" t="str">
        <f>HYPERLINK("https://stackoverflow.com/q/60230705", "60230705")</f>
        <v>60230705</v>
      </c>
      <c r="B2969" s="1" t="s">
        <v>7613</v>
      </c>
      <c r="C2969" s="1" t="s">
        <v>10854</v>
      </c>
      <c r="D2969" s="2" t="s">
        <v>10855</v>
      </c>
      <c r="E2969" s="1">
        <v>1.0</v>
      </c>
      <c r="I2969" s="1">
        <v>0.0</v>
      </c>
      <c r="J2969" s="1">
        <v>521.0</v>
      </c>
      <c r="L2969" s="1">
        <v>6065390.0</v>
      </c>
      <c r="N2969" s="1">
        <v>6065390.0</v>
      </c>
      <c r="P2969" s="1" t="s">
        <v>10856</v>
      </c>
      <c r="Q2969" s="1" t="s">
        <v>10856</v>
      </c>
      <c r="R2969" s="1" t="s">
        <v>10634</v>
      </c>
      <c r="S2969" s="1">
        <v>0.0</v>
      </c>
      <c r="T2969" s="1">
        <v>0.0</v>
      </c>
      <c r="X2969" s="1" t="s">
        <v>56</v>
      </c>
    </row>
    <row r="2970">
      <c r="A2970" s="3" t="str">
        <f>HYPERLINK("https://stackoverflow.com/q/60312818", "60312818")</f>
        <v>60312818</v>
      </c>
      <c r="B2970" s="1" t="s">
        <v>7613</v>
      </c>
      <c r="C2970" s="1" t="s">
        <v>10857</v>
      </c>
      <c r="D2970" s="2" t="s">
        <v>10858</v>
      </c>
      <c r="E2970" s="1">
        <v>1.0</v>
      </c>
      <c r="F2970" s="1">
        <v>6.0329478E7</v>
      </c>
      <c r="I2970" s="1">
        <v>0.0</v>
      </c>
      <c r="J2970" s="1">
        <v>47.0</v>
      </c>
      <c r="L2970" s="1">
        <v>1.2929601E7</v>
      </c>
      <c r="N2970" s="1">
        <v>1.2929601E7</v>
      </c>
      <c r="P2970" s="1" t="s">
        <v>10859</v>
      </c>
      <c r="Q2970" s="1" t="s">
        <v>10860</v>
      </c>
      <c r="R2970" s="1" t="s">
        <v>10861</v>
      </c>
      <c r="S2970" s="1">
        <v>1.0</v>
      </c>
      <c r="T2970" s="1">
        <v>0.0</v>
      </c>
      <c r="X2970" s="1" t="s">
        <v>56</v>
      </c>
      <c r="Z2970" s="1" t="s">
        <v>10860</v>
      </c>
    </row>
    <row r="2971">
      <c r="A2971" s="3" t="str">
        <f>HYPERLINK("https://stackoverflow.com/q/60348603", "60348603")</f>
        <v>60348603</v>
      </c>
      <c r="B2971" s="1" t="s">
        <v>7613</v>
      </c>
      <c r="C2971" s="1" t="s">
        <v>10862</v>
      </c>
      <c r="D2971" s="2" t="s">
        <v>10863</v>
      </c>
      <c r="E2971" s="1">
        <v>1.0</v>
      </c>
      <c r="I2971" s="1">
        <v>1.0</v>
      </c>
      <c r="J2971" s="1">
        <v>16.0</v>
      </c>
      <c r="L2971" s="1">
        <v>1.2941922E7</v>
      </c>
      <c r="Q2971" s="1" t="s">
        <v>10862</v>
      </c>
      <c r="R2971" s="1" t="s">
        <v>8728</v>
      </c>
      <c r="S2971" s="1">
        <v>0.0</v>
      </c>
      <c r="T2971" s="1">
        <v>0.0</v>
      </c>
      <c r="X2971" s="1" t="s">
        <v>56</v>
      </c>
    </row>
    <row r="2972">
      <c r="A2972" s="3" t="str">
        <f>HYPERLINK("https://stackoverflow.com/q/60357457", "60357457")</f>
        <v>60357457</v>
      </c>
      <c r="B2972" s="1" t="s">
        <v>7613</v>
      </c>
      <c r="C2972" s="1" t="s">
        <v>10864</v>
      </c>
      <c r="D2972" s="2" t="s">
        <v>10865</v>
      </c>
      <c r="E2972" s="1">
        <v>1.0</v>
      </c>
      <c r="I2972" s="1">
        <v>0.0</v>
      </c>
      <c r="J2972" s="1">
        <v>29.0</v>
      </c>
      <c r="L2972" s="1">
        <v>3826733.0</v>
      </c>
      <c r="Q2972" s="1" t="s">
        <v>10864</v>
      </c>
      <c r="R2972" s="1" t="s">
        <v>10667</v>
      </c>
      <c r="S2972" s="1">
        <v>0.0</v>
      </c>
      <c r="T2972" s="1">
        <v>0.0</v>
      </c>
      <c r="X2972" s="1" t="s">
        <v>56</v>
      </c>
    </row>
    <row r="2973">
      <c r="A2973" s="3" t="str">
        <f>HYPERLINK("https://stackoverflow.com/q/60361840", "60361840")</f>
        <v>60361840</v>
      </c>
      <c r="B2973" s="1" t="s">
        <v>7613</v>
      </c>
      <c r="C2973" s="1" t="s">
        <v>10866</v>
      </c>
      <c r="D2973" s="2" t="s">
        <v>10867</v>
      </c>
      <c r="E2973" s="1">
        <v>1.0</v>
      </c>
      <c r="I2973" s="1">
        <v>0.0</v>
      </c>
      <c r="J2973" s="1">
        <v>31.0</v>
      </c>
      <c r="L2973" s="1">
        <v>1.0238204E7</v>
      </c>
      <c r="Q2973" s="1" t="s">
        <v>10868</v>
      </c>
      <c r="R2973" s="1" t="s">
        <v>8910</v>
      </c>
      <c r="S2973" s="1">
        <v>1.0</v>
      </c>
      <c r="T2973" s="1">
        <v>0.0</v>
      </c>
      <c r="X2973" s="1" t="s">
        <v>56</v>
      </c>
    </row>
    <row r="2974">
      <c r="A2974" s="3" t="str">
        <f>HYPERLINK("https://stackoverflow.com/q/60366748", "60366748")</f>
        <v>60366748</v>
      </c>
      <c r="B2974" s="1" t="s">
        <v>7613</v>
      </c>
      <c r="C2974" s="1" t="s">
        <v>10869</v>
      </c>
      <c r="D2974" s="2" t="s">
        <v>10870</v>
      </c>
      <c r="E2974" s="1">
        <v>1.0</v>
      </c>
      <c r="I2974" s="1">
        <v>0.0</v>
      </c>
      <c r="J2974" s="1">
        <v>30.0</v>
      </c>
      <c r="L2974" s="1">
        <v>1.287489E7</v>
      </c>
      <c r="Q2974" s="1" t="s">
        <v>10869</v>
      </c>
      <c r="R2974" s="1" t="s">
        <v>10871</v>
      </c>
      <c r="S2974" s="1">
        <v>0.0</v>
      </c>
      <c r="T2974" s="1">
        <v>0.0</v>
      </c>
      <c r="X2974" s="1" t="s">
        <v>56</v>
      </c>
    </row>
    <row r="2975">
      <c r="A2975" s="3" t="str">
        <f>HYPERLINK("https://stackoverflow.com/q/60370378", "60370378")</f>
        <v>60370378</v>
      </c>
      <c r="B2975" s="1" t="s">
        <v>7613</v>
      </c>
      <c r="C2975" s="1" t="s">
        <v>10872</v>
      </c>
      <c r="D2975" s="2" t="s">
        <v>10873</v>
      </c>
      <c r="E2975" s="1">
        <v>1.0</v>
      </c>
      <c r="I2975" s="1">
        <v>0.0</v>
      </c>
      <c r="J2975" s="1">
        <v>32.0</v>
      </c>
      <c r="L2975" s="1">
        <v>1.2369096E7</v>
      </c>
      <c r="Q2975" s="1" t="s">
        <v>10874</v>
      </c>
      <c r="R2975" s="1" t="s">
        <v>10875</v>
      </c>
      <c r="S2975" s="1">
        <v>1.0</v>
      </c>
      <c r="T2975" s="1">
        <v>0.0</v>
      </c>
      <c r="X2975" s="1" t="s">
        <v>56</v>
      </c>
    </row>
    <row r="2976">
      <c r="A2976" s="3" t="str">
        <f>HYPERLINK("https://stackoverflow.com/q/60407965", "60407965")</f>
        <v>60407965</v>
      </c>
      <c r="B2976" s="1" t="s">
        <v>7613</v>
      </c>
      <c r="C2976" s="1" t="s">
        <v>10876</v>
      </c>
      <c r="D2976" s="2" t="s">
        <v>10877</v>
      </c>
      <c r="E2976" s="1">
        <v>1.0</v>
      </c>
      <c r="I2976" s="1">
        <v>0.0</v>
      </c>
      <c r="J2976" s="1">
        <v>21.0</v>
      </c>
      <c r="L2976" s="1">
        <v>1.2964289E7</v>
      </c>
      <c r="Q2976" s="1" t="s">
        <v>10878</v>
      </c>
      <c r="R2976" s="1" t="s">
        <v>10879</v>
      </c>
      <c r="S2976" s="1">
        <v>1.0</v>
      </c>
      <c r="T2976" s="1">
        <v>0.0</v>
      </c>
      <c r="X2976" s="1" t="s">
        <v>56</v>
      </c>
    </row>
    <row r="2977">
      <c r="A2977" s="3" t="str">
        <f>HYPERLINK("https://stackoverflow.com/q/60428312", "60428312")</f>
        <v>60428312</v>
      </c>
      <c r="B2977" s="1" t="s">
        <v>7613</v>
      </c>
      <c r="C2977" s="1" t="s">
        <v>10880</v>
      </c>
      <c r="D2977" s="2" t="s">
        <v>10881</v>
      </c>
      <c r="E2977" s="1">
        <v>1.0</v>
      </c>
      <c r="I2977" s="1">
        <v>0.0</v>
      </c>
      <c r="J2977" s="1">
        <v>21.0</v>
      </c>
      <c r="L2977" s="1">
        <v>1.2965249E7</v>
      </c>
      <c r="Q2977" s="1" t="s">
        <v>10880</v>
      </c>
      <c r="R2977" s="1" t="s">
        <v>10882</v>
      </c>
      <c r="S2977" s="1">
        <v>0.0</v>
      </c>
      <c r="T2977" s="1">
        <v>1.0</v>
      </c>
      <c r="X2977" s="1" t="s">
        <v>56</v>
      </c>
    </row>
    <row r="2978">
      <c r="A2978" s="3" t="str">
        <f>HYPERLINK("https://stackoverflow.com/q/60434306", "60434306")</f>
        <v>60434306</v>
      </c>
      <c r="B2978" s="1" t="s">
        <v>7613</v>
      </c>
      <c r="C2978" s="1" t="s">
        <v>10883</v>
      </c>
      <c r="D2978" s="2" t="s">
        <v>10884</v>
      </c>
      <c r="E2978" s="1">
        <v>1.0</v>
      </c>
      <c r="I2978" s="1">
        <v>0.0</v>
      </c>
      <c r="J2978" s="1">
        <v>29.0</v>
      </c>
      <c r="L2978" s="1">
        <v>1.2973423E7</v>
      </c>
      <c r="Q2978" s="1" t="s">
        <v>10885</v>
      </c>
      <c r="R2978" s="1" t="s">
        <v>10886</v>
      </c>
      <c r="S2978" s="1">
        <v>1.0</v>
      </c>
      <c r="T2978" s="1">
        <v>1.0</v>
      </c>
      <c r="X2978" s="1" t="s">
        <v>56</v>
      </c>
    </row>
    <row r="2979">
      <c r="A2979" s="3" t="str">
        <f>HYPERLINK("https://stackoverflow.com/q/60445843", "60445843")</f>
        <v>60445843</v>
      </c>
      <c r="B2979" s="1" t="s">
        <v>7613</v>
      </c>
      <c r="C2979" s="1" t="s">
        <v>10887</v>
      </c>
      <c r="D2979" s="2" t="s">
        <v>10888</v>
      </c>
      <c r="E2979" s="1">
        <v>1.0</v>
      </c>
      <c r="I2979" s="1">
        <v>0.0</v>
      </c>
      <c r="J2979" s="1">
        <v>21.0</v>
      </c>
      <c r="L2979" s="1">
        <v>1.2583254E7</v>
      </c>
      <c r="Q2979" s="1" t="s">
        <v>10887</v>
      </c>
      <c r="R2979" s="1" t="s">
        <v>10889</v>
      </c>
      <c r="S2979" s="1">
        <v>0.0</v>
      </c>
      <c r="T2979" s="1">
        <v>2.0</v>
      </c>
      <c r="X2979" s="1" t="s">
        <v>56</v>
      </c>
    </row>
    <row r="2980">
      <c r="A2980" s="3" t="str">
        <f>HYPERLINK("https://stackoverflow.com/q/60453651", "60453651")</f>
        <v>60453651</v>
      </c>
      <c r="B2980" s="1" t="s">
        <v>7613</v>
      </c>
      <c r="C2980" s="1" t="s">
        <v>10890</v>
      </c>
      <c r="D2980" s="2" t="s">
        <v>10891</v>
      </c>
      <c r="E2980" s="1">
        <v>1.0</v>
      </c>
      <c r="I2980" s="1">
        <v>0.0</v>
      </c>
      <c r="J2980" s="1">
        <v>15.0</v>
      </c>
      <c r="L2980" s="1">
        <v>1.2979821E7</v>
      </c>
      <c r="Q2980" s="1" t="s">
        <v>10890</v>
      </c>
      <c r="R2980" s="1" t="s">
        <v>10892</v>
      </c>
      <c r="S2980" s="1">
        <v>0.0</v>
      </c>
      <c r="T2980" s="1">
        <v>0.0</v>
      </c>
      <c r="X2980" s="1" t="s">
        <v>56</v>
      </c>
    </row>
    <row r="2981">
      <c r="A2981" s="3" t="str">
        <f>HYPERLINK("https://stackoverflow.com/q/60500627", "60500627")</f>
        <v>60500627</v>
      </c>
      <c r="B2981" s="1" t="s">
        <v>7613</v>
      </c>
      <c r="C2981" s="1" t="s">
        <v>10893</v>
      </c>
      <c r="D2981" s="2" t="s">
        <v>10894</v>
      </c>
      <c r="E2981" s="1">
        <v>1.0</v>
      </c>
      <c r="I2981" s="1">
        <v>0.0</v>
      </c>
      <c r="J2981" s="1">
        <v>65.0</v>
      </c>
      <c r="L2981" s="1">
        <v>1.1153899E7</v>
      </c>
      <c r="N2981" s="1">
        <v>4623602.0</v>
      </c>
      <c r="P2981" s="1" t="s">
        <v>10895</v>
      </c>
      <c r="Q2981" s="1" t="s">
        <v>10896</v>
      </c>
      <c r="R2981" s="1" t="s">
        <v>10897</v>
      </c>
      <c r="S2981" s="1">
        <v>1.0</v>
      </c>
      <c r="T2981" s="1">
        <v>0.0</v>
      </c>
      <c r="X2981" s="1" t="s">
        <v>56</v>
      </c>
    </row>
    <row r="2982">
      <c r="A2982" s="3" t="str">
        <f>HYPERLINK("https://stackoverflow.com/q/60534579", "60534579")</f>
        <v>60534579</v>
      </c>
      <c r="B2982" s="1" t="s">
        <v>7613</v>
      </c>
      <c r="C2982" s="1" t="s">
        <v>10898</v>
      </c>
      <c r="D2982" s="2" t="s">
        <v>10899</v>
      </c>
      <c r="E2982" s="1">
        <v>1.0</v>
      </c>
      <c r="F2982" s="1">
        <v>6.0536361E7</v>
      </c>
      <c r="I2982" s="1">
        <v>0.0</v>
      </c>
      <c r="J2982" s="1">
        <v>172.0</v>
      </c>
      <c r="L2982" s="1">
        <v>1.3008561E7</v>
      </c>
      <c r="N2982" s="1">
        <v>1.3008561E7</v>
      </c>
      <c r="P2982" s="1" t="s">
        <v>10900</v>
      </c>
      <c r="Q2982" s="1" t="s">
        <v>10901</v>
      </c>
      <c r="R2982" s="1" t="s">
        <v>10902</v>
      </c>
      <c r="S2982" s="1">
        <v>1.0</v>
      </c>
      <c r="T2982" s="1">
        <v>0.0</v>
      </c>
      <c r="X2982" s="1" t="s">
        <v>56</v>
      </c>
      <c r="Z2982" s="1" t="s">
        <v>10903</v>
      </c>
    </row>
    <row r="2983">
      <c r="A2983" s="3" t="str">
        <f>HYPERLINK("https://stackoverflow.com/q/60543867", "60543867")</f>
        <v>60543867</v>
      </c>
      <c r="B2983" s="1" t="s">
        <v>7613</v>
      </c>
      <c r="C2983" s="1" t="s">
        <v>10904</v>
      </c>
      <c r="D2983" s="2" t="s">
        <v>10905</v>
      </c>
      <c r="E2983" s="1">
        <v>1.0</v>
      </c>
      <c r="I2983" s="1">
        <v>0.0</v>
      </c>
      <c r="J2983" s="1">
        <v>102.0</v>
      </c>
      <c r="L2983" s="1">
        <v>1.3011928E7</v>
      </c>
      <c r="N2983" s="1">
        <v>1.2892553E7</v>
      </c>
      <c r="P2983" s="1" t="s">
        <v>10906</v>
      </c>
      <c r="Q2983" s="1" t="s">
        <v>10906</v>
      </c>
      <c r="R2983" s="1" t="s">
        <v>10907</v>
      </c>
      <c r="S2983" s="1">
        <v>0.0</v>
      </c>
      <c r="T2983" s="1">
        <v>0.0</v>
      </c>
      <c r="X2983" s="1" t="s">
        <v>56</v>
      </c>
    </row>
    <row r="2984">
      <c r="A2984" s="3" t="str">
        <f>HYPERLINK("https://stackoverflow.com/q/60551702", "60551702")</f>
        <v>60551702</v>
      </c>
      <c r="B2984" s="1" t="s">
        <v>7613</v>
      </c>
      <c r="C2984" s="1" t="s">
        <v>10908</v>
      </c>
      <c r="D2984" s="2" t="s">
        <v>10909</v>
      </c>
      <c r="E2984" s="1">
        <v>1.0</v>
      </c>
      <c r="I2984" s="1">
        <v>0.0</v>
      </c>
      <c r="J2984" s="1">
        <v>12.0</v>
      </c>
      <c r="L2984" s="1">
        <v>9127929.0</v>
      </c>
      <c r="Q2984" s="1" t="s">
        <v>10908</v>
      </c>
      <c r="R2984" s="1" t="s">
        <v>10910</v>
      </c>
      <c r="S2984" s="1">
        <v>0.0</v>
      </c>
      <c r="T2984" s="1">
        <v>0.0</v>
      </c>
      <c r="X2984" s="1" t="s">
        <v>56</v>
      </c>
    </row>
    <row r="2985">
      <c r="A2985" s="3" t="str">
        <f>HYPERLINK("https://stackoverflow.com/q/60555616", "60555616")</f>
        <v>60555616</v>
      </c>
      <c r="B2985" s="1" t="s">
        <v>7613</v>
      </c>
      <c r="C2985" s="1" t="s">
        <v>10911</v>
      </c>
      <c r="D2985" s="2" t="s">
        <v>10912</v>
      </c>
      <c r="E2985" s="1">
        <v>1.0</v>
      </c>
      <c r="I2985" s="1">
        <v>0.0</v>
      </c>
      <c r="J2985" s="1">
        <v>18.0</v>
      </c>
      <c r="L2985" s="1">
        <v>1.3015716E7</v>
      </c>
      <c r="Q2985" s="1" t="s">
        <v>10911</v>
      </c>
      <c r="R2985" s="1" t="s">
        <v>10913</v>
      </c>
      <c r="S2985" s="1">
        <v>0.0</v>
      </c>
      <c r="T2985" s="1">
        <v>1.0</v>
      </c>
      <c r="X2985" s="1" t="s">
        <v>56</v>
      </c>
    </row>
    <row r="2986">
      <c r="A2986" s="3" t="str">
        <f>HYPERLINK("https://stackoverflow.com/q/60567487", "60567487")</f>
        <v>60567487</v>
      </c>
      <c r="B2986" s="1" t="s">
        <v>7613</v>
      </c>
      <c r="C2986" s="1" t="s">
        <v>10914</v>
      </c>
      <c r="D2986" s="2" t="s">
        <v>10915</v>
      </c>
      <c r="E2986" s="1">
        <v>1.0</v>
      </c>
      <c r="I2986" s="1">
        <v>0.0</v>
      </c>
      <c r="J2986" s="1">
        <v>16.0</v>
      </c>
      <c r="L2986" s="1">
        <v>1.3008561E7</v>
      </c>
      <c r="Q2986" s="1" t="s">
        <v>10914</v>
      </c>
      <c r="R2986" s="1" t="s">
        <v>10742</v>
      </c>
      <c r="S2986" s="1">
        <v>0.0</v>
      </c>
      <c r="T2986" s="1">
        <v>1.0</v>
      </c>
      <c r="X2986" s="1" t="s">
        <v>56</v>
      </c>
    </row>
    <row r="2987">
      <c r="A2987" s="3" t="str">
        <f>HYPERLINK("https://stackoverflow.com/q/60594954", "60594954")</f>
        <v>60594954</v>
      </c>
      <c r="B2987" s="1" t="s">
        <v>7613</v>
      </c>
      <c r="C2987" s="1" t="s">
        <v>10916</v>
      </c>
      <c r="D2987" s="2" t="s">
        <v>10917</v>
      </c>
      <c r="E2987" s="1">
        <v>1.0</v>
      </c>
      <c r="F2987" s="1">
        <v>6.0618005E7</v>
      </c>
      <c r="I2987" s="1">
        <v>0.0</v>
      </c>
      <c r="J2987" s="1">
        <v>39.0</v>
      </c>
      <c r="L2987" s="1">
        <v>1306094.0</v>
      </c>
      <c r="Q2987" s="1" t="s">
        <v>10918</v>
      </c>
      <c r="R2987" s="1" t="s">
        <v>10919</v>
      </c>
      <c r="S2987" s="1">
        <v>1.0</v>
      </c>
      <c r="T2987" s="1">
        <v>7.0</v>
      </c>
      <c r="U2987" s="1">
        <v>1.0</v>
      </c>
      <c r="X2987" s="1" t="s">
        <v>56</v>
      </c>
      <c r="Z2987" s="1" t="s">
        <v>10918</v>
      </c>
    </row>
    <row r="2988">
      <c r="A2988" s="3" t="str">
        <f>HYPERLINK("https://stackoverflow.com/q/60595868", "60595868")</f>
        <v>60595868</v>
      </c>
      <c r="B2988" s="1" t="s">
        <v>7613</v>
      </c>
      <c r="C2988" s="1" t="s">
        <v>10920</v>
      </c>
      <c r="D2988" s="2" t="s">
        <v>10921</v>
      </c>
      <c r="E2988" s="1">
        <v>1.0</v>
      </c>
      <c r="I2988" s="1">
        <v>1.0</v>
      </c>
      <c r="J2988" s="1">
        <v>63.0</v>
      </c>
      <c r="L2988" s="1">
        <v>1.3031052E7</v>
      </c>
      <c r="N2988" s="1">
        <v>3871961.0</v>
      </c>
      <c r="P2988" s="1" t="s">
        <v>10922</v>
      </c>
      <c r="Q2988" s="1" t="s">
        <v>10922</v>
      </c>
      <c r="R2988" s="1" t="s">
        <v>8818</v>
      </c>
      <c r="S2988" s="1">
        <v>0.0</v>
      </c>
      <c r="T2988" s="1">
        <v>0.0</v>
      </c>
      <c r="X2988" s="1" t="s">
        <v>56</v>
      </c>
    </row>
    <row r="2989">
      <c r="A2989" s="3" t="str">
        <f>HYPERLINK("https://stackoverflow.com/q/60609166", "60609166")</f>
        <v>60609166</v>
      </c>
      <c r="B2989" s="1" t="s">
        <v>7613</v>
      </c>
      <c r="C2989" s="1" t="s">
        <v>10923</v>
      </c>
      <c r="D2989" s="2" t="s">
        <v>10924</v>
      </c>
      <c r="E2989" s="1">
        <v>1.0</v>
      </c>
      <c r="F2989" s="1">
        <v>6.0615331E7</v>
      </c>
      <c r="I2989" s="1">
        <v>0.0</v>
      </c>
      <c r="J2989" s="1">
        <v>252.0</v>
      </c>
      <c r="L2989" s="1">
        <v>214131.0</v>
      </c>
      <c r="N2989" s="1">
        <v>472495.0</v>
      </c>
      <c r="P2989" s="1" t="s">
        <v>10925</v>
      </c>
      <c r="Q2989" s="1" t="s">
        <v>10925</v>
      </c>
      <c r="R2989" s="1" t="s">
        <v>8321</v>
      </c>
      <c r="S2989" s="1">
        <v>1.0</v>
      </c>
      <c r="T2989" s="1">
        <v>0.0</v>
      </c>
      <c r="X2989" s="1" t="s">
        <v>56</v>
      </c>
      <c r="Z2989" s="1" t="s">
        <v>10926</v>
      </c>
    </row>
    <row r="2990">
      <c r="A2990" s="3" t="str">
        <f>HYPERLINK("https://stackoverflow.com/q/60648240", "60648240")</f>
        <v>60648240</v>
      </c>
      <c r="B2990" s="1" t="s">
        <v>7613</v>
      </c>
      <c r="C2990" s="1" t="s">
        <v>10927</v>
      </c>
      <c r="D2990" s="2" t="s">
        <v>10928</v>
      </c>
      <c r="E2990" s="1">
        <v>1.0</v>
      </c>
      <c r="I2990" s="1">
        <v>0.0</v>
      </c>
      <c r="J2990" s="1">
        <v>45.0</v>
      </c>
      <c r="L2990" s="1">
        <v>1.3049295E7</v>
      </c>
      <c r="N2990" s="1">
        <v>1.3049295E7</v>
      </c>
      <c r="P2990" s="1" t="s">
        <v>10929</v>
      </c>
      <c r="Q2990" s="1" t="s">
        <v>10930</v>
      </c>
      <c r="R2990" s="1" t="s">
        <v>10931</v>
      </c>
      <c r="S2990" s="1">
        <v>1.0</v>
      </c>
      <c r="T2990" s="1">
        <v>1.0</v>
      </c>
      <c r="X2990" s="1" t="s">
        <v>56</v>
      </c>
    </row>
    <row r="2991">
      <c r="A2991" s="3" t="str">
        <f>HYPERLINK("https://stackoverflow.com/q/60649506", "60649506")</f>
        <v>60649506</v>
      </c>
      <c r="B2991" s="1" t="s">
        <v>7613</v>
      </c>
      <c r="C2991" s="1" t="s">
        <v>10932</v>
      </c>
      <c r="D2991" s="2" t="s">
        <v>10933</v>
      </c>
      <c r="E2991" s="1">
        <v>1.0</v>
      </c>
      <c r="F2991" s="1">
        <v>6.0666129E7</v>
      </c>
      <c r="I2991" s="1">
        <v>0.0</v>
      </c>
      <c r="J2991" s="1">
        <v>33.0</v>
      </c>
      <c r="L2991" s="1">
        <v>4614885.0</v>
      </c>
      <c r="N2991" s="1">
        <v>4614885.0</v>
      </c>
      <c r="P2991" s="1" t="s">
        <v>10934</v>
      </c>
      <c r="Q2991" s="1" t="s">
        <v>10935</v>
      </c>
      <c r="R2991" s="1" t="s">
        <v>10936</v>
      </c>
      <c r="S2991" s="1">
        <v>1.0</v>
      </c>
      <c r="T2991" s="1">
        <v>2.0</v>
      </c>
      <c r="X2991" s="1" t="s">
        <v>56</v>
      </c>
      <c r="Z2991" s="1" t="s">
        <v>10935</v>
      </c>
    </row>
    <row r="2992">
      <c r="A2992" s="3" t="str">
        <f>HYPERLINK("https://stackoverflow.com/q/60665681", "60665681")</f>
        <v>60665681</v>
      </c>
      <c r="B2992" s="1" t="s">
        <v>7613</v>
      </c>
      <c r="C2992" s="1" t="s">
        <v>10937</v>
      </c>
      <c r="D2992" s="2" t="s">
        <v>10938</v>
      </c>
      <c r="E2992" s="1">
        <v>1.0</v>
      </c>
      <c r="I2992" s="1">
        <v>0.0</v>
      </c>
      <c r="J2992" s="1">
        <v>40.0</v>
      </c>
      <c r="L2992" s="1">
        <v>1.2224877E7</v>
      </c>
      <c r="N2992" s="1">
        <v>7460777.0</v>
      </c>
      <c r="P2992" s="1" t="s">
        <v>10939</v>
      </c>
      <c r="Q2992" s="1" t="s">
        <v>10939</v>
      </c>
      <c r="R2992" s="1" t="s">
        <v>10940</v>
      </c>
      <c r="S2992" s="1">
        <v>1.0</v>
      </c>
      <c r="T2992" s="1">
        <v>0.0</v>
      </c>
      <c r="X2992" s="1" t="s">
        <v>56</v>
      </c>
    </row>
    <row r="2993">
      <c r="A2993" s="3" t="str">
        <f>HYPERLINK("https://stackoverflow.com/q/60667139", "60667139")</f>
        <v>60667139</v>
      </c>
      <c r="B2993" s="1" t="s">
        <v>7613</v>
      </c>
      <c r="C2993" s="1" t="s">
        <v>10941</v>
      </c>
      <c r="D2993" s="2" t="s">
        <v>10942</v>
      </c>
      <c r="E2993" s="1">
        <v>1.0</v>
      </c>
      <c r="I2993" s="1">
        <v>1.0</v>
      </c>
      <c r="J2993" s="1">
        <v>17.0</v>
      </c>
      <c r="L2993" s="1">
        <v>6703119.0</v>
      </c>
      <c r="Q2993" s="1" t="s">
        <v>10941</v>
      </c>
      <c r="R2993" s="1" t="s">
        <v>10943</v>
      </c>
      <c r="S2993" s="1">
        <v>0.0</v>
      </c>
      <c r="T2993" s="1">
        <v>0.0</v>
      </c>
      <c r="X2993" s="1" t="s">
        <v>56</v>
      </c>
    </row>
    <row r="2994">
      <c r="A2994" s="3" t="str">
        <f>HYPERLINK("https://stackoverflow.com/q/60693819", "60693819")</f>
        <v>60693819</v>
      </c>
      <c r="B2994" s="1" t="s">
        <v>7613</v>
      </c>
      <c r="C2994" s="1" t="s">
        <v>10944</v>
      </c>
      <c r="D2994" s="2" t="s">
        <v>10945</v>
      </c>
      <c r="E2994" s="1">
        <v>1.0</v>
      </c>
      <c r="F2994" s="1">
        <v>6.0708952E7</v>
      </c>
      <c r="I2994" s="1">
        <v>1.0</v>
      </c>
      <c r="J2994" s="1">
        <v>51.0</v>
      </c>
      <c r="L2994" s="1">
        <v>9522823.0</v>
      </c>
      <c r="N2994" s="1">
        <v>9522823.0</v>
      </c>
      <c r="P2994" s="1" t="s">
        <v>10946</v>
      </c>
      <c r="Q2994" s="1" t="s">
        <v>10946</v>
      </c>
      <c r="R2994" s="1" t="s">
        <v>8321</v>
      </c>
      <c r="S2994" s="1">
        <v>1.0</v>
      </c>
      <c r="T2994" s="1">
        <v>0.0</v>
      </c>
      <c r="X2994" s="1" t="s">
        <v>56</v>
      </c>
      <c r="Z2994" s="1" t="s">
        <v>10947</v>
      </c>
    </row>
    <row r="2995">
      <c r="A2995" s="3" t="str">
        <f>HYPERLINK("https://stackoverflow.com/q/60706826", "60706826")</f>
        <v>60706826</v>
      </c>
      <c r="B2995" s="1" t="s">
        <v>7613</v>
      </c>
      <c r="C2995" s="1" t="s">
        <v>10948</v>
      </c>
      <c r="D2995" s="2" t="s">
        <v>10949</v>
      </c>
      <c r="E2995" s="1">
        <v>1.0</v>
      </c>
      <c r="I2995" s="1">
        <v>1.0</v>
      </c>
      <c r="J2995" s="1">
        <v>45.0</v>
      </c>
      <c r="L2995" s="1">
        <v>1.3070692E7</v>
      </c>
      <c r="Q2995" s="1" t="s">
        <v>10950</v>
      </c>
      <c r="R2995" s="1" t="s">
        <v>10951</v>
      </c>
      <c r="S2995" s="1">
        <v>1.0</v>
      </c>
      <c r="T2995" s="1">
        <v>2.0</v>
      </c>
      <c r="X2995" s="1" t="s">
        <v>56</v>
      </c>
    </row>
    <row r="2996">
      <c r="A2996" s="3" t="str">
        <f>HYPERLINK("https://stackoverflow.com/q/60715522", "60715522")</f>
        <v>60715522</v>
      </c>
      <c r="B2996" s="1" t="s">
        <v>7613</v>
      </c>
      <c r="C2996" s="1" t="s">
        <v>10952</v>
      </c>
      <c r="D2996" s="2" t="s">
        <v>10953</v>
      </c>
      <c r="E2996" s="1">
        <v>1.0</v>
      </c>
      <c r="F2996" s="1">
        <v>6.0780833E7</v>
      </c>
      <c r="I2996" s="1">
        <v>1.0</v>
      </c>
      <c r="J2996" s="1">
        <v>115.0</v>
      </c>
      <c r="L2996" s="1">
        <v>9813932.0</v>
      </c>
      <c r="Q2996" s="1" t="s">
        <v>10954</v>
      </c>
      <c r="R2996" s="1" t="s">
        <v>8962</v>
      </c>
      <c r="S2996" s="1">
        <v>2.0</v>
      </c>
      <c r="T2996" s="1">
        <v>0.0</v>
      </c>
      <c r="U2996" s="1">
        <v>2.0</v>
      </c>
      <c r="X2996" s="1" t="s">
        <v>56</v>
      </c>
      <c r="Z2996" s="1" t="s">
        <v>10955</v>
      </c>
    </row>
    <row r="2997">
      <c r="A2997" s="3" t="str">
        <f>HYPERLINK("https://stackoverflow.com/q/60716376", "60716376")</f>
        <v>60716376</v>
      </c>
      <c r="B2997" s="1" t="s">
        <v>7613</v>
      </c>
      <c r="C2997" s="1" t="s">
        <v>10956</v>
      </c>
      <c r="D2997" s="2" t="s">
        <v>10957</v>
      </c>
      <c r="E2997" s="1">
        <v>1.0</v>
      </c>
      <c r="I2997" s="1">
        <v>1.0</v>
      </c>
      <c r="J2997" s="1">
        <v>19.0</v>
      </c>
      <c r="L2997" s="1">
        <v>7228802.0</v>
      </c>
      <c r="Q2997" s="1" t="s">
        <v>10956</v>
      </c>
      <c r="R2997" s="1" t="s">
        <v>9202</v>
      </c>
      <c r="S2997" s="1">
        <v>0.0</v>
      </c>
      <c r="T2997" s="1">
        <v>0.0</v>
      </c>
      <c r="X2997" s="1" t="s">
        <v>56</v>
      </c>
    </row>
    <row r="2998">
      <c r="A2998" s="3" t="str">
        <f>HYPERLINK("https://stackoverflow.com/q/60746275", "60746275")</f>
        <v>60746275</v>
      </c>
      <c r="B2998" s="1" t="s">
        <v>7613</v>
      </c>
      <c r="C2998" s="1" t="s">
        <v>10958</v>
      </c>
      <c r="D2998" s="2" t="s">
        <v>10959</v>
      </c>
      <c r="E2998" s="1">
        <v>1.0</v>
      </c>
      <c r="I2998" s="1">
        <v>0.0</v>
      </c>
      <c r="J2998" s="1">
        <v>9.0</v>
      </c>
      <c r="L2998" s="1">
        <v>6887284.0</v>
      </c>
      <c r="Q2998" s="1" t="s">
        <v>10958</v>
      </c>
      <c r="R2998" s="1" t="s">
        <v>8728</v>
      </c>
      <c r="S2998" s="1">
        <v>0.0</v>
      </c>
      <c r="T2998" s="1">
        <v>0.0</v>
      </c>
      <c r="X2998" s="1" t="s">
        <v>56</v>
      </c>
    </row>
    <row r="2999">
      <c r="A2999" s="3" t="str">
        <f>HYPERLINK("https://stackoverflow.com/q/60763258", "60763258")</f>
        <v>60763258</v>
      </c>
      <c r="B2999" s="1" t="s">
        <v>7613</v>
      </c>
      <c r="C2999" s="1" t="s">
        <v>10960</v>
      </c>
      <c r="D2999" s="2" t="s">
        <v>10961</v>
      </c>
      <c r="E2999" s="1">
        <v>1.0</v>
      </c>
      <c r="I2999" s="1">
        <v>0.0</v>
      </c>
      <c r="J2999" s="1">
        <v>254.0</v>
      </c>
      <c r="L2999" s="1">
        <v>1.309049E7</v>
      </c>
      <c r="N2999" s="1">
        <v>1.1872246E7</v>
      </c>
      <c r="P2999" s="1" t="s">
        <v>10962</v>
      </c>
      <c r="Q2999" s="1" t="s">
        <v>10963</v>
      </c>
      <c r="R2999" s="1" t="s">
        <v>10964</v>
      </c>
      <c r="S2999" s="1">
        <v>1.0</v>
      </c>
      <c r="T2999" s="1">
        <v>0.0</v>
      </c>
      <c r="X2999" s="1" t="s">
        <v>56</v>
      </c>
    </row>
    <row r="3000">
      <c r="A3000" s="3" t="str">
        <f>HYPERLINK("https://stackoverflow.com/q/60769225", "60769225")</f>
        <v>60769225</v>
      </c>
      <c r="B3000" s="1" t="s">
        <v>7613</v>
      </c>
      <c r="C3000" s="1" t="s">
        <v>10965</v>
      </c>
      <c r="D3000" s="2" t="s">
        <v>10966</v>
      </c>
      <c r="E3000" s="1">
        <v>1.0</v>
      </c>
      <c r="I3000" s="1">
        <v>0.0</v>
      </c>
      <c r="J3000" s="1">
        <v>75.0</v>
      </c>
      <c r="L3000" s="1">
        <v>1.3088738E7</v>
      </c>
      <c r="Q3000" s="1" t="s">
        <v>10965</v>
      </c>
      <c r="R3000" s="1" t="s">
        <v>10967</v>
      </c>
      <c r="S3000" s="1">
        <v>0.0</v>
      </c>
      <c r="T3000" s="1">
        <v>0.0</v>
      </c>
      <c r="X3000" s="1" t="s">
        <v>56</v>
      </c>
    </row>
    <row r="3001">
      <c r="A3001" s="3" t="str">
        <f>HYPERLINK("https://stackoverflow.com/q/60776604", "60776604")</f>
        <v>60776604</v>
      </c>
      <c r="B3001" s="1" t="s">
        <v>7613</v>
      </c>
      <c r="C3001" s="1" t="s">
        <v>10968</v>
      </c>
      <c r="D3001" s="2" t="s">
        <v>10969</v>
      </c>
      <c r="E3001" s="1">
        <v>1.0</v>
      </c>
      <c r="I3001" s="1">
        <v>0.0</v>
      </c>
      <c r="J3001" s="1">
        <v>25.0</v>
      </c>
      <c r="L3001" s="1">
        <v>1.1278667E7</v>
      </c>
      <c r="Q3001" s="1" t="s">
        <v>10970</v>
      </c>
      <c r="R3001" s="1" t="s">
        <v>10971</v>
      </c>
      <c r="S3001" s="1">
        <v>0.0</v>
      </c>
      <c r="T3001" s="1">
        <v>0.0</v>
      </c>
      <c r="X3001" s="1" t="s">
        <v>56</v>
      </c>
    </row>
    <row r="3002">
      <c r="A3002" s="3" t="str">
        <f>HYPERLINK("https://stackoverflow.com/q/60801953", "60801953")</f>
        <v>60801953</v>
      </c>
      <c r="B3002" s="1" t="s">
        <v>7613</v>
      </c>
      <c r="C3002" s="1" t="s">
        <v>10972</v>
      </c>
      <c r="D3002" s="2" t="s">
        <v>10973</v>
      </c>
      <c r="E3002" s="1">
        <v>1.0</v>
      </c>
      <c r="F3002" s="1">
        <v>6.0802286E7</v>
      </c>
      <c r="I3002" s="1">
        <v>0.0</v>
      </c>
      <c r="J3002" s="1">
        <v>27.0</v>
      </c>
      <c r="L3002" s="1">
        <v>1.2934138E7</v>
      </c>
      <c r="Q3002" s="1" t="s">
        <v>10974</v>
      </c>
      <c r="R3002" s="1" t="s">
        <v>8321</v>
      </c>
      <c r="S3002" s="1">
        <v>1.0</v>
      </c>
      <c r="T3002" s="1">
        <v>0.0</v>
      </c>
      <c r="X3002" s="1" t="s">
        <v>56</v>
      </c>
      <c r="Z3002" s="1" t="s">
        <v>10975</v>
      </c>
    </row>
    <row r="3003">
      <c r="A3003" s="3" t="str">
        <f>HYPERLINK("https://stackoverflow.com/q/60825789", "60825789")</f>
        <v>60825789</v>
      </c>
      <c r="B3003" s="1" t="s">
        <v>7613</v>
      </c>
      <c r="C3003" s="1" t="s">
        <v>10976</v>
      </c>
      <c r="D3003" s="2" t="s">
        <v>10977</v>
      </c>
      <c r="E3003" s="1">
        <v>1.0</v>
      </c>
      <c r="I3003" s="1">
        <v>0.0</v>
      </c>
      <c r="J3003" s="1">
        <v>116.0</v>
      </c>
      <c r="L3003" s="1">
        <v>7848748.0</v>
      </c>
      <c r="N3003" s="1">
        <v>2071697.0</v>
      </c>
      <c r="P3003" s="1" t="s">
        <v>10978</v>
      </c>
      <c r="Q3003" s="1" t="s">
        <v>10979</v>
      </c>
      <c r="R3003" s="1" t="s">
        <v>10980</v>
      </c>
      <c r="S3003" s="1">
        <v>1.0</v>
      </c>
      <c r="T3003" s="1">
        <v>0.0</v>
      </c>
      <c r="X3003" s="1" t="s">
        <v>56</v>
      </c>
    </row>
    <row r="3004">
      <c r="A3004" s="3" t="str">
        <f>HYPERLINK("https://stackoverflow.com/q/60836488", "60836488")</f>
        <v>60836488</v>
      </c>
      <c r="B3004" s="1" t="s">
        <v>7613</v>
      </c>
      <c r="C3004" s="1" t="s">
        <v>10981</v>
      </c>
      <c r="D3004" s="2" t="s">
        <v>10982</v>
      </c>
      <c r="E3004" s="1">
        <v>1.0</v>
      </c>
      <c r="I3004" s="1">
        <v>0.0</v>
      </c>
      <c r="J3004" s="1">
        <v>13.0</v>
      </c>
      <c r="L3004" s="1">
        <v>8234225.0</v>
      </c>
      <c r="Q3004" s="1" t="s">
        <v>10981</v>
      </c>
      <c r="R3004" s="1" t="s">
        <v>8321</v>
      </c>
      <c r="S3004" s="1">
        <v>0.0</v>
      </c>
      <c r="T3004" s="1">
        <v>2.0</v>
      </c>
      <c r="X3004" s="1" t="s">
        <v>56</v>
      </c>
    </row>
    <row r="3005">
      <c r="A3005" s="3" t="str">
        <f>HYPERLINK("https://stackoverflow.com/q/60838280", "60838280")</f>
        <v>60838280</v>
      </c>
      <c r="B3005" s="1" t="s">
        <v>7613</v>
      </c>
      <c r="C3005" s="1" t="s">
        <v>10983</v>
      </c>
      <c r="D3005" s="2" t="s">
        <v>10984</v>
      </c>
      <c r="E3005" s="1">
        <v>1.0</v>
      </c>
      <c r="I3005" s="1">
        <v>0.0</v>
      </c>
      <c r="J3005" s="1">
        <v>30.0</v>
      </c>
      <c r="L3005" s="1">
        <v>800248.0</v>
      </c>
      <c r="N3005" s="1">
        <v>800248.0</v>
      </c>
      <c r="P3005" s="1" t="s">
        <v>10985</v>
      </c>
      <c r="Q3005" s="1" t="s">
        <v>10985</v>
      </c>
      <c r="R3005" s="1" t="s">
        <v>10986</v>
      </c>
      <c r="S3005" s="1">
        <v>0.0</v>
      </c>
      <c r="T3005" s="1">
        <v>0.0</v>
      </c>
      <c r="X3005" s="1" t="s">
        <v>56</v>
      </c>
    </row>
    <row r="3006">
      <c r="A3006" s="3" t="str">
        <f>HYPERLINK("https://stackoverflow.com/q/60887200", "60887200")</f>
        <v>60887200</v>
      </c>
      <c r="B3006" s="1" t="s">
        <v>7613</v>
      </c>
      <c r="C3006" s="1" t="s">
        <v>10987</v>
      </c>
      <c r="D3006" s="2" t="s">
        <v>10988</v>
      </c>
      <c r="E3006" s="1">
        <v>1.0</v>
      </c>
      <c r="F3006" s="1">
        <v>6.0888375E7</v>
      </c>
      <c r="I3006" s="1">
        <v>0.0</v>
      </c>
      <c r="J3006" s="1">
        <v>23.0</v>
      </c>
      <c r="L3006" s="1">
        <v>5182409.0</v>
      </c>
      <c r="Q3006" s="1" t="s">
        <v>10989</v>
      </c>
      <c r="R3006" s="1" t="s">
        <v>8321</v>
      </c>
      <c r="S3006" s="1">
        <v>1.0</v>
      </c>
      <c r="T3006" s="1">
        <v>0.0</v>
      </c>
      <c r="X3006" s="1" t="s">
        <v>56</v>
      </c>
      <c r="Z3006" s="1" t="s">
        <v>10989</v>
      </c>
    </row>
    <row r="3007">
      <c r="A3007" s="3" t="str">
        <f>HYPERLINK("https://stackoverflow.com/q/60906873", "60906873")</f>
        <v>60906873</v>
      </c>
      <c r="B3007" s="1" t="s">
        <v>7613</v>
      </c>
      <c r="C3007" s="1" t="s">
        <v>10990</v>
      </c>
      <c r="D3007" s="2" t="s">
        <v>10991</v>
      </c>
      <c r="E3007" s="1">
        <v>1.0</v>
      </c>
      <c r="I3007" s="1">
        <v>0.0</v>
      </c>
      <c r="J3007" s="1">
        <v>8.0</v>
      </c>
      <c r="L3007" s="1">
        <v>5093195.0</v>
      </c>
      <c r="Q3007" s="1" t="s">
        <v>10990</v>
      </c>
      <c r="R3007" s="1" t="s">
        <v>9577</v>
      </c>
      <c r="S3007" s="1">
        <v>0.0</v>
      </c>
      <c r="T3007" s="1">
        <v>0.0</v>
      </c>
      <c r="X3007" s="1" t="s">
        <v>56</v>
      </c>
    </row>
    <row r="3008">
      <c r="A3008" s="3" t="str">
        <f>HYPERLINK("https://stackoverflow.com/q/60945360", "60945360")</f>
        <v>60945360</v>
      </c>
      <c r="B3008" s="1" t="s">
        <v>7613</v>
      </c>
      <c r="C3008" s="1" t="s">
        <v>10992</v>
      </c>
      <c r="D3008" s="2" t="s">
        <v>10993</v>
      </c>
      <c r="E3008" s="1">
        <v>1.0</v>
      </c>
      <c r="I3008" s="1">
        <v>0.0</v>
      </c>
      <c r="J3008" s="1">
        <v>18.0</v>
      </c>
      <c r="L3008" s="1">
        <v>8187769.0</v>
      </c>
      <c r="Q3008" s="1" t="s">
        <v>10992</v>
      </c>
      <c r="R3008" s="1" t="s">
        <v>8705</v>
      </c>
      <c r="S3008" s="1">
        <v>0.0</v>
      </c>
      <c r="T3008" s="1">
        <v>0.0</v>
      </c>
      <c r="X3008" s="1" t="s">
        <v>56</v>
      </c>
    </row>
    <row r="3009">
      <c r="A3009" s="3" t="str">
        <f>HYPERLINK("https://stackoverflow.com/q/60982768", "60982768")</f>
        <v>60982768</v>
      </c>
      <c r="B3009" s="1" t="s">
        <v>7613</v>
      </c>
      <c r="C3009" s="1" t="s">
        <v>10994</v>
      </c>
      <c r="D3009" s="2" t="s">
        <v>10995</v>
      </c>
      <c r="E3009" s="1">
        <v>1.0</v>
      </c>
      <c r="I3009" s="1">
        <v>0.0</v>
      </c>
      <c r="J3009" s="1">
        <v>10.0</v>
      </c>
      <c r="L3009" s="1">
        <v>2417489.0</v>
      </c>
      <c r="Q3009" s="1" t="s">
        <v>10994</v>
      </c>
      <c r="R3009" s="1" t="s">
        <v>8321</v>
      </c>
      <c r="S3009" s="1">
        <v>0.0</v>
      </c>
      <c r="T3009" s="1">
        <v>0.0</v>
      </c>
      <c r="X3009" s="1" t="s">
        <v>56</v>
      </c>
    </row>
    <row r="3010">
      <c r="A3010" s="3" t="str">
        <f>HYPERLINK("https://stackoverflow.com/q/61011463", "61011463")</f>
        <v>61011463</v>
      </c>
      <c r="B3010" s="1" t="s">
        <v>7613</v>
      </c>
      <c r="C3010" s="1" t="s">
        <v>10996</v>
      </c>
      <c r="D3010" s="2" t="s">
        <v>10997</v>
      </c>
      <c r="E3010" s="1">
        <v>1.0</v>
      </c>
      <c r="I3010" s="1">
        <v>0.0</v>
      </c>
      <c r="J3010" s="1">
        <v>6.0</v>
      </c>
      <c r="L3010" s="1">
        <v>1.2543721E7</v>
      </c>
      <c r="Q3010" s="1" t="s">
        <v>10996</v>
      </c>
      <c r="R3010" s="1" t="s">
        <v>10998</v>
      </c>
      <c r="S3010" s="1">
        <v>0.0</v>
      </c>
      <c r="T3010" s="1">
        <v>0.0</v>
      </c>
      <c r="X3010" s="1" t="s">
        <v>56</v>
      </c>
    </row>
    <row r="3011">
      <c r="A3011" s="3" t="str">
        <f>HYPERLINK("https://stackoverflow.com/q/61014391", "61014391")</f>
        <v>61014391</v>
      </c>
      <c r="B3011" s="1" t="s">
        <v>7613</v>
      </c>
      <c r="C3011" s="1" t="s">
        <v>10999</v>
      </c>
      <c r="D3011" s="2" t="s">
        <v>11000</v>
      </c>
      <c r="E3011" s="1">
        <v>1.0</v>
      </c>
      <c r="I3011" s="1">
        <v>0.0</v>
      </c>
      <c r="J3011" s="1">
        <v>21.0</v>
      </c>
      <c r="L3011" s="1">
        <v>4122755.0</v>
      </c>
      <c r="Q3011" s="1" t="s">
        <v>10999</v>
      </c>
      <c r="R3011" s="1" t="s">
        <v>11001</v>
      </c>
      <c r="S3011" s="1">
        <v>0.0</v>
      </c>
      <c r="T3011" s="1">
        <v>0.0</v>
      </c>
      <c r="X3011" s="1" t="s">
        <v>56</v>
      </c>
    </row>
    <row r="3012">
      <c r="A3012" s="3" t="str">
        <f>HYPERLINK("https://stackoverflow.com/q/61016404", "61016404")</f>
        <v>61016404</v>
      </c>
      <c r="B3012" s="1" t="s">
        <v>7613</v>
      </c>
      <c r="C3012" s="1" t="s">
        <v>11002</v>
      </c>
      <c r="D3012" s="2" t="s">
        <v>11003</v>
      </c>
      <c r="E3012" s="1">
        <v>1.0</v>
      </c>
      <c r="I3012" s="1">
        <v>0.0</v>
      </c>
      <c r="J3012" s="1">
        <v>12.0</v>
      </c>
      <c r="L3012" s="1">
        <v>5317996.0</v>
      </c>
      <c r="Q3012" s="1" t="s">
        <v>11002</v>
      </c>
      <c r="R3012" s="1" t="s">
        <v>11004</v>
      </c>
      <c r="S3012" s="1">
        <v>0.0</v>
      </c>
      <c r="T3012" s="1">
        <v>0.0</v>
      </c>
      <c r="X3012" s="1" t="s">
        <v>56</v>
      </c>
    </row>
    <row r="3013">
      <c r="A3013" s="3" t="str">
        <f>HYPERLINK("https://stackoverflow.com/q/61016498", "61016498")</f>
        <v>61016498</v>
      </c>
      <c r="B3013" s="1" t="s">
        <v>7613</v>
      </c>
      <c r="C3013" s="1" t="s">
        <v>11005</v>
      </c>
      <c r="D3013" s="2" t="s">
        <v>11006</v>
      </c>
      <c r="E3013" s="1">
        <v>1.0</v>
      </c>
      <c r="I3013" s="1">
        <v>0.0</v>
      </c>
      <c r="J3013" s="1">
        <v>17.0</v>
      </c>
      <c r="L3013" s="1">
        <v>1.2934138E7</v>
      </c>
      <c r="Q3013" s="1" t="s">
        <v>11005</v>
      </c>
      <c r="R3013" s="1" t="s">
        <v>9202</v>
      </c>
      <c r="S3013" s="1">
        <v>0.0</v>
      </c>
      <c r="T3013" s="1">
        <v>0.0</v>
      </c>
      <c r="X3013" s="1" t="s">
        <v>56</v>
      </c>
    </row>
    <row r="3014">
      <c r="A3014" s="3" t="str">
        <f>HYPERLINK("https://stackoverflow.com/q/61019105", "61019105")</f>
        <v>61019105</v>
      </c>
      <c r="B3014" s="1" t="s">
        <v>7613</v>
      </c>
      <c r="C3014" s="1" t="s">
        <v>11007</v>
      </c>
      <c r="D3014" s="2" t="s">
        <v>11008</v>
      </c>
      <c r="E3014" s="1">
        <v>1.0</v>
      </c>
      <c r="I3014" s="1">
        <v>0.0</v>
      </c>
      <c r="J3014" s="1">
        <v>10.0</v>
      </c>
      <c r="L3014" s="1">
        <v>1.2934138E7</v>
      </c>
      <c r="Q3014" s="1" t="s">
        <v>11007</v>
      </c>
      <c r="R3014" s="1" t="s">
        <v>7688</v>
      </c>
      <c r="S3014" s="1">
        <v>0.0</v>
      </c>
      <c r="T3014" s="1">
        <v>0.0</v>
      </c>
      <c r="X3014" s="1" t="s">
        <v>56</v>
      </c>
    </row>
    <row r="3015">
      <c r="A3015" s="3" t="str">
        <f>HYPERLINK("https://stackoverflow.com/q/61021550", "61021550")</f>
        <v>61021550</v>
      </c>
      <c r="B3015" s="1" t="s">
        <v>7613</v>
      </c>
      <c r="C3015" s="1" t="s">
        <v>11009</v>
      </c>
      <c r="D3015" s="2" t="s">
        <v>11010</v>
      </c>
      <c r="E3015" s="1">
        <v>1.0</v>
      </c>
      <c r="I3015" s="1">
        <v>0.0</v>
      </c>
      <c r="J3015" s="1">
        <v>18.0</v>
      </c>
      <c r="L3015" s="1">
        <v>3137893.0</v>
      </c>
      <c r="Q3015" s="1" t="s">
        <v>11011</v>
      </c>
      <c r="R3015" s="1" t="s">
        <v>11012</v>
      </c>
      <c r="S3015" s="1">
        <v>1.0</v>
      </c>
      <c r="T3015" s="1">
        <v>0.0</v>
      </c>
      <c r="X3015" s="1" t="s">
        <v>56</v>
      </c>
    </row>
    <row r="3016">
      <c r="A3016" s="3" t="str">
        <f>HYPERLINK("https://stackoverflow.com/q/61058282", "61058282")</f>
        <v>61058282</v>
      </c>
      <c r="B3016" s="1" t="s">
        <v>7613</v>
      </c>
      <c r="C3016" s="1" t="s">
        <v>11013</v>
      </c>
      <c r="D3016" s="2" t="s">
        <v>11014</v>
      </c>
      <c r="E3016" s="1">
        <v>1.0</v>
      </c>
      <c r="I3016" s="1">
        <v>0.0</v>
      </c>
      <c r="J3016" s="1">
        <v>18.0</v>
      </c>
      <c r="L3016" s="1">
        <v>6434849.0</v>
      </c>
      <c r="Q3016" s="1" t="s">
        <v>11013</v>
      </c>
      <c r="R3016" s="1" t="s">
        <v>10634</v>
      </c>
      <c r="S3016" s="1">
        <v>0.0</v>
      </c>
      <c r="T3016" s="1">
        <v>1.0</v>
      </c>
      <c r="X3016" s="1" t="s">
        <v>56</v>
      </c>
    </row>
    <row r="3017">
      <c r="A3017" s="3" t="str">
        <f>HYPERLINK("https://stackoverflow.com/q/61074680", "61074680")</f>
        <v>61074680</v>
      </c>
      <c r="B3017" s="1" t="s">
        <v>7613</v>
      </c>
      <c r="C3017" s="1" t="s">
        <v>11015</v>
      </c>
      <c r="D3017" s="2" t="s">
        <v>11016</v>
      </c>
      <c r="E3017" s="1">
        <v>1.0</v>
      </c>
      <c r="I3017" s="1">
        <v>0.0</v>
      </c>
      <c r="J3017" s="1">
        <v>14.0</v>
      </c>
      <c r="L3017" s="1">
        <v>1.3245883E7</v>
      </c>
      <c r="Q3017" s="1" t="s">
        <v>11015</v>
      </c>
      <c r="R3017" s="1" t="s">
        <v>8728</v>
      </c>
      <c r="S3017" s="1">
        <v>0.0</v>
      </c>
      <c r="T3017" s="1">
        <v>0.0</v>
      </c>
      <c r="X3017" s="1" t="s">
        <v>56</v>
      </c>
    </row>
    <row r="3018">
      <c r="A3018" s="3" t="str">
        <f>HYPERLINK("https://stackoverflow.com/q/61076418", "61076418")</f>
        <v>61076418</v>
      </c>
      <c r="B3018" s="1" t="s">
        <v>7613</v>
      </c>
      <c r="C3018" s="1" t="s">
        <v>11017</v>
      </c>
      <c r="D3018" s="2" t="s">
        <v>11018</v>
      </c>
      <c r="E3018" s="1">
        <v>1.0</v>
      </c>
      <c r="I3018" s="1">
        <v>0.0</v>
      </c>
      <c r="J3018" s="1">
        <v>17.0</v>
      </c>
      <c r="L3018" s="1">
        <v>1.324676E7</v>
      </c>
      <c r="N3018" s="1">
        <v>1.0636297E7</v>
      </c>
      <c r="P3018" s="1" t="s">
        <v>11019</v>
      </c>
      <c r="Q3018" s="1" t="s">
        <v>11019</v>
      </c>
      <c r="R3018" s="1" t="s">
        <v>11020</v>
      </c>
      <c r="S3018" s="1">
        <v>0.0</v>
      </c>
      <c r="T3018" s="1">
        <v>0.0</v>
      </c>
      <c r="X3018" s="1" t="s">
        <v>56</v>
      </c>
    </row>
    <row r="3019">
      <c r="A3019" s="3" t="str">
        <f>HYPERLINK("https://stackoverflow.com/q/61094682", "61094682")</f>
        <v>61094682</v>
      </c>
      <c r="B3019" s="1" t="s">
        <v>7613</v>
      </c>
      <c r="C3019" s="1" t="s">
        <v>11021</v>
      </c>
      <c r="D3019" s="2" t="s">
        <v>11022</v>
      </c>
      <c r="E3019" s="1">
        <v>1.0</v>
      </c>
      <c r="I3019" s="1">
        <v>0.0</v>
      </c>
      <c r="J3019" s="1">
        <v>17.0</v>
      </c>
      <c r="L3019" s="1">
        <v>1.0973714E7</v>
      </c>
      <c r="Q3019" s="1" t="s">
        <v>11023</v>
      </c>
      <c r="R3019" s="1" t="s">
        <v>8321</v>
      </c>
      <c r="S3019" s="1">
        <v>1.0</v>
      </c>
      <c r="T3019" s="1">
        <v>0.0</v>
      </c>
      <c r="X3019" s="1" t="s">
        <v>56</v>
      </c>
    </row>
    <row r="3020">
      <c r="A3020" s="3" t="str">
        <f>HYPERLINK("https://stackoverflow.com/q/61105890", "61105890")</f>
        <v>61105890</v>
      </c>
      <c r="B3020" s="1" t="s">
        <v>7613</v>
      </c>
      <c r="C3020" s="1" t="s">
        <v>11024</v>
      </c>
      <c r="D3020" s="2" t="s">
        <v>11025</v>
      </c>
      <c r="E3020" s="1">
        <v>1.0</v>
      </c>
      <c r="F3020" s="1">
        <v>6.1116191E7</v>
      </c>
      <c r="I3020" s="1">
        <v>1.0</v>
      </c>
      <c r="J3020" s="1">
        <v>30.0</v>
      </c>
      <c r="L3020" s="1">
        <v>9413815.0</v>
      </c>
      <c r="Q3020" s="1" t="s">
        <v>11026</v>
      </c>
      <c r="R3020" s="1" t="s">
        <v>11027</v>
      </c>
      <c r="S3020" s="1">
        <v>1.0</v>
      </c>
      <c r="T3020" s="1">
        <v>0.0</v>
      </c>
      <c r="X3020" s="1" t="s">
        <v>56</v>
      </c>
      <c r="Z3020" s="1" t="s">
        <v>11026</v>
      </c>
    </row>
    <row r="3021">
      <c r="A3021" s="3" t="str">
        <f>HYPERLINK("https://stackoverflow.com/q/61127025", "61127025")</f>
        <v>61127025</v>
      </c>
      <c r="B3021" s="1" t="s">
        <v>7613</v>
      </c>
      <c r="C3021" s="1" t="s">
        <v>11028</v>
      </c>
      <c r="D3021" s="2" t="s">
        <v>11029</v>
      </c>
      <c r="E3021" s="1">
        <v>1.0</v>
      </c>
      <c r="I3021" s="1">
        <v>0.0</v>
      </c>
      <c r="J3021" s="1">
        <v>50.0</v>
      </c>
      <c r="L3021" s="1">
        <v>1.3271903E7</v>
      </c>
      <c r="Q3021" s="1" t="s">
        <v>11030</v>
      </c>
      <c r="R3021" s="1" t="s">
        <v>9050</v>
      </c>
      <c r="S3021" s="1">
        <v>1.0</v>
      </c>
      <c r="T3021" s="1">
        <v>0.0</v>
      </c>
      <c r="X3021" s="1" t="s">
        <v>56</v>
      </c>
    </row>
    <row r="3022">
      <c r="A3022" s="3" t="str">
        <f>HYPERLINK("https://stackoverflow.com/q/61143493", "61143493")</f>
        <v>61143493</v>
      </c>
      <c r="B3022" s="1" t="s">
        <v>7613</v>
      </c>
      <c r="C3022" s="1" t="s">
        <v>11031</v>
      </c>
      <c r="D3022" s="2" t="s">
        <v>11032</v>
      </c>
      <c r="E3022" s="1">
        <v>1.0</v>
      </c>
      <c r="F3022" s="1">
        <v>6.1148818E7</v>
      </c>
      <c r="I3022" s="1">
        <v>1.0</v>
      </c>
      <c r="J3022" s="1">
        <v>37.0</v>
      </c>
      <c r="L3022" s="1">
        <v>9413815.0</v>
      </c>
      <c r="Q3022" s="1" t="s">
        <v>11033</v>
      </c>
      <c r="R3022" s="1" t="s">
        <v>11027</v>
      </c>
      <c r="S3022" s="1">
        <v>1.0</v>
      </c>
      <c r="T3022" s="1">
        <v>0.0</v>
      </c>
      <c r="X3022" s="1" t="s">
        <v>56</v>
      </c>
      <c r="Z3022" s="1" t="s">
        <v>11033</v>
      </c>
    </row>
    <row r="3023">
      <c r="A3023" s="3" t="str">
        <f>HYPERLINK("https://stackoverflow.com/q/61186117", "61186117")</f>
        <v>61186117</v>
      </c>
      <c r="B3023" s="1" t="s">
        <v>7613</v>
      </c>
      <c r="C3023" s="1" t="s">
        <v>11034</v>
      </c>
      <c r="D3023" s="2" t="s">
        <v>11035</v>
      </c>
      <c r="E3023" s="1">
        <v>1.0</v>
      </c>
      <c r="I3023" s="1">
        <v>0.0</v>
      </c>
      <c r="J3023" s="1">
        <v>6.0</v>
      </c>
      <c r="L3023" s="1">
        <v>1.330059E7</v>
      </c>
      <c r="N3023" s="1">
        <v>5059916.0</v>
      </c>
      <c r="P3023" s="1" t="s">
        <v>11036</v>
      </c>
      <c r="Q3023" s="1" t="s">
        <v>11036</v>
      </c>
      <c r="R3023" s="1" t="s">
        <v>11037</v>
      </c>
      <c r="S3023" s="1">
        <v>0.0</v>
      </c>
      <c r="T3023" s="1">
        <v>0.0</v>
      </c>
      <c r="X3023" s="1" t="s">
        <v>56</v>
      </c>
    </row>
    <row r="3024">
      <c r="A3024" s="3" t="str">
        <f>HYPERLINK("https://stackoverflow.com/q/61188935", "61188935")</f>
        <v>61188935</v>
      </c>
      <c r="B3024" s="1" t="s">
        <v>7613</v>
      </c>
      <c r="C3024" s="1" t="s">
        <v>11038</v>
      </c>
      <c r="D3024" s="2" t="s">
        <v>11039</v>
      </c>
      <c r="E3024" s="1">
        <v>1.0</v>
      </c>
      <c r="I3024" s="1">
        <v>0.0</v>
      </c>
      <c r="J3024" s="1">
        <v>13.0</v>
      </c>
      <c r="L3024" s="1">
        <v>1.3301963E7</v>
      </c>
      <c r="Q3024" s="1" t="s">
        <v>11038</v>
      </c>
      <c r="R3024" s="1" t="s">
        <v>8321</v>
      </c>
      <c r="S3024" s="1">
        <v>0.0</v>
      </c>
      <c r="T3024" s="1">
        <v>3.0</v>
      </c>
      <c r="X3024" s="1" t="s">
        <v>56</v>
      </c>
    </row>
    <row r="3025">
      <c r="A3025" s="3" t="str">
        <f>HYPERLINK("https://stackoverflow.com/q/61204978", "61204978")</f>
        <v>61204978</v>
      </c>
      <c r="B3025" s="1" t="s">
        <v>7613</v>
      </c>
      <c r="C3025" s="1" t="s">
        <v>11040</v>
      </c>
      <c r="D3025" s="2" t="s">
        <v>11041</v>
      </c>
      <c r="E3025" s="1">
        <v>1.0</v>
      </c>
      <c r="I3025" s="1">
        <v>1.0</v>
      </c>
      <c r="J3025" s="1">
        <v>22.0</v>
      </c>
      <c r="L3025" s="1">
        <v>1.33078E7</v>
      </c>
      <c r="N3025" s="1">
        <v>519413.0</v>
      </c>
      <c r="P3025" s="1" t="s">
        <v>11042</v>
      </c>
      <c r="Q3025" s="1" t="s">
        <v>11043</v>
      </c>
      <c r="R3025" s="1" t="s">
        <v>11044</v>
      </c>
      <c r="S3025" s="1">
        <v>1.0</v>
      </c>
      <c r="T3025" s="1">
        <v>0.0</v>
      </c>
      <c r="X3025" s="1" t="s">
        <v>56</v>
      </c>
    </row>
    <row r="3026">
      <c r="A3026" s="3" t="str">
        <f>HYPERLINK("https://stackoverflow.com/q/61206586", "61206586")</f>
        <v>61206586</v>
      </c>
      <c r="B3026" s="1" t="s">
        <v>7613</v>
      </c>
      <c r="C3026" s="1" t="s">
        <v>11045</v>
      </c>
      <c r="D3026" s="2" t="s">
        <v>11046</v>
      </c>
      <c r="E3026" s="1">
        <v>1.0</v>
      </c>
      <c r="I3026" s="1">
        <v>0.0</v>
      </c>
      <c r="J3026" s="1">
        <v>32.0</v>
      </c>
      <c r="L3026" s="1">
        <v>1.33078E7</v>
      </c>
      <c r="N3026" s="1">
        <v>3549014.0</v>
      </c>
      <c r="P3026" s="1" t="s">
        <v>11047</v>
      </c>
      <c r="Q3026" s="1" t="s">
        <v>11047</v>
      </c>
      <c r="R3026" s="1" t="s">
        <v>11044</v>
      </c>
      <c r="S3026" s="1">
        <v>0.0</v>
      </c>
      <c r="T3026" s="1">
        <v>0.0</v>
      </c>
      <c r="X3026" s="1" t="s">
        <v>56</v>
      </c>
    </row>
    <row r="3027">
      <c r="A3027" s="3" t="str">
        <f>HYPERLINK("https://stackoverflow.com/q/61207974", "61207974")</f>
        <v>61207974</v>
      </c>
      <c r="B3027" s="1" t="s">
        <v>7613</v>
      </c>
      <c r="C3027" s="1" t="s">
        <v>11048</v>
      </c>
      <c r="D3027" s="2" t="s">
        <v>11049</v>
      </c>
      <c r="E3027" s="1">
        <v>1.0</v>
      </c>
      <c r="I3027" s="1">
        <v>0.0</v>
      </c>
      <c r="J3027" s="1">
        <v>13.0</v>
      </c>
      <c r="L3027" s="1">
        <v>1.3311215E7</v>
      </c>
      <c r="Q3027" s="1" t="s">
        <v>11048</v>
      </c>
      <c r="R3027" s="1" t="s">
        <v>11050</v>
      </c>
      <c r="S3027" s="1">
        <v>0.0</v>
      </c>
      <c r="T3027" s="1">
        <v>0.0</v>
      </c>
      <c r="X3027" s="1" t="s">
        <v>56</v>
      </c>
    </row>
    <row r="3028">
      <c r="A3028" s="3" t="str">
        <f>HYPERLINK("https://stackoverflow.com/q/61208367", "61208367")</f>
        <v>61208367</v>
      </c>
      <c r="B3028" s="1" t="s">
        <v>7613</v>
      </c>
      <c r="C3028" s="1" t="s">
        <v>11051</v>
      </c>
      <c r="D3028" s="2" t="s">
        <v>11052</v>
      </c>
      <c r="E3028" s="1">
        <v>1.0</v>
      </c>
      <c r="I3028" s="1">
        <v>2.0</v>
      </c>
      <c r="J3028" s="1">
        <v>82.0</v>
      </c>
      <c r="L3028" s="1">
        <v>9413815.0</v>
      </c>
      <c r="N3028" s="1">
        <v>9413815.0</v>
      </c>
      <c r="P3028" s="1" t="s">
        <v>11053</v>
      </c>
      <c r="Q3028" s="1" t="s">
        <v>11053</v>
      </c>
      <c r="R3028" s="1" t="s">
        <v>9602</v>
      </c>
      <c r="S3028" s="1">
        <v>0.0</v>
      </c>
      <c r="T3028" s="1">
        <v>6.0</v>
      </c>
      <c r="X3028" s="1" t="s">
        <v>56</v>
      </c>
    </row>
    <row r="3029">
      <c r="A3029" s="3" t="str">
        <f>HYPERLINK("https://stackoverflow.com/q/61210424", "61210424")</f>
        <v>61210424</v>
      </c>
      <c r="B3029" s="1" t="s">
        <v>7613</v>
      </c>
      <c r="C3029" s="1" t="s">
        <v>11054</v>
      </c>
      <c r="D3029" s="2" t="s">
        <v>11055</v>
      </c>
      <c r="E3029" s="1">
        <v>1.0</v>
      </c>
      <c r="I3029" s="1">
        <v>0.0</v>
      </c>
      <c r="J3029" s="1">
        <v>6.0</v>
      </c>
      <c r="L3029" s="1">
        <v>6703119.0</v>
      </c>
      <c r="Q3029" s="1" t="s">
        <v>11054</v>
      </c>
      <c r="R3029" s="1" t="s">
        <v>11056</v>
      </c>
      <c r="S3029" s="1">
        <v>0.0</v>
      </c>
      <c r="T3029" s="1">
        <v>0.0</v>
      </c>
      <c r="X3029" s="1" t="s">
        <v>56</v>
      </c>
    </row>
    <row r="3030">
      <c r="A3030" s="3" t="str">
        <f>HYPERLINK("https://stackoverflow.com/q/61221088", "61221088")</f>
        <v>61221088</v>
      </c>
      <c r="B3030" s="1" t="s">
        <v>7613</v>
      </c>
      <c r="C3030" s="1" t="s">
        <v>11057</v>
      </c>
      <c r="D3030" s="2" t="s">
        <v>11058</v>
      </c>
      <c r="E3030" s="1">
        <v>1.0</v>
      </c>
      <c r="F3030" s="1">
        <v>6.122375E7</v>
      </c>
      <c r="I3030" s="1">
        <v>0.0</v>
      </c>
      <c r="J3030" s="1">
        <v>18.0</v>
      </c>
      <c r="L3030" s="1">
        <v>1.2934138E7</v>
      </c>
      <c r="Q3030" s="1" t="s">
        <v>11059</v>
      </c>
      <c r="R3030" s="1" t="s">
        <v>11060</v>
      </c>
      <c r="S3030" s="1">
        <v>1.0</v>
      </c>
      <c r="T3030" s="1">
        <v>0.0</v>
      </c>
      <c r="X3030" s="1" t="s">
        <v>56</v>
      </c>
      <c r="Z3030" s="1" t="s">
        <v>11059</v>
      </c>
    </row>
    <row r="3031">
      <c r="A3031" s="3" t="str">
        <f>HYPERLINK("https://stackoverflow.com/q/61222090", "61222090")</f>
        <v>61222090</v>
      </c>
      <c r="B3031" s="1" t="s">
        <v>7613</v>
      </c>
      <c r="C3031" s="1" t="s">
        <v>11061</v>
      </c>
      <c r="D3031" s="2" t="s">
        <v>11062</v>
      </c>
      <c r="E3031" s="1">
        <v>1.0</v>
      </c>
      <c r="I3031" s="1">
        <v>0.0</v>
      </c>
      <c r="J3031" s="1">
        <v>16.0</v>
      </c>
      <c r="L3031" s="1">
        <v>1.0405409E7</v>
      </c>
      <c r="Q3031" s="1" t="s">
        <v>11061</v>
      </c>
      <c r="R3031" s="1" t="s">
        <v>11063</v>
      </c>
      <c r="S3031" s="1">
        <v>0.0</v>
      </c>
      <c r="T3031" s="1">
        <v>3.0</v>
      </c>
      <c r="X3031" s="1" t="s">
        <v>56</v>
      </c>
    </row>
    <row r="3032">
      <c r="A3032" s="3" t="str">
        <f>HYPERLINK("https://stackoverflow.com/q/61226697", "61226697")</f>
        <v>61226697</v>
      </c>
      <c r="B3032" s="1" t="s">
        <v>7613</v>
      </c>
      <c r="C3032" s="1" t="s">
        <v>11064</v>
      </c>
      <c r="D3032" s="2" t="s">
        <v>11065</v>
      </c>
      <c r="E3032" s="1">
        <v>1.0</v>
      </c>
      <c r="F3032" s="1">
        <v>6.124406E7</v>
      </c>
      <c r="I3032" s="1">
        <v>1.0</v>
      </c>
      <c r="J3032" s="1">
        <v>38.0</v>
      </c>
      <c r="L3032" s="1">
        <v>6361618.0</v>
      </c>
      <c r="Q3032" s="1" t="s">
        <v>11066</v>
      </c>
      <c r="R3032" s="1" t="s">
        <v>11067</v>
      </c>
      <c r="S3032" s="1">
        <v>1.0</v>
      </c>
      <c r="T3032" s="1">
        <v>4.0</v>
      </c>
      <c r="U3032" s="1">
        <v>2.0</v>
      </c>
      <c r="X3032" s="1" t="s">
        <v>56</v>
      </c>
      <c r="Z3032" s="1" t="s">
        <v>11066</v>
      </c>
    </row>
    <row r="3033">
      <c r="A3033" s="3" t="str">
        <f>HYPERLINK("https://stackoverflow.com/q/61238595", "61238595")</f>
        <v>61238595</v>
      </c>
      <c r="B3033" s="1" t="s">
        <v>7613</v>
      </c>
      <c r="C3033" s="1" t="s">
        <v>11068</v>
      </c>
      <c r="D3033" s="2" t="s">
        <v>11069</v>
      </c>
      <c r="E3033" s="1">
        <v>1.0</v>
      </c>
      <c r="I3033" s="1">
        <v>0.0</v>
      </c>
      <c r="J3033" s="1">
        <v>21.0</v>
      </c>
      <c r="L3033" s="1">
        <v>4256444.0</v>
      </c>
      <c r="Q3033" s="1" t="s">
        <v>11068</v>
      </c>
      <c r="R3033" s="1" t="s">
        <v>11070</v>
      </c>
      <c r="S3033" s="1">
        <v>0.0</v>
      </c>
      <c r="T3033" s="1">
        <v>0.0</v>
      </c>
      <c r="X3033" s="1" t="s">
        <v>56</v>
      </c>
    </row>
    <row r="3034">
      <c r="A3034" s="3" t="str">
        <f>HYPERLINK("https://stackoverflow.com/q/61242253", "61242253")</f>
        <v>61242253</v>
      </c>
      <c r="B3034" s="1" t="s">
        <v>7613</v>
      </c>
      <c r="C3034" s="1" t="s">
        <v>11071</v>
      </c>
      <c r="D3034" s="2" t="s">
        <v>11072</v>
      </c>
      <c r="E3034" s="1">
        <v>1.0</v>
      </c>
      <c r="I3034" s="1">
        <v>0.0</v>
      </c>
      <c r="J3034" s="1">
        <v>11.0</v>
      </c>
      <c r="L3034" s="1">
        <v>9008822.0</v>
      </c>
      <c r="N3034" s="1">
        <v>9008822.0</v>
      </c>
      <c r="P3034" s="1" t="s">
        <v>11073</v>
      </c>
      <c r="Q3034" s="1" t="s">
        <v>11073</v>
      </c>
      <c r="R3034" s="1" t="s">
        <v>10720</v>
      </c>
      <c r="S3034" s="1">
        <v>0.0</v>
      </c>
      <c r="T3034" s="1">
        <v>0.0</v>
      </c>
      <c r="X3034" s="1" t="s">
        <v>56</v>
      </c>
    </row>
    <row r="3035">
      <c r="A3035" s="3" t="str">
        <f>HYPERLINK("https://stackoverflow.com/q/61252925", "61252925")</f>
        <v>61252925</v>
      </c>
      <c r="B3035" s="1" t="s">
        <v>7613</v>
      </c>
      <c r="C3035" s="1" t="s">
        <v>11074</v>
      </c>
      <c r="D3035" s="2" t="s">
        <v>11075</v>
      </c>
      <c r="E3035" s="1">
        <v>1.0</v>
      </c>
      <c r="F3035" s="1">
        <v>6.1261177E7</v>
      </c>
      <c r="I3035" s="1">
        <v>1.0</v>
      </c>
      <c r="J3035" s="1">
        <v>10.0</v>
      </c>
      <c r="L3035" s="1">
        <v>6554615.0</v>
      </c>
      <c r="Q3035" s="1" t="s">
        <v>11076</v>
      </c>
      <c r="R3035" s="1" t="s">
        <v>8321</v>
      </c>
      <c r="S3035" s="1">
        <v>1.0</v>
      </c>
      <c r="T3035" s="1">
        <v>0.0</v>
      </c>
      <c r="X3035" s="1" t="s">
        <v>56</v>
      </c>
      <c r="Z3035" s="1" t="s">
        <v>11076</v>
      </c>
    </row>
    <row r="3036">
      <c r="A3036" s="3" t="str">
        <f>HYPERLINK("https://stackoverflow.com/q/61282234", "61282234")</f>
        <v>61282234</v>
      </c>
      <c r="B3036" s="1" t="s">
        <v>7613</v>
      </c>
      <c r="C3036" s="1" t="s">
        <v>11077</v>
      </c>
      <c r="D3036" s="2" t="s">
        <v>11078</v>
      </c>
      <c r="E3036" s="1">
        <v>1.0</v>
      </c>
      <c r="I3036" s="1">
        <v>0.0</v>
      </c>
      <c r="J3036" s="1">
        <v>11.0</v>
      </c>
      <c r="L3036" s="1">
        <v>1.2934138E7</v>
      </c>
      <c r="N3036" s="1">
        <v>1.2934138E7</v>
      </c>
      <c r="P3036" s="1" t="s">
        <v>11079</v>
      </c>
      <c r="Q3036" s="1" t="s">
        <v>11079</v>
      </c>
      <c r="R3036" s="1" t="s">
        <v>10742</v>
      </c>
      <c r="S3036" s="1">
        <v>0.0</v>
      </c>
      <c r="T3036" s="1">
        <v>0.0</v>
      </c>
      <c r="X3036" s="1" t="s">
        <v>56</v>
      </c>
    </row>
    <row r="3037">
      <c r="A3037" s="3" t="str">
        <f>HYPERLINK("https://stackoverflow.com/q/61282976", "61282976")</f>
        <v>61282976</v>
      </c>
      <c r="B3037" s="1" t="s">
        <v>7613</v>
      </c>
      <c r="C3037" s="1" t="s">
        <v>11080</v>
      </c>
      <c r="D3037" s="2" t="s">
        <v>11081</v>
      </c>
      <c r="E3037" s="1">
        <v>1.0</v>
      </c>
      <c r="F3037" s="1">
        <v>6.130971E7</v>
      </c>
      <c r="I3037" s="1">
        <v>1.0</v>
      </c>
      <c r="J3037" s="1">
        <v>24.0</v>
      </c>
      <c r="L3037" s="1">
        <v>1.2934138E7</v>
      </c>
      <c r="N3037" s="1">
        <v>4420967.0</v>
      </c>
      <c r="P3037" s="1" t="s">
        <v>11082</v>
      </c>
      <c r="Q3037" s="1" t="s">
        <v>11083</v>
      </c>
      <c r="R3037" s="1" t="s">
        <v>8321</v>
      </c>
      <c r="S3037" s="1">
        <v>1.0</v>
      </c>
      <c r="T3037" s="1">
        <v>0.0</v>
      </c>
      <c r="X3037" s="1" t="s">
        <v>56</v>
      </c>
      <c r="Z3037" s="1" t="s">
        <v>11083</v>
      </c>
    </row>
    <row r="3038">
      <c r="A3038" s="3" t="str">
        <f>HYPERLINK("https://stackoverflow.com/q/61284724", "61284724")</f>
        <v>61284724</v>
      </c>
      <c r="B3038" s="1" t="s">
        <v>7613</v>
      </c>
      <c r="C3038" s="1" t="s">
        <v>11084</v>
      </c>
      <c r="D3038" s="2" t="s">
        <v>11085</v>
      </c>
      <c r="E3038" s="1">
        <v>1.0</v>
      </c>
      <c r="I3038" s="1">
        <v>0.0</v>
      </c>
      <c r="J3038" s="1">
        <v>8.0</v>
      </c>
      <c r="L3038" s="1">
        <v>1423787.0</v>
      </c>
      <c r="Q3038" s="1" t="s">
        <v>11084</v>
      </c>
      <c r="R3038" s="1" t="s">
        <v>11086</v>
      </c>
      <c r="S3038" s="1">
        <v>0.0</v>
      </c>
      <c r="T3038" s="1">
        <v>0.0</v>
      </c>
      <c r="X3038" s="1" t="s">
        <v>56</v>
      </c>
    </row>
    <row r="3039">
      <c r="A3039" s="3" t="str">
        <f>HYPERLINK("https://stackoverflow.com/q/61287217", "61287217")</f>
        <v>61287217</v>
      </c>
      <c r="B3039" s="1" t="s">
        <v>7613</v>
      </c>
      <c r="C3039" s="1" t="s">
        <v>11087</v>
      </c>
      <c r="D3039" s="2" t="s">
        <v>11088</v>
      </c>
      <c r="E3039" s="1">
        <v>1.0</v>
      </c>
      <c r="I3039" s="1">
        <v>0.0</v>
      </c>
      <c r="J3039" s="1">
        <v>19.0</v>
      </c>
      <c r="L3039" s="1">
        <v>1.3346241E7</v>
      </c>
      <c r="Q3039" s="1" t="s">
        <v>11089</v>
      </c>
      <c r="R3039" s="1" t="s">
        <v>11090</v>
      </c>
      <c r="S3039" s="1">
        <v>1.0</v>
      </c>
      <c r="T3039" s="1">
        <v>0.0</v>
      </c>
      <c r="X3039" s="1" t="s">
        <v>56</v>
      </c>
    </row>
    <row r="3040">
      <c r="A3040" s="3" t="str">
        <f>HYPERLINK("https://stackoverflow.com/q/61325505", "61325505")</f>
        <v>61325505</v>
      </c>
      <c r="B3040" s="1" t="s">
        <v>7613</v>
      </c>
      <c r="C3040" s="1" t="s">
        <v>11091</v>
      </c>
      <c r="D3040" s="2" t="s">
        <v>11092</v>
      </c>
      <c r="E3040" s="1">
        <v>1.0</v>
      </c>
      <c r="I3040" s="1">
        <v>0.0</v>
      </c>
      <c r="J3040" s="1">
        <v>3.0</v>
      </c>
      <c r="L3040" s="1">
        <v>1.3112644E7</v>
      </c>
      <c r="Q3040" s="1" t="s">
        <v>11091</v>
      </c>
      <c r="R3040" s="1" t="s">
        <v>11093</v>
      </c>
      <c r="S3040" s="1">
        <v>0.0</v>
      </c>
      <c r="T3040" s="1">
        <v>0.0</v>
      </c>
      <c r="X3040" s="1" t="s">
        <v>56</v>
      </c>
    </row>
    <row r="3041">
      <c r="A3041" s="3" t="str">
        <f>HYPERLINK("https://stackoverflow.com/q/61329104", "61329104")</f>
        <v>61329104</v>
      </c>
      <c r="B3041" s="1" t="s">
        <v>7613</v>
      </c>
      <c r="C3041" s="1" t="s">
        <v>11094</v>
      </c>
      <c r="D3041" s="2" t="s">
        <v>11095</v>
      </c>
      <c r="E3041" s="1">
        <v>1.0</v>
      </c>
      <c r="I3041" s="1">
        <v>0.0</v>
      </c>
      <c r="J3041" s="1">
        <v>13.0</v>
      </c>
      <c r="L3041" s="1">
        <v>1.2934138E7</v>
      </c>
      <c r="Q3041" s="1" t="s">
        <v>11094</v>
      </c>
      <c r="R3041" s="1" t="s">
        <v>8321</v>
      </c>
      <c r="S3041" s="1">
        <v>0.0</v>
      </c>
      <c r="T3041" s="1">
        <v>1.0</v>
      </c>
      <c r="X3041" s="1" t="s">
        <v>56</v>
      </c>
    </row>
    <row r="3042">
      <c r="A3042" s="3" t="str">
        <f>HYPERLINK("https://stackoverflow.com/q/61330666", "61330666")</f>
        <v>61330666</v>
      </c>
      <c r="B3042" s="1" t="s">
        <v>7613</v>
      </c>
      <c r="C3042" s="1" t="s">
        <v>11096</v>
      </c>
      <c r="D3042" s="2" t="s">
        <v>11097</v>
      </c>
      <c r="E3042" s="1">
        <v>1.0</v>
      </c>
      <c r="I3042" s="1">
        <v>0.0</v>
      </c>
      <c r="J3042" s="1">
        <v>17.0</v>
      </c>
      <c r="L3042" s="1">
        <v>1.3363788E7</v>
      </c>
      <c r="N3042" s="1">
        <v>1.3363788E7</v>
      </c>
      <c r="P3042" s="1" t="s">
        <v>11098</v>
      </c>
      <c r="Q3042" s="1" t="s">
        <v>11098</v>
      </c>
      <c r="R3042" s="1" t="s">
        <v>11099</v>
      </c>
      <c r="S3042" s="1">
        <v>0.0</v>
      </c>
      <c r="T3042" s="1">
        <v>0.0</v>
      </c>
      <c r="X3042" s="1" t="s">
        <v>56</v>
      </c>
    </row>
    <row r="3043">
      <c r="A3043" s="3" t="str">
        <f>HYPERLINK("https://stackoverflow.com/q/61332655", "61332655")</f>
        <v>61332655</v>
      </c>
      <c r="B3043" s="1" t="s">
        <v>7613</v>
      </c>
      <c r="C3043" s="1" t="s">
        <v>11100</v>
      </c>
      <c r="D3043" s="2" t="s">
        <v>11101</v>
      </c>
      <c r="E3043" s="1">
        <v>1.0</v>
      </c>
      <c r="I3043" s="1">
        <v>1.0</v>
      </c>
      <c r="J3043" s="1">
        <v>39.0</v>
      </c>
      <c r="L3043" s="1">
        <v>2883332.0</v>
      </c>
      <c r="Q3043" s="1" t="s">
        <v>11102</v>
      </c>
      <c r="R3043" s="1" t="s">
        <v>11103</v>
      </c>
      <c r="S3043" s="1">
        <v>1.0</v>
      </c>
      <c r="T3043" s="1">
        <v>0.0</v>
      </c>
      <c r="X3043" s="1" t="s">
        <v>56</v>
      </c>
    </row>
    <row r="3044">
      <c r="A3044" s="3" t="str">
        <f>HYPERLINK("https://stackoverflow.com/q/61343277", "61343277")</f>
        <v>61343277</v>
      </c>
      <c r="B3044" s="1" t="s">
        <v>7613</v>
      </c>
      <c r="C3044" s="1" t="s">
        <v>11104</v>
      </c>
      <c r="D3044" s="2" t="s">
        <v>11105</v>
      </c>
      <c r="E3044" s="1">
        <v>1.0</v>
      </c>
      <c r="I3044" s="1">
        <v>0.0</v>
      </c>
      <c r="J3044" s="1">
        <v>10.0</v>
      </c>
      <c r="L3044" s="1">
        <v>6568130.0</v>
      </c>
      <c r="N3044" s="1">
        <v>6568130.0</v>
      </c>
      <c r="P3044" s="1" t="s">
        <v>11106</v>
      </c>
      <c r="Q3044" s="1" t="s">
        <v>11106</v>
      </c>
      <c r="R3044" s="1" t="s">
        <v>8920</v>
      </c>
      <c r="S3044" s="1">
        <v>0.0</v>
      </c>
      <c r="T3044" s="1">
        <v>0.0</v>
      </c>
      <c r="X3044" s="1" t="s">
        <v>56</v>
      </c>
    </row>
    <row r="3045">
      <c r="A3045" s="3" t="str">
        <f>HYPERLINK("https://stackoverflow.com/q/61350573", "61350573")</f>
        <v>61350573</v>
      </c>
      <c r="B3045" s="1" t="s">
        <v>7613</v>
      </c>
      <c r="C3045" s="1" t="s">
        <v>11107</v>
      </c>
      <c r="D3045" s="2" t="s">
        <v>11108</v>
      </c>
      <c r="E3045" s="1">
        <v>1.0</v>
      </c>
      <c r="I3045" s="1">
        <v>1.0</v>
      </c>
      <c r="J3045" s="1">
        <v>27.0</v>
      </c>
      <c r="L3045" s="1">
        <v>8969489.0</v>
      </c>
      <c r="Q3045" s="1" t="s">
        <v>11109</v>
      </c>
      <c r="R3045" s="1" t="s">
        <v>11110</v>
      </c>
      <c r="S3045" s="1">
        <v>2.0</v>
      </c>
      <c r="T3045" s="1">
        <v>0.0</v>
      </c>
      <c r="X3045" s="1" t="s">
        <v>56</v>
      </c>
    </row>
    <row r="3046">
      <c r="A3046" s="3" t="str">
        <f>HYPERLINK("https://stackoverflow.com/q/61350864", "61350864")</f>
        <v>61350864</v>
      </c>
      <c r="B3046" s="1" t="s">
        <v>7613</v>
      </c>
      <c r="C3046" s="1" t="s">
        <v>11111</v>
      </c>
      <c r="D3046" s="2" t="s">
        <v>11112</v>
      </c>
      <c r="E3046" s="1">
        <v>1.0</v>
      </c>
      <c r="I3046" s="1">
        <v>0.0</v>
      </c>
      <c r="J3046" s="1">
        <v>4.0</v>
      </c>
      <c r="L3046" s="1">
        <v>1.3112644E7</v>
      </c>
      <c r="Q3046" s="1" t="s">
        <v>11111</v>
      </c>
      <c r="R3046" s="1" t="s">
        <v>11113</v>
      </c>
      <c r="S3046" s="1">
        <v>0.0</v>
      </c>
      <c r="T3046" s="1">
        <v>0.0</v>
      </c>
      <c r="X3046" s="1" t="s">
        <v>56</v>
      </c>
    </row>
    <row r="3047">
      <c r="A3047" s="3" t="str">
        <f>HYPERLINK("https://stackoverflow.com/q/61362602", "61362602")</f>
        <v>61362602</v>
      </c>
      <c r="B3047" s="1" t="s">
        <v>7613</v>
      </c>
      <c r="C3047" s="1" t="s">
        <v>11114</v>
      </c>
      <c r="D3047" s="2" t="s">
        <v>11115</v>
      </c>
      <c r="E3047" s="1">
        <v>1.0</v>
      </c>
      <c r="F3047" s="1">
        <v>6.1369736E7</v>
      </c>
      <c r="I3047" s="1">
        <v>0.0</v>
      </c>
      <c r="J3047" s="1">
        <v>30.0</v>
      </c>
      <c r="L3047" s="1">
        <v>1.0806118E7</v>
      </c>
      <c r="N3047" s="1">
        <v>1.0871073E7</v>
      </c>
      <c r="P3047" s="1" t="s">
        <v>11116</v>
      </c>
      <c r="Q3047" s="1" t="s">
        <v>11117</v>
      </c>
      <c r="R3047" s="1" t="s">
        <v>8774</v>
      </c>
      <c r="S3047" s="1">
        <v>2.0</v>
      </c>
      <c r="T3047" s="1">
        <v>0.0</v>
      </c>
      <c r="X3047" s="1" t="s">
        <v>56</v>
      </c>
      <c r="Z3047" s="1" t="s">
        <v>11118</v>
      </c>
    </row>
    <row r="3048">
      <c r="A3048" s="3" t="str">
        <f>HYPERLINK("https://stackoverflow.com/q/61363424", "61363424")</f>
        <v>61363424</v>
      </c>
      <c r="B3048" s="1" t="s">
        <v>7613</v>
      </c>
      <c r="C3048" s="1" t="s">
        <v>11119</v>
      </c>
      <c r="D3048" s="2" t="s">
        <v>11120</v>
      </c>
      <c r="E3048" s="1">
        <v>1.0</v>
      </c>
      <c r="I3048" s="1">
        <v>1.0</v>
      </c>
      <c r="J3048" s="1">
        <v>13.0</v>
      </c>
      <c r="L3048" s="1">
        <v>6568130.0</v>
      </c>
      <c r="Q3048" s="1" t="s">
        <v>11119</v>
      </c>
      <c r="R3048" s="1" t="s">
        <v>10222</v>
      </c>
      <c r="S3048" s="1">
        <v>0.0</v>
      </c>
      <c r="T3048" s="1">
        <v>0.0</v>
      </c>
      <c r="X3048" s="1" t="s">
        <v>56</v>
      </c>
    </row>
    <row r="3049">
      <c r="A3049" s="3" t="str">
        <f>HYPERLINK("https://stackoverflow.com/q/61422412", "61422412")</f>
        <v>61422412</v>
      </c>
      <c r="B3049" s="1" t="s">
        <v>7613</v>
      </c>
      <c r="C3049" s="1" t="s">
        <v>11121</v>
      </c>
      <c r="D3049" s="2" t="s">
        <v>11122</v>
      </c>
      <c r="E3049" s="1">
        <v>1.0</v>
      </c>
      <c r="F3049" s="1">
        <v>6.1477229E7</v>
      </c>
      <c r="I3049" s="1">
        <v>0.0</v>
      </c>
      <c r="J3049" s="1">
        <v>155.0</v>
      </c>
      <c r="L3049" s="1">
        <v>1.3403619E7</v>
      </c>
      <c r="Q3049" s="1" t="s">
        <v>11123</v>
      </c>
      <c r="R3049" s="1" t="s">
        <v>9577</v>
      </c>
      <c r="S3049" s="1">
        <v>1.0</v>
      </c>
      <c r="T3049" s="1">
        <v>0.0</v>
      </c>
      <c r="X3049" s="1" t="s">
        <v>56</v>
      </c>
      <c r="Z3049" s="1" t="s">
        <v>11123</v>
      </c>
    </row>
    <row r="3050">
      <c r="A3050" s="3" t="str">
        <f>HYPERLINK("https://stackoverflow.com/q/61452894", "61452894")</f>
        <v>61452894</v>
      </c>
      <c r="B3050" s="1" t="s">
        <v>7613</v>
      </c>
      <c r="C3050" s="1" t="s">
        <v>11124</v>
      </c>
      <c r="D3050" s="2" t="s">
        <v>11125</v>
      </c>
      <c r="E3050" s="1">
        <v>1.0</v>
      </c>
      <c r="I3050" s="1">
        <v>0.0</v>
      </c>
      <c r="J3050" s="1">
        <v>79.0</v>
      </c>
      <c r="L3050" s="1">
        <v>1.33078E7</v>
      </c>
      <c r="Q3050" s="1" t="s">
        <v>11126</v>
      </c>
      <c r="R3050" s="1" t="s">
        <v>10577</v>
      </c>
      <c r="S3050" s="1">
        <v>3.0</v>
      </c>
      <c r="T3050" s="1">
        <v>1.0</v>
      </c>
      <c r="X3050" s="1" t="s">
        <v>56</v>
      </c>
    </row>
    <row r="3051">
      <c r="A3051" s="3" t="str">
        <f>HYPERLINK("https://stackoverflow.com/q/61454256", "61454256")</f>
        <v>61454256</v>
      </c>
      <c r="B3051" s="1" t="s">
        <v>7613</v>
      </c>
      <c r="C3051" s="1" t="s">
        <v>11127</v>
      </c>
      <c r="D3051" s="2" t="s">
        <v>11128</v>
      </c>
      <c r="E3051" s="1">
        <v>1.0</v>
      </c>
      <c r="I3051" s="1">
        <v>0.0</v>
      </c>
      <c r="J3051" s="1">
        <v>27.0</v>
      </c>
      <c r="L3051" s="1">
        <v>9257630.0</v>
      </c>
      <c r="N3051" s="1">
        <v>9257630.0</v>
      </c>
      <c r="P3051" s="1" t="s">
        <v>11129</v>
      </c>
      <c r="Q3051" s="1" t="s">
        <v>11129</v>
      </c>
      <c r="R3051" s="1" t="s">
        <v>11130</v>
      </c>
      <c r="S3051" s="1">
        <v>0.0</v>
      </c>
      <c r="T3051" s="1">
        <v>0.0</v>
      </c>
      <c r="X3051" s="1" t="s">
        <v>56</v>
      </c>
    </row>
    <row r="3052">
      <c r="A3052" s="3" t="str">
        <f>HYPERLINK("https://stackoverflow.com/q/61462588", "61462588")</f>
        <v>61462588</v>
      </c>
      <c r="B3052" s="1" t="s">
        <v>7613</v>
      </c>
      <c r="C3052" s="1" t="s">
        <v>11131</v>
      </c>
      <c r="D3052" s="2" t="s">
        <v>11132</v>
      </c>
      <c r="E3052" s="1">
        <v>1.0</v>
      </c>
      <c r="F3052" s="1">
        <v>6.1489317E7</v>
      </c>
      <c r="I3052" s="1">
        <v>1.0</v>
      </c>
      <c r="J3052" s="1">
        <v>42.0</v>
      </c>
      <c r="L3052" s="1">
        <v>9413815.0</v>
      </c>
      <c r="Q3052" s="1" t="s">
        <v>11133</v>
      </c>
      <c r="R3052" s="1" t="s">
        <v>9602</v>
      </c>
      <c r="S3052" s="1">
        <v>1.0</v>
      </c>
      <c r="T3052" s="1">
        <v>0.0</v>
      </c>
      <c r="X3052" s="1" t="s">
        <v>56</v>
      </c>
      <c r="Z3052" s="1" t="s">
        <v>11133</v>
      </c>
    </row>
    <row r="3053">
      <c r="A3053" s="3" t="str">
        <f>HYPERLINK("https://stackoverflow.com/q/61469908", "61469908")</f>
        <v>61469908</v>
      </c>
      <c r="B3053" s="1" t="s">
        <v>7613</v>
      </c>
      <c r="C3053" s="1" t="s">
        <v>11134</v>
      </c>
      <c r="D3053" s="2" t="s">
        <v>11135</v>
      </c>
      <c r="E3053" s="1">
        <v>1.0</v>
      </c>
      <c r="I3053" s="1">
        <v>0.0</v>
      </c>
      <c r="J3053" s="1">
        <v>15.0</v>
      </c>
      <c r="L3053" s="1">
        <v>7066103.0</v>
      </c>
      <c r="N3053" s="1">
        <v>2071697.0</v>
      </c>
      <c r="P3053" s="1" t="s">
        <v>11136</v>
      </c>
      <c r="Q3053" s="1" t="s">
        <v>11136</v>
      </c>
      <c r="R3053" s="1" t="s">
        <v>11137</v>
      </c>
      <c r="S3053" s="1">
        <v>0.0</v>
      </c>
      <c r="T3053" s="1">
        <v>0.0</v>
      </c>
      <c r="X3053" s="1" t="s">
        <v>56</v>
      </c>
    </row>
    <row r="3054">
      <c r="A3054" s="3" t="str">
        <f>HYPERLINK("https://stackoverflow.com/q/61481389", "61481389")</f>
        <v>61481389</v>
      </c>
      <c r="B3054" s="1" t="s">
        <v>7613</v>
      </c>
      <c r="C3054" s="1" t="s">
        <v>11138</v>
      </c>
      <c r="D3054" s="2" t="s">
        <v>11139</v>
      </c>
      <c r="E3054" s="1">
        <v>1.0</v>
      </c>
      <c r="F3054" s="1">
        <v>6.1489133E7</v>
      </c>
      <c r="I3054" s="1">
        <v>1.0</v>
      </c>
      <c r="J3054" s="1">
        <v>15.0</v>
      </c>
      <c r="L3054" s="1">
        <v>9413815.0</v>
      </c>
      <c r="Q3054" s="1" t="s">
        <v>11140</v>
      </c>
      <c r="R3054" s="1" t="s">
        <v>9602</v>
      </c>
      <c r="S3054" s="1">
        <v>1.0</v>
      </c>
      <c r="T3054" s="1">
        <v>0.0</v>
      </c>
      <c r="X3054" s="1" t="s">
        <v>56</v>
      </c>
      <c r="Z3054" s="1" t="s">
        <v>11140</v>
      </c>
    </row>
    <row r="3055">
      <c r="A3055" s="3" t="str">
        <f>HYPERLINK("https://stackoverflow.com/q/61483577", "61483577")</f>
        <v>61483577</v>
      </c>
      <c r="B3055" s="1" t="s">
        <v>7613</v>
      </c>
      <c r="C3055" s="1" t="s">
        <v>11141</v>
      </c>
      <c r="D3055" s="2" t="s">
        <v>11142</v>
      </c>
      <c r="E3055" s="1">
        <v>1.0</v>
      </c>
      <c r="I3055" s="1">
        <v>0.0</v>
      </c>
      <c r="J3055" s="1">
        <v>30.0</v>
      </c>
      <c r="L3055" s="1">
        <v>1.3426181E7</v>
      </c>
      <c r="Q3055" s="1" t="s">
        <v>11141</v>
      </c>
      <c r="R3055" s="1" t="s">
        <v>11143</v>
      </c>
      <c r="S3055" s="1">
        <v>0.0</v>
      </c>
      <c r="T3055" s="1">
        <v>0.0</v>
      </c>
      <c r="X3055" s="1" t="s">
        <v>56</v>
      </c>
    </row>
    <row r="3056">
      <c r="A3056" s="3" t="str">
        <f>HYPERLINK("https://stackoverflow.com/q/61487083", "61487083")</f>
        <v>61487083</v>
      </c>
      <c r="B3056" s="1" t="s">
        <v>7613</v>
      </c>
      <c r="C3056" s="1" t="s">
        <v>11144</v>
      </c>
      <c r="D3056" s="2" t="s">
        <v>11145</v>
      </c>
      <c r="E3056" s="1">
        <v>1.0</v>
      </c>
      <c r="I3056" s="1">
        <v>0.0</v>
      </c>
      <c r="J3056" s="1">
        <v>20.0</v>
      </c>
      <c r="L3056" s="1">
        <v>543032.0</v>
      </c>
      <c r="N3056" s="1">
        <v>1.2450747E7</v>
      </c>
      <c r="P3056" s="1" t="s">
        <v>11146</v>
      </c>
      <c r="Q3056" s="1" t="s">
        <v>11146</v>
      </c>
      <c r="R3056" s="1" t="s">
        <v>11147</v>
      </c>
      <c r="S3056" s="1">
        <v>0.0</v>
      </c>
      <c r="T3056" s="1">
        <v>0.0</v>
      </c>
      <c r="X3056" s="1" t="s">
        <v>56</v>
      </c>
    </row>
    <row r="3057">
      <c r="A3057" s="3" t="str">
        <f>HYPERLINK("https://stackoverflow.com/q/61489793", "61489793")</f>
        <v>61489793</v>
      </c>
      <c r="B3057" s="1" t="s">
        <v>7613</v>
      </c>
      <c r="C3057" s="1" t="s">
        <v>11148</v>
      </c>
      <c r="D3057" s="2" t="s">
        <v>11149</v>
      </c>
      <c r="E3057" s="1">
        <v>1.0</v>
      </c>
      <c r="I3057" s="1">
        <v>0.0</v>
      </c>
      <c r="J3057" s="1">
        <v>11.0</v>
      </c>
      <c r="L3057" s="1">
        <v>1.3428436E7</v>
      </c>
      <c r="Q3057" s="1" t="s">
        <v>11148</v>
      </c>
      <c r="R3057" s="1" t="s">
        <v>8750</v>
      </c>
      <c r="S3057" s="1">
        <v>0.0</v>
      </c>
      <c r="T3057" s="1">
        <v>0.0</v>
      </c>
      <c r="X3057" s="1" t="s">
        <v>56</v>
      </c>
    </row>
    <row r="3058">
      <c r="A3058" s="3" t="str">
        <f>HYPERLINK("https://stackoverflow.com/q/61491488", "61491488")</f>
        <v>61491488</v>
      </c>
      <c r="B3058" s="1" t="s">
        <v>7613</v>
      </c>
      <c r="C3058" s="1" t="s">
        <v>11150</v>
      </c>
      <c r="D3058" s="2" t="s">
        <v>11151</v>
      </c>
      <c r="E3058" s="1">
        <v>1.0</v>
      </c>
      <c r="I3058" s="1">
        <v>0.0</v>
      </c>
      <c r="J3058" s="1">
        <v>15.0</v>
      </c>
      <c r="L3058" s="1">
        <v>1.2934138E7</v>
      </c>
      <c r="Q3058" s="1" t="s">
        <v>11152</v>
      </c>
      <c r="R3058" s="1" t="s">
        <v>8321</v>
      </c>
      <c r="S3058" s="1">
        <v>1.0</v>
      </c>
      <c r="T3058" s="1">
        <v>0.0</v>
      </c>
      <c r="X3058" s="1" t="s">
        <v>56</v>
      </c>
    </row>
    <row r="3059">
      <c r="A3059" s="3" t="str">
        <f>HYPERLINK("https://stackoverflow.com/q/61494118", "61494118")</f>
        <v>61494118</v>
      </c>
      <c r="B3059" s="1" t="s">
        <v>7613</v>
      </c>
      <c r="C3059" s="1" t="s">
        <v>11153</v>
      </c>
      <c r="D3059" s="2" t="s">
        <v>11154</v>
      </c>
      <c r="E3059" s="1">
        <v>1.0</v>
      </c>
      <c r="F3059" s="1">
        <v>6.1498871E7</v>
      </c>
      <c r="I3059" s="1">
        <v>1.0</v>
      </c>
      <c r="J3059" s="1">
        <v>49.0</v>
      </c>
      <c r="L3059" s="1">
        <v>3960697.0</v>
      </c>
      <c r="N3059" s="1">
        <v>3960697.0</v>
      </c>
      <c r="P3059" s="1" t="s">
        <v>11155</v>
      </c>
      <c r="Q3059" s="1" t="s">
        <v>11156</v>
      </c>
      <c r="R3059" s="1" t="s">
        <v>11157</v>
      </c>
      <c r="S3059" s="1">
        <v>2.0</v>
      </c>
      <c r="T3059" s="1">
        <v>1.0</v>
      </c>
      <c r="U3059" s="1">
        <v>0.0</v>
      </c>
      <c r="X3059" s="1" t="s">
        <v>56</v>
      </c>
      <c r="Z3059" s="1" t="s">
        <v>11156</v>
      </c>
    </row>
    <row r="3060">
      <c r="A3060" s="3" t="str">
        <f>HYPERLINK("https://stackoverflow.com/q/61505590", "61505590")</f>
        <v>61505590</v>
      </c>
      <c r="B3060" s="1" t="s">
        <v>7613</v>
      </c>
      <c r="C3060" s="1" t="s">
        <v>11158</v>
      </c>
      <c r="D3060" s="2" t="s">
        <v>11159</v>
      </c>
      <c r="E3060" s="1">
        <v>1.0</v>
      </c>
      <c r="I3060" s="1">
        <v>0.0</v>
      </c>
      <c r="J3060" s="1">
        <v>26.0</v>
      </c>
      <c r="L3060" s="1">
        <v>1.3434208E7</v>
      </c>
      <c r="Q3060" s="1" t="s">
        <v>11158</v>
      </c>
      <c r="R3060" s="1" t="s">
        <v>11160</v>
      </c>
      <c r="S3060" s="1">
        <v>0.0</v>
      </c>
      <c r="T3060" s="1">
        <v>0.0</v>
      </c>
      <c r="X3060" s="1" t="s">
        <v>56</v>
      </c>
    </row>
    <row r="3061">
      <c r="A3061" s="3" t="str">
        <f>HYPERLINK("https://stackoverflow.com/q/61507119", "61507119")</f>
        <v>61507119</v>
      </c>
      <c r="B3061" s="1" t="s">
        <v>7613</v>
      </c>
      <c r="C3061" s="1" t="s">
        <v>11161</v>
      </c>
      <c r="D3061" s="2" t="s">
        <v>11162</v>
      </c>
      <c r="E3061" s="1">
        <v>1.0</v>
      </c>
      <c r="I3061" s="1">
        <v>0.0</v>
      </c>
      <c r="J3061" s="1">
        <v>17.0</v>
      </c>
      <c r="L3061" s="1">
        <v>9008822.0</v>
      </c>
      <c r="Q3061" s="1" t="s">
        <v>11161</v>
      </c>
      <c r="R3061" s="1" t="s">
        <v>11163</v>
      </c>
      <c r="S3061" s="1">
        <v>0.0</v>
      </c>
      <c r="T3061" s="1">
        <v>0.0</v>
      </c>
      <c r="X3061" s="1" t="s">
        <v>56</v>
      </c>
    </row>
    <row r="3062">
      <c r="A3062" s="3" t="str">
        <f>HYPERLINK("https://stackoverflow.com/q/61509495", "61509495")</f>
        <v>61509495</v>
      </c>
      <c r="B3062" s="1" t="s">
        <v>7613</v>
      </c>
      <c r="C3062" s="1" t="s">
        <v>11164</v>
      </c>
      <c r="D3062" s="2" t="s">
        <v>11165</v>
      </c>
      <c r="E3062" s="1">
        <v>1.0</v>
      </c>
      <c r="I3062" s="1">
        <v>0.0</v>
      </c>
      <c r="J3062" s="1">
        <v>18.0</v>
      </c>
      <c r="L3062" s="1">
        <v>1076100.0</v>
      </c>
      <c r="Q3062" s="1" t="s">
        <v>11166</v>
      </c>
      <c r="R3062" s="1" t="s">
        <v>11099</v>
      </c>
      <c r="S3062" s="1">
        <v>1.0</v>
      </c>
      <c r="T3062" s="1">
        <v>0.0</v>
      </c>
      <c r="X3062" s="1" t="s">
        <v>56</v>
      </c>
    </row>
    <row r="3063">
      <c r="A3063" s="3" t="str">
        <f>HYPERLINK("https://stackoverflow.com/q/61515127", "61515127")</f>
        <v>61515127</v>
      </c>
      <c r="B3063" s="1" t="s">
        <v>7613</v>
      </c>
      <c r="C3063" s="1" t="s">
        <v>11167</v>
      </c>
      <c r="D3063" s="2" t="s">
        <v>11168</v>
      </c>
      <c r="E3063" s="1">
        <v>1.0</v>
      </c>
      <c r="I3063" s="1">
        <v>0.0</v>
      </c>
      <c r="J3063" s="1">
        <v>39.0</v>
      </c>
      <c r="L3063" s="1">
        <v>4491751.0</v>
      </c>
      <c r="Q3063" s="1" t="s">
        <v>11167</v>
      </c>
      <c r="R3063" s="1" t="s">
        <v>10222</v>
      </c>
      <c r="S3063" s="1">
        <v>0.0</v>
      </c>
      <c r="T3063" s="1">
        <v>1.0</v>
      </c>
      <c r="X3063" s="1" t="s">
        <v>56</v>
      </c>
    </row>
    <row r="3064">
      <c r="A3064" s="3" t="str">
        <f>HYPERLINK("https://stackoverflow.com/q/61526756", "61526756")</f>
        <v>61526756</v>
      </c>
      <c r="B3064" s="1" t="s">
        <v>7613</v>
      </c>
      <c r="C3064" s="1" t="s">
        <v>11169</v>
      </c>
      <c r="D3064" s="2" t="s">
        <v>11170</v>
      </c>
      <c r="E3064" s="1">
        <v>1.0</v>
      </c>
      <c r="I3064" s="1">
        <v>0.0</v>
      </c>
      <c r="J3064" s="1">
        <v>24.0</v>
      </c>
      <c r="L3064" s="1">
        <v>1.3441687E7</v>
      </c>
      <c r="N3064" s="1">
        <v>519413.0</v>
      </c>
      <c r="P3064" s="1" t="s">
        <v>11171</v>
      </c>
      <c r="Q3064" s="1" t="s">
        <v>11171</v>
      </c>
      <c r="R3064" s="1" t="s">
        <v>9616</v>
      </c>
      <c r="S3064" s="1">
        <v>0.0</v>
      </c>
      <c r="T3064" s="1">
        <v>4.0</v>
      </c>
      <c r="X3064" s="1" t="s">
        <v>56</v>
      </c>
    </row>
    <row r="3065">
      <c r="A3065" s="3" t="str">
        <f>HYPERLINK("https://stackoverflow.com/q/61531727", "61531727")</f>
        <v>61531727</v>
      </c>
      <c r="B3065" s="1" t="s">
        <v>7613</v>
      </c>
      <c r="C3065" s="1" t="s">
        <v>11172</v>
      </c>
      <c r="D3065" s="2" t="s">
        <v>11173</v>
      </c>
      <c r="E3065" s="1">
        <v>1.0</v>
      </c>
      <c r="I3065" s="1">
        <v>0.0</v>
      </c>
      <c r="J3065" s="1">
        <v>12.0</v>
      </c>
      <c r="L3065" s="1">
        <v>1.2934138E7</v>
      </c>
      <c r="Q3065" s="1" t="s">
        <v>11174</v>
      </c>
      <c r="R3065" s="1" t="s">
        <v>8321</v>
      </c>
      <c r="S3065" s="1">
        <v>1.0</v>
      </c>
      <c r="T3065" s="1">
        <v>0.0</v>
      </c>
      <c r="X3065" s="1" t="s">
        <v>56</v>
      </c>
    </row>
    <row r="3066">
      <c r="A3066" s="3" t="str">
        <f>HYPERLINK("https://stackoverflow.com/q/61537914", "61537914")</f>
        <v>61537914</v>
      </c>
      <c r="B3066" s="1" t="s">
        <v>7613</v>
      </c>
      <c r="C3066" s="1" t="s">
        <v>11175</v>
      </c>
      <c r="D3066" s="2" t="s">
        <v>11176</v>
      </c>
      <c r="E3066" s="1">
        <v>1.0</v>
      </c>
      <c r="F3066" s="1">
        <v>6.1550128E7</v>
      </c>
      <c r="I3066" s="1">
        <v>0.0</v>
      </c>
      <c r="J3066" s="1">
        <v>16.0</v>
      </c>
      <c r="L3066" s="1">
        <v>8774851.0</v>
      </c>
      <c r="Q3066" s="1" t="s">
        <v>11177</v>
      </c>
      <c r="R3066" s="1" t="s">
        <v>9446</v>
      </c>
      <c r="S3066" s="1">
        <v>1.0</v>
      </c>
      <c r="T3066" s="1">
        <v>0.0</v>
      </c>
      <c r="X3066" s="1" t="s">
        <v>56</v>
      </c>
      <c r="Z3066" s="1" t="s">
        <v>11177</v>
      </c>
    </row>
    <row r="3067">
      <c r="A3067" s="3" t="str">
        <f>HYPERLINK("https://stackoverflow.com/q/61557784", "61557784")</f>
        <v>61557784</v>
      </c>
      <c r="B3067" s="1" t="s">
        <v>7613</v>
      </c>
      <c r="C3067" s="1" t="s">
        <v>11178</v>
      </c>
      <c r="D3067" s="2" t="s">
        <v>11179</v>
      </c>
      <c r="E3067" s="1">
        <v>1.0</v>
      </c>
      <c r="I3067" s="1">
        <v>0.0</v>
      </c>
      <c r="J3067" s="1">
        <v>17.0</v>
      </c>
      <c r="L3067" s="1">
        <v>4268719.0</v>
      </c>
      <c r="N3067" s="1">
        <v>4268719.0</v>
      </c>
      <c r="P3067" s="1" t="s">
        <v>11180</v>
      </c>
      <c r="Q3067" s="1" t="s">
        <v>11180</v>
      </c>
      <c r="R3067" s="1" t="s">
        <v>10084</v>
      </c>
      <c r="S3067" s="1">
        <v>0.0</v>
      </c>
      <c r="T3067" s="1">
        <v>0.0</v>
      </c>
      <c r="X3067" s="1" t="s">
        <v>56</v>
      </c>
    </row>
    <row r="3068">
      <c r="A3068" s="3" t="str">
        <f>HYPERLINK("https://stackoverflow.com/q/61583655", "61583655")</f>
        <v>61583655</v>
      </c>
      <c r="B3068" s="1" t="s">
        <v>7613</v>
      </c>
      <c r="C3068" s="1" t="s">
        <v>11181</v>
      </c>
      <c r="D3068" s="2" t="s">
        <v>11182</v>
      </c>
      <c r="E3068" s="1">
        <v>1.0</v>
      </c>
      <c r="I3068" s="1">
        <v>0.0</v>
      </c>
      <c r="J3068" s="1">
        <v>18.0</v>
      </c>
      <c r="L3068" s="1">
        <v>543032.0</v>
      </c>
      <c r="Q3068" s="1" t="s">
        <v>11181</v>
      </c>
      <c r="R3068" s="1" t="s">
        <v>11183</v>
      </c>
      <c r="S3068" s="1">
        <v>0.0</v>
      </c>
      <c r="T3068" s="1">
        <v>0.0</v>
      </c>
      <c r="X3068" s="1" t="s">
        <v>56</v>
      </c>
    </row>
    <row r="3069">
      <c r="A3069" s="3" t="str">
        <f>HYPERLINK("https://stackoverflow.com/q/61588758", "61588758")</f>
        <v>61588758</v>
      </c>
      <c r="B3069" s="1" t="s">
        <v>7613</v>
      </c>
      <c r="C3069" s="1" t="s">
        <v>11184</v>
      </c>
      <c r="D3069" s="2" t="s">
        <v>11185</v>
      </c>
      <c r="E3069" s="1">
        <v>1.0</v>
      </c>
      <c r="I3069" s="1">
        <v>1.0</v>
      </c>
      <c r="J3069" s="1">
        <v>42.0</v>
      </c>
      <c r="L3069" s="1">
        <v>8969489.0</v>
      </c>
      <c r="N3069" s="1">
        <v>7460777.0</v>
      </c>
      <c r="P3069" s="1" t="s">
        <v>11186</v>
      </c>
      <c r="Q3069" s="1" t="s">
        <v>11186</v>
      </c>
      <c r="R3069" s="1" t="s">
        <v>11187</v>
      </c>
      <c r="S3069" s="1">
        <v>1.0</v>
      </c>
      <c r="T3069" s="1">
        <v>0.0</v>
      </c>
      <c r="X3069" s="1" t="s">
        <v>56</v>
      </c>
    </row>
    <row r="3070">
      <c r="A3070" s="3" t="str">
        <f>HYPERLINK("https://stackoverflow.com/q/61594436", "61594436")</f>
        <v>61594436</v>
      </c>
      <c r="B3070" s="1" t="s">
        <v>7613</v>
      </c>
      <c r="C3070" s="1" t="s">
        <v>11188</v>
      </c>
      <c r="D3070" s="2" t="s">
        <v>11189</v>
      </c>
      <c r="E3070" s="1">
        <v>1.0</v>
      </c>
      <c r="I3070" s="1">
        <v>2.0</v>
      </c>
      <c r="J3070" s="1">
        <v>20.0</v>
      </c>
      <c r="L3070" s="1">
        <v>9257630.0</v>
      </c>
      <c r="Q3070" s="1" t="s">
        <v>11188</v>
      </c>
      <c r="R3070" s="1" t="s">
        <v>11190</v>
      </c>
      <c r="S3070" s="1">
        <v>0.0</v>
      </c>
      <c r="T3070" s="1">
        <v>1.0</v>
      </c>
      <c r="X3070" s="1" t="s">
        <v>56</v>
      </c>
    </row>
    <row r="3071">
      <c r="A3071" s="3" t="str">
        <f>HYPERLINK("https://stackoverflow.com/q/61597162", "61597162")</f>
        <v>61597162</v>
      </c>
      <c r="B3071" s="1" t="s">
        <v>7613</v>
      </c>
      <c r="C3071" s="1" t="s">
        <v>11191</v>
      </c>
      <c r="D3071" s="2" t="s">
        <v>11192</v>
      </c>
      <c r="E3071" s="1">
        <v>1.0</v>
      </c>
      <c r="I3071" s="1">
        <v>0.0</v>
      </c>
      <c r="J3071" s="1">
        <v>26.0</v>
      </c>
      <c r="L3071" s="1">
        <v>1.1875535E7</v>
      </c>
      <c r="N3071" s="1">
        <v>1.1875535E7</v>
      </c>
      <c r="P3071" s="1" t="s">
        <v>11193</v>
      </c>
      <c r="Q3071" s="1" t="s">
        <v>11193</v>
      </c>
      <c r="R3071" s="1" t="s">
        <v>11194</v>
      </c>
      <c r="S3071" s="1">
        <v>0.0</v>
      </c>
      <c r="T3071" s="1">
        <v>6.0</v>
      </c>
      <c r="X3071" s="1" t="s">
        <v>56</v>
      </c>
    </row>
    <row r="3072">
      <c r="A3072" s="3" t="str">
        <f>HYPERLINK("https://stackoverflow.com/q/61626875", "61626875")</f>
        <v>61626875</v>
      </c>
      <c r="B3072" s="1" t="s">
        <v>7613</v>
      </c>
      <c r="C3072" s="1" t="s">
        <v>11195</v>
      </c>
      <c r="D3072" s="2" t="s">
        <v>11196</v>
      </c>
      <c r="E3072" s="1">
        <v>1.0</v>
      </c>
      <c r="I3072" s="1">
        <v>0.0</v>
      </c>
      <c r="J3072" s="1">
        <v>13.0</v>
      </c>
      <c r="L3072" s="1">
        <v>7961057.0</v>
      </c>
      <c r="Q3072" s="1" t="s">
        <v>11197</v>
      </c>
      <c r="R3072" s="1" t="s">
        <v>8962</v>
      </c>
      <c r="S3072" s="1">
        <v>1.0</v>
      </c>
      <c r="T3072" s="1">
        <v>0.0</v>
      </c>
      <c r="X3072" s="1" t="s">
        <v>56</v>
      </c>
    </row>
    <row r="3073">
      <c r="A3073" s="3" t="str">
        <f>HYPERLINK("https://stackoverflow.com/q/61634293", "61634293")</f>
        <v>61634293</v>
      </c>
      <c r="B3073" s="1" t="s">
        <v>7613</v>
      </c>
      <c r="C3073" s="1" t="s">
        <v>11198</v>
      </c>
      <c r="D3073" s="2" t="s">
        <v>11199</v>
      </c>
      <c r="E3073" s="1">
        <v>1.0</v>
      </c>
      <c r="I3073" s="1">
        <v>0.0</v>
      </c>
      <c r="J3073" s="1">
        <v>9.0</v>
      </c>
      <c r="L3073" s="1">
        <v>1.3482388E7</v>
      </c>
      <c r="Q3073" s="1" t="s">
        <v>11198</v>
      </c>
      <c r="R3073" s="1" t="s">
        <v>11200</v>
      </c>
      <c r="S3073" s="1">
        <v>0.0</v>
      </c>
      <c r="T3073" s="1">
        <v>0.0</v>
      </c>
      <c r="X3073" s="1" t="s">
        <v>56</v>
      </c>
    </row>
    <row r="3074">
      <c r="A3074" s="3" t="str">
        <f>HYPERLINK("https://stackoverflow.com/q/61639444", "61639444")</f>
        <v>61639444</v>
      </c>
      <c r="B3074" s="1" t="s">
        <v>7613</v>
      </c>
      <c r="C3074" s="1" t="s">
        <v>11201</v>
      </c>
      <c r="D3074" s="2" t="s">
        <v>11202</v>
      </c>
      <c r="E3074" s="1">
        <v>1.0</v>
      </c>
      <c r="I3074" s="1">
        <v>0.0</v>
      </c>
      <c r="J3074" s="1">
        <v>13.0</v>
      </c>
      <c r="L3074" s="1">
        <v>1198979.0</v>
      </c>
      <c r="Q3074" s="1" t="s">
        <v>11203</v>
      </c>
      <c r="R3074" s="1" t="s">
        <v>8321</v>
      </c>
      <c r="S3074" s="1">
        <v>1.0</v>
      </c>
      <c r="T3074" s="1">
        <v>0.0</v>
      </c>
      <c r="X3074" s="1" t="s">
        <v>56</v>
      </c>
    </row>
    <row r="3075">
      <c r="A3075" s="3" t="str">
        <f>HYPERLINK("https://stackoverflow.com/q/61641793", "61641793")</f>
        <v>61641793</v>
      </c>
      <c r="B3075" s="1" t="s">
        <v>7613</v>
      </c>
      <c r="C3075" s="1" t="s">
        <v>11204</v>
      </c>
      <c r="D3075" s="2" t="s">
        <v>11205</v>
      </c>
      <c r="E3075" s="1">
        <v>1.0</v>
      </c>
      <c r="I3075" s="1">
        <v>0.0</v>
      </c>
      <c r="J3075" s="1">
        <v>21.0</v>
      </c>
      <c r="L3075" s="1">
        <v>4122755.0</v>
      </c>
      <c r="Q3075" s="1" t="s">
        <v>11206</v>
      </c>
      <c r="R3075" s="1" t="s">
        <v>11207</v>
      </c>
      <c r="S3075" s="1">
        <v>1.0</v>
      </c>
      <c r="T3075" s="1">
        <v>0.0</v>
      </c>
      <c r="X3075" s="1" t="s">
        <v>56</v>
      </c>
    </row>
    <row r="3076">
      <c r="A3076" s="3" t="str">
        <f>HYPERLINK("https://stackoverflow.com/q/61642239", "61642239")</f>
        <v>61642239</v>
      </c>
      <c r="B3076" s="1" t="s">
        <v>7613</v>
      </c>
      <c r="C3076" s="1" t="s">
        <v>11208</v>
      </c>
      <c r="D3076" s="2" t="s">
        <v>11209</v>
      </c>
      <c r="E3076" s="1">
        <v>1.0</v>
      </c>
      <c r="I3076" s="1">
        <v>0.0</v>
      </c>
      <c r="J3076" s="1">
        <v>15.0</v>
      </c>
      <c r="L3076" s="1">
        <v>305818.0</v>
      </c>
      <c r="Q3076" s="1" t="s">
        <v>11210</v>
      </c>
      <c r="R3076" s="1" t="s">
        <v>11211</v>
      </c>
      <c r="S3076" s="1">
        <v>1.0</v>
      </c>
      <c r="T3076" s="1">
        <v>0.0</v>
      </c>
      <c r="X3076" s="1" t="s">
        <v>56</v>
      </c>
    </row>
    <row r="3077">
      <c r="A3077" s="3" t="str">
        <f>HYPERLINK("https://stackoverflow.com/q/61642560", "61642560")</f>
        <v>61642560</v>
      </c>
      <c r="B3077" s="1" t="s">
        <v>7613</v>
      </c>
      <c r="C3077" s="1" t="s">
        <v>11212</v>
      </c>
      <c r="D3077" s="2" t="s">
        <v>11213</v>
      </c>
      <c r="E3077" s="1">
        <v>1.0</v>
      </c>
      <c r="I3077" s="1">
        <v>0.0</v>
      </c>
      <c r="J3077" s="1">
        <v>42.0</v>
      </c>
      <c r="L3077" s="1">
        <v>1.1875535E7</v>
      </c>
      <c r="N3077" s="1">
        <v>1.1875535E7</v>
      </c>
      <c r="P3077" s="1" t="s">
        <v>11214</v>
      </c>
      <c r="Q3077" s="1" t="s">
        <v>11215</v>
      </c>
      <c r="R3077" s="1" t="s">
        <v>10354</v>
      </c>
      <c r="S3077" s="1">
        <v>1.0</v>
      </c>
      <c r="T3077" s="1">
        <v>0.0</v>
      </c>
      <c r="X3077" s="1" t="s">
        <v>56</v>
      </c>
    </row>
    <row r="3078">
      <c r="A3078" s="3" t="str">
        <f>HYPERLINK("https://stackoverflow.com/q/61647756", "61647756")</f>
        <v>61647756</v>
      </c>
      <c r="B3078" s="1" t="s">
        <v>7613</v>
      </c>
      <c r="C3078" s="1" t="s">
        <v>11216</v>
      </c>
      <c r="D3078" s="2" t="s">
        <v>11217</v>
      </c>
      <c r="E3078" s="1">
        <v>1.0</v>
      </c>
      <c r="F3078" s="1">
        <v>6.1648046E7</v>
      </c>
      <c r="I3078" s="1">
        <v>0.0</v>
      </c>
      <c r="J3078" s="1">
        <v>22.0</v>
      </c>
      <c r="L3078" s="1">
        <v>7795396.0</v>
      </c>
      <c r="Q3078" s="1" t="s">
        <v>11218</v>
      </c>
      <c r="R3078" s="1" t="s">
        <v>11219</v>
      </c>
      <c r="S3078" s="1">
        <v>1.0</v>
      </c>
      <c r="T3078" s="1">
        <v>0.0</v>
      </c>
      <c r="X3078" s="1" t="s">
        <v>56</v>
      </c>
      <c r="Z3078" s="1" t="s">
        <v>11218</v>
      </c>
    </row>
    <row r="3079">
      <c r="A3079" s="3" t="str">
        <f>HYPERLINK("https://stackoverflow.com/q/61656958", "61656958")</f>
        <v>61656958</v>
      </c>
      <c r="B3079" s="1" t="s">
        <v>7613</v>
      </c>
      <c r="C3079" s="1" t="s">
        <v>11220</v>
      </c>
      <c r="D3079" s="2" t="s">
        <v>11221</v>
      </c>
      <c r="E3079" s="1">
        <v>1.0</v>
      </c>
      <c r="I3079" s="1">
        <v>0.0</v>
      </c>
      <c r="J3079" s="1">
        <v>9.0</v>
      </c>
      <c r="L3079" s="1">
        <v>1.3153106E7</v>
      </c>
      <c r="Q3079" s="1" t="s">
        <v>11220</v>
      </c>
      <c r="R3079" s="1" t="s">
        <v>11222</v>
      </c>
      <c r="S3079" s="1">
        <v>0.0</v>
      </c>
      <c r="T3079" s="1">
        <v>0.0</v>
      </c>
      <c r="X3079" s="1" t="s">
        <v>56</v>
      </c>
    </row>
    <row r="3080">
      <c r="A3080" s="3" t="str">
        <f>HYPERLINK("https://stackoverflow.com/q/61659007", "61659007")</f>
        <v>61659007</v>
      </c>
      <c r="B3080" s="1" t="s">
        <v>7613</v>
      </c>
      <c r="C3080" s="1" t="s">
        <v>11223</v>
      </c>
      <c r="D3080" s="2" t="s">
        <v>11224</v>
      </c>
      <c r="E3080" s="1">
        <v>1.0</v>
      </c>
      <c r="I3080" s="1">
        <v>0.0</v>
      </c>
      <c r="J3080" s="1">
        <v>5.0</v>
      </c>
      <c r="L3080" s="1">
        <v>1.1212716E7</v>
      </c>
      <c r="Q3080" s="1" t="s">
        <v>11223</v>
      </c>
      <c r="R3080" s="1" t="s">
        <v>10222</v>
      </c>
      <c r="S3080" s="1">
        <v>0.0</v>
      </c>
      <c r="T3080" s="1">
        <v>0.0</v>
      </c>
      <c r="X3080" s="1" t="s">
        <v>56</v>
      </c>
    </row>
    <row r="3081">
      <c r="A3081" s="3" t="str">
        <f>HYPERLINK("https://stackoverflow.com/q/61660647", "61660647")</f>
        <v>61660647</v>
      </c>
      <c r="B3081" s="1" t="s">
        <v>7613</v>
      </c>
      <c r="C3081" s="1" t="s">
        <v>11225</v>
      </c>
      <c r="D3081" s="2" t="s">
        <v>11226</v>
      </c>
      <c r="E3081" s="1">
        <v>1.0</v>
      </c>
      <c r="I3081" s="1">
        <v>0.0</v>
      </c>
      <c r="J3081" s="1">
        <v>14.0</v>
      </c>
      <c r="L3081" s="1">
        <v>5128587.0</v>
      </c>
      <c r="Q3081" s="1" t="s">
        <v>11225</v>
      </c>
      <c r="R3081" s="1" t="s">
        <v>11227</v>
      </c>
      <c r="S3081" s="1">
        <v>0.0</v>
      </c>
      <c r="T3081" s="1">
        <v>0.0</v>
      </c>
      <c r="X3081" s="1" t="s">
        <v>56</v>
      </c>
    </row>
    <row r="3082">
      <c r="A3082" s="3" t="str">
        <f>HYPERLINK("https://stackoverflow.com/q/61664951", "61664951")</f>
        <v>61664951</v>
      </c>
      <c r="B3082" s="1" t="s">
        <v>7613</v>
      </c>
      <c r="C3082" s="1" t="s">
        <v>11228</v>
      </c>
      <c r="D3082" s="2" t="s">
        <v>11229</v>
      </c>
      <c r="E3082" s="1">
        <v>1.0</v>
      </c>
      <c r="I3082" s="1">
        <v>0.0</v>
      </c>
      <c r="J3082" s="1">
        <v>7.0</v>
      </c>
      <c r="L3082" s="1">
        <v>1423787.0</v>
      </c>
      <c r="Q3082" s="1" t="s">
        <v>11228</v>
      </c>
      <c r="R3082" s="1" t="s">
        <v>9472</v>
      </c>
      <c r="S3082" s="1">
        <v>0.0</v>
      </c>
      <c r="T3082" s="1">
        <v>0.0</v>
      </c>
      <c r="X3082" s="1" t="s">
        <v>56</v>
      </c>
    </row>
    <row r="3083">
      <c r="A3083" s="3" t="str">
        <f>HYPERLINK("https://stackoverflow.com/q/61668245", "61668245")</f>
        <v>61668245</v>
      </c>
      <c r="B3083" s="1" t="s">
        <v>7613</v>
      </c>
      <c r="C3083" s="1" t="s">
        <v>11230</v>
      </c>
      <c r="D3083" s="2" t="s">
        <v>11231</v>
      </c>
      <c r="E3083" s="1">
        <v>1.0</v>
      </c>
      <c r="I3083" s="1">
        <v>0.0</v>
      </c>
      <c r="J3083" s="1">
        <v>12.0</v>
      </c>
      <c r="L3083" s="1">
        <v>1.2691067E7</v>
      </c>
      <c r="Q3083" s="1" t="s">
        <v>11232</v>
      </c>
      <c r="R3083" s="1" t="s">
        <v>11233</v>
      </c>
      <c r="S3083" s="1">
        <v>1.0</v>
      </c>
      <c r="T3083" s="1">
        <v>0.0</v>
      </c>
      <c r="X3083" s="1" t="s">
        <v>56</v>
      </c>
    </row>
    <row r="3084">
      <c r="A3084" s="3" t="str">
        <f>HYPERLINK("https://stackoverflow.com/q/61672841", "61672841")</f>
        <v>61672841</v>
      </c>
      <c r="B3084" s="1" t="s">
        <v>7613</v>
      </c>
      <c r="C3084" s="1" t="s">
        <v>11234</v>
      </c>
      <c r="D3084" s="2" t="s">
        <v>11235</v>
      </c>
      <c r="E3084" s="1">
        <v>1.0</v>
      </c>
      <c r="I3084" s="1">
        <v>0.0</v>
      </c>
      <c r="J3084" s="1">
        <v>12.0</v>
      </c>
      <c r="L3084" s="1">
        <v>5128587.0</v>
      </c>
      <c r="Q3084" s="1" t="s">
        <v>11234</v>
      </c>
      <c r="R3084" s="1" t="s">
        <v>11227</v>
      </c>
      <c r="S3084" s="1">
        <v>0.0</v>
      </c>
      <c r="T3084" s="1">
        <v>0.0</v>
      </c>
      <c r="X3084" s="1" t="s">
        <v>56</v>
      </c>
    </row>
    <row r="3085">
      <c r="A3085" s="3" t="str">
        <f>HYPERLINK("https://stackoverflow.com/q/61674856", "61674856")</f>
        <v>61674856</v>
      </c>
      <c r="B3085" s="1" t="s">
        <v>7613</v>
      </c>
      <c r="C3085" s="1" t="s">
        <v>11236</v>
      </c>
      <c r="D3085" s="2" t="s">
        <v>11237</v>
      </c>
      <c r="E3085" s="1">
        <v>1.0</v>
      </c>
      <c r="I3085" s="1">
        <v>0.0</v>
      </c>
      <c r="J3085" s="1">
        <v>7.0</v>
      </c>
      <c r="L3085" s="1">
        <v>1.349698E7</v>
      </c>
      <c r="Q3085" s="1" t="s">
        <v>11236</v>
      </c>
      <c r="R3085" s="1" t="s">
        <v>11238</v>
      </c>
      <c r="S3085" s="1">
        <v>0.0</v>
      </c>
      <c r="T3085" s="1">
        <v>0.0</v>
      </c>
      <c r="X3085" s="1" t="s">
        <v>56</v>
      </c>
    </row>
    <row r="3086">
      <c r="A3086" s="3" t="str">
        <f>HYPERLINK("https://stackoverflow.com/q/61676798", "61676798")</f>
        <v>61676798</v>
      </c>
      <c r="B3086" s="1" t="s">
        <v>7613</v>
      </c>
      <c r="C3086" s="1" t="s">
        <v>11239</v>
      </c>
      <c r="D3086" s="2" t="s">
        <v>11240</v>
      </c>
      <c r="E3086" s="1">
        <v>1.0</v>
      </c>
      <c r="I3086" s="1">
        <v>0.0</v>
      </c>
      <c r="J3086" s="1">
        <v>8.0</v>
      </c>
      <c r="L3086" s="1">
        <v>1.3497695E7</v>
      </c>
      <c r="Q3086" s="1" t="s">
        <v>11239</v>
      </c>
      <c r="R3086" s="1" t="s">
        <v>11241</v>
      </c>
      <c r="S3086" s="1">
        <v>0.0</v>
      </c>
      <c r="T3086" s="1">
        <v>0.0</v>
      </c>
      <c r="X3086" s="1" t="s">
        <v>56</v>
      </c>
    </row>
    <row r="3087">
      <c r="A3087" s="3" t="str">
        <f>HYPERLINK("https://stackoverflow.com/q/61677805", "61677805")</f>
        <v>61677805</v>
      </c>
      <c r="B3087" s="1" t="s">
        <v>7613</v>
      </c>
      <c r="C3087" s="1" t="s">
        <v>11242</v>
      </c>
      <c r="D3087" s="2" t="s">
        <v>11243</v>
      </c>
      <c r="E3087" s="1">
        <v>1.0</v>
      </c>
      <c r="I3087" s="1">
        <v>0.0</v>
      </c>
      <c r="J3087" s="1">
        <v>14.0</v>
      </c>
      <c r="L3087" s="1">
        <v>7622310.0</v>
      </c>
      <c r="Q3087" s="1" t="s">
        <v>11242</v>
      </c>
      <c r="R3087" s="1" t="s">
        <v>11244</v>
      </c>
      <c r="S3087" s="1">
        <v>0.0</v>
      </c>
      <c r="T3087" s="1">
        <v>0.0</v>
      </c>
      <c r="X3087" s="1" t="s">
        <v>56</v>
      </c>
    </row>
    <row r="3088">
      <c r="A3088" s="3" t="str">
        <f>HYPERLINK("https://stackoverflow.com/q/61683219", "61683219")</f>
        <v>61683219</v>
      </c>
      <c r="B3088" s="1" t="s">
        <v>7613</v>
      </c>
      <c r="C3088" s="1" t="s">
        <v>11245</v>
      </c>
      <c r="D3088" s="2" t="s">
        <v>11246</v>
      </c>
      <c r="E3088" s="1">
        <v>1.0</v>
      </c>
      <c r="I3088" s="1">
        <v>0.0</v>
      </c>
      <c r="J3088" s="1">
        <v>12.0</v>
      </c>
      <c r="L3088" s="1">
        <v>6782173.0</v>
      </c>
      <c r="Q3088" s="1" t="s">
        <v>11245</v>
      </c>
      <c r="R3088" s="1" t="s">
        <v>11247</v>
      </c>
      <c r="S3088" s="1">
        <v>0.0</v>
      </c>
      <c r="T3088" s="1">
        <v>0.0</v>
      </c>
      <c r="X3088" s="1" t="s">
        <v>56</v>
      </c>
    </row>
    <row r="3089">
      <c r="A3089" s="3" t="str">
        <f>HYPERLINK("https://stackoverflow.com/q/61689176", "61689176")</f>
        <v>61689176</v>
      </c>
      <c r="B3089" s="1" t="s">
        <v>7613</v>
      </c>
      <c r="C3089" s="1" t="s">
        <v>11248</v>
      </c>
      <c r="D3089" s="2" t="s">
        <v>11249</v>
      </c>
      <c r="E3089" s="1">
        <v>1.0</v>
      </c>
      <c r="I3089" s="1">
        <v>0.0</v>
      </c>
      <c r="J3089" s="1">
        <v>17.0</v>
      </c>
      <c r="L3089" s="1">
        <v>988174.0</v>
      </c>
      <c r="Q3089" s="1" t="s">
        <v>11248</v>
      </c>
      <c r="R3089" s="1" t="s">
        <v>11250</v>
      </c>
      <c r="S3089" s="1">
        <v>0.0</v>
      </c>
      <c r="T3089" s="1">
        <v>0.0</v>
      </c>
      <c r="X3089" s="1" t="s">
        <v>56</v>
      </c>
    </row>
    <row r="3090">
      <c r="A3090" s="3" t="str">
        <f>HYPERLINK("https://stackoverflow.com/q/61709741", "61709741")</f>
        <v>61709741</v>
      </c>
      <c r="B3090" s="1" t="s">
        <v>7613</v>
      </c>
      <c r="C3090" s="1" t="s">
        <v>11251</v>
      </c>
      <c r="D3090" s="2" t="s">
        <v>11252</v>
      </c>
      <c r="E3090" s="1">
        <v>1.0</v>
      </c>
      <c r="I3090" s="1">
        <v>0.0</v>
      </c>
      <c r="J3090" s="1">
        <v>17.0</v>
      </c>
      <c r="L3090" s="1">
        <v>8601388.0</v>
      </c>
      <c r="Q3090" s="1" t="s">
        <v>11251</v>
      </c>
      <c r="R3090" s="1" t="s">
        <v>11253</v>
      </c>
      <c r="S3090" s="1">
        <v>0.0</v>
      </c>
      <c r="T3090" s="1">
        <v>1.0</v>
      </c>
      <c r="X3090" s="1" t="s">
        <v>56</v>
      </c>
    </row>
    <row r="3091">
      <c r="A3091" s="3" t="str">
        <f>HYPERLINK("https://stackoverflow.com/q/61735365", "61735365")</f>
        <v>61735365</v>
      </c>
      <c r="B3091" s="1" t="s">
        <v>7613</v>
      </c>
      <c r="C3091" s="1" t="s">
        <v>11254</v>
      </c>
      <c r="D3091" s="2" t="s">
        <v>11255</v>
      </c>
      <c r="E3091" s="1">
        <v>1.0</v>
      </c>
      <c r="I3091" s="1">
        <v>0.0</v>
      </c>
      <c r="J3091" s="1">
        <v>12.0</v>
      </c>
      <c r="L3091" s="1">
        <v>5210562.0</v>
      </c>
      <c r="Q3091" s="1" t="s">
        <v>11254</v>
      </c>
      <c r="R3091" s="1" t="s">
        <v>11256</v>
      </c>
      <c r="S3091" s="1">
        <v>0.0</v>
      </c>
      <c r="T3091" s="1">
        <v>0.0</v>
      </c>
      <c r="X3091" s="1" t="s">
        <v>56</v>
      </c>
    </row>
    <row r="3092">
      <c r="A3092" s="3" t="str">
        <f>HYPERLINK("https://stackoverflow.com/q/61749474", "61749474")</f>
        <v>61749474</v>
      </c>
      <c r="B3092" s="1" t="s">
        <v>7613</v>
      </c>
      <c r="C3092" s="1" t="s">
        <v>11257</v>
      </c>
      <c r="D3092" s="2" t="s">
        <v>11258</v>
      </c>
      <c r="E3092" s="1">
        <v>1.0</v>
      </c>
      <c r="I3092" s="1">
        <v>0.0</v>
      </c>
      <c r="J3092" s="1">
        <v>10.0</v>
      </c>
      <c r="L3092" s="1">
        <v>6833714.0</v>
      </c>
      <c r="Q3092" s="1" t="s">
        <v>11257</v>
      </c>
      <c r="R3092" s="1" t="s">
        <v>11259</v>
      </c>
      <c r="S3092" s="1">
        <v>0.0</v>
      </c>
      <c r="T3092" s="1">
        <v>1.0</v>
      </c>
      <c r="X3092" s="1" t="s">
        <v>56</v>
      </c>
    </row>
    <row r="3093">
      <c r="A3093" s="3" t="str">
        <f>HYPERLINK("https://stackoverflow.com/q/61759228", "61759228")</f>
        <v>61759228</v>
      </c>
      <c r="B3093" s="1" t="s">
        <v>7613</v>
      </c>
      <c r="C3093" s="1" t="s">
        <v>11260</v>
      </c>
      <c r="D3093" s="2" t="s">
        <v>11261</v>
      </c>
      <c r="E3093" s="1">
        <v>1.0</v>
      </c>
      <c r="I3093" s="1">
        <v>2.0</v>
      </c>
      <c r="J3093" s="1">
        <v>26.0</v>
      </c>
      <c r="L3093" s="1">
        <v>9413815.0</v>
      </c>
      <c r="Q3093" s="1" t="s">
        <v>11260</v>
      </c>
      <c r="R3093" s="1" t="s">
        <v>11262</v>
      </c>
      <c r="S3093" s="1">
        <v>0.0</v>
      </c>
      <c r="T3093" s="1">
        <v>0.0</v>
      </c>
      <c r="X3093" s="1" t="s">
        <v>56</v>
      </c>
    </row>
    <row r="3094">
      <c r="A3094" s="3" t="str">
        <f>HYPERLINK("https://stackoverflow.com/q/61780469", "61780469")</f>
        <v>61780469</v>
      </c>
      <c r="B3094" s="1" t="s">
        <v>7613</v>
      </c>
      <c r="C3094" s="1" t="s">
        <v>11263</v>
      </c>
      <c r="D3094" s="2" t="s">
        <v>11264</v>
      </c>
      <c r="E3094" s="1">
        <v>1.0</v>
      </c>
      <c r="F3094" s="1">
        <v>6.1788943E7</v>
      </c>
      <c r="I3094" s="1">
        <v>0.0</v>
      </c>
      <c r="J3094" s="1">
        <v>15.0</v>
      </c>
      <c r="L3094" s="1">
        <v>1.2934138E7</v>
      </c>
      <c r="Q3094" s="1" t="s">
        <v>11265</v>
      </c>
      <c r="R3094" s="1" t="s">
        <v>8321</v>
      </c>
      <c r="S3094" s="1">
        <v>1.0</v>
      </c>
      <c r="T3094" s="1">
        <v>0.0</v>
      </c>
      <c r="X3094" s="1" t="s">
        <v>56</v>
      </c>
      <c r="Z3094" s="1" t="s">
        <v>11265</v>
      </c>
    </row>
    <row r="3095">
      <c r="A3095" s="3" t="str">
        <f>HYPERLINK("https://stackoverflow.com/q/61790198", "61790198")</f>
        <v>61790198</v>
      </c>
      <c r="B3095" s="1" t="s">
        <v>7613</v>
      </c>
      <c r="C3095" s="1" t="s">
        <v>11266</v>
      </c>
      <c r="D3095" s="2" t="s">
        <v>11267</v>
      </c>
      <c r="E3095" s="1">
        <v>1.0</v>
      </c>
      <c r="I3095" s="1">
        <v>0.0</v>
      </c>
      <c r="J3095" s="1">
        <v>17.0</v>
      </c>
      <c r="L3095" s="1">
        <v>1790977.0</v>
      </c>
      <c r="Q3095" s="1" t="s">
        <v>11266</v>
      </c>
      <c r="R3095" s="1" t="s">
        <v>8728</v>
      </c>
      <c r="S3095" s="1">
        <v>0.0</v>
      </c>
      <c r="T3095" s="1">
        <v>0.0</v>
      </c>
      <c r="X3095" s="1" t="s">
        <v>56</v>
      </c>
    </row>
    <row r="3096">
      <c r="A3096" s="3" t="str">
        <f>HYPERLINK("https://stackoverflow.com/q/61817845", "61817845")</f>
        <v>61817845</v>
      </c>
      <c r="B3096" s="1" t="s">
        <v>7613</v>
      </c>
      <c r="C3096" s="1" t="s">
        <v>11268</v>
      </c>
      <c r="D3096" s="2" t="s">
        <v>11269</v>
      </c>
      <c r="E3096" s="1">
        <v>1.0</v>
      </c>
      <c r="I3096" s="1">
        <v>0.0</v>
      </c>
      <c r="J3096" s="1">
        <v>14.0</v>
      </c>
      <c r="L3096" s="1">
        <v>1.3462717E7</v>
      </c>
      <c r="Q3096" s="1" t="s">
        <v>11268</v>
      </c>
      <c r="R3096" s="1" t="s">
        <v>11270</v>
      </c>
      <c r="S3096" s="1">
        <v>0.0</v>
      </c>
      <c r="T3096" s="1">
        <v>0.0</v>
      </c>
      <c r="X3096" s="1" t="s">
        <v>56</v>
      </c>
    </row>
    <row r="3097">
      <c r="A3097" s="3" t="str">
        <f>HYPERLINK("https://stackoverflow.com/q/61818685", "61818685")</f>
        <v>61818685</v>
      </c>
      <c r="B3097" s="1" t="s">
        <v>7613</v>
      </c>
      <c r="C3097" s="1" t="s">
        <v>11271</v>
      </c>
      <c r="D3097" s="2" t="s">
        <v>11272</v>
      </c>
      <c r="E3097" s="1">
        <v>1.0</v>
      </c>
      <c r="I3097" s="1">
        <v>0.0</v>
      </c>
      <c r="J3097" s="1">
        <v>46.0</v>
      </c>
      <c r="L3097" s="1">
        <v>6568130.0</v>
      </c>
      <c r="Q3097" s="1" t="s">
        <v>11273</v>
      </c>
      <c r="R3097" s="1" t="s">
        <v>11274</v>
      </c>
      <c r="S3097" s="1">
        <v>1.0</v>
      </c>
      <c r="T3097" s="1">
        <v>1.0</v>
      </c>
      <c r="X3097" s="1" t="s">
        <v>56</v>
      </c>
    </row>
    <row r="3098">
      <c r="A3098" s="3" t="str">
        <f>HYPERLINK("https://stackoverflow.com/q/61820944", "61820944")</f>
        <v>61820944</v>
      </c>
      <c r="B3098" s="1" t="s">
        <v>7613</v>
      </c>
      <c r="C3098" s="1" t="s">
        <v>11275</v>
      </c>
      <c r="D3098" s="2" t="s">
        <v>11276</v>
      </c>
      <c r="E3098" s="1">
        <v>1.0</v>
      </c>
      <c r="I3098" s="1">
        <v>0.0</v>
      </c>
      <c r="J3098" s="1">
        <v>14.0</v>
      </c>
      <c r="L3098" s="1">
        <v>9194579.0</v>
      </c>
      <c r="Q3098" s="1" t="s">
        <v>11277</v>
      </c>
      <c r="R3098" s="1" t="s">
        <v>11278</v>
      </c>
      <c r="S3098" s="1">
        <v>1.0</v>
      </c>
      <c r="T3098" s="1">
        <v>2.0</v>
      </c>
      <c r="X3098" s="1" t="s">
        <v>56</v>
      </c>
    </row>
    <row r="3099">
      <c r="A3099" s="3" t="str">
        <f>HYPERLINK("https://stackoverflow.com/q/61824996", "61824996")</f>
        <v>61824996</v>
      </c>
      <c r="B3099" s="1" t="s">
        <v>7613</v>
      </c>
      <c r="C3099" s="1" t="s">
        <v>11279</v>
      </c>
      <c r="D3099" s="2" t="s">
        <v>11280</v>
      </c>
      <c r="E3099" s="1">
        <v>1.0</v>
      </c>
      <c r="I3099" s="1">
        <v>0.0</v>
      </c>
      <c r="J3099" s="1">
        <v>22.0</v>
      </c>
      <c r="L3099" s="1">
        <v>7821957.0</v>
      </c>
      <c r="N3099" s="1">
        <v>7821957.0</v>
      </c>
      <c r="P3099" s="1" t="s">
        <v>11281</v>
      </c>
      <c r="Q3099" s="1" t="s">
        <v>11281</v>
      </c>
      <c r="R3099" s="1" t="s">
        <v>8705</v>
      </c>
      <c r="S3099" s="1">
        <v>1.0</v>
      </c>
      <c r="T3099" s="1">
        <v>11.0</v>
      </c>
      <c r="U3099" s="1">
        <v>1.0</v>
      </c>
      <c r="X3099" s="1" t="s">
        <v>56</v>
      </c>
    </row>
    <row r="3100">
      <c r="A3100" s="3" t="str">
        <f>HYPERLINK("https://stackoverflow.com/q/61827269", "61827269")</f>
        <v>61827269</v>
      </c>
      <c r="B3100" s="1" t="s">
        <v>7613</v>
      </c>
      <c r="C3100" s="1" t="s">
        <v>11282</v>
      </c>
      <c r="D3100" s="2" t="s">
        <v>11283</v>
      </c>
      <c r="E3100" s="1">
        <v>1.0</v>
      </c>
      <c r="I3100" s="1">
        <v>0.0</v>
      </c>
      <c r="J3100" s="1">
        <v>6.0</v>
      </c>
      <c r="L3100" s="1">
        <v>5020952.0</v>
      </c>
      <c r="Q3100" s="1" t="s">
        <v>11282</v>
      </c>
      <c r="R3100" s="1" t="s">
        <v>8321</v>
      </c>
      <c r="S3100" s="1">
        <v>0.0</v>
      </c>
      <c r="T3100" s="1">
        <v>0.0</v>
      </c>
      <c r="X3100" s="1" t="s">
        <v>56</v>
      </c>
    </row>
    <row r="3101">
      <c r="A3101" s="3" t="str">
        <f>HYPERLINK("https://stackoverflow.com/q/61834955", "61834955")</f>
        <v>61834955</v>
      </c>
      <c r="B3101" s="1" t="s">
        <v>7613</v>
      </c>
      <c r="C3101" s="1" t="s">
        <v>11284</v>
      </c>
      <c r="D3101" s="2" t="s">
        <v>11285</v>
      </c>
      <c r="E3101" s="1">
        <v>1.0</v>
      </c>
      <c r="I3101" s="1">
        <v>0.0</v>
      </c>
      <c r="J3101" s="1">
        <v>7.0</v>
      </c>
      <c r="L3101" s="1">
        <v>7034805.0</v>
      </c>
      <c r="Q3101" s="1" t="s">
        <v>11284</v>
      </c>
      <c r="R3101" s="1" t="s">
        <v>8412</v>
      </c>
      <c r="S3101" s="1">
        <v>0.0</v>
      </c>
      <c r="T3101" s="1">
        <v>1.0</v>
      </c>
      <c r="X3101" s="1" t="s">
        <v>56</v>
      </c>
    </row>
    <row r="3102">
      <c r="A3102" s="3" t="str">
        <f>HYPERLINK("https://stackoverflow.com/q/61854113", "61854113")</f>
        <v>61854113</v>
      </c>
      <c r="B3102" s="1" t="s">
        <v>7613</v>
      </c>
      <c r="C3102" s="1" t="s">
        <v>11286</v>
      </c>
      <c r="D3102" s="2" t="s">
        <v>11287</v>
      </c>
      <c r="E3102" s="1">
        <v>1.0</v>
      </c>
      <c r="I3102" s="1">
        <v>0.0</v>
      </c>
      <c r="J3102" s="1">
        <v>15.0</v>
      </c>
      <c r="L3102" s="1">
        <v>1.0591564E7</v>
      </c>
      <c r="N3102" s="1">
        <v>1823841.0</v>
      </c>
      <c r="P3102" s="1" t="s">
        <v>11288</v>
      </c>
      <c r="Q3102" s="1" t="s">
        <v>11288</v>
      </c>
      <c r="R3102" s="1" t="s">
        <v>11289</v>
      </c>
      <c r="S3102" s="1">
        <v>0.0</v>
      </c>
      <c r="T3102" s="1">
        <v>1.0</v>
      </c>
      <c r="X3102" s="1" t="s">
        <v>56</v>
      </c>
    </row>
    <row r="3103">
      <c r="A3103" s="3" t="str">
        <f>HYPERLINK("https://stackoverflow.com/q/61869531", "61869531")</f>
        <v>61869531</v>
      </c>
      <c r="B3103" s="1" t="s">
        <v>7613</v>
      </c>
      <c r="C3103" s="1" t="s">
        <v>11290</v>
      </c>
      <c r="D3103" s="2" t="s">
        <v>11291</v>
      </c>
      <c r="E3103" s="1">
        <v>1.0</v>
      </c>
      <c r="I3103" s="1">
        <v>0.0</v>
      </c>
      <c r="J3103" s="1">
        <v>13.0</v>
      </c>
      <c r="L3103" s="1">
        <v>1.3542634E7</v>
      </c>
      <c r="N3103" s="1">
        <v>2071697.0</v>
      </c>
      <c r="P3103" s="1" t="s">
        <v>11292</v>
      </c>
      <c r="Q3103" s="1" t="s">
        <v>11292</v>
      </c>
      <c r="R3103" s="1" t="s">
        <v>10349</v>
      </c>
      <c r="S3103" s="1">
        <v>0.0</v>
      </c>
      <c r="T3103" s="1">
        <v>0.0</v>
      </c>
      <c r="X3103" s="1" t="s">
        <v>56</v>
      </c>
    </row>
    <row r="3104">
      <c r="A3104" s="3" t="str">
        <f>HYPERLINK("https://stackoverflow.com/q/61903819", "61903819")</f>
        <v>61903819</v>
      </c>
      <c r="B3104" s="1" t="s">
        <v>7613</v>
      </c>
      <c r="C3104" s="1" t="s">
        <v>11293</v>
      </c>
      <c r="D3104" s="2" t="s">
        <v>11294</v>
      </c>
      <c r="E3104" s="1">
        <v>1.0</v>
      </c>
      <c r="I3104" s="1">
        <v>0.0</v>
      </c>
      <c r="J3104" s="1">
        <v>27.0</v>
      </c>
      <c r="L3104" s="1">
        <v>1.3578783E7</v>
      </c>
      <c r="N3104" s="1">
        <v>5374999.0</v>
      </c>
      <c r="P3104" s="1" t="s">
        <v>11295</v>
      </c>
      <c r="Q3104" s="1" t="s">
        <v>11295</v>
      </c>
      <c r="R3104" s="1" t="s">
        <v>7688</v>
      </c>
      <c r="S3104" s="1">
        <v>0.0</v>
      </c>
      <c r="T3104" s="1">
        <v>0.0</v>
      </c>
      <c r="X3104" s="1" t="s">
        <v>56</v>
      </c>
    </row>
    <row r="3105">
      <c r="A3105" s="3" t="str">
        <f>HYPERLINK("https://stackoverflow.com/q/61920382", "61920382")</f>
        <v>61920382</v>
      </c>
      <c r="B3105" s="1" t="s">
        <v>7613</v>
      </c>
      <c r="C3105" s="1" t="s">
        <v>11296</v>
      </c>
      <c r="D3105" s="2" t="s">
        <v>11297</v>
      </c>
      <c r="E3105" s="1">
        <v>1.0</v>
      </c>
      <c r="I3105" s="1">
        <v>0.0</v>
      </c>
      <c r="J3105" s="1">
        <v>11.0</v>
      </c>
      <c r="L3105" s="1">
        <v>3438495.0</v>
      </c>
      <c r="N3105" s="1">
        <v>2071697.0</v>
      </c>
      <c r="P3105" s="1" t="s">
        <v>11298</v>
      </c>
      <c r="Q3105" s="1" t="s">
        <v>11298</v>
      </c>
      <c r="R3105" s="1" t="s">
        <v>11299</v>
      </c>
      <c r="S3105" s="1">
        <v>0.0</v>
      </c>
      <c r="T3105" s="1">
        <v>0.0</v>
      </c>
      <c r="X3105" s="1" t="s">
        <v>56</v>
      </c>
    </row>
    <row r="3106">
      <c r="A3106" s="3" t="str">
        <f>HYPERLINK("https://stackoverflow.com/q/61928879", "61928879")</f>
        <v>61928879</v>
      </c>
      <c r="B3106" s="1" t="s">
        <v>7613</v>
      </c>
      <c r="C3106" s="1" t="s">
        <v>11300</v>
      </c>
      <c r="D3106" s="2" t="s">
        <v>11301</v>
      </c>
      <c r="E3106" s="1">
        <v>1.0</v>
      </c>
      <c r="I3106" s="1">
        <v>0.0</v>
      </c>
      <c r="J3106" s="1">
        <v>6.0</v>
      </c>
      <c r="L3106" s="1">
        <v>5210562.0</v>
      </c>
      <c r="Q3106" s="1" t="s">
        <v>11300</v>
      </c>
      <c r="R3106" s="1" t="s">
        <v>11302</v>
      </c>
      <c r="S3106" s="1">
        <v>0.0</v>
      </c>
      <c r="T3106" s="1">
        <v>0.0</v>
      </c>
      <c r="X3106" s="1" t="s">
        <v>56</v>
      </c>
    </row>
    <row r="3107">
      <c r="A3107" s="3" t="str">
        <f>HYPERLINK("https://stackoverflow.com/q/61932638", "61932638")</f>
        <v>61932638</v>
      </c>
      <c r="B3107" s="1" t="s">
        <v>7613</v>
      </c>
      <c r="C3107" s="1" t="s">
        <v>11303</v>
      </c>
      <c r="D3107" s="2" t="s">
        <v>11304</v>
      </c>
      <c r="E3107" s="1">
        <v>1.0</v>
      </c>
      <c r="I3107" s="1">
        <v>0.0</v>
      </c>
      <c r="J3107" s="1">
        <v>7.0</v>
      </c>
      <c r="L3107" s="1">
        <v>6051334.0</v>
      </c>
      <c r="Q3107" s="1" t="s">
        <v>11303</v>
      </c>
      <c r="R3107" s="1" t="s">
        <v>9097</v>
      </c>
      <c r="S3107" s="1">
        <v>0.0</v>
      </c>
      <c r="T3107" s="1">
        <v>0.0</v>
      </c>
      <c r="X3107" s="1" t="s">
        <v>56</v>
      </c>
    </row>
    <row r="3108">
      <c r="A3108" s="3" t="str">
        <f>HYPERLINK("https://stackoverflow.com/q/61938413", "61938413")</f>
        <v>61938413</v>
      </c>
      <c r="B3108" s="1" t="s">
        <v>7613</v>
      </c>
      <c r="C3108" s="1" t="s">
        <v>11305</v>
      </c>
      <c r="D3108" s="2" t="s">
        <v>11306</v>
      </c>
      <c r="E3108" s="1">
        <v>1.0</v>
      </c>
      <c r="F3108" s="1">
        <v>6.1961305E7</v>
      </c>
      <c r="I3108" s="1">
        <v>2.0</v>
      </c>
      <c r="J3108" s="1">
        <v>18.0</v>
      </c>
      <c r="L3108" s="1">
        <v>1694175.0</v>
      </c>
      <c r="Q3108" s="1" t="s">
        <v>11307</v>
      </c>
      <c r="R3108" s="1" t="s">
        <v>11308</v>
      </c>
      <c r="S3108" s="1">
        <v>1.0</v>
      </c>
      <c r="T3108" s="1">
        <v>0.0</v>
      </c>
      <c r="X3108" s="1" t="s">
        <v>56</v>
      </c>
      <c r="Z3108" s="1" t="s">
        <v>11307</v>
      </c>
    </row>
    <row r="3109">
      <c r="A3109" s="3" t="str">
        <f>HYPERLINK("https://stackoverflow.com/q/61947363", "61947363")</f>
        <v>61947363</v>
      </c>
      <c r="B3109" s="1" t="s">
        <v>7613</v>
      </c>
      <c r="C3109" s="1" t="s">
        <v>11309</v>
      </c>
      <c r="D3109" s="2" t="s">
        <v>11310</v>
      </c>
      <c r="E3109" s="1">
        <v>1.0</v>
      </c>
      <c r="I3109" s="1">
        <v>0.0</v>
      </c>
      <c r="J3109" s="1">
        <v>9.0</v>
      </c>
      <c r="L3109" s="1">
        <v>6550693.0</v>
      </c>
      <c r="Q3109" s="1" t="s">
        <v>11311</v>
      </c>
      <c r="R3109" s="1" t="s">
        <v>10714</v>
      </c>
      <c r="S3109" s="1">
        <v>1.0</v>
      </c>
      <c r="T3109" s="1">
        <v>0.0</v>
      </c>
      <c r="X3109" s="1" t="s">
        <v>56</v>
      </c>
    </row>
    <row r="3110">
      <c r="A3110" s="3" t="str">
        <f>HYPERLINK("https://stackoverflow.com/q/61950117", "61950117")</f>
        <v>61950117</v>
      </c>
      <c r="B3110" s="1" t="s">
        <v>7613</v>
      </c>
      <c r="C3110" s="1" t="s">
        <v>11312</v>
      </c>
      <c r="D3110" s="2" t="s">
        <v>11313</v>
      </c>
      <c r="E3110" s="1">
        <v>1.0</v>
      </c>
      <c r="I3110" s="1">
        <v>0.0</v>
      </c>
      <c r="J3110" s="1">
        <v>8.0</v>
      </c>
      <c r="L3110" s="1">
        <v>1.3594879E7</v>
      </c>
      <c r="Q3110" s="1" t="s">
        <v>11312</v>
      </c>
      <c r="R3110" s="1" t="s">
        <v>11314</v>
      </c>
      <c r="S3110" s="1">
        <v>0.0</v>
      </c>
      <c r="T3110" s="1">
        <v>0.0</v>
      </c>
      <c r="X3110" s="1" t="s">
        <v>56</v>
      </c>
    </row>
    <row r="3111">
      <c r="A3111" s="3" t="str">
        <f>HYPERLINK("https://stackoverflow.com/q/61977505", "61977505")</f>
        <v>61977505</v>
      </c>
      <c r="B3111" s="1" t="s">
        <v>7613</v>
      </c>
      <c r="C3111" s="1" t="s">
        <v>11315</v>
      </c>
      <c r="D3111" s="2" t="s">
        <v>11316</v>
      </c>
      <c r="E3111" s="1">
        <v>1.0</v>
      </c>
      <c r="I3111" s="1">
        <v>0.0</v>
      </c>
      <c r="J3111" s="1">
        <v>15.0</v>
      </c>
      <c r="L3111" s="1">
        <v>1.3600776E7</v>
      </c>
      <c r="N3111" s="1">
        <v>3333052.0</v>
      </c>
      <c r="P3111" s="1" t="s">
        <v>11317</v>
      </c>
      <c r="Q3111" s="1" t="s">
        <v>11317</v>
      </c>
      <c r="R3111" s="1" t="s">
        <v>8321</v>
      </c>
      <c r="S3111" s="1">
        <v>0.0</v>
      </c>
      <c r="T3111" s="1">
        <v>0.0</v>
      </c>
      <c r="X3111" s="1" t="s">
        <v>56</v>
      </c>
    </row>
    <row r="3112">
      <c r="A3112" s="3" t="str">
        <f>HYPERLINK("https://stackoverflow.com/q/62006237", "62006237")</f>
        <v>62006237</v>
      </c>
      <c r="B3112" s="1" t="s">
        <v>7613</v>
      </c>
      <c r="C3112" s="1" t="s">
        <v>11318</v>
      </c>
      <c r="D3112" s="2" t="s">
        <v>11319</v>
      </c>
      <c r="E3112" s="1">
        <v>1.0</v>
      </c>
      <c r="I3112" s="1">
        <v>0.0</v>
      </c>
      <c r="J3112" s="1">
        <v>16.0</v>
      </c>
      <c r="L3112" s="1">
        <v>8218830.0</v>
      </c>
      <c r="Q3112" s="1" t="s">
        <v>11318</v>
      </c>
      <c r="R3112" s="1" t="s">
        <v>8321</v>
      </c>
      <c r="S3112" s="1">
        <v>0.0</v>
      </c>
      <c r="T3112" s="1">
        <v>0.0</v>
      </c>
      <c r="X3112" s="1" t="s">
        <v>56</v>
      </c>
    </row>
    <row r="3113">
      <c r="A3113" s="3" t="str">
        <f>HYPERLINK("https://stackoverflow.com/q/62018029", "62018029")</f>
        <v>62018029</v>
      </c>
      <c r="B3113" s="1" t="s">
        <v>7613</v>
      </c>
      <c r="C3113" s="1" t="s">
        <v>11320</v>
      </c>
      <c r="D3113" s="2" t="s">
        <v>11321</v>
      </c>
      <c r="E3113" s="1">
        <v>1.0</v>
      </c>
      <c r="I3113" s="1">
        <v>0.0</v>
      </c>
      <c r="J3113" s="1">
        <v>4.0</v>
      </c>
      <c r="L3113" s="1">
        <v>7509073.0</v>
      </c>
      <c r="Q3113" s="1" t="s">
        <v>11320</v>
      </c>
      <c r="R3113" s="1" t="s">
        <v>9472</v>
      </c>
      <c r="S3113" s="1">
        <v>0.0</v>
      </c>
      <c r="T3113" s="1">
        <v>0.0</v>
      </c>
      <c r="X3113" s="1" t="s">
        <v>56</v>
      </c>
    </row>
    <row r="3114">
      <c r="A3114" s="3" t="str">
        <f>HYPERLINK("https://stackoverflow.com/q/62020069", "62020069")</f>
        <v>62020069</v>
      </c>
      <c r="B3114" s="1" t="s">
        <v>7613</v>
      </c>
      <c r="C3114" s="1" t="s">
        <v>11322</v>
      </c>
      <c r="D3114" s="2" t="s">
        <v>11323</v>
      </c>
      <c r="E3114" s="1">
        <v>1.0</v>
      </c>
      <c r="I3114" s="1">
        <v>0.0</v>
      </c>
      <c r="J3114" s="1">
        <v>11.0</v>
      </c>
      <c r="L3114" s="1">
        <v>1.1409014E7</v>
      </c>
      <c r="Q3114" s="1" t="s">
        <v>11322</v>
      </c>
      <c r="R3114" s="1" t="s">
        <v>8870</v>
      </c>
      <c r="S3114" s="1">
        <v>0.0</v>
      </c>
      <c r="T3114" s="1">
        <v>0.0</v>
      </c>
      <c r="X3114" s="1" t="s">
        <v>56</v>
      </c>
    </row>
    <row r="3115">
      <c r="A3115" s="3" t="str">
        <f>HYPERLINK("https://stackoverflow.com/q/62022772", "62022772")</f>
        <v>62022772</v>
      </c>
      <c r="B3115" s="1" t="s">
        <v>7613</v>
      </c>
      <c r="C3115" s="1" t="s">
        <v>11324</v>
      </c>
      <c r="D3115" s="2" t="s">
        <v>11325</v>
      </c>
      <c r="E3115" s="1">
        <v>1.0</v>
      </c>
      <c r="I3115" s="1">
        <v>0.0</v>
      </c>
      <c r="J3115" s="1">
        <v>12.0</v>
      </c>
      <c r="L3115" s="1">
        <v>8646554.0</v>
      </c>
      <c r="N3115" s="1">
        <v>2057955.0</v>
      </c>
      <c r="P3115" s="1" t="s">
        <v>11326</v>
      </c>
      <c r="Q3115" s="1" t="s">
        <v>11327</v>
      </c>
      <c r="R3115" s="1" t="s">
        <v>10222</v>
      </c>
      <c r="S3115" s="1">
        <v>1.0</v>
      </c>
      <c r="T3115" s="1">
        <v>0.0</v>
      </c>
      <c r="X3115" s="1" t="s">
        <v>56</v>
      </c>
    </row>
    <row r="3116">
      <c r="A3116" s="3" t="str">
        <f>HYPERLINK("https://stackoverflow.com/q/62031387", "62031387")</f>
        <v>62031387</v>
      </c>
      <c r="B3116" s="1" t="s">
        <v>7613</v>
      </c>
      <c r="C3116" s="1" t="s">
        <v>11328</v>
      </c>
      <c r="D3116" s="2" t="s">
        <v>11329</v>
      </c>
      <c r="E3116" s="1">
        <v>1.0</v>
      </c>
      <c r="I3116" s="1">
        <v>2.0</v>
      </c>
      <c r="J3116" s="1">
        <v>19.0</v>
      </c>
      <c r="L3116" s="1">
        <v>9413815.0</v>
      </c>
      <c r="Q3116" s="1" t="s">
        <v>11328</v>
      </c>
      <c r="R3116" s="1" t="s">
        <v>11330</v>
      </c>
      <c r="S3116" s="1">
        <v>0.0</v>
      </c>
      <c r="T3116" s="1">
        <v>0.0</v>
      </c>
      <c r="X3116" s="1" t="s">
        <v>56</v>
      </c>
    </row>
    <row r="3117">
      <c r="A3117" s="3" t="str">
        <f>HYPERLINK("https://stackoverflow.com/q/62036134", "62036134")</f>
        <v>62036134</v>
      </c>
      <c r="B3117" s="1" t="s">
        <v>7613</v>
      </c>
      <c r="C3117" s="1" t="s">
        <v>11331</v>
      </c>
      <c r="D3117" s="2" t="s">
        <v>11332</v>
      </c>
      <c r="E3117" s="1">
        <v>1.0</v>
      </c>
      <c r="I3117" s="1">
        <v>0.0</v>
      </c>
      <c r="J3117" s="1">
        <v>8.0</v>
      </c>
      <c r="L3117" s="1">
        <v>1.3403619E7</v>
      </c>
      <c r="Q3117" s="1" t="s">
        <v>11331</v>
      </c>
      <c r="R3117" s="1" t="s">
        <v>9577</v>
      </c>
      <c r="S3117" s="1">
        <v>0.0</v>
      </c>
      <c r="T3117" s="1">
        <v>2.0</v>
      </c>
      <c r="X3117" s="1" t="s">
        <v>56</v>
      </c>
    </row>
    <row r="3118">
      <c r="A3118" s="3" t="str">
        <f>HYPERLINK("https://stackoverflow.com/q/62049277", "62049277")</f>
        <v>62049277</v>
      </c>
      <c r="B3118" s="1" t="s">
        <v>7613</v>
      </c>
      <c r="C3118" s="1" t="s">
        <v>11333</v>
      </c>
      <c r="D3118" s="2" t="s">
        <v>11334</v>
      </c>
      <c r="E3118" s="1">
        <v>1.0</v>
      </c>
      <c r="I3118" s="1">
        <v>0.0</v>
      </c>
      <c r="J3118" s="1">
        <v>8.0</v>
      </c>
      <c r="L3118" s="1">
        <v>1.3118364E7</v>
      </c>
      <c r="Q3118" s="1" t="s">
        <v>11335</v>
      </c>
      <c r="R3118" s="1" t="s">
        <v>8321</v>
      </c>
      <c r="S3118" s="1">
        <v>1.0</v>
      </c>
      <c r="T3118" s="1">
        <v>0.0</v>
      </c>
      <c r="X3118" s="1" t="s">
        <v>56</v>
      </c>
    </row>
    <row r="3119">
      <c r="A3119" s="3" t="str">
        <f>HYPERLINK("https://stackoverflow.com/q/62049728", "62049728")</f>
        <v>62049728</v>
      </c>
      <c r="B3119" s="1" t="s">
        <v>7613</v>
      </c>
      <c r="C3119" s="1" t="s">
        <v>11336</v>
      </c>
      <c r="D3119" s="2" t="s">
        <v>11337</v>
      </c>
      <c r="E3119" s="1">
        <v>1.0</v>
      </c>
      <c r="I3119" s="1">
        <v>0.0</v>
      </c>
      <c r="J3119" s="1">
        <v>14.0</v>
      </c>
      <c r="L3119" s="1">
        <v>5687115.0</v>
      </c>
      <c r="Q3119" s="1" t="s">
        <v>11336</v>
      </c>
      <c r="R3119" s="1" t="s">
        <v>11338</v>
      </c>
      <c r="S3119" s="1">
        <v>0.0</v>
      </c>
      <c r="T3119" s="1">
        <v>0.0</v>
      </c>
      <c r="X3119" s="1" t="s">
        <v>56</v>
      </c>
    </row>
    <row r="3120">
      <c r="A3120" s="3" t="str">
        <f>HYPERLINK("https://stackoverflow.com/q/62066602", "62066602")</f>
        <v>62066602</v>
      </c>
      <c r="B3120" s="1" t="s">
        <v>7613</v>
      </c>
      <c r="C3120" s="1" t="s">
        <v>11339</v>
      </c>
      <c r="D3120" s="2" t="s">
        <v>11340</v>
      </c>
      <c r="E3120" s="1">
        <v>1.0</v>
      </c>
      <c r="F3120" s="1">
        <v>6.2072812E7</v>
      </c>
      <c r="I3120" s="1">
        <v>0.0</v>
      </c>
      <c r="J3120" s="1">
        <v>11.0</v>
      </c>
      <c r="L3120" s="1">
        <v>1.1875535E7</v>
      </c>
      <c r="Q3120" s="1" t="s">
        <v>11341</v>
      </c>
      <c r="R3120" s="1" t="s">
        <v>8321</v>
      </c>
      <c r="S3120" s="1">
        <v>1.0</v>
      </c>
      <c r="T3120" s="1">
        <v>0.0</v>
      </c>
      <c r="X3120" s="1" t="s">
        <v>56</v>
      </c>
      <c r="Z3120" s="1" t="s">
        <v>11341</v>
      </c>
    </row>
    <row r="3121">
      <c r="A3121" s="3" t="str">
        <f>HYPERLINK("https://stackoverflow.com/q/62074644", "62074644")</f>
        <v>62074644</v>
      </c>
      <c r="B3121" s="1" t="s">
        <v>7613</v>
      </c>
      <c r="C3121" s="1" t="s">
        <v>11342</v>
      </c>
      <c r="D3121" s="2" t="s">
        <v>11343</v>
      </c>
      <c r="E3121" s="1">
        <v>1.0</v>
      </c>
      <c r="I3121" s="1">
        <v>0.0</v>
      </c>
      <c r="J3121" s="1">
        <v>14.0</v>
      </c>
      <c r="L3121" s="1">
        <v>1890137.0</v>
      </c>
      <c r="Q3121" s="1" t="s">
        <v>11344</v>
      </c>
      <c r="R3121" s="1" t="s">
        <v>11345</v>
      </c>
      <c r="S3121" s="1">
        <v>1.0</v>
      </c>
      <c r="T3121" s="1">
        <v>0.0</v>
      </c>
      <c r="X3121" s="1" t="s">
        <v>56</v>
      </c>
    </row>
    <row r="3122">
      <c r="A3122" s="3" t="str">
        <f>HYPERLINK("https://stackoverflow.com/q/62074726", "62074726")</f>
        <v>62074726</v>
      </c>
      <c r="B3122" s="1" t="s">
        <v>7613</v>
      </c>
      <c r="C3122" s="1" t="s">
        <v>11346</v>
      </c>
      <c r="D3122" s="2" t="s">
        <v>11347</v>
      </c>
      <c r="E3122" s="1">
        <v>1.0</v>
      </c>
      <c r="I3122" s="1">
        <v>0.0</v>
      </c>
      <c r="J3122" s="1">
        <v>7.0</v>
      </c>
      <c r="L3122" s="1">
        <v>1872757.0</v>
      </c>
      <c r="Q3122" s="1" t="s">
        <v>11346</v>
      </c>
      <c r="R3122" s="1" t="s">
        <v>11348</v>
      </c>
      <c r="S3122" s="1">
        <v>0.0</v>
      </c>
      <c r="T3122" s="1">
        <v>0.0</v>
      </c>
      <c r="X3122" s="1" t="s">
        <v>56</v>
      </c>
    </row>
    <row r="3123">
      <c r="A3123" s="3" t="str">
        <f>HYPERLINK("https://stackoverflow.com/q/62075536", "62075536")</f>
        <v>62075536</v>
      </c>
      <c r="B3123" s="1" t="s">
        <v>7613</v>
      </c>
      <c r="C3123" s="1" t="s">
        <v>11349</v>
      </c>
      <c r="D3123" s="2" t="s">
        <v>11350</v>
      </c>
      <c r="E3123" s="1">
        <v>1.0</v>
      </c>
      <c r="I3123" s="1">
        <v>2.0</v>
      </c>
      <c r="J3123" s="1">
        <v>6.0</v>
      </c>
      <c r="L3123" s="1">
        <v>1.3637933E7</v>
      </c>
      <c r="Q3123" s="1" t="s">
        <v>11349</v>
      </c>
      <c r="R3123" s="1" t="s">
        <v>8321</v>
      </c>
      <c r="S3123" s="1">
        <v>0.0</v>
      </c>
      <c r="T3123" s="1">
        <v>0.0</v>
      </c>
      <c r="X3123" s="1" t="s">
        <v>56</v>
      </c>
    </row>
    <row r="3124">
      <c r="A3124" s="3" t="str">
        <f>HYPERLINK("https://stackoverflow.com/q/62076983", "62076983")</f>
        <v>62076983</v>
      </c>
      <c r="B3124" s="1" t="s">
        <v>7613</v>
      </c>
      <c r="C3124" s="1" t="s">
        <v>11351</v>
      </c>
      <c r="D3124" s="2" t="s">
        <v>11352</v>
      </c>
      <c r="E3124" s="1">
        <v>1.0</v>
      </c>
      <c r="I3124" s="1">
        <v>0.0</v>
      </c>
      <c r="J3124" s="1">
        <v>11.0</v>
      </c>
      <c r="L3124" s="1">
        <v>7793964.0</v>
      </c>
      <c r="Q3124" s="1" t="s">
        <v>11351</v>
      </c>
      <c r="R3124" s="1" t="s">
        <v>11353</v>
      </c>
      <c r="S3124" s="1">
        <v>0.0</v>
      </c>
      <c r="T3124" s="1">
        <v>2.0</v>
      </c>
      <c r="X3124" s="1" t="s">
        <v>56</v>
      </c>
    </row>
    <row r="3125">
      <c r="A3125" s="3" t="str">
        <f>HYPERLINK("https://stackoverflow.com/q/62079800", "62079800")</f>
        <v>62079800</v>
      </c>
      <c r="B3125" s="1" t="s">
        <v>7613</v>
      </c>
      <c r="C3125" s="1" t="s">
        <v>11354</v>
      </c>
      <c r="D3125" s="2" t="s">
        <v>11355</v>
      </c>
      <c r="E3125" s="1">
        <v>1.0</v>
      </c>
      <c r="I3125" s="1">
        <v>0.0</v>
      </c>
      <c r="J3125" s="1">
        <v>7.0</v>
      </c>
      <c r="L3125" s="1">
        <v>1.3403619E7</v>
      </c>
      <c r="Q3125" s="1" t="s">
        <v>11356</v>
      </c>
      <c r="R3125" s="1" t="s">
        <v>10222</v>
      </c>
      <c r="S3125" s="1">
        <v>1.0</v>
      </c>
      <c r="T3125" s="1">
        <v>0.0</v>
      </c>
      <c r="X3125" s="1" t="s">
        <v>56</v>
      </c>
    </row>
    <row r="3126">
      <c r="A3126" s="3" t="str">
        <f>HYPERLINK("https://stackoverflow.com/q/62080130", "62080130")</f>
        <v>62080130</v>
      </c>
      <c r="B3126" s="1" t="s">
        <v>7613</v>
      </c>
      <c r="C3126" s="1" t="s">
        <v>11357</v>
      </c>
      <c r="D3126" s="2" t="s">
        <v>11358</v>
      </c>
      <c r="E3126" s="1">
        <v>1.0</v>
      </c>
      <c r="I3126" s="1">
        <v>0.0</v>
      </c>
      <c r="J3126" s="1">
        <v>6.0</v>
      </c>
      <c r="L3126" s="1">
        <v>9880330.0</v>
      </c>
      <c r="Q3126" s="1" t="s">
        <v>11357</v>
      </c>
      <c r="R3126" s="1" t="s">
        <v>10720</v>
      </c>
      <c r="S3126" s="1">
        <v>0.0</v>
      </c>
      <c r="T3126" s="1">
        <v>0.0</v>
      </c>
      <c r="X3126" s="1" t="s">
        <v>56</v>
      </c>
    </row>
    <row r="3127">
      <c r="A3127" s="3" t="str">
        <f>HYPERLINK("https://stackoverflow.com/q/62081474", "62081474")</f>
        <v>62081474</v>
      </c>
      <c r="B3127" s="1" t="s">
        <v>7613</v>
      </c>
      <c r="C3127" s="1" t="s">
        <v>11359</v>
      </c>
      <c r="D3127" s="2" t="s">
        <v>11360</v>
      </c>
      <c r="E3127" s="1">
        <v>1.0</v>
      </c>
      <c r="I3127" s="1">
        <v>1.0</v>
      </c>
      <c r="J3127" s="1">
        <v>16.0</v>
      </c>
      <c r="L3127" s="1">
        <v>7793964.0</v>
      </c>
      <c r="N3127" s="1">
        <v>7793964.0</v>
      </c>
      <c r="P3127" s="1" t="s">
        <v>11361</v>
      </c>
      <c r="Q3127" s="1" t="s">
        <v>11361</v>
      </c>
      <c r="R3127" s="1" t="s">
        <v>10720</v>
      </c>
      <c r="S3127" s="1">
        <v>0.0</v>
      </c>
      <c r="T3127" s="1">
        <v>1.0</v>
      </c>
      <c r="X3127" s="1" t="s">
        <v>56</v>
      </c>
    </row>
    <row r="3128">
      <c r="A3128" s="3" t="str">
        <f>HYPERLINK("https://stackoverflow.com/q/62099257", "62099257")</f>
        <v>62099257</v>
      </c>
      <c r="B3128" s="1" t="s">
        <v>7613</v>
      </c>
      <c r="C3128" s="1" t="s">
        <v>11362</v>
      </c>
      <c r="D3128" s="2" t="s">
        <v>11363</v>
      </c>
      <c r="E3128" s="1">
        <v>1.0</v>
      </c>
      <c r="I3128" s="1">
        <v>0.0</v>
      </c>
      <c r="J3128" s="1">
        <v>13.0</v>
      </c>
      <c r="L3128" s="1">
        <v>2155657.0</v>
      </c>
      <c r="N3128" s="1">
        <v>4370109.0</v>
      </c>
      <c r="P3128" s="1" t="s">
        <v>11364</v>
      </c>
      <c r="Q3128" s="1" t="s">
        <v>11364</v>
      </c>
      <c r="R3128" s="1" t="s">
        <v>11365</v>
      </c>
      <c r="S3128" s="1">
        <v>0.0</v>
      </c>
      <c r="T3128" s="1">
        <v>0.0</v>
      </c>
      <c r="X3128" s="1" t="s">
        <v>56</v>
      </c>
    </row>
    <row r="3129">
      <c r="A3129" s="3" t="str">
        <f>HYPERLINK("https://stackoverflow.com/q/62100067", "62100067")</f>
        <v>62100067</v>
      </c>
      <c r="B3129" s="1" t="s">
        <v>7613</v>
      </c>
      <c r="C3129" s="1" t="s">
        <v>11366</v>
      </c>
      <c r="D3129" s="2" t="s">
        <v>11367</v>
      </c>
      <c r="E3129" s="1">
        <v>1.0</v>
      </c>
      <c r="I3129" s="1">
        <v>0.0</v>
      </c>
      <c r="J3129" s="1">
        <v>8.0</v>
      </c>
      <c r="L3129" s="1">
        <v>8102190.0</v>
      </c>
      <c r="Q3129" s="1" t="s">
        <v>11366</v>
      </c>
      <c r="R3129" s="1" t="s">
        <v>8321</v>
      </c>
      <c r="S3129" s="1">
        <v>0.0</v>
      </c>
      <c r="T3129" s="1">
        <v>0.0</v>
      </c>
      <c r="U3129" s="1">
        <v>1.0</v>
      </c>
      <c r="X3129" s="1" t="s">
        <v>56</v>
      </c>
    </row>
    <row r="3130">
      <c r="A3130" s="3" t="str">
        <f>HYPERLINK("https://stackoverflow.com/q/62107434", "62107434")</f>
        <v>62107434</v>
      </c>
      <c r="B3130" s="1" t="s">
        <v>7613</v>
      </c>
      <c r="C3130" s="1" t="s">
        <v>11368</v>
      </c>
      <c r="D3130" s="2" t="s">
        <v>11369</v>
      </c>
      <c r="E3130" s="1">
        <v>1.0</v>
      </c>
      <c r="I3130" s="1">
        <v>0.0</v>
      </c>
      <c r="J3130" s="1">
        <v>10.0</v>
      </c>
      <c r="L3130" s="1">
        <v>9106603.0</v>
      </c>
      <c r="N3130" s="1">
        <v>1.1141611E7</v>
      </c>
      <c r="P3130" s="1" t="s">
        <v>11370</v>
      </c>
      <c r="Q3130" s="1" t="s">
        <v>11370</v>
      </c>
      <c r="R3130" s="1" t="s">
        <v>10720</v>
      </c>
      <c r="S3130" s="1">
        <v>0.0</v>
      </c>
      <c r="T3130" s="1">
        <v>0.0</v>
      </c>
      <c r="X3130" s="1" t="s">
        <v>56</v>
      </c>
    </row>
    <row r="3131">
      <c r="A3131" s="3" t="str">
        <f>HYPERLINK("https://stackoverflow.com/q/21042729", "21042729")</f>
        <v>21042729</v>
      </c>
      <c r="B3131" s="1" t="s">
        <v>11371</v>
      </c>
      <c r="C3131" s="1" t="s">
        <v>11372</v>
      </c>
      <c r="D3131" s="2" t="s">
        <v>11373</v>
      </c>
      <c r="E3131" s="1">
        <v>1.0</v>
      </c>
      <c r="F3131" s="1">
        <v>2.1043245E7</v>
      </c>
      <c r="I3131" s="1">
        <v>9.0</v>
      </c>
      <c r="J3131" s="1">
        <v>208.0</v>
      </c>
      <c r="L3131" s="1">
        <v>2047464.0</v>
      </c>
      <c r="Q3131" s="1" t="s">
        <v>11374</v>
      </c>
      <c r="R3131" s="1" t="s">
        <v>11375</v>
      </c>
      <c r="S3131" s="1">
        <v>1.0</v>
      </c>
      <c r="T3131" s="1">
        <v>0.0</v>
      </c>
      <c r="X3131" s="1" t="s">
        <v>29</v>
      </c>
      <c r="Z3131" s="1" t="s">
        <v>11374</v>
      </c>
    </row>
    <row r="3132">
      <c r="A3132" s="3" t="str">
        <f>HYPERLINK("https://stackoverflow.com/q/21437901", "21437901")</f>
        <v>21437901</v>
      </c>
      <c r="B3132" s="1" t="s">
        <v>11371</v>
      </c>
      <c r="C3132" s="1" t="s">
        <v>11376</v>
      </c>
      <c r="D3132" s="2" t="s">
        <v>11377</v>
      </c>
      <c r="E3132" s="1">
        <v>1.0</v>
      </c>
      <c r="F3132" s="1">
        <v>2.1519585E7</v>
      </c>
      <c r="I3132" s="1">
        <v>6.0</v>
      </c>
      <c r="J3132" s="1">
        <v>220.0</v>
      </c>
      <c r="L3132" s="1">
        <v>2047464.0</v>
      </c>
      <c r="Q3132" s="1" t="s">
        <v>11378</v>
      </c>
      <c r="R3132" s="1" t="s">
        <v>11379</v>
      </c>
      <c r="S3132" s="1">
        <v>1.0</v>
      </c>
      <c r="T3132" s="1">
        <v>2.0</v>
      </c>
      <c r="X3132" s="1" t="s">
        <v>29</v>
      </c>
      <c r="Z3132" s="1" t="s">
        <v>11378</v>
      </c>
    </row>
    <row r="3133">
      <c r="A3133" s="3" t="str">
        <f>HYPERLINK("https://stackoverflow.com/q/21871067", "21871067")</f>
        <v>21871067</v>
      </c>
      <c r="B3133" s="1" t="s">
        <v>11371</v>
      </c>
      <c r="C3133" s="1" t="s">
        <v>11380</v>
      </c>
      <c r="D3133" s="2" t="s">
        <v>11381</v>
      </c>
      <c r="E3133" s="1">
        <v>1.0</v>
      </c>
      <c r="F3133" s="1">
        <v>2.1872615E7</v>
      </c>
      <c r="I3133" s="1">
        <v>2.0</v>
      </c>
      <c r="J3133" s="1">
        <v>88.0</v>
      </c>
      <c r="L3133" s="1">
        <v>603688.0</v>
      </c>
      <c r="Q3133" s="1" t="s">
        <v>11382</v>
      </c>
      <c r="R3133" s="1" t="s">
        <v>11383</v>
      </c>
      <c r="S3133" s="1">
        <v>2.0</v>
      </c>
      <c r="T3133" s="1">
        <v>2.0</v>
      </c>
      <c r="X3133" s="1" t="s">
        <v>29</v>
      </c>
      <c r="Z3133" s="1" t="s">
        <v>11384</v>
      </c>
    </row>
    <row r="3134">
      <c r="A3134" s="3" t="str">
        <f>HYPERLINK("https://stackoverflow.com/q/22163118", "22163118")</f>
        <v>22163118</v>
      </c>
      <c r="B3134" s="1" t="s">
        <v>11371</v>
      </c>
      <c r="C3134" s="1" t="s">
        <v>11385</v>
      </c>
      <c r="D3134" s="2" t="s">
        <v>11386</v>
      </c>
      <c r="E3134" s="1">
        <v>1.0</v>
      </c>
      <c r="I3134" s="1">
        <v>2.0</v>
      </c>
      <c r="J3134" s="1">
        <v>149.0</v>
      </c>
      <c r="L3134" s="1">
        <v>603688.0</v>
      </c>
      <c r="Q3134" s="1" t="s">
        <v>11387</v>
      </c>
      <c r="R3134" s="1" t="s">
        <v>11383</v>
      </c>
      <c r="S3134" s="1">
        <v>0.0</v>
      </c>
      <c r="T3134" s="1">
        <v>4.0</v>
      </c>
      <c r="X3134" s="1" t="s">
        <v>29</v>
      </c>
    </row>
    <row r="3135">
      <c r="A3135" s="3" t="str">
        <f>HYPERLINK("https://stackoverflow.com/q/22319457", "22319457")</f>
        <v>22319457</v>
      </c>
      <c r="B3135" s="1" t="s">
        <v>11371</v>
      </c>
      <c r="C3135" s="1" t="s">
        <v>11388</v>
      </c>
      <c r="D3135" s="2" t="s">
        <v>11389</v>
      </c>
      <c r="E3135" s="1">
        <v>1.0</v>
      </c>
      <c r="F3135" s="1">
        <v>2.2321201E7</v>
      </c>
      <c r="I3135" s="1">
        <v>2.0</v>
      </c>
      <c r="J3135" s="1">
        <v>128.0</v>
      </c>
      <c r="L3135" s="1">
        <v>258065.0</v>
      </c>
      <c r="N3135" s="1">
        <v>258065.0</v>
      </c>
      <c r="P3135" s="1" t="s">
        <v>11390</v>
      </c>
      <c r="Q3135" s="1" t="s">
        <v>11390</v>
      </c>
      <c r="R3135" s="1" t="s">
        <v>11391</v>
      </c>
      <c r="S3135" s="1">
        <v>1.0</v>
      </c>
      <c r="T3135" s="1">
        <v>0.0</v>
      </c>
      <c r="X3135" s="1" t="s">
        <v>29</v>
      </c>
      <c r="Z3135" s="1" t="s">
        <v>11392</v>
      </c>
    </row>
    <row r="3136">
      <c r="A3136" s="3" t="str">
        <f>HYPERLINK("https://stackoverflow.com/q/28865644", "28865644")</f>
        <v>28865644</v>
      </c>
      <c r="B3136" s="1" t="s">
        <v>11371</v>
      </c>
      <c r="C3136" s="1" t="s">
        <v>11393</v>
      </c>
      <c r="D3136" s="2" t="s">
        <v>11394</v>
      </c>
      <c r="E3136" s="1">
        <v>1.0</v>
      </c>
      <c r="I3136" s="1">
        <v>2.0</v>
      </c>
      <c r="J3136" s="1">
        <v>92.0</v>
      </c>
      <c r="L3136" s="1">
        <v>288201.0</v>
      </c>
      <c r="N3136" s="1">
        <v>288201.0</v>
      </c>
      <c r="P3136" s="1" t="s">
        <v>11395</v>
      </c>
      <c r="Q3136" s="1" t="s">
        <v>11396</v>
      </c>
      <c r="R3136" s="1" t="s">
        <v>11397</v>
      </c>
      <c r="S3136" s="1">
        <v>1.0</v>
      </c>
      <c r="T3136" s="1">
        <v>4.0</v>
      </c>
      <c r="U3136" s="1">
        <v>1.0</v>
      </c>
      <c r="X3136" s="1" t="s">
        <v>29</v>
      </c>
    </row>
    <row r="3137">
      <c r="A3137" s="3" t="str">
        <f>HYPERLINK("https://stackoverflow.com/q/29458112", "29458112")</f>
        <v>29458112</v>
      </c>
      <c r="B3137" s="1" t="s">
        <v>11371</v>
      </c>
      <c r="C3137" s="1" t="s">
        <v>11398</v>
      </c>
      <c r="D3137" s="2" t="s">
        <v>11399</v>
      </c>
      <c r="E3137" s="1">
        <v>1.0</v>
      </c>
      <c r="F3137" s="1">
        <v>2.9458437E7</v>
      </c>
      <c r="I3137" s="1">
        <v>3.0</v>
      </c>
      <c r="J3137" s="1">
        <v>126.0</v>
      </c>
      <c r="L3137" s="1">
        <v>1364288.0</v>
      </c>
      <c r="N3137" s="1">
        <v>1364288.0</v>
      </c>
      <c r="P3137" s="1" t="s">
        <v>11400</v>
      </c>
      <c r="Q3137" s="1" t="s">
        <v>11400</v>
      </c>
      <c r="R3137" s="1" t="s">
        <v>11383</v>
      </c>
      <c r="S3137" s="1">
        <v>1.0</v>
      </c>
      <c r="T3137" s="1">
        <v>0.0</v>
      </c>
      <c r="X3137" s="1" t="s">
        <v>29</v>
      </c>
      <c r="Z3137" s="1" t="s">
        <v>11401</v>
      </c>
    </row>
    <row r="3138">
      <c r="A3138" s="3" t="str">
        <f>HYPERLINK("https://stackoverflow.com/q/29905159", "29905159")</f>
        <v>29905159</v>
      </c>
      <c r="B3138" s="1" t="s">
        <v>11371</v>
      </c>
      <c r="C3138" s="1" t="s">
        <v>11402</v>
      </c>
      <c r="D3138" s="2" t="s">
        <v>11403</v>
      </c>
      <c r="E3138" s="1">
        <v>1.0</v>
      </c>
      <c r="F3138" s="1">
        <v>2.9910145E7</v>
      </c>
      <c r="I3138" s="1">
        <v>7.0</v>
      </c>
      <c r="J3138" s="1">
        <v>392.0</v>
      </c>
      <c r="L3138" s="1">
        <v>1405768.0</v>
      </c>
      <c r="Q3138" s="1" t="s">
        <v>11404</v>
      </c>
      <c r="R3138" s="1" t="s">
        <v>11405</v>
      </c>
      <c r="S3138" s="1">
        <v>1.0</v>
      </c>
      <c r="T3138" s="1">
        <v>1.0</v>
      </c>
      <c r="U3138" s="1">
        <v>1.0</v>
      </c>
      <c r="X3138" s="1" t="s">
        <v>29</v>
      </c>
      <c r="Z3138" s="1" t="s">
        <v>11404</v>
      </c>
    </row>
    <row r="3139">
      <c r="A3139" s="3" t="str">
        <f>HYPERLINK("https://stackoverflow.com/q/30025388", "30025388")</f>
        <v>30025388</v>
      </c>
      <c r="B3139" s="1" t="s">
        <v>11371</v>
      </c>
      <c r="C3139" s="1" t="s">
        <v>11406</v>
      </c>
      <c r="D3139" s="2" t="s">
        <v>11407</v>
      </c>
      <c r="E3139" s="1">
        <v>1.0</v>
      </c>
      <c r="I3139" s="1">
        <v>1.0</v>
      </c>
      <c r="J3139" s="1">
        <v>271.0</v>
      </c>
      <c r="L3139" s="1">
        <v>4861377.0</v>
      </c>
      <c r="N3139" s="1">
        <v>1758701.0</v>
      </c>
      <c r="P3139" s="1" t="s">
        <v>11408</v>
      </c>
      <c r="Q3139" s="1" t="s">
        <v>11408</v>
      </c>
      <c r="R3139" s="1" t="s">
        <v>11409</v>
      </c>
      <c r="S3139" s="1">
        <v>0.0</v>
      </c>
      <c r="T3139" s="1">
        <v>0.0</v>
      </c>
      <c r="X3139" s="1" t="s">
        <v>29</v>
      </c>
    </row>
    <row r="3140">
      <c r="A3140" s="3" t="str">
        <f>HYPERLINK("https://stackoverflow.com/q/32306914", "32306914")</f>
        <v>32306914</v>
      </c>
      <c r="B3140" s="1" t="s">
        <v>11371</v>
      </c>
      <c r="C3140" s="1" t="s">
        <v>11410</v>
      </c>
      <c r="D3140" s="2" t="s">
        <v>11411</v>
      </c>
      <c r="E3140" s="1">
        <v>1.0</v>
      </c>
      <c r="F3140" s="1">
        <v>3.3422145E7</v>
      </c>
      <c r="I3140" s="1">
        <v>4.0</v>
      </c>
      <c r="J3140" s="1">
        <v>1118.0</v>
      </c>
      <c r="L3140" s="1">
        <v>1659617.0</v>
      </c>
      <c r="Q3140" s="1" t="s">
        <v>11412</v>
      </c>
      <c r="R3140" s="1" t="s">
        <v>11413</v>
      </c>
      <c r="S3140" s="1">
        <v>1.0</v>
      </c>
      <c r="T3140" s="1">
        <v>1.0</v>
      </c>
      <c r="U3140" s="1">
        <v>1.0</v>
      </c>
      <c r="X3140" s="1" t="s">
        <v>29</v>
      </c>
      <c r="Z3140" s="1" t="s">
        <v>11414</v>
      </c>
    </row>
    <row r="3141">
      <c r="A3141" s="3" t="str">
        <f>HYPERLINK("https://stackoverflow.com/q/34814017", "34814017")</f>
        <v>34814017</v>
      </c>
      <c r="B3141" s="1" t="s">
        <v>11371</v>
      </c>
      <c r="C3141" s="1" t="s">
        <v>11415</v>
      </c>
      <c r="D3141" s="2" t="s">
        <v>11416</v>
      </c>
      <c r="E3141" s="1">
        <v>1.0</v>
      </c>
      <c r="I3141" s="1">
        <v>1.0</v>
      </c>
      <c r="J3141" s="1">
        <v>380.0</v>
      </c>
      <c r="L3141" s="1">
        <v>3244305.0</v>
      </c>
      <c r="Q3141" s="1" t="s">
        <v>11417</v>
      </c>
      <c r="R3141" s="1" t="s">
        <v>11418</v>
      </c>
      <c r="S3141" s="1">
        <v>1.0</v>
      </c>
      <c r="T3141" s="1">
        <v>0.0</v>
      </c>
      <c r="X3141" s="1" t="s">
        <v>29</v>
      </c>
    </row>
    <row r="3142">
      <c r="A3142" s="3" t="str">
        <f>HYPERLINK("https://stackoverflow.com/q/35343564", "35343564")</f>
        <v>35343564</v>
      </c>
      <c r="B3142" s="1" t="s">
        <v>11371</v>
      </c>
      <c r="C3142" s="1" t="s">
        <v>11419</v>
      </c>
      <c r="D3142" s="2" t="s">
        <v>11420</v>
      </c>
      <c r="E3142" s="1">
        <v>1.0</v>
      </c>
      <c r="F3142" s="1">
        <v>3.5345988E7</v>
      </c>
      <c r="I3142" s="1">
        <v>1.0</v>
      </c>
      <c r="J3142" s="1">
        <v>113.0</v>
      </c>
      <c r="L3142" s="1">
        <v>3836715.0</v>
      </c>
      <c r="Q3142" s="1" t="s">
        <v>11421</v>
      </c>
      <c r="R3142" s="1" t="s">
        <v>11422</v>
      </c>
      <c r="S3142" s="1">
        <v>1.0</v>
      </c>
      <c r="T3142" s="1">
        <v>0.0</v>
      </c>
      <c r="X3142" s="1" t="s">
        <v>29</v>
      </c>
      <c r="Z3142" s="1" t="s">
        <v>11423</v>
      </c>
    </row>
    <row r="3143">
      <c r="A3143" s="3" t="str">
        <f>HYPERLINK("https://stackoverflow.com/q/36766698", "36766698")</f>
        <v>36766698</v>
      </c>
      <c r="B3143" s="1" t="s">
        <v>11371</v>
      </c>
      <c r="C3143" s="1" t="s">
        <v>11424</v>
      </c>
      <c r="D3143" s="2" t="s">
        <v>11425</v>
      </c>
      <c r="E3143" s="1">
        <v>1.0</v>
      </c>
      <c r="I3143" s="1">
        <v>0.0</v>
      </c>
      <c r="J3143" s="1">
        <v>316.0</v>
      </c>
      <c r="L3143" s="1">
        <v>2550732.0</v>
      </c>
      <c r="N3143" s="1">
        <v>2550732.0</v>
      </c>
      <c r="P3143" s="1" t="s">
        <v>11426</v>
      </c>
      <c r="Q3143" s="1" t="s">
        <v>11427</v>
      </c>
      <c r="R3143" s="1" t="s">
        <v>11413</v>
      </c>
      <c r="S3143" s="1">
        <v>1.0</v>
      </c>
      <c r="T3143" s="1">
        <v>0.0</v>
      </c>
      <c r="X3143" s="1" t="s">
        <v>29</v>
      </c>
    </row>
    <row r="3144">
      <c r="A3144" s="3" t="str">
        <f>HYPERLINK("https://stackoverflow.com/q/39149917", "39149917")</f>
        <v>39149917</v>
      </c>
      <c r="B3144" s="1" t="s">
        <v>11371</v>
      </c>
      <c r="C3144" s="1" t="s">
        <v>11428</v>
      </c>
      <c r="D3144" s="2" t="s">
        <v>11429</v>
      </c>
      <c r="E3144" s="1">
        <v>1.0</v>
      </c>
      <c r="F3144" s="1">
        <v>3.9150859E7</v>
      </c>
      <c r="I3144" s="1">
        <v>4.0</v>
      </c>
      <c r="J3144" s="1">
        <v>160.0</v>
      </c>
      <c r="L3144" s="1">
        <v>4646520.0</v>
      </c>
      <c r="N3144" s="1">
        <v>5892036.0</v>
      </c>
      <c r="P3144" s="1" t="s">
        <v>11430</v>
      </c>
      <c r="Q3144" s="1" t="s">
        <v>11430</v>
      </c>
      <c r="R3144" s="1" t="s">
        <v>11431</v>
      </c>
      <c r="S3144" s="1">
        <v>1.0</v>
      </c>
      <c r="T3144" s="1">
        <v>0.0</v>
      </c>
      <c r="X3144" s="1" t="s">
        <v>29</v>
      </c>
      <c r="Z3144" s="1" t="s">
        <v>11432</v>
      </c>
    </row>
    <row r="3145">
      <c r="A3145" s="3" t="str">
        <f>HYPERLINK("https://stackoverflow.com/q/40484940", "40484940")</f>
        <v>40484940</v>
      </c>
      <c r="B3145" s="1" t="s">
        <v>11371</v>
      </c>
      <c r="C3145" s="1" t="s">
        <v>11433</v>
      </c>
      <c r="D3145" s="2" t="s">
        <v>11434</v>
      </c>
      <c r="E3145" s="1">
        <v>1.0</v>
      </c>
      <c r="F3145" s="1">
        <v>4.0489105E7</v>
      </c>
      <c r="I3145" s="1">
        <v>1.0</v>
      </c>
      <c r="J3145" s="1">
        <v>583.0</v>
      </c>
      <c r="L3145" s="1">
        <v>6087702.0</v>
      </c>
      <c r="N3145" s="1">
        <v>6087702.0</v>
      </c>
      <c r="P3145" s="1" t="s">
        <v>11435</v>
      </c>
      <c r="Q3145" s="1" t="s">
        <v>11436</v>
      </c>
      <c r="R3145" s="1" t="s">
        <v>11422</v>
      </c>
      <c r="S3145" s="1">
        <v>2.0</v>
      </c>
      <c r="T3145" s="1">
        <v>0.0</v>
      </c>
      <c r="X3145" s="1" t="s">
        <v>29</v>
      </c>
      <c r="Z3145" s="1" t="s">
        <v>11436</v>
      </c>
    </row>
    <row r="3146">
      <c r="A3146" s="3" t="str">
        <f>HYPERLINK("https://stackoverflow.com/q/41639069", "41639069")</f>
        <v>41639069</v>
      </c>
      <c r="B3146" s="1" t="s">
        <v>11371</v>
      </c>
      <c r="C3146" s="1" t="s">
        <v>11437</v>
      </c>
      <c r="D3146" s="2" t="s">
        <v>11438</v>
      </c>
      <c r="E3146" s="1">
        <v>1.0</v>
      </c>
      <c r="F3146" s="1">
        <v>4.1642881E7</v>
      </c>
      <c r="I3146" s="1">
        <v>4.0</v>
      </c>
      <c r="J3146" s="1">
        <v>1190.0</v>
      </c>
      <c r="L3146" s="1">
        <v>2807660.0</v>
      </c>
      <c r="N3146" s="1">
        <v>5892036.0</v>
      </c>
      <c r="P3146" s="1" t="s">
        <v>11439</v>
      </c>
      <c r="Q3146" s="1" t="s">
        <v>11440</v>
      </c>
      <c r="R3146" s="1" t="s">
        <v>11441</v>
      </c>
      <c r="S3146" s="1">
        <v>2.0</v>
      </c>
      <c r="T3146" s="1">
        <v>0.0</v>
      </c>
      <c r="U3146" s="1">
        <v>1.0</v>
      </c>
      <c r="X3146" s="1" t="s">
        <v>29</v>
      </c>
      <c r="Z3146" s="1" t="s">
        <v>11442</v>
      </c>
    </row>
    <row r="3147">
      <c r="A3147" s="3" t="str">
        <f>HYPERLINK("https://stackoverflow.com/q/43157336", "43157336")</f>
        <v>43157336</v>
      </c>
      <c r="B3147" s="1" t="s">
        <v>11371</v>
      </c>
      <c r="C3147" s="1" t="s">
        <v>11443</v>
      </c>
      <c r="D3147" s="2" t="s">
        <v>11444</v>
      </c>
      <c r="E3147" s="1">
        <v>1.0</v>
      </c>
      <c r="F3147" s="1">
        <v>4.315748E7</v>
      </c>
      <c r="I3147" s="1">
        <v>6.0</v>
      </c>
      <c r="J3147" s="1">
        <v>690.0</v>
      </c>
      <c r="L3147" s="1">
        <v>1226453.0</v>
      </c>
      <c r="Q3147" s="1" t="s">
        <v>11445</v>
      </c>
      <c r="R3147" s="1" t="s">
        <v>11446</v>
      </c>
      <c r="S3147" s="1">
        <v>2.0</v>
      </c>
      <c r="T3147" s="1">
        <v>0.0</v>
      </c>
      <c r="U3147" s="1">
        <v>1.0</v>
      </c>
      <c r="X3147" s="1" t="s">
        <v>29</v>
      </c>
      <c r="Z3147" s="1" t="s">
        <v>11447</v>
      </c>
    </row>
    <row r="3148">
      <c r="A3148" s="3" t="str">
        <f>HYPERLINK("https://stackoverflow.com/q/44335833", "44335833")</f>
        <v>44335833</v>
      </c>
      <c r="B3148" s="1" t="s">
        <v>11371</v>
      </c>
      <c r="C3148" s="1" t="s">
        <v>11448</v>
      </c>
      <c r="D3148" s="2" t="s">
        <v>11449</v>
      </c>
      <c r="E3148" s="1">
        <v>1.0</v>
      </c>
      <c r="F3148" s="1">
        <v>4.4337406E7</v>
      </c>
      <c r="I3148" s="1">
        <v>2.0</v>
      </c>
      <c r="J3148" s="1">
        <v>134.0</v>
      </c>
      <c r="L3148" s="1">
        <v>3884713.0</v>
      </c>
      <c r="N3148" s="1">
        <v>3963.0</v>
      </c>
      <c r="P3148" s="1" t="s">
        <v>11450</v>
      </c>
      <c r="Q3148" s="1" t="s">
        <v>11451</v>
      </c>
      <c r="R3148" s="1" t="s">
        <v>11452</v>
      </c>
      <c r="S3148" s="1">
        <v>1.0</v>
      </c>
      <c r="T3148" s="1">
        <v>0.0</v>
      </c>
      <c r="X3148" s="1" t="s">
        <v>29</v>
      </c>
      <c r="Z3148" s="1" t="s">
        <v>11451</v>
      </c>
    </row>
    <row r="3149">
      <c r="A3149" s="3" t="str">
        <f>HYPERLINK("https://stackoverflow.com/q/44851076", "44851076")</f>
        <v>44851076</v>
      </c>
      <c r="B3149" s="1" t="s">
        <v>11371</v>
      </c>
      <c r="C3149" s="1" t="s">
        <v>11453</v>
      </c>
      <c r="D3149" s="2" t="s">
        <v>11454</v>
      </c>
      <c r="E3149" s="1">
        <v>1.0</v>
      </c>
      <c r="I3149" s="1">
        <v>0.0</v>
      </c>
      <c r="J3149" s="1">
        <v>27.0</v>
      </c>
      <c r="L3149" s="1">
        <v>3125287.0</v>
      </c>
      <c r="N3149" s="1">
        <v>3125287.0</v>
      </c>
      <c r="P3149" s="1" t="s">
        <v>11455</v>
      </c>
      <c r="Q3149" s="1" t="s">
        <v>11455</v>
      </c>
      <c r="R3149" s="1" t="s">
        <v>11418</v>
      </c>
      <c r="S3149" s="1">
        <v>1.0</v>
      </c>
      <c r="T3149" s="1">
        <v>0.0</v>
      </c>
      <c r="X3149" s="1" t="s">
        <v>29</v>
      </c>
    </row>
    <row r="3150">
      <c r="A3150" s="3" t="str">
        <f>HYPERLINK("https://stackoverflow.com/q/45473657", "45473657")</f>
        <v>45473657</v>
      </c>
      <c r="B3150" s="1" t="s">
        <v>11371</v>
      </c>
      <c r="C3150" s="1" t="s">
        <v>11456</v>
      </c>
      <c r="D3150" s="2" t="s">
        <v>11457</v>
      </c>
      <c r="E3150" s="1">
        <v>1.0</v>
      </c>
      <c r="F3150" s="1">
        <v>4.5476085E7</v>
      </c>
      <c r="I3150" s="1">
        <v>1.0</v>
      </c>
      <c r="J3150" s="1">
        <v>111.0</v>
      </c>
      <c r="L3150" s="1">
        <v>3884713.0</v>
      </c>
      <c r="N3150" s="1">
        <v>3884713.0</v>
      </c>
      <c r="P3150" s="1" t="s">
        <v>11458</v>
      </c>
      <c r="Q3150" s="1" t="s">
        <v>11459</v>
      </c>
      <c r="R3150" s="1" t="s">
        <v>11460</v>
      </c>
      <c r="S3150" s="1">
        <v>1.0</v>
      </c>
      <c r="T3150" s="1">
        <v>1.0</v>
      </c>
      <c r="X3150" s="1" t="s">
        <v>29</v>
      </c>
      <c r="Z3150" s="1" t="s">
        <v>11461</v>
      </c>
    </row>
    <row r="3151">
      <c r="A3151" s="3" t="str">
        <f>HYPERLINK("https://stackoverflow.com/q/47564757", "47564757")</f>
        <v>47564757</v>
      </c>
      <c r="B3151" s="1" t="s">
        <v>11371</v>
      </c>
      <c r="C3151" s="1" t="s">
        <v>11462</v>
      </c>
      <c r="D3151" s="2" t="s">
        <v>11463</v>
      </c>
      <c r="E3151" s="1">
        <v>1.0</v>
      </c>
      <c r="F3151" s="1">
        <v>4.7578307E7</v>
      </c>
      <c r="I3151" s="1">
        <v>2.0</v>
      </c>
      <c r="J3151" s="1">
        <v>112.0</v>
      </c>
      <c r="L3151" s="1">
        <v>1663294.0</v>
      </c>
      <c r="Q3151" s="1" t="s">
        <v>11464</v>
      </c>
      <c r="R3151" s="1" t="s">
        <v>11465</v>
      </c>
      <c r="S3151" s="1">
        <v>1.0</v>
      </c>
      <c r="T3151" s="1">
        <v>4.0</v>
      </c>
      <c r="X3151" s="1" t="s">
        <v>29</v>
      </c>
      <c r="Z3151" s="1" t="s">
        <v>11464</v>
      </c>
    </row>
    <row r="3152">
      <c r="A3152" s="3" t="str">
        <f>HYPERLINK("https://stackoverflow.com/q/60779964", "60779964")</f>
        <v>60779964</v>
      </c>
      <c r="B3152" s="1" t="s">
        <v>11371</v>
      </c>
      <c r="C3152" s="1" t="s">
        <v>11466</v>
      </c>
      <c r="D3152" s="2" t="s">
        <v>11467</v>
      </c>
      <c r="E3152" s="1">
        <v>1.0</v>
      </c>
      <c r="F3152" s="1">
        <v>6.0780501E7</v>
      </c>
      <c r="I3152" s="1">
        <v>0.0</v>
      </c>
      <c r="J3152" s="1">
        <v>40.0</v>
      </c>
      <c r="L3152" s="1">
        <v>5688542.0</v>
      </c>
      <c r="Q3152" s="1" t="s">
        <v>11468</v>
      </c>
      <c r="R3152" s="1" t="s">
        <v>11469</v>
      </c>
      <c r="S3152" s="1">
        <v>1.0</v>
      </c>
      <c r="T3152" s="1">
        <v>1.0</v>
      </c>
      <c r="X3152" s="1" t="s">
        <v>56</v>
      </c>
      <c r="Z3152" s="1" t="s">
        <v>11470</v>
      </c>
    </row>
    <row r="3153">
      <c r="A3153" s="3" t="str">
        <f>HYPERLINK("https://stackoverflow.com/q/61775267", "61775267")</f>
        <v>61775267</v>
      </c>
      <c r="B3153" s="1" t="s">
        <v>11371</v>
      </c>
      <c r="C3153" s="1" t="s">
        <v>11471</v>
      </c>
      <c r="D3153" s="2" t="s">
        <v>11472</v>
      </c>
      <c r="E3153" s="1">
        <v>1.0</v>
      </c>
      <c r="I3153" s="1">
        <v>0.0</v>
      </c>
      <c r="J3153" s="1">
        <v>8.0</v>
      </c>
      <c r="L3153" s="1">
        <v>2183365.0</v>
      </c>
      <c r="Q3153" s="1" t="s">
        <v>11471</v>
      </c>
      <c r="R3153" s="1" t="s">
        <v>11473</v>
      </c>
      <c r="S3153" s="1">
        <v>0.0</v>
      </c>
      <c r="T3153" s="1">
        <v>0.0</v>
      </c>
      <c r="X3153" s="1" t="s">
        <v>56</v>
      </c>
    </row>
    <row r="3154">
      <c r="A3154" s="3" t="str">
        <f>HYPERLINK("https://stackoverflow.com/q/326366", "326366")</f>
        <v>326366</v>
      </c>
      <c r="B3154" s="1" t="s">
        <v>11474</v>
      </c>
      <c r="C3154" s="1" t="s">
        <v>11475</v>
      </c>
      <c r="D3154" s="2" t="s">
        <v>11476</v>
      </c>
      <c r="E3154" s="1">
        <v>1.0</v>
      </c>
      <c r="F3154" s="1">
        <v>598997.0</v>
      </c>
      <c r="I3154" s="1">
        <v>0.0</v>
      </c>
      <c r="J3154" s="1">
        <v>2106.0</v>
      </c>
      <c r="L3154" s="1">
        <v>34935.0</v>
      </c>
      <c r="N3154" s="1">
        <v>635608.0</v>
      </c>
      <c r="P3154" s="1" t="s">
        <v>11477</v>
      </c>
      <c r="Q3154" s="1" t="s">
        <v>11477</v>
      </c>
      <c r="R3154" s="1" t="s">
        <v>11478</v>
      </c>
      <c r="S3154" s="1">
        <v>5.0</v>
      </c>
      <c r="T3154" s="1">
        <v>0.0</v>
      </c>
      <c r="V3154" s="1" t="s">
        <v>11479</v>
      </c>
      <c r="X3154" s="1" t="s">
        <v>29</v>
      </c>
      <c r="Z3154" s="1" t="s">
        <v>11480</v>
      </c>
    </row>
    <row r="3155">
      <c r="A3155" s="3" t="str">
        <f>HYPERLINK("https://stackoverflow.com/q/1258834", "1258834")</f>
        <v>1258834</v>
      </c>
      <c r="B3155" s="1" t="s">
        <v>11474</v>
      </c>
      <c r="C3155" s="1" t="s">
        <v>11481</v>
      </c>
      <c r="D3155" s="2" t="s">
        <v>11482</v>
      </c>
      <c r="E3155" s="1">
        <v>1.0</v>
      </c>
      <c r="F3155" s="1">
        <v>1745701.0</v>
      </c>
      <c r="I3155" s="1">
        <v>3.0</v>
      </c>
      <c r="J3155" s="1">
        <v>3802.0</v>
      </c>
      <c r="L3155" s="1">
        <v>19856.0</v>
      </c>
      <c r="Q3155" s="1" t="s">
        <v>11483</v>
      </c>
      <c r="R3155" s="1" t="s">
        <v>11484</v>
      </c>
      <c r="S3155" s="1">
        <v>2.0</v>
      </c>
      <c r="T3155" s="1">
        <v>0.0</v>
      </c>
      <c r="U3155" s="1">
        <v>1.0</v>
      </c>
      <c r="X3155" s="1" t="s">
        <v>4078</v>
      </c>
      <c r="Z3155" s="1" t="s">
        <v>11485</v>
      </c>
    </row>
    <row r="3156">
      <c r="A3156" s="3" t="str">
        <f>HYPERLINK("https://stackoverflow.com/q/2022549", "2022549")</f>
        <v>2022549</v>
      </c>
      <c r="B3156" s="1" t="s">
        <v>11474</v>
      </c>
      <c r="C3156" s="1" t="s">
        <v>11486</v>
      </c>
      <c r="D3156" s="2" t="s">
        <v>11487</v>
      </c>
      <c r="E3156" s="1">
        <v>1.0</v>
      </c>
      <c r="F3156" s="1">
        <v>2022612.0</v>
      </c>
      <c r="I3156" s="1">
        <v>1.0</v>
      </c>
      <c r="J3156" s="1">
        <v>1627.0</v>
      </c>
      <c r="L3156" s="1">
        <v>82668.0</v>
      </c>
      <c r="Q3156" s="1" t="s">
        <v>11488</v>
      </c>
      <c r="R3156" s="1" t="s">
        <v>11489</v>
      </c>
      <c r="S3156" s="1">
        <v>5.0</v>
      </c>
      <c r="T3156" s="1">
        <v>0.0</v>
      </c>
      <c r="U3156" s="1">
        <v>0.0</v>
      </c>
      <c r="X3156" s="1" t="s">
        <v>4078</v>
      </c>
      <c r="Z3156" s="1" t="s">
        <v>11490</v>
      </c>
    </row>
    <row r="3157">
      <c r="A3157" s="3" t="str">
        <f>HYPERLINK("https://stackoverflow.com/q/2377082", "2377082")</f>
        <v>2377082</v>
      </c>
      <c r="B3157" s="1" t="s">
        <v>11474</v>
      </c>
      <c r="C3157" s="1" t="s">
        <v>11491</v>
      </c>
      <c r="D3157" s="2" t="s">
        <v>11492</v>
      </c>
      <c r="E3157" s="1">
        <v>1.0</v>
      </c>
      <c r="I3157" s="1">
        <v>0.0</v>
      </c>
      <c r="J3157" s="1">
        <v>331.0</v>
      </c>
      <c r="L3157" s="1">
        <v>285246.0</v>
      </c>
      <c r="Q3157" s="1" t="s">
        <v>11493</v>
      </c>
      <c r="R3157" s="1" t="s">
        <v>11494</v>
      </c>
      <c r="S3157" s="1">
        <v>1.0</v>
      </c>
      <c r="T3157" s="1">
        <v>0.0</v>
      </c>
      <c r="X3157" s="1" t="s">
        <v>4078</v>
      </c>
    </row>
    <row r="3158">
      <c r="A3158" s="3" t="str">
        <f>HYPERLINK("https://stackoverflow.com/q/3700594", "3700594")</f>
        <v>3700594</v>
      </c>
      <c r="B3158" s="1" t="s">
        <v>11474</v>
      </c>
      <c r="C3158" s="1" t="s">
        <v>11495</v>
      </c>
      <c r="D3158" s="2" t="s">
        <v>11496</v>
      </c>
      <c r="E3158" s="1">
        <v>1.0</v>
      </c>
      <c r="I3158" s="1">
        <v>0.0</v>
      </c>
      <c r="J3158" s="1">
        <v>600.0</v>
      </c>
      <c r="M3158" s="1" t="s">
        <v>11497</v>
      </c>
      <c r="Q3158" s="1" t="s">
        <v>11498</v>
      </c>
      <c r="R3158" s="1" t="s">
        <v>11499</v>
      </c>
      <c r="S3158" s="1">
        <v>2.0</v>
      </c>
      <c r="T3158" s="1">
        <v>0.0</v>
      </c>
      <c r="X3158" s="1" t="s">
        <v>4078</v>
      </c>
    </row>
    <row r="3159">
      <c r="A3159" s="3" t="str">
        <f>HYPERLINK("https://stackoverflow.com/q/3906522", "3906522")</f>
        <v>3906522</v>
      </c>
      <c r="B3159" s="1" t="s">
        <v>11474</v>
      </c>
      <c r="C3159" s="1" t="s">
        <v>11500</v>
      </c>
      <c r="D3159" s="2" t="s">
        <v>11501</v>
      </c>
      <c r="E3159" s="1">
        <v>1.0</v>
      </c>
      <c r="I3159" s="1">
        <v>4.0</v>
      </c>
      <c r="J3159" s="1">
        <v>1974.0</v>
      </c>
      <c r="L3159" s="1">
        <v>45956.0</v>
      </c>
      <c r="N3159" s="1">
        <v>542517.0</v>
      </c>
      <c r="P3159" s="1" t="s">
        <v>11502</v>
      </c>
      <c r="Q3159" s="1" t="s">
        <v>11502</v>
      </c>
      <c r="R3159" s="1" t="s">
        <v>11503</v>
      </c>
      <c r="S3159" s="1">
        <v>1.0</v>
      </c>
      <c r="T3159" s="1">
        <v>1.0</v>
      </c>
      <c r="U3159" s="1">
        <v>1.0</v>
      </c>
      <c r="X3159" s="1" t="s">
        <v>56</v>
      </c>
    </row>
    <row r="3160">
      <c r="A3160" s="3" t="str">
        <f>HYPERLINK("https://stackoverflow.com/q/4432075", "4432075")</f>
        <v>4432075</v>
      </c>
      <c r="B3160" s="1" t="s">
        <v>11474</v>
      </c>
      <c r="C3160" s="1" t="s">
        <v>11504</v>
      </c>
      <c r="D3160" s="2" t="s">
        <v>11505</v>
      </c>
      <c r="E3160" s="1">
        <v>1.0</v>
      </c>
      <c r="F3160" s="1">
        <v>4439199.0</v>
      </c>
      <c r="I3160" s="1">
        <v>1.0</v>
      </c>
      <c r="J3160" s="1">
        <v>1728.0</v>
      </c>
      <c r="L3160" s="1">
        <v>312808.0</v>
      </c>
      <c r="N3160" s="1">
        <v>1.13019E7</v>
      </c>
      <c r="P3160" s="1" t="s">
        <v>11506</v>
      </c>
      <c r="Q3160" s="1" t="s">
        <v>11507</v>
      </c>
      <c r="R3160" s="1" t="s">
        <v>11508</v>
      </c>
      <c r="S3160" s="1">
        <v>2.0</v>
      </c>
      <c r="T3160" s="1">
        <v>0.0</v>
      </c>
      <c r="U3160" s="1">
        <v>1.0</v>
      </c>
      <c r="X3160" s="1" t="s">
        <v>56</v>
      </c>
      <c r="Z3160" s="1" t="s">
        <v>11509</v>
      </c>
    </row>
    <row r="3161">
      <c r="A3161" s="3" t="str">
        <f>HYPERLINK("https://stackoverflow.com/q/4439797", "4439797")</f>
        <v>4439797</v>
      </c>
      <c r="B3161" s="1" t="s">
        <v>11474</v>
      </c>
      <c r="C3161" s="1" t="s">
        <v>11510</v>
      </c>
      <c r="D3161" s="2" t="s">
        <v>11511</v>
      </c>
      <c r="E3161" s="1">
        <v>1.0</v>
      </c>
      <c r="F3161" s="1">
        <v>4440086.0</v>
      </c>
      <c r="I3161" s="1">
        <v>2.0</v>
      </c>
      <c r="J3161" s="1">
        <v>626.0</v>
      </c>
      <c r="L3161" s="1">
        <v>312808.0</v>
      </c>
      <c r="N3161" s="1">
        <v>21234.0</v>
      </c>
      <c r="P3161" s="1" t="s">
        <v>11512</v>
      </c>
      <c r="Q3161" s="1" t="s">
        <v>11513</v>
      </c>
      <c r="R3161" s="1" t="s">
        <v>11514</v>
      </c>
      <c r="S3161" s="1">
        <v>2.0</v>
      </c>
      <c r="T3161" s="1">
        <v>4.0</v>
      </c>
      <c r="U3161" s="1">
        <v>1.0</v>
      </c>
      <c r="X3161" s="1" t="s">
        <v>4078</v>
      </c>
      <c r="Z3161" s="1" t="s">
        <v>11513</v>
      </c>
    </row>
    <row r="3162">
      <c r="A3162" s="3" t="str">
        <f>HYPERLINK("https://stackoverflow.com/q/4556252", "4556252")</f>
        <v>4556252</v>
      </c>
      <c r="B3162" s="1" t="s">
        <v>11474</v>
      </c>
      <c r="C3162" s="1" t="s">
        <v>11515</v>
      </c>
      <c r="D3162" s="2" t="s">
        <v>11516</v>
      </c>
      <c r="E3162" s="1">
        <v>1.0</v>
      </c>
      <c r="F3162" s="1">
        <v>4556306.0</v>
      </c>
      <c r="I3162" s="1">
        <v>0.0</v>
      </c>
      <c r="J3162" s="1">
        <v>1232.0</v>
      </c>
      <c r="L3162" s="1">
        <v>462951.0</v>
      </c>
      <c r="Q3162" s="1" t="s">
        <v>11517</v>
      </c>
      <c r="R3162" s="1" t="s">
        <v>11518</v>
      </c>
      <c r="S3162" s="1">
        <v>2.0</v>
      </c>
      <c r="T3162" s="1">
        <v>0.0</v>
      </c>
      <c r="X3162" s="1" t="s">
        <v>4078</v>
      </c>
      <c r="Z3162" s="1" t="s">
        <v>11519</v>
      </c>
    </row>
    <row r="3163">
      <c r="A3163" s="3" t="str">
        <f>HYPERLINK("https://stackoverflow.com/q/4598926", "4598926")</f>
        <v>4598926</v>
      </c>
      <c r="B3163" s="1" t="s">
        <v>11474</v>
      </c>
      <c r="C3163" s="1" t="s">
        <v>11520</v>
      </c>
      <c r="D3163" s="2" t="s">
        <v>11521</v>
      </c>
      <c r="E3163" s="1">
        <v>1.0</v>
      </c>
      <c r="F3163" s="1">
        <v>4599012.0</v>
      </c>
      <c r="I3163" s="1">
        <v>1.0</v>
      </c>
      <c r="J3163" s="1">
        <v>1100.0</v>
      </c>
      <c r="L3163" s="1">
        <v>543693.0</v>
      </c>
      <c r="N3163" s="1">
        <v>476945.0</v>
      </c>
      <c r="P3163" s="1" t="s">
        <v>11522</v>
      </c>
      <c r="Q3163" s="1" t="s">
        <v>11522</v>
      </c>
      <c r="R3163" s="1" t="s">
        <v>11523</v>
      </c>
      <c r="S3163" s="1">
        <v>3.0</v>
      </c>
      <c r="T3163" s="1">
        <v>1.0</v>
      </c>
      <c r="X3163" s="1" t="s">
        <v>29</v>
      </c>
      <c r="Z3163" s="1" t="s">
        <v>11524</v>
      </c>
    </row>
    <row r="3164">
      <c r="A3164" s="3" t="str">
        <f>HYPERLINK("https://stackoverflow.com/q/4804623", "4804623")</f>
        <v>4804623</v>
      </c>
      <c r="B3164" s="1" t="s">
        <v>11474</v>
      </c>
      <c r="C3164" s="1" t="s">
        <v>11525</v>
      </c>
      <c r="D3164" s="2" t="s">
        <v>11526</v>
      </c>
      <c r="E3164" s="1">
        <v>1.0</v>
      </c>
      <c r="I3164" s="1">
        <v>1.0</v>
      </c>
      <c r="J3164" s="1">
        <v>1086.0</v>
      </c>
      <c r="L3164" s="1">
        <v>590587.0</v>
      </c>
      <c r="Q3164" s="1" t="s">
        <v>11527</v>
      </c>
      <c r="R3164" s="1" t="s">
        <v>11528</v>
      </c>
      <c r="S3164" s="1">
        <v>1.0</v>
      </c>
      <c r="T3164" s="1">
        <v>0.0</v>
      </c>
      <c r="X3164" s="1" t="s">
        <v>4078</v>
      </c>
    </row>
    <row r="3165">
      <c r="A3165" s="3" t="str">
        <f>HYPERLINK("https://stackoverflow.com/q/5552901", "5552901")</f>
        <v>5552901</v>
      </c>
      <c r="B3165" s="1" t="s">
        <v>11474</v>
      </c>
      <c r="C3165" s="1" t="s">
        <v>11529</v>
      </c>
      <c r="D3165" s="2" t="s">
        <v>11530</v>
      </c>
      <c r="E3165" s="1">
        <v>1.0</v>
      </c>
      <c r="I3165" s="1">
        <v>0.0</v>
      </c>
      <c r="J3165" s="1">
        <v>446.0</v>
      </c>
      <c r="L3165" s="1">
        <v>693010.0</v>
      </c>
      <c r="Q3165" s="1" t="s">
        <v>11531</v>
      </c>
      <c r="R3165" s="1" t="s">
        <v>11532</v>
      </c>
      <c r="S3165" s="1">
        <v>1.0</v>
      </c>
      <c r="T3165" s="1">
        <v>0.0</v>
      </c>
      <c r="X3165" s="1" t="s">
        <v>4078</v>
      </c>
    </row>
    <row r="3166">
      <c r="A3166" s="3" t="str">
        <f>HYPERLINK("https://stackoverflow.com/q/7679733", "7679733")</f>
        <v>7679733</v>
      </c>
      <c r="B3166" s="1" t="s">
        <v>11474</v>
      </c>
      <c r="C3166" s="1" t="s">
        <v>11533</v>
      </c>
      <c r="D3166" s="2" t="s">
        <v>11534</v>
      </c>
      <c r="E3166" s="1">
        <v>1.0</v>
      </c>
      <c r="F3166" s="1">
        <v>7679766.0</v>
      </c>
      <c r="I3166" s="1">
        <v>2.0</v>
      </c>
      <c r="J3166" s="1">
        <v>485.0</v>
      </c>
      <c r="L3166" s="1">
        <v>976816.0</v>
      </c>
      <c r="Q3166" s="1" t="s">
        <v>11535</v>
      </c>
      <c r="R3166" s="1" t="s">
        <v>11536</v>
      </c>
      <c r="S3166" s="1">
        <v>1.0</v>
      </c>
      <c r="T3166" s="1">
        <v>0.0</v>
      </c>
      <c r="X3166" s="1" t="s">
        <v>29</v>
      </c>
      <c r="Z3166" s="1" t="s">
        <v>11535</v>
      </c>
    </row>
    <row r="3167">
      <c r="A3167" s="3" t="str">
        <f>HYPERLINK("https://stackoverflow.com/q/8005085", "8005085")</f>
        <v>8005085</v>
      </c>
      <c r="B3167" s="1" t="s">
        <v>11474</v>
      </c>
      <c r="C3167" s="1" t="s">
        <v>11537</v>
      </c>
      <c r="D3167" s="2" t="s">
        <v>11538</v>
      </c>
      <c r="E3167" s="1">
        <v>1.0</v>
      </c>
      <c r="I3167" s="1">
        <v>0.0</v>
      </c>
      <c r="J3167" s="1">
        <v>2072.0</v>
      </c>
      <c r="L3167" s="1">
        <v>1029027.0</v>
      </c>
      <c r="N3167" s="1">
        <v>1029027.0</v>
      </c>
      <c r="P3167" s="1" t="s">
        <v>11539</v>
      </c>
      <c r="Q3167" s="1" t="s">
        <v>11539</v>
      </c>
      <c r="R3167" s="1" t="s">
        <v>11540</v>
      </c>
      <c r="S3167" s="1">
        <v>1.0</v>
      </c>
      <c r="T3167" s="1">
        <v>1.0</v>
      </c>
      <c r="U3167" s="1">
        <v>1.0</v>
      </c>
      <c r="X3167" s="1" t="s">
        <v>29</v>
      </c>
    </row>
    <row r="3168">
      <c r="A3168" s="3" t="str">
        <f>HYPERLINK("https://stackoverflow.com/q/8123314", "8123314")</f>
        <v>8123314</v>
      </c>
      <c r="B3168" s="1" t="s">
        <v>11474</v>
      </c>
      <c r="C3168" s="1" t="s">
        <v>11541</v>
      </c>
      <c r="D3168" s="2" t="s">
        <v>11542</v>
      </c>
      <c r="E3168" s="1">
        <v>1.0</v>
      </c>
      <c r="F3168" s="1">
        <v>8123492.0</v>
      </c>
      <c r="I3168" s="1">
        <v>2.0</v>
      </c>
      <c r="J3168" s="1">
        <v>763.0</v>
      </c>
      <c r="L3168" s="1">
        <v>478636.0</v>
      </c>
      <c r="Q3168" s="1" t="s">
        <v>11543</v>
      </c>
      <c r="R3168" s="1" t="s">
        <v>11544</v>
      </c>
      <c r="S3168" s="1">
        <v>1.0</v>
      </c>
      <c r="T3168" s="1">
        <v>0.0</v>
      </c>
      <c r="X3168" s="1" t="s">
        <v>29</v>
      </c>
      <c r="Z3168" s="1" t="s">
        <v>11545</v>
      </c>
    </row>
    <row r="3169">
      <c r="A3169" s="3" t="str">
        <f>HYPERLINK("https://stackoverflow.com/q/8980486", "8980486")</f>
        <v>8980486</v>
      </c>
      <c r="B3169" s="1" t="s">
        <v>11474</v>
      </c>
      <c r="C3169" s="1" t="s">
        <v>11546</v>
      </c>
      <c r="D3169" s="2" t="s">
        <v>11547</v>
      </c>
      <c r="E3169" s="1">
        <v>1.0</v>
      </c>
      <c r="I3169" s="1">
        <v>1.0</v>
      </c>
      <c r="J3169" s="1">
        <v>611.0</v>
      </c>
      <c r="L3169" s="1">
        <v>1166036.0</v>
      </c>
      <c r="Q3169" s="1" t="s">
        <v>11548</v>
      </c>
      <c r="R3169" s="1" t="s">
        <v>11549</v>
      </c>
      <c r="S3169" s="1">
        <v>0.0</v>
      </c>
      <c r="T3169" s="1">
        <v>0.0</v>
      </c>
      <c r="X3169" s="1" t="s">
        <v>29</v>
      </c>
    </row>
    <row r="3170">
      <c r="A3170" s="3" t="str">
        <f>HYPERLINK("https://stackoverflow.com/q/9372228", "9372228")</f>
        <v>9372228</v>
      </c>
      <c r="B3170" s="1" t="s">
        <v>11474</v>
      </c>
      <c r="C3170" s="1" t="s">
        <v>11550</v>
      </c>
      <c r="D3170" s="2" t="s">
        <v>11551</v>
      </c>
      <c r="E3170" s="1">
        <v>1.0</v>
      </c>
      <c r="I3170" s="1">
        <v>1.0</v>
      </c>
      <c r="J3170" s="1">
        <v>588.0</v>
      </c>
      <c r="L3170" s="1">
        <v>929265.0</v>
      </c>
      <c r="N3170" s="1">
        <v>367456.0</v>
      </c>
      <c r="P3170" s="1" t="s">
        <v>11552</v>
      </c>
      <c r="Q3170" s="1" t="s">
        <v>11552</v>
      </c>
      <c r="R3170" s="1" t="s">
        <v>11553</v>
      </c>
      <c r="S3170" s="1">
        <v>1.0</v>
      </c>
      <c r="T3170" s="1">
        <v>3.0</v>
      </c>
      <c r="X3170" s="1" t="s">
        <v>29</v>
      </c>
    </row>
    <row r="3171">
      <c r="A3171" s="3" t="str">
        <f>HYPERLINK("https://stackoverflow.com/q/9391137", "9391137")</f>
        <v>9391137</v>
      </c>
      <c r="B3171" s="1" t="s">
        <v>11474</v>
      </c>
      <c r="C3171" s="1" t="s">
        <v>11554</v>
      </c>
      <c r="D3171" s="2" t="s">
        <v>11555</v>
      </c>
      <c r="E3171" s="1">
        <v>1.0</v>
      </c>
      <c r="F3171" s="1">
        <v>9391270.0</v>
      </c>
      <c r="I3171" s="1">
        <v>17.0</v>
      </c>
      <c r="J3171" s="1">
        <v>39930.0</v>
      </c>
      <c r="L3171" s="1">
        <v>929265.0</v>
      </c>
      <c r="N3171" s="1">
        <v>2057919.0</v>
      </c>
      <c r="P3171" s="1" t="s">
        <v>11556</v>
      </c>
      <c r="Q3171" s="1" t="s">
        <v>11557</v>
      </c>
      <c r="R3171" s="1" t="s">
        <v>11558</v>
      </c>
      <c r="S3171" s="1">
        <v>4.0</v>
      </c>
      <c r="T3171" s="1">
        <v>0.0</v>
      </c>
      <c r="U3171" s="1">
        <v>15.0</v>
      </c>
      <c r="X3171" s="1" t="s">
        <v>29</v>
      </c>
      <c r="Z3171" s="1" t="s">
        <v>11559</v>
      </c>
    </row>
    <row r="3172">
      <c r="A3172" s="3" t="str">
        <f>HYPERLINK("https://stackoverflow.com/q/9959449", "9959449")</f>
        <v>9959449</v>
      </c>
      <c r="B3172" s="1" t="s">
        <v>11474</v>
      </c>
      <c r="C3172" s="1" t="s">
        <v>11560</v>
      </c>
      <c r="D3172" s="2" t="s">
        <v>11561</v>
      </c>
      <c r="E3172" s="1">
        <v>1.0</v>
      </c>
      <c r="I3172" s="1">
        <v>1.0</v>
      </c>
      <c r="J3172" s="1">
        <v>12389.0</v>
      </c>
      <c r="L3172" s="1">
        <v>220998.0</v>
      </c>
      <c r="Q3172" s="1" t="s">
        <v>11562</v>
      </c>
      <c r="R3172" s="1" t="s">
        <v>11563</v>
      </c>
      <c r="S3172" s="1">
        <v>4.0</v>
      </c>
      <c r="T3172" s="1">
        <v>0.0</v>
      </c>
      <c r="X3172" s="1" t="s">
        <v>29</v>
      </c>
    </row>
    <row r="3173">
      <c r="A3173" s="3" t="str">
        <f>HYPERLINK("https://stackoverflow.com/q/10042002", "10042002")</f>
        <v>10042002</v>
      </c>
      <c r="B3173" s="1" t="s">
        <v>11474</v>
      </c>
      <c r="C3173" s="1" t="s">
        <v>11564</v>
      </c>
      <c r="D3173" s="2" t="s">
        <v>11565</v>
      </c>
      <c r="E3173" s="1">
        <v>1.0</v>
      </c>
      <c r="I3173" s="1">
        <v>1.0</v>
      </c>
      <c r="J3173" s="1">
        <v>684.0</v>
      </c>
      <c r="L3173" s="1">
        <v>1317212.0</v>
      </c>
      <c r="N3173" s="1">
        <v>330315.0</v>
      </c>
      <c r="P3173" s="1" t="s">
        <v>11566</v>
      </c>
      <c r="Q3173" s="1" t="s">
        <v>11566</v>
      </c>
      <c r="R3173" s="1" t="s">
        <v>11567</v>
      </c>
      <c r="S3173" s="1">
        <v>1.0</v>
      </c>
      <c r="T3173" s="1">
        <v>0.0</v>
      </c>
      <c r="X3173" s="1" t="s">
        <v>29</v>
      </c>
    </row>
    <row r="3174">
      <c r="A3174" s="3" t="str">
        <f>HYPERLINK("https://stackoverflow.com/q/10673123", "10673123")</f>
        <v>10673123</v>
      </c>
      <c r="B3174" s="1" t="s">
        <v>11474</v>
      </c>
      <c r="C3174" s="1" t="s">
        <v>11568</v>
      </c>
      <c r="D3174" s="2" t="s">
        <v>11569</v>
      </c>
      <c r="E3174" s="1">
        <v>1.0</v>
      </c>
      <c r="F3174" s="1">
        <v>1.402836E7</v>
      </c>
      <c r="I3174" s="1">
        <v>0.0</v>
      </c>
      <c r="J3174" s="1">
        <v>499.0</v>
      </c>
      <c r="L3174" s="1">
        <v>1405963.0</v>
      </c>
      <c r="N3174" s="1">
        <v>222901.0</v>
      </c>
      <c r="P3174" s="1" t="s">
        <v>11570</v>
      </c>
      <c r="Q3174" s="1" t="s">
        <v>11571</v>
      </c>
      <c r="R3174" s="1" t="s">
        <v>11572</v>
      </c>
      <c r="S3174" s="1">
        <v>2.0</v>
      </c>
      <c r="T3174" s="1">
        <v>1.0</v>
      </c>
      <c r="X3174" s="1" t="s">
        <v>29</v>
      </c>
      <c r="Z3174" s="1" t="s">
        <v>11573</v>
      </c>
    </row>
    <row r="3175">
      <c r="A3175" s="3" t="str">
        <f>HYPERLINK("https://stackoverflow.com/q/10690115", "10690115")</f>
        <v>10690115</v>
      </c>
      <c r="B3175" s="1" t="s">
        <v>11474</v>
      </c>
      <c r="C3175" s="1" t="s">
        <v>11574</v>
      </c>
      <c r="D3175" s="2" t="s">
        <v>11575</v>
      </c>
      <c r="E3175" s="1">
        <v>1.0</v>
      </c>
      <c r="F3175" s="1">
        <v>1.0690347E7</v>
      </c>
      <c r="I3175" s="1">
        <v>0.0</v>
      </c>
      <c r="J3175" s="1">
        <v>1208.0</v>
      </c>
      <c r="L3175" s="1">
        <v>1083453.0</v>
      </c>
      <c r="N3175" s="1">
        <v>1083453.0</v>
      </c>
      <c r="P3175" s="1" t="s">
        <v>11576</v>
      </c>
      <c r="Q3175" s="1" t="s">
        <v>11577</v>
      </c>
      <c r="R3175" s="1" t="s">
        <v>11578</v>
      </c>
      <c r="S3175" s="1">
        <v>1.0</v>
      </c>
      <c r="T3175" s="1">
        <v>0.0</v>
      </c>
      <c r="X3175" s="1" t="s">
        <v>29</v>
      </c>
      <c r="Z3175" s="1" t="s">
        <v>11579</v>
      </c>
    </row>
    <row r="3176">
      <c r="A3176" s="3" t="str">
        <f>HYPERLINK("https://stackoverflow.com/q/10784169", "10784169")</f>
        <v>10784169</v>
      </c>
      <c r="B3176" s="1" t="s">
        <v>11474</v>
      </c>
      <c r="C3176" s="1" t="s">
        <v>11580</v>
      </c>
      <c r="D3176" s="2" t="s">
        <v>11581</v>
      </c>
      <c r="E3176" s="1">
        <v>1.0</v>
      </c>
      <c r="F3176" s="1">
        <v>1.0799868E7</v>
      </c>
      <c r="I3176" s="1">
        <v>1.0</v>
      </c>
      <c r="J3176" s="1">
        <v>1590.0</v>
      </c>
      <c r="L3176" s="1">
        <v>827293.0</v>
      </c>
      <c r="Q3176" s="1" t="s">
        <v>11582</v>
      </c>
      <c r="R3176" s="1" t="s">
        <v>11583</v>
      </c>
      <c r="S3176" s="1">
        <v>1.0</v>
      </c>
      <c r="T3176" s="1">
        <v>0.0</v>
      </c>
      <c r="X3176" s="1" t="s">
        <v>29</v>
      </c>
      <c r="Z3176" s="1" t="s">
        <v>11582</v>
      </c>
    </row>
    <row r="3177">
      <c r="A3177" s="3" t="str">
        <f>HYPERLINK("https://stackoverflow.com/q/10919857", "10919857")</f>
        <v>10919857</v>
      </c>
      <c r="B3177" s="1" t="s">
        <v>11474</v>
      </c>
      <c r="C3177" s="1" t="s">
        <v>11584</v>
      </c>
      <c r="D3177" s="2" t="s">
        <v>11585</v>
      </c>
      <c r="E3177" s="1">
        <v>1.0</v>
      </c>
      <c r="F3177" s="1">
        <v>1.0920256E7</v>
      </c>
      <c r="I3177" s="1">
        <v>0.0</v>
      </c>
      <c r="J3177" s="1">
        <v>1596.0</v>
      </c>
      <c r="L3177" s="1">
        <v>929265.0</v>
      </c>
      <c r="Q3177" s="1" t="s">
        <v>11586</v>
      </c>
      <c r="R3177" s="1" t="s">
        <v>11587</v>
      </c>
      <c r="S3177" s="1">
        <v>1.0</v>
      </c>
      <c r="T3177" s="1">
        <v>0.0</v>
      </c>
      <c r="X3177" s="1" t="s">
        <v>29</v>
      </c>
      <c r="Z3177" s="1" t="s">
        <v>11586</v>
      </c>
    </row>
    <row r="3178">
      <c r="A3178" s="3" t="str">
        <f>HYPERLINK("https://stackoverflow.com/q/10923870", "10923870")</f>
        <v>10923870</v>
      </c>
      <c r="B3178" s="1" t="s">
        <v>11474</v>
      </c>
      <c r="C3178" s="1" t="s">
        <v>11588</v>
      </c>
      <c r="D3178" s="2" t="s">
        <v>11589</v>
      </c>
      <c r="E3178" s="1">
        <v>1.0</v>
      </c>
      <c r="F3178" s="1">
        <v>1.0932631E7</v>
      </c>
      <c r="I3178" s="1">
        <v>0.0</v>
      </c>
      <c r="J3178" s="1">
        <v>1838.0</v>
      </c>
      <c r="L3178" s="1">
        <v>1329396.0</v>
      </c>
      <c r="N3178" s="1">
        <v>477420.0</v>
      </c>
      <c r="P3178" s="1" t="s">
        <v>11590</v>
      </c>
      <c r="Q3178" s="1" t="s">
        <v>11591</v>
      </c>
      <c r="R3178" s="1" t="s">
        <v>11592</v>
      </c>
      <c r="S3178" s="1">
        <v>2.0</v>
      </c>
      <c r="T3178" s="1">
        <v>1.0</v>
      </c>
      <c r="X3178" s="1" t="s">
        <v>29</v>
      </c>
      <c r="Z3178" s="1" t="s">
        <v>11591</v>
      </c>
    </row>
    <row r="3179">
      <c r="A3179" s="3" t="str">
        <f>HYPERLINK("https://stackoverflow.com/q/10930561", "10930561")</f>
        <v>10930561</v>
      </c>
      <c r="B3179" s="1" t="s">
        <v>11474</v>
      </c>
      <c r="C3179" s="1" t="s">
        <v>11593</v>
      </c>
      <c r="D3179" s="2" t="s">
        <v>11594</v>
      </c>
      <c r="E3179" s="1">
        <v>1.0</v>
      </c>
      <c r="I3179" s="1">
        <v>0.0</v>
      </c>
      <c r="J3179" s="1">
        <v>1142.0</v>
      </c>
      <c r="L3179" s="1">
        <v>1058413.0</v>
      </c>
      <c r="Q3179" s="1" t="s">
        <v>11595</v>
      </c>
      <c r="R3179" s="1" t="s">
        <v>11596</v>
      </c>
      <c r="S3179" s="1">
        <v>1.0</v>
      </c>
      <c r="T3179" s="1">
        <v>0.0</v>
      </c>
      <c r="X3179" s="1" t="s">
        <v>29</v>
      </c>
    </row>
    <row r="3180">
      <c r="A3180" s="3" t="str">
        <f>HYPERLINK("https://stackoverflow.com/q/11171081", "11171081")</f>
        <v>11171081</v>
      </c>
      <c r="B3180" s="1" t="s">
        <v>11474</v>
      </c>
      <c r="C3180" s="1" t="s">
        <v>11597</v>
      </c>
      <c r="D3180" s="2" t="s">
        <v>11598</v>
      </c>
      <c r="E3180" s="1">
        <v>1.0</v>
      </c>
      <c r="I3180" s="1">
        <v>1.0</v>
      </c>
      <c r="J3180" s="1">
        <v>300.0</v>
      </c>
      <c r="L3180" s="1">
        <v>1058413.0</v>
      </c>
      <c r="N3180" s="1">
        <v>798448.0</v>
      </c>
      <c r="P3180" s="1" t="s">
        <v>11599</v>
      </c>
      <c r="Q3180" s="1" t="s">
        <v>11599</v>
      </c>
      <c r="R3180" s="1" t="s">
        <v>11600</v>
      </c>
      <c r="S3180" s="1">
        <v>0.0</v>
      </c>
      <c r="T3180" s="1">
        <v>1.0</v>
      </c>
      <c r="X3180" s="1" t="s">
        <v>29</v>
      </c>
    </row>
    <row r="3181">
      <c r="A3181" s="3" t="str">
        <f>HYPERLINK("https://stackoverflow.com/q/11352675", "11352675")</f>
        <v>11352675</v>
      </c>
      <c r="B3181" s="1" t="s">
        <v>11474</v>
      </c>
      <c r="C3181" s="1" t="s">
        <v>11601</v>
      </c>
      <c r="D3181" s="2" t="s">
        <v>11602</v>
      </c>
      <c r="E3181" s="1">
        <v>1.0</v>
      </c>
      <c r="I3181" s="1">
        <v>0.0</v>
      </c>
      <c r="J3181" s="1">
        <v>1931.0</v>
      </c>
      <c r="L3181" s="1">
        <v>1058413.0</v>
      </c>
      <c r="Q3181" s="1" t="s">
        <v>11603</v>
      </c>
      <c r="R3181" s="1" t="s">
        <v>11604</v>
      </c>
      <c r="S3181" s="1">
        <v>1.0</v>
      </c>
      <c r="T3181" s="1">
        <v>0.0</v>
      </c>
      <c r="X3181" s="1" t="s">
        <v>29</v>
      </c>
    </row>
    <row r="3182">
      <c r="A3182" s="3" t="str">
        <f>HYPERLINK("https://stackoverflow.com/q/12004748", "12004748")</f>
        <v>12004748</v>
      </c>
      <c r="B3182" s="1" t="s">
        <v>11474</v>
      </c>
      <c r="C3182" s="1" t="s">
        <v>11605</v>
      </c>
      <c r="D3182" s="2" t="s">
        <v>11606</v>
      </c>
      <c r="E3182" s="1">
        <v>1.0</v>
      </c>
      <c r="F3182" s="1">
        <v>1.2332663E7</v>
      </c>
      <c r="I3182" s="1">
        <v>10.0</v>
      </c>
      <c r="J3182" s="1">
        <v>6006.0</v>
      </c>
      <c r="L3182" s="1">
        <v>1606537.0</v>
      </c>
      <c r="N3182" s="1">
        <v>322020.0</v>
      </c>
      <c r="P3182" s="1" t="s">
        <v>11607</v>
      </c>
      <c r="Q3182" s="1" t="s">
        <v>11608</v>
      </c>
      <c r="R3182" s="1" t="s">
        <v>11609</v>
      </c>
      <c r="S3182" s="1">
        <v>3.0</v>
      </c>
      <c r="T3182" s="1">
        <v>1.0</v>
      </c>
      <c r="U3182" s="1">
        <v>2.0</v>
      </c>
      <c r="V3182" s="1" t="s">
        <v>11610</v>
      </c>
      <c r="X3182" s="1" t="s">
        <v>29</v>
      </c>
      <c r="Z3182" s="1" t="s">
        <v>11611</v>
      </c>
    </row>
    <row r="3183">
      <c r="A3183" s="3" t="str">
        <f>HYPERLINK("https://stackoverflow.com/q/12031216", "12031216")</f>
        <v>12031216</v>
      </c>
      <c r="B3183" s="1" t="s">
        <v>11474</v>
      </c>
      <c r="C3183" s="1" t="s">
        <v>11612</v>
      </c>
      <c r="D3183" s="2" t="s">
        <v>11613</v>
      </c>
      <c r="E3183" s="1">
        <v>1.0</v>
      </c>
      <c r="I3183" s="1">
        <v>1.0</v>
      </c>
      <c r="J3183" s="1">
        <v>615.0</v>
      </c>
      <c r="L3183" s="1">
        <v>1376909.0</v>
      </c>
      <c r="Q3183" s="1" t="s">
        <v>11614</v>
      </c>
      <c r="R3183" s="1" t="s">
        <v>11615</v>
      </c>
      <c r="S3183" s="1">
        <v>1.0</v>
      </c>
      <c r="T3183" s="1">
        <v>0.0</v>
      </c>
      <c r="X3183" s="1" t="s">
        <v>29</v>
      </c>
    </row>
    <row r="3184">
      <c r="A3184" s="3" t="str">
        <f>HYPERLINK("https://stackoverflow.com/q/12087385", "12087385")</f>
        <v>12087385</v>
      </c>
      <c r="B3184" s="1" t="s">
        <v>11474</v>
      </c>
      <c r="C3184" s="1" t="s">
        <v>11616</v>
      </c>
      <c r="D3184" s="2" t="s">
        <v>11617</v>
      </c>
      <c r="E3184" s="1">
        <v>1.0</v>
      </c>
      <c r="F3184" s="1">
        <v>1.2087521E7</v>
      </c>
      <c r="I3184" s="1">
        <v>0.0</v>
      </c>
      <c r="J3184" s="1">
        <v>686.0</v>
      </c>
      <c r="L3184" s="1">
        <v>632375.0</v>
      </c>
      <c r="Q3184" s="1" t="s">
        <v>11618</v>
      </c>
      <c r="R3184" s="1" t="s">
        <v>11619</v>
      </c>
      <c r="S3184" s="1">
        <v>1.0</v>
      </c>
      <c r="T3184" s="1">
        <v>0.0</v>
      </c>
      <c r="X3184" s="1" t="s">
        <v>29</v>
      </c>
      <c r="Z3184" s="1" t="s">
        <v>11620</v>
      </c>
    </row>
    <row r="3185">
      <c r="A3185" s="3" t="str">
        <f>HYPERLINK("https://stackoverflow.com/q/12318829", "12318829")</f>
        <v>12318829</v>
      </c>
      <c r="B3185" s="1" t="s">
        <v>11474</v>
      </c>
      <c r="C3185" s="1" t="s">
        <v>11621</v>
      </c>
      <c r="D3185" s="2" t="s">
        <v>11622</v>
      </c>
      <c r="E3185" s="1">
        <v>1.0</v>
      </c>
      <c r="F3185" s="1">
        <v>1.2352032E7</v>
      </c>
      <c r="I3185" s="1">
        <v>0.0</v>
      </c>
      <c r="J3185" s="1">
        <v>874.0</v>
      </c>
      <c r="L3185" s="1">
        <v>607745.0</v>
      </c>
      <c r="N3185" s="1">
        <v>1196908.0</v>
      </c>
      <c r="P3185" s="1" t="s">
        <v>11623</v>
      </c>
      <c r="Q3185" s="1" t="s">
        <v>11623</v>
      </c>
      <c r="R3185" s="1" t="s">
        <v>11624</v>
      </c>
      <c r="S3185" s="1">
        <v>1.0</v>
      </c>
      <c r="T3185" s="1">
        <v>0.0</v>
      </c>
      <c r="X3185" s="1" t="s">
        <v>29</v>
      </c>
      <c r="Z3185" s="1" t="s">
        <v>11625</v>
      </c>
    </row>
    <row r="3186">
      <c r="A3186" s="3" t="str">
        <f>HYPERLINK("https://stackoverflow.com/q/12412269", "12412269")</f>
        <v>12412269</v>
      </c>
      <c r="B3186" s="1" t="s">
        <v>11474</v>
      </c>
      <c r="C3186" s="1" t="s">
        <v>11626</v>
      </c>
      <c r="D3186" s="2" t="s">
        <v>11627</v>
      </c>
      <c r="E3186" s="1">
        <v>1.0</v>
      </c>
      <c r="I3186" s="1">
        <v>4.0</v>
      </c>
      <c r="J3186" s="1">
        <v>21172.0</v>
      </c>
      <c r="L3186" s="1">
        <v>1376909.0</v>
      </c>
      <c r="N3186" s="1">
        <v>1376909.0</v>
      </c>
      <c r="P3186" s="1" t="s">
        <v>11628</v>
      </c>
      <c r="Q3186" s="1" t="s">
        <v>11628</v>
      </c>
      <c r="R3186" s="1" t="s">
        <v>11629</v>
      </c>
      <c r="S3186" s="1">
        <v>2.0</v>
      </c>
      <c r="T3186" s="1">
        <v>6.0</v>
      </c>
      <c r="X3186" s="1" t="s">
        <v>29</v>
      </c>
    </row>
    <row r="3187">
      <c r="A3187" s="3" t="str">
        <f>HYPERLINK("https://stackoverflow.com/q/13825378", "13825378")</f>
        <v>13825378</v>
      </c>
      <c r="B3187" s="1" t="s">
        <v>11474</v>
      </c>
      <c r="C3187" s="1" t="s">
        <v>11630</v>
      </c>
      <c r="D3187" s="2" t="s">
        <v>11631</v>
      </c>
      <c r="E3187" s="1">
        <v>1.0</v>
      </c>
      <c r="F3187" s="1">
        <v>1.4045742E7</v>
      </c>
      <c r="I3187" s="1">
        <v>0.0</v>
      </c>
      <c r="J3187" s="1">
        <v>1670.0</v>
      </c>
      <c r="L3187" s="1">
        <v>1661144.0</v>
      </c>
      <c r="N3187" s="1">
        <v>1661144.0</v>
      </c>
      <c r="P3187" s="1" t="s">
        <v>11632</v>
      </c>
      <c r="Q3187" s="1" t="s">
        <v>11632</v>
      </c>
      <c r="R3187" s="1" t="s">
        <v>11633</v>
      </c>
      <c r="S3187" s="1">
        <v>1.0</v>
      </c>
      <c r="T3187" s="1">
        <v>0.0</v>
      </c>
      <c r="X3187" s="1" t="s">
        <v>29</v>
      </c>
      <c r="Z3187" s="1" t="s">
        <v>11634</v>
      </c>
    </row>
    <row r="3188">
      <c r="A3188" s="3" t="str">
        <f>HYPERLINK("https://stackoverflow.com/q/13834716", "13834716")</f>
        <v>13834716</v>
      </c>
      <c r="B3188" s="1" t="s">
        <v>11474</v>
      </c>
      <c r="C3188" s="1" t="s">
        <v>11635</v>
      </c>
      <c r="D3188" s="2" t="s">
        <v>11636</v>
      </c>
      <c r="E3188" s="1">
        <v>1.0</v>
      </c>
      <c r="F3188" s="1">
        <v>1.4616115E7</v>
      </c>
      <c r="I3188" s="1">
        <v>13.0</v>
      </c>
      <c r="J3188" s="1">
        <v>4988.0</v>
      </c>
      <c r="L3188" s="1">
        <v>292008.0</v>
      </c>
      <c r="N3188" s="1">
        <v>292008.0</v>
      </c>
      <c r="P3188" s="1" t="s">
        <v>11637</v>
      </c>
      <c r="Q3188" s="1" t="s">
        <v>11638</v>
      </c>
      <c r="R3188" s="1" t="s">
        <v>11639</v>
      </c>
      <c r="S3188" s="1">
        <v>6.0</v>
      </c>
      <c r="T3188" s="1">
        <v>3.0</v>
      </c>
      <c r="U3188" s="1">
        <v>2.0</v>
      </c>
      <c r="X3188" s="1" t="s">
        <v>29</v>
      </c>
      <c r="Z3188" s="1" t="s">
        <v>11640</v>
      </c>
    </row>
    <row r="3189">
      <c r="A3189" s="3" t="str">
        <f>HYPERLINK("https://stackoverflow.com/q/14475459", "14475459")</f>
        <v>14475459</v>
      </c>
      <c r="B3189" s="1" t="s">
        <v>11474</v>
      </c>
      <c r="C3189" s="1" t="s">
        <v>11641</v>
      </c>
      <c r="D3189" s="2" t="s">
        <v>11642</v>
      </c>
      <c r="E3189" s="1">
        <v>1.0</v>
      </c>
      <c r="F3189" s="1">
        <v>1.4488291E7</v>
      </c>
      <c r="I3189" s="1">
        <v>0.0</v>
      </c>
      <c r="J3189" s="1">
        <v>331.0</v>
      </c>
      <c r="L3189" s="1">
        <v>2000194.0</v>
      </c>
      <c r="Q3189" s="1" t="s">
        <v>11643</v>
      </c>
      <c r="R3189" s="1" t="s">
        <v>11499</v>
      </c>
      <c r="S3189" s="1">
        <v>1.0</v>
      </c>
      <c r="T3189" s="1">
        <v>0.0</v>
      </c>
      <c r="X3189" s="1" t="s">
        <v>29</v>
      </c>
      <c r="Z3189" s="1" t="s">
        <v>11643</v>
      </c>
    </row>
    <row r="3190">
      <c r="A3190" s="3" t="str">
        <f>HYPERLINK("https://stackoverflow.com/q/14534834", "14534834")</f>
        <v>14534834</v>
      </c>
      <c r="B3190" s="1" t="s">
        <v>11474</v>
      </c>
      <c r="C3190" s="1" t="s">
        <v>11644</v>
      </c>
      <c r="D3190" s="2" t="s">
        <v>11645</v>
      </c>
      <c r="E3190" s="1">
        <v>1.0</v>
      </c>
      <c r="F3190" s="1">
        <v>1.4534961E7</v>
      </c>
      <c r="I3190" s="1">
        <v>0.0</v>
      </c>
      <c r="J3190" s="1">
        <v>546.0</v>
      </c>
      <c r="L3190" s="1">
        <v>199745.0</v>
      </c>
      <c r="Q3190" s="1" t="s">
        <v>11646</v>
      </c>
      <c r="R3190" s="1" t="s">
        <v>11647</v>
      </c>
      <c r="S3190" s="1">
        <v>1.0</v>
      </c>
      <c r="T3190" s="1">
        <v>6.0</v>
      </c>
      <c r="X3190" s="1" t="s">
        <v>29</v>
      </c>
      <c r="Z3190" s="1" t="s">
        <v>11648</v>
      </c>
    </row>
    <row r="3191">
      <c r="A3191" s="3" t="str">
        <f>HYPERLINK("https://stackoverflow.com/q/15106856", "15106856")</f>
        <v>15106856</v>
      </c>
      <c r="B3191" s="1" t="s">
        <v>11474</v>
      </c>
      <c r="C3191" s="1" t="s">
        <v>11649</v>
      </c>
      <c r="D3191" s="2" t="s">
        <v>11650</v>
      </c>
      <c r="E3191" s="1">
        <v>1.0</v>
      </c>
      <c r="F3191" s="1">
        <v>1.5107526E7</v>
      </c>
      <c r="I3191" s="1">
        <v>0.0</v>
      </c>
      <c r="J3191" s="1">
        <v>194.0</v>
      </c>
      <c r="L3191" s="1">
        <v>2036067.0</v>
      </c>
      <c r="N3191" s="1">
        <v>1463272.0</v>
      </c>
      <c r="P3191" s="1" t="s">
        <v>11651</v>
      </c>
      <c r="Q3191" s="1" t="s">
        <v>11652</v>
      </c>
      <c r="R3191" s="1" t="s">
        <v>11653</v>
      </c>
      <c r="S3191" s="1">
        <v>1.0</v>
      </c>
      <c r="T3191" s="1">
        <v>0.0</v>
      </c>
      <c r="X3191" s="1" t="s">
        <v>29</v>
      </c>
      <c r="Z3191" s="1" t="s">
        <v>11652</v>
      </c>
    </row>
    <row r="3192">
      <c r="A3192" s="3" t="str">
        <f>HYPERLINK("https://stackoverflow.com/q/15224492", "15224492")</f>
        <v>15224492</v>
      </c>
      <c r="B3192" s="1" t="s">
        <v>11474</v>
      </c>
      <c r="C3192" s="1" t="s">
        <v>11654</v>
      </c>
      <c r="D3192" s="2" t="s">
        <v>11655</v>
      </c>
      <c r="E3192" s="1">
        <v>1.0</v>
      </c>
      <c r="F3192" s="1">
        <v>1.5338014E7</v>
      </c>
      <c r="I3192" s="1">
        <v>2.0</v>
      </c>
      <c r="J3192" s="1">
        <v>341.0</v>
      </c>
      <c r="L3192" s="1">
        <v>2036067.0</v>
      </c>
      <c r="N3192" s="1">
        <v>184842.0</v>
      </c>
      <c r="P3192" s="1" t="s">
        <v>11656</v>
      </c>
      <c r="Q3192" s="1" t="s">
        <v>11657</v>
      </c>
      <c r="R3192" s="1" t="s">
        <v>11658</v>
      </c>
      <c r="S3192" s="1">
        <v>1.0</v>
      </c>
      <c r="T3192" s="1">
        <v>0.0</v>
      </c>
      <c r="U3192" s="1">
        <v>1.0</v>
      </c>
      <c r="X3192" s="1" t="s">
        <v>29</v>
      </c>
      <c r="Z3192" s="1" t="s">
        <v>11657</v>
      </c>
    </row>
    <row r="3193">
      <c r="A3193" s="3" t="str">
        <f>HYPERLINK("https://stackoverflow.com/q/15763574", "15763574")</f>
        <v>15763574</v>
      </c>
      <c r="B3193" s="1" t="s">
        <v>11474</v>
      </c>
      <c r="C3193" s="1" t="s">
        <v>11659</v>
      </c>
      <c r="D3193" s="2" t="s">
        <v>11660</v>
      </c>
      <c r="E3193" s="1">
        <v>1.0</v>
      </c>
      <c r="I3193" s="1">
        <v>0.0</v>
      </c>
      <c r="J3193" s="1">
        <v>2153.0</v>
      </c>
      <c r="L3193" s="1">
        <v>2235952.0</v>
      </c>
      <c r="N3193" s="1">
        <v>1677912.0</v>
      </c>
      <c r="P3193" s="1" t="s">
        <v>11661</v>
      </c>
      <c r="Q3193" s="1" t="s">
        <v>11661</v>
      </c>
      <c r="R3193" s="1" t="s">
        <v>11572</v>
      </c>
      <c r="S3193" s="1">
        <v>1.0</v>
      </c>
      <c r="T3193" s="1">
        <v>0.0</v>
      </c>
      <c r="X3193" s="1" t="s">
        <v>29</v>
      </c>
    </row>
    <row r="3194">
      <c r="A3194" s="3" t="str">
        <f>HYPERLINK("https://stackoverflow.com/q/16001298", "16001298")</f>
        <v>16001298</v>
      </c>
      <c r="B3194" s="1" t="s">
        <v>11474</v>
      </c>
      <c r="C3194" s="1" t="s">
        <v>11662</v>
      </c>
      <c r="D3194" s="2" t="s">
        <v>11663</v>
      </c>
      <c r="E3194" s="1">
        <v>1.0</v>
      </c>
      <c r="F3194" s="1">
        <v>1.6133529E7</v>
      </c>
      <c r="I3194" s="1">
        <v>0.0</v>
      </c>
      <c r="J3194" s="1">
        <v>8245.0</v>
      </c>
      <c r="L3194" s="1">
        <v>1110859.0</v>
      </c>
      <c r="N3194" s="1">
        <v>250259.0</v>
      </c>
      <c r="P3194" s="1" t="s">
        <v>11664</v>
      </c>
      <c r="Q3194" s="1" t="s">
        <v>11665</v>
      </c>
      <c r="R3194" s="1" t="s">
        <v>11666</v>
      </c>
      <c r="S3194" s="1">
        <v>2.0</v>
      </c>
      <c r="T3194" s="1">
        <v>10.0</v>
      </c>
      <c r="X3194" s="1" t="s">
        <v>29</v>
      </c>
      <c r="Z3194" s="1" t="s">
        <v>11667</v>
      </c>
    </row>
    <row r="3195">
      <c r="A3195" s="3" t="str">
        <f>HYPERLINK("https://stackoverflow.com/q/16087271", "16087271")</f>
        <v>16087271</v>
      </c>
      <c r="B3195" s="1" t="s">
        <v>11474</v>
      </c>
      <c r="C3195" s="1" t="s">
        <v>11668</v>
      </c>
      <c r="D3195" s="2" t="s">
        <v>11669</v>
      </c>
      <c r="E3195" s="1">
        <v>1.0</v>
      </c>
      <c r="I3195" s="1">
        <v>0.0</v>
      </c>
      <c r="J3195" s="1">
        <v>589.0</v>
      </c>
      <c r="L3195" s="1">
        <v>2189113.0</v>
      </c>
      <c r="N3195" s="1">
        <v>521364.0</v>
      </c>
      <c r="P3195" s="1" t="s">
        <v>11670</v>
      </c>
      <c r="Q3195" s="1" t="s">
        <v>11670</v>
      </c>
      <c r="R3195" s="1" t="s">
        <v>11671</v>
      </c>
      <c r="S3195" s="1">
        <v>0.0</v>
      </c>
      <c r="T3195" s="1">
        <v>5.0</v>
      </c>
      <c r="X3195" s="1" t="s">
        <v>29</v>
      </c>
    </row>
    <row r="3196">
      <c r="A3196" s="3" t="str">
        <f>HYPERLINK("https://stackoverflow.com/q/16200946", "16200946")</f>
        <v>16200946</v>
      </c>
      <c r="B3196" s="1" t="s">
        <v>11474</v>
      </c>
      <c r="C3196" s="1" t="s">
        <v>11672</v>
      </c>
      <c r="D3196" s="2" t="s">
        <v>11673</v>
      </c>
      <c r="E3196" s="1">
        <v>1.0</v>
      </c>
      <c r="F3196" s="1">
        <v>1.6201141E7</v>
      </c>
      <c r="I3196" s="1">
        <v>2.0</v>
      </c>
      <c r="J3196" s="1">
        <v>6042.0</v>
      </c>
      <c r="L3196" s="1">
        <v>1721969.0</v>
      </c>
      <c r="Q3196" s="1" t="s">
        <v>11674</v>
      </c>
      <c r="R3196" s="1" t="s">
        <v>11553</v>
      </c>
      <c r="S3196" s="1">
        <v>3.0</v>
      </c>
      <c r="T3196" s="1">
        <v>3.0</v>
      </c>
      <c r="X3196" s="1" t="s">
        <v>29</v>
      </c>
      <c r="Z3196" s="1" t="s">
        <v>11675</v>
      </c>
    </row>
    <row r="3197">
      <c r="A3197" s="3" t="str">
        <f>HYPERLINK("https://stackoverflow.com/q/16306006", "16306006")</f>
        <v>16306006</v>
      </c>
      <c r="B3197" s="1" t="s">
        <v>11474</v>
      </c>
      <c r="C3197" s="1" t="s">
        <v>11676</v>
      </c>
      <c r="D3197" s="2" t="s">
        <v>11677</v>
      </c>
      <c r="E3197" s="1">
        <v>1.0</v>
      </c>
      <c r="I3197" s="1">
        <v>0.0</v>
      </c>
      <c r="J3197" s="1">
        <v>380.0</v>
      </c>
      <c r="L3197" s="1">
        <v>1786607.0</v>
      </c>
      <c r="Q3197" s="1" t="s">
        <v>11678</v>
      </c>
      <c r="R3197" s="1" t="s">
        <v>11679</v>
      </c>
      <c r="S3197" s="1">
        <v>3.0</v>
      </c>
      <c r="T3197" s="1">
        <v>0.0</v>
      </c>
      <c r="X3197" s="1" t="s">
        <v>29</v>
      </c>
    </row>
    <row r="3198">
      <c r="A3198" s="3" t="str">
        <f>HYPERLINK("https://stackoverflow.com/q/16819801", "16819801")</f>
        <v>16819801</v>
      </c>
      <c r="B3198" s="1" t="s">
        <v>11474</v>
      </c>
      <c r="C3198" s="1" t="s">
        <v>11680</v>
      </c>
      <c r="D3198" s="2" t="s">
        <v>11681</v>
      </c>
      <c r="E3198" s="1">
        <v>1.0</v>
      </c>
      <c r="F3198" s="1">
        <v>1.6827336E7</v>
      </c>
      <c r="I3198" s="1">
        <v>19.0</v>
      </c>
      <c r="J3198" s="1">
        <v>7562.0</v>
      </c>
      <c r="L3198" s="1">
        <v>222403.0</v>
      </c>
      <c r="N3198" s="1">
        <v>222403.0</v>
      </c>
      <c r="P3198" s="1" t="s">
        <v>11682</v>
      </c>
      <c r="Q3198" s="1" t="s">
        <v>11683</v>
      </c>
      <c r="R3198" s="1" t="s">
        <v>11684</v>
      </c>
      <c r="S3198" s="1">
        <v>5.0</v>
      </c>
      <c r="T3198" s="1">
        <v>0.0</v>
      </c>
      <c r="U3198" s="1">
        <v>2.0</v>
      </c>
      <c r="X3198" s="1" t="s">
        <v>29</v>
      </c>
      <c r="Z3198" s="1" t="s">
        <v>11685</v>
      </c>
    </row>
    <row r="3199">
      <c r="A3199" s="3" t="str">
        <f>HYPERLINK("https://stackoverflow.com/q/16911661", "16911661")</f>
        <v>16911661</v>
      </c>
      <c r="B3199" s="1" t="s">
        <v>11474</v>
      </c>
      <c r="C3199" s="1" t="s">
        <v>11686</v>
      </c>
      <c r="D3199" s="2" t="s">
        <v>11687</v>
      </c>
      <c r="E3199" s="1">
        <v>1.0</v>
      </c>
      <c r="F3199" s="1">
        <v>1.792967E7</v>
      </c>
      <c r="I3199" s="1">
        <v>3.0</v>
      </c>
      <c r="J3199" s="1">
        <v>2169.0</v>
      </c>
      <c r="L3199" s="1">
        <v>2107297.0</v>
      </c>
      <c r="N3199" s="1">
        <v>480659.0</v>
      </c>
      <c r="P3199" s="1" t="s">
        <v>11688</v>
      </c>
      <c r="Q3199" s="1" t="s">
        <v>11688</v>
      </c>
      <c r="R3199" s="1" t="s">
        <v>11689</v>
      </c>
      <c r="S3199" s="1">
        <v>1.0</v>
      </c>
      <c r="T3199" s="1">
        <v>0.0</v>
      </c>
      <c r="X3199" s="1" t="s">
        <v>29</v>
      </c>
      <c r="Z3199" s="1" t="s">
        <v>11690</v>
      </c>
    </row>
    <row r="3200">
      <c r="A3200" s="3" t="str">
        <f>HYPERLINK("https://stackoverflow.com/q/17126323", "17126323")</f>
        <v>17126323</v>
      </c>
      <c r="B3200" s="1" t="s">
        <v>11474</v>
      </c>
      <c r="C3200" s="1" t="s">
        <v>11691</v>
      </c>
      <c r="D3200" s="2" t="s">
        <v>11692</v>
      </c>
      <c r="E3200" s="1">
        <v>1.0</v>
      </c>
      <c r="F3200" s="1">
        <v>1.7231072E7</v>
      </c>
      <c r="I3200" s="1">
        <v>3.0</v>
      </c>
      <c r="J3200" s="1">
        <v>12468.0</v>
      </c>
      <c r="L3200" s="1">
        <v>608811.0</v>
      </c>
      <c r="N3200" s="1">
        <v>608811.0</v>
      </c>
      <c r="P3200" s="1" t="s">
        <v>11693</v>
      </c>
      <c r="Q3200" s="1" t="s">
        <v>11694</v>
      </c>
      <c r="R3200" s="1" t="s">
        <v>11695</v>
      </c>
      <c r="S3200" s="1">
        <v>4.0</v>
      </c>
      <c r="T3200" s="1">
        <v>1.0</v>
      </c>
      <c r="X3200" s="1" t="s">
        <v>29</v>
      </c>
      <c r="Z3200" s="1" t="s">
        <v>11696</v>
      </c>
    </row>
    <row r="3201">
      <c r="A3201" s="3" t="str">
        <f>HYPERLINK("https://stackoverflow.com/q/17220341", "17220341")</f>
        <v>17220341</v>
      </c>
      <c r="B3201" s="1" t="s">
        <v>11474</v>
      </c>
      <c r="C3201" s="1" t="s">
        <v>11697</v>
      </c>
      <c r="D3201" s="2" t="s">
        <v>11698</v>
      </c>
      <c r="E3201" s="1">
        <v>1.0</v>
      </c>
      <c r="I3201" s="1">
        <v>1.0</v>
      </c>
      <c r="J3201" s="1">
        <v>738.0</v>
      </c>
      <c r="L3201" s="1">
        <v>2460187.0</v>
      </c>
      <c r="Q3201" s="1" t="s">
        <v>11699</v>
      </c>
      <c r="R3201" s="1" t="s">
        <v>11700</v>
      </c>
      <c r="S3201" s="1">
        <v>1.0</v>
      </c>
      <c r="T3201" s="1">
        <v>5.0</v>
      </c>
      <c r="U3201" s="1">
        <v>1.0</v>
      </c>
      <c r="X3201" s="1" t="s">
        <v>29</v>
      </c>
    </row>
    <row r="3202">
      <c r="A3202" s="3" t="str">
        <f>HYPERLINK("https://stackoverflow.com/q/17273496", "17273496")</f>
        <v>17273496</v>
      </c>
      <c r="B3202" s="1" t="s">
        <v>11474</v>
      </c>
      <c r="C3202" s="1" t="s">
        <v>11701</v>
      </c>
      <c r="D3202" s="2" t="s">
        <v>11702</v>
      </c>
      <c r="E3202" s="1">
        <v>1.0</v>
      </c>
      <c r="I3202" s="1">
        <v>0.0</v>
      </c>
      <c r="J3202" s="1">
        <v>2229.0</v>
      </c>
      <c r="L3202" s="1">
        <v>1960811.0</v>
      </c>
      <c r="Q3202" s="1" t="s">
        <v>11703</v>
      </c>
      <c r="R3202" s="1" t="s">
        <v>11604</v>
      </c>
      <c r="S3202" s="1">
        <v>2.0</v>
      </c>
      <c r="T3202" s="1">
        <v>0.0</v>
      </c>
      <c r="X3202" s="1" t="s">
        <v>29</v>
      </c>
    </row>
    <row r="3203">
      <c r="A3203" s="3" t="str">
        <f>HYPERLINK("https://stackoverflow.com/q/18096689", "18096689")</f>
        <v>18096689</v>
      </c>
      <c r="B3203" s="1" t="s">
        <v>11474</v>
      </c>
      <c r="C3203" s="1" t="s">
        <v>11704</v>
      </c>
      <c r="D3203" s="2" t="s">
        <v>11705</v>
      </c>
      <c r="E3203" s="1">
        <v>1.0</v>
      </c>
      <c r="I3203" s="1">
        <v>0.0</v>
      </c>
      <c r="J3203" s="1">
        <v>1553.0</v>
      </c>
      <c r="L3203" s="1">
        <v>2606686.0</v>
      </c>
      <c r="Q3203" s="1" t="s">
        <v>11706</v>
      </c>
      <c r="R3203" s="1" t="s">
        <v>11707</v>
      </c>
      <c r="S3203" s="1">
        <v>4.0</v>
      </c>
      <c r="T3203" s="1">
        <v>0.0</v>
      </c>
      <c r="X3203" s="1" t="s">
        <v>29</v>
      </c>
    </row>
    <row r="3204">
      <c r="A3204" s="3" t="str">
        <f>HYPERLINK("https://stackoverflow.com/q/18234790", "18234790")</f>
        <v>18234790</v>
      </c>
      <c r="B3204" s="1" t="s">
        <v>11474</v>
      </c>
      <c r="C3204" s="1" t="s">
        <v>11708</v>
      </c>
      <c r="D3204" s="2" t="s">
        <v>11709</v>
      </c>
      <c r="E3204" s="1">
        <v>1.0</v>
      </c>
      <c r="F3204" s="1">
        <v>1.9623468E7</v>
      </c>
      <c r="I3204" s="1">
        <v>0.0</v>
      </c>
      <c r="J3204" s="1">
        <v>1332.0</v>
      </c>
      <c r="L3204" s="1">
        <v>2417756.0</v>
      </c>
      <c r="N3204" s="1">
        <v>1989820.0</v>
      </c>
      <c r="P3204" s="1" t="s">
        <v>11710</v>
      </c>
      <c r="Q3204" s="1" t="s">
        <v>11711</v>
      </c>
      <c r="R3204" s="1" t="s">
        <v>11712</v>
      </c>
      <c r="S3204" s="1">
        <v>2.0</v>
      </c>
      <c r="T3204" s="1">
        <v>0.0</v>
      </c>
      <c r="U3204" s="1">
        <v>2.0</v>
      </c>
      <c r="X3204" s="1" t="s">
        <v>29</v>
      </c>
      <c r="Z3204" s="1" t="s">
        <v>11713</v>
      </c>
    </row>
    <row r="3205">
      <c r="A3205" s="3" t="str">
        <f>HYPERLINK("https://stackoverflow.com/q/18335697", "18335697")</f>
        <v>18335697</v>
      </c>
      <c r="B3205" s="1" t="s">
        <v>11474</v>
      </c>
      <c r="C3205" s="1" t="s">
        <v>11714</v>
      </c>
      <c r="D3205" s="2" t="s">
        <v>11715</v>
      </c>
      <c r="E3205" s="1">
        <v>1.0</v>
      </c>
      <c r="F3205" s="1">
        <v>1.837608E7</v>
      </c>
      <c r="I3205" s="1">
        <v>9.0</v>
      </c>
      <c r="J3205" s="1">
        <v>11811.0</v>
      </c>
      <c r="L3205" s="1">
        <v>1833065.0</v>
      </c>
      <c r="Q3205" s="1" t="s">
        <v>11716</v>
      </c>
      <c r="R3205" s="1" t="s">
        <v>11717</v>
      </c>
      <c r="S3205" s="1">
        <v>9.0</v>
      </c>
      <c r="T3205" s="1">
        <v>0.0</v>
      </c>
      <c r="U3205" s="1">
        <v>7.0</v>
      </c>
      <c r="X3205" s="1" t="s">
        <v>29</v>
      </c>
      <c r="Z3205" s="1" t="s">
        <v>11718</v>
      </c>
    </row>
    <row r="3206">
      <c r="A3206" s="3" t="str">
        <f>HYPERLINK("https://stackoverflow.com/q/18557198", "18557198")</f>
        <v>18557198</v>
      </c>
      <c r="B3206" s="1" t="s">
        <v>11474</v>
      </c>
      <c r="C3206" s="1" t="s">
        <v>11719</v>
      </c>
      <c r="D3206" s="2" t="s">
        <v>11720</v>
      </c>
      <c r="E3206" s="1">
        <v>1.0</v>
      </c>
      <c r="F3206" s="1">
        <v>1.856095E7</v>
      </c>
      <c r="I3206" s="1">
        <v>0.0</v>
      </c>
      <c r="J3206" s="1">
        <v>471.0</v>
      </c>
      <c r="L3206" s="1">
        <v>2736941.0</v>
      </c>
      <c r="N3206" s="1">
        <v>1501794.0</v>
      </c>
      <c r="P3206" s="1" t="s">
        <v>11721</v>
      </c>
      <c r="Q3206" s="1" t="s">
        <v>11722</v>
      </c>
      <c r="R3206" s="1" t="s">
        <v>11723</v>
      </c>
      <c r="S3206" s="1">
        <v>1.0</v>
      </c>
      <c r="T3206" s="1">
        <v>2.0</v>
      </c>
      <c r="X3206" s="1" t="s">
        <v>29</v>
      </c>
      <c r="Z3206" s="1" t="s">
        <v>11722</v>
      </c>
    </row>
    <row r="3207">
      <c r="A3207" s="3" t="str">
        <f>HYPERLINK("https://stackoverflow.com/q/18617586", "18617586")</f>
        <v>18617586</v>
      </c>
      <c r="B3207" s="1" t="s">
        <v>11474</v>
      </c>
      <c r="C3207" s="1" t="s">
        <v>11724</v>
      </c>
      <c r="D3207" s="2" t="s">
        <v>11725</v>
      </c>
      <c r="E3207" s="1">
        <v>1.0</v>
      </c>
      <c r="F3207" s="1">
        <v>1.8642298E7</v>
      </c>
      <c r="I3207" s="1">
        <v>1.0</v>
      </c>
      <c r="J3207" s="1">
        <v>240.0</v>
      </c>
      <c r="L3207" s="1">
        <v>1745072.0</v>
      </c>
      <c r="N3207" s="1">
        <v>472495.0</v>
      </c>
      <c r="P3207" s="1" t="s">
        <v>11726</v>
      </c>
      <c r="Q3207" s="1" t="s">
        <v>11727</v>
      </c>
      <c r="R3207" s="1" t="s">
        <v>11728</v>
      </c>
      <c r="S3207" s="1">
        <v>1.0</v>
      </c>
      <c r="T3207" s="1">
        <v>0.0</v>
      </c>
      <c r="X3207" s="1" t="s">
        <v>29</v>
      </c>
      <c r="Z3207" s="1" t="s">
        <v>11727</v>
      </c>
    </row>
    <row r="3208">
      <c r="A3208" s="3" t="str">
        <f>HYPERLINK("https://stackoverflow.com/q/18624062", "18624062")</f>
        <v>18624062</v>
      </c>
      <c r="B3208" s="1" t="s">
        <v>11474</v>
      </c>
      <c r="C3208" s="1" t="s">
        <v>11729</v>
      </c>
      <c r="D3208" s="2" t="s">
        <v>11730</v>
      </c>
      <c r="E3208" s="1">
        <v>1.0</v>
      </c>
      <c r="I3208" s="1">
        <v>0.0</v>
      </c>
      <c r="J3208" s="1">
        <v>576.0</v>
      </c>
      <c r="L3208" s="1">
        <v>2748501.0</v>
      </c>
      <c r="N3208" s="1">
        <v>1583175.0</v>
      </c>
      <c r="P3208" s="1" t="s">
        <v>11731</v>
      </c>
      <c r="Q3208" s="1" t="s">
        <v>11732</v>
      </c>
      <c r="R3208" s="1" t="s">
        <v>11733</v>
      </c>
      <c r="S3208" s="1">
        <v>2.0</v>
      </c>
      <c r="T3208" s="1">
        <v>0.0</v>
      </c>
      <c r="X3208" s="1" t="s">
        <v>29</v>
      </c>
    </row>
    <row r="3209">
      <c r="A3209" s="3" t="str">
        <f>HYPERLINK("https://stackoverflow.com/q/18730532", "18730532")</f>
        <v>18730532</v>
      </c>
      <c r="B3209" s="1" t="s">
        <v>11474</v>
      </c>
      <c r="C3209" s="1" t="s">
        <v>11734</v>
      </c>
      <c r="D3209" s="2" t="s">
        <v>11735</v>
      </c>
      <c r="E3209" s="1">
        <v>1.0</v>
      </c>
      <c r="F3209" s="1">
        <v>1.8848087E7</v>
      </c>
      <c r="I3209" s="1">
        <v>3.0</v>
      </c>
      <c r="J3209" s="1">
        <v>833.0</v>
      </c>
      <c r="L3209" s="1">
        <v>1292663.0</v>
      </c>
      <c r="Q3209" s="1" t="s">
        <v>11736</v>
      </c>
      <c r="R3209" s="1" t="s">
        <v>11737</v>
      </c>
      <c r="S3209" s="1">
        <v>2.0</v>
      </c>
      <c r="T3209" s="1">
        <v>0.0</v>
      </c>
      <c r="X3209" s="1" t="s">
        <v>29</v>
      </c>
      <c r="Z3209" s="1" t="s">
        <v>11738</v>
      </c>
    </row>
    <row r="3210">
      <c r="A3210" s="3" t="str">
        <f>HYPERLINK("https://stackoverflow.com/q/19109573", "19109573")</f>
        <v>19109573</v>
      </c>
      <c r="B3210" s="1" t="s">
        <v>11474</v>
      </c>
      <c r="C3210" s="1" t="s">
        <v>11739</v>
      </c>
      <c r="D3210" s="2" t="s">
        <v>11740</v>
      </c>
      <c r="E3210" s="1">
        <v>1.0</v>
      </c>
      <c r="I3210" s="1">
        <v>0.0</v>
      </c>
      <c r="J3210" s="1">
        <v>106.0</v>
      </c>
      <c r="L3210" s="1">
        <v>2801946.0</v>
      </c>
      <c r="N3210" s="1">
        <v>2738927.0</v>
      </c>
      <c r="P3210" s="1" t="s">
        <v>11741</v>
      </c>
      <c r="Q3210" s="1" t="s">
        <v>11742</v>
      </c>
      <c r="R3210" s="1" t="s">
        <v>11743</v>
      </c>
      <c r="S3210" s="1">
        <v>1.0</v>
      </c>
      <c r="T3210" s="1">
        <v>5.0</v>
      </c>
      <c r="X3210" s="1" t="s">
        <v>29</v>
      </c>
    </row>
    <row r="3211">
      <c r="A3211" s="3" t="str">
        <f>HYPERLINK("https://stackoverflow.com/q/19289621", "19289621")</f>
        <v>19289621</v>
      </c>
      <c r="B3211" s="1" t="s">
        <v>11474</v>
      </c>
      <c r="C3211" s="1" t="s">
        <v>11744</v>
      </c>
      <c r="D3211" s="2" t="s">
        <v>11745</v>
      </c>
      <c r="E3211" s="1">
        <v>1.0</v>
      </c>
      <c r="I3211" s="1">
        <v>0.0</v>
      </c>
      <c r="J3211" s="1">
        <v>1082.0</v>
      </c>
      <c r="L3211" s="1">
        <v>2801946.0</v>
      </c>
      <c r="Q3211" s="1" t="s">
        <v>11746</v>
      </c>
      <c r="R3211" s="1" t="s">
        <v>11747</v>
      </c>
      <c r="S3211" s="1">
        <v>2.0</v>
      </c>
      <c r="T3211" s="1">
        <v>0.0</v>
      </c>
      <c r="X3211" s="1" t="s">
        <v>29</v>
      </c>
    </row>
    <row r="3212">
      <c r="A3212" s="3" t="str">
        <f>HYPERLINK("https://stackoverflow.com/q/19432016", "19432016")</f>
        <v>19432016</v>
      </c>
      <c r="B3212" s="1" t="s">
        <v>11474</v>
      </c>
      <c r="C3212" s="1" t="s">
        <v>11748</v>
      </c>
      <c r="D3212" s="2" t="s">
        <v>11749</v>
      </c>
      <c r="E3212" s="1">
        <v>1.0</v>
      </c>
      <c r="I3212" s="1">
        <v>0.0</v>
      </c>
      <c r="J3212" s="1">
        <v>875.0</v>
      </c>
      <c r="L3212" s="1">
        <v>2888699.0</v>
      </c>
      <c r="N3212" s="1">
        <v>2888699.0</v>
      </c>
      <c r="P3212" s="1" t="s">
        <v>11750</v>
      </c>
      <c r="Q3212" s="1" t="s">
        <v>11750</v>
      </c>
      <c r="R3212" s="1" t="s">
        <v>11751</v>
      </c>
      <c r="S3212" s="1">
        <v>0.0</v>
      </c>
      <c r="T3212" s="1">
        <v>4.0</v>
      </c>
      <c r="X3212" s="1" t="s">
        <v>29</v>
      </c>
    </row>
    <row r="3213">
      <c r="A3213" s="3" t="str">
        <f>HYPERLINK("https://stackoverflow.com/q/19495048", "19495048")</f>
        <v>19495048</v>
      </c>
      <c r="B3213" s="1" t="s">
        <v>11474</v>
      </c>
      <c r="C3213" s="1" t="s">
        <v>11752</v>
      </c>
      <c r="D3213" s="2" t="s">
        <v>11753</v>
      </c>
      <c r="E3213" s="1">
        <v>1.0</v>
      </c>
      <c r="I3213" s="1">
        <v>3.0</v>
      </c>
      <c r="J3213" s="1">
        <v>3421.0</v>
      </c>
      <c r="L3213" s="1">
        <v>2674961.0</v>
      </c>
      <c r="Q3213" s="1" t="s">
        <v>11754</v>
      </c>
      <c r="R3213" s="1" t="s">
        <v>11755</v>
      </c>
      <c r="S3213" s="1">
        <v>3.0</v>
      </c>
      <c r="T3213" s="1">
        <v>0.0</v>
      </c>
      <c r="X3213" s="1" t="s">
        <v>29</v>
      </c>
    </row>
    <row r="3214">
      <c r="A3214" s="3" t="str">
        <f>HYPERLINK("https://stackoverflow.com/q/20176524", "20176524")</f>
        <v>20176524</v>
      </c>
      <c r="B3214" s="1" t="s">
        <v>11474</v>
      </c>
      <c r="C3214" s="1" t="s">
        <v>11756</v>
      </c>
      <c r="D3214" s="2" t="s">
        <v>11757</v>
      </c>
      <c r="E3214" s="1">
        <v>1.0</v>
      </c>
      <c r="I3214" s="1">
        <v>0.0</v>
      </c>
      <c r="J3214" s="1">
        <v>510.0</v>
      </c>
      <c r="L3214" s="1">
        <v>822465.0</v>
      </c>
      <c r="Q3214" s="1" t="s">
        <v>11758</v>
      </c>
      <c r="R3214" s="1" t="s">
        <v>11759</v>
      </c>
      <c r="S3214" s="1">
        <v>1.0</v>
      </c>
      <c r="T3214" s="1">
        <v>0.0</v>
      </c>
      <c r="U3214" s="1">
        <v>0.0</v>
      </c>
      <c r="X3214" s="1" t="s">
        <v>29</v>
      </c>
    </row>
    <row r="3215">
      <c r="A3215" s="3" t="str">
        <f>HYPERLINK("https://stackoverflow.com/q/20183529", "20183529")</f>
        <v>20183529</v>
      </c>
      <c r="B3215" s="1" t="s">
        <v>11474</v>
      </c>
      <c r="C3215" s="1" t="s">
        <v>11760</v>
      </c>
      <c r="D3215" s="2" t="s">
        <v>11761</v>
      </c>
      <c r="E3215" s="1">
        <v>1.0</v>
      </c>
      <c r="I3215" s="1">
        <v>4.0</v>
      </c>
      <c r="J3215" s="1">
        <v>1470.0</v>
      </c>
      <c r="L3215" s="1">
        <v>1307252.0</v>
      </c>
      <c r="N3215" s="1">
        <v>1070452.0</v>
      </c>
      <c r="P3215" s="1" t="s">
        <v>11762</v>
      </c>
      <c r="Q3215" s="1" t="s">
        <v>11763</v>
      </c>
      <c r="R3215" s="1" t="s">
        <v>11764</v>
      </c>
      <c r="S3215" s="1">
        <v>1.0</v>
      </c>
      <c r="T3215" s="1">
        <v>0.0</v>
      </c>
      <c r="X3215" s="1" t="s">
        <v>29</v>
      </c>
    </row>
    <row r="3216">
      <c r="A3216" s="3" t="str">
        <f>HYPERLINK("https://stackoverflow.com/q/20693110", "20693110")</f>
        <v>20693110</v>
      </c>
      <c r="B3216" s="1" t="s">
        <v>11474</v>
      </c>
      <c r="C3216" s="1" t="s">
        <v>11765</v>
      </c>
      <c r="D3216" s="2" t="s">
        <v>11766</v>
      </c>
      <c r="E3216" s="1">
        <v>1.0</v>
      </c>
      <c r="F3216" s="1">
        <v>2.0896772E7</v>
      </c>
      <c r="I3216" s="1">
        <v>0.0</v>
      </c>
      <c r="J3216" s="1">
        <v>1674.0</v>
      </c>
      <c r="L3216" s="1">
        <v>2033465.0</v>
      </c>
      <c r="N3216" s="1">
        <v>2742805.0</v>
      </c>
      <c r="P3216" s="1" t="s">
        <v>11767</v>
      </c>
      <c r="Q3216" s="1" t="s">
        <v>11768</v>
      </c>
      <c r="R3216" s="1" t="s">
        <v>11769</v>
      </c>
      <c r="S3216" s="1">
        <v>1.0</v>
      </c>
      <c r="T3216" s="1">
        <v>0.0</v>
      </c>
      <c r="U3216" s="1">
        <v>0.0</v>
      </c>
      <c r="X3216" s="1" t="s">
        <v>29</v>
      </c>
      <c r="Z3216" s="1" t="s">
        <v>11770</v>
      </c>
    </row>
    <row r="3217">
      <c r="A3217" s="3" t="str">
        <f>HYPERLINK("https://stackoverflow.com/q/21177958", "21177958")</f>
        <v>21177958</v>
      </c>
      <c r="B3217" s="1" t="s">
        <v>11474</v>
      </c>
      <c r="C3217" s="1" t="s">
        <v>11771</v>
      </c>
      <c r="D3217" s="2" t="s">
        <v>11772</v>
      </c>
      <c r="E3217" s="1">
        <v>1.0</v>
      </c>
      <c r="F3217" s="1">
        <v>2.1180277E7</v>
      </c>
      <c r="I3217" s="1">
        <v>0.0</v>
      </c>
      <c r="J3217" s="1">
        <v>280.0</v>
      </c>
      <c r="L3217" s="1">
        <v>3154952.0</v>
      </c>
      <c r="Q3217" s="1" t="s">
        <v>11773</v>
      </c>
      <c r="R3217" s="1" t="s">
        <v>11774</v>
      </c>
      <c r="S3217" s="1">
        <v>1.0</v>
      </c>
      <c r="T3217" s="1">
        <v>0.0</v>
      </c>
      <c r="U3217" s="1">
        <v>0.0</v>
      </c>
      <c r="X3217" s="1" t="s">
        <v>29</v>
      </c>
      <c r="Z3217" s="1" t="s">
        <v>11773</v>
      </c>
    </row>
    <row r="3218">
      <c r="A3218" s="3" t="str">
        <f>HYPERLINK("https://stackoverflow.com/q/21314917", "21314917")</f>
        <v>21314917</v>
      </c>
      <c r="B3218" s="1" t="s">
        <v>11474</v>
      </c>
      <c r="C3218" s="1" t="s">
        <v>11775</v>
      </c>
      <c r="D3218" s="2" t="s">
        <v>11776</v>
      </c>
      <c r="E3218" s="1">
        <v>1.0</v>
      </c>
      <c r="F3218" s="1">
        <v>2.1380412E7</v>
      </c>
      <c r="I3218" s="1">
        <v>0.0</v>
      </c>
      <c r="J3218" s="1">
        <v>815.0</v>
      </c>
      <c r="L3218" s="1">
        <v>3228805.0</v>
      </c>
      <c r="N3218" s="1">
        <v>1677912.0</v>
      </c>
      <c r="P3218" s="1" t="s">
        <v>11777</v>
      </c>
      <c r="Q3218" s="1" t="s">
        <v>11777</v>
      </c>
      <c r="R3218" s="1" t="s">
        <v>11778</v>
      </c>
      <c r="S3218" s="1">
        <v>4.0</v>
      </c>
      <c r="T3218" s="1">
        <v>0.0</v>
      </c>
      <c r="U3218" s="1">
        <v>0.0</v>
      </c>
      <c r="X3218" s="1" t="s">
        <v>29</v>
      </c>
      <c r="Z3218" s="1" t="s">
        <v>11779</v>
      </c>
    </row>
    <row r="3219">
      <c r="A3219" s="3" t="str">
        <f>HYPERLINK("https://stackoverflow.com/q/21473504", "21473504")</f>
        <v>21473504</v>
      </c>
      <c r="B3219" s="1" t="s">
        <v>11474</v>
      </c>
      <c r="C3219" s="1" t="s">
        <v>11780</v>
      </c>
      <c r="D3219" s="2" t="s">
        <v>11781</v>
      </c>
      <c r="E3219" s="1">
        <v>1.0</v>
      </c>
      <c r="F3219" s="1">
        <v>2.1480008E7</v>
      </c>
      <c r="I3219" s="1">
        <v>0.0</v>
      </c>
      <c r="J3219" s="1">
        <v>2207.0</v>
      </c>
      <c r="L3219" s="1">
        <v>1471389.0</v>
      </c>
      <c r="Q3219" s="1" t="s">
        <v>11782</v>
      </c>
      <c r="R3219" s="1" t="s">
        <v>11783</v>
      </c>
      <c r="S3219" s="1">
        <v>2.0</v>
      </c>
      <c r="T3219" s="1">
        <v>1.0</v>
      </c>
      <c r="U3219" s="1">
        <v>1.0</v>
      </c>
      <c r="X3219" s="1" t="s">
        <v>29</v>
      </c>
      <c r="Z3219" s="1" t="s">
        <v>11784</v>
      </c>
    </row>
    <row r="3220">
      <c r="A3220" s="3" t="str">
        <f>HYPERLINK("https://stackoverflow.com/q/22064716", "22064716")</f>
        <v>22064716</v>
      </c>
      <c r="B3220" s="1" t="s">
        <v>11474</v>
      </c>
      <c r="C3220" s="1" t="s">
        <v>11785</v>
      </c>
      <c r="D3220" s="2" t="s">
        <v>11786</v>
      </c>
      <c r="E3220" s="1">
        <v>1.0</v>
      </c>
      <c r="I3220" s="1">
        <v>0.0</v>
      </c>
      <c r="J3220" s="1">
        <v>647.0</v>
      </c>
      <c r="L3220" s="1">
        <v>3332384.0</v>
      </c>
      <c r="N3220" s="1">
        <v>2636891.0</v>
      </c>
      <c r="P3220" s="1" t="s">
        <v>11787</v>
      </c>
      <c r="Q3220" s="1" t="s">
        <v>11788</v>
      </c>
      <c r="R3220" s="1" t="s">
        <v>11596</v>
      </c>
      <c r="S3220" s="1">
        <v>1.0</v>
      </c>
      <c r="T3220" s="1">
        <v>0.0</v>
      </c>
      <c r="X3220" s="1" t="s">
        <v>29</v>
      </c>
    </row>
    <row r="3221">
      <c r="A3221" s="3" t="str">
        <f>HYPERLINK("https://stackoverflow.com/q/22145868", "22145868")</f>
        <v>22145868</v>
      </c>
      <c r="B3221" s="1" t="s">
        <v>11474</v>
      </c>
      <c r="C3221" s="1" t="s">
        <v>11789</v>
      </c>
      <c r="D3221" s="2" t="s">
        <v>11790</v>
      </c>
      <c r="E3221" s="1">
        <v>1.0</v>
      </c>
      <c r="I3221" s="1">
        <v>0.0</v>
      </c>
      <c r="J3221" s="1">
        <v>1238.0</v>
      </c>
      <c r="L3221" s="1">
        <v>3374711.0</v>
      </c>
      <c r="N3221" s="1">
        <v>3374711.0</v>
      </c>
      <c r="P3221" s="1" t="s">
        <v>11791</v>
      </c>
      <c r="Q3221" s="1" t="s">
        <v>11792</v>
      </c>
      <c r="R3221" s="1" t="s">
        <v>11793</v>
      </c>
      <c r="S3221" s="1">
        <v>2.0</v>
      </c>
      <c r="T3221" s="1">
        <v>0.0</v>
      </c>
      <c r="X3221" s="1" t="s">
        <v>29</v>
      </c>
    </row>
    <row r="3222">
      <c r="A3222" s="3" t="str">
        <f>HYPERLINK("https://stackoverflow.com/q/22187852", "22187852")</f>
        <v>22187852</v>
      </c>
      <c r="B3222" s="1" t="s">
        <v>11474</v>
      </c>
      <c r="C3222" s="1" t="s">
        <v>11794</v>
      </c>
      <c r="D3222" s="2" t="s">
        <v>11795</v>
      </c>
      <c r="E3222" s="1">
        <v>1.0</v>
      </c>
      <c r="I3222" s="1">
        <v>0.0</v>
      </c>
      <c r="J3222" s="1">
        <v>371.0</v>
      </c>
      <c r="L3222" s="1">
        <v>3332384.0</v>
      </c>
      <c r="Q3222" s="1" t="s">
        <v>11796</v>
      </c>
      <c r="R3222" s="1" t="s">
        <v>11596</v>
      </c>
      <c r="S3222" s="1">
        <v>1.0</v>
      </c>
      <c r="T3222" s="1">
        <v>0.0</v>
      </c>
      <c r="X3222" s="1" t="s">
        <v>29</v>
      </c>
    </row>
    <row r="3223">
      <c r="A3223" s="3" t="str">
        <f>HYPERLINK("https://stackoverflow.com/q/22611025", "22611025")</f>
        <v>22611025</v>
      </c>
      <c r="B3223" s="1" t="s">
        <v>11474</v>
      </c>
      <c r="C3223" s="1" t="s">
        <v>11797</v>
      </c>
      <c r="D3223" s="2" t="s">
        <v>11798</v>
      </c>
      <c r="E3223" s="1">
        <v>1.0</v>
      </c>
      <c r="I3223" s="1">
        <v>1.0</v>
      </c>
      <c r="J3223" s="1">
        <v>2599.0</v>
      </c>
      <c r="L3223" s="1">
        <v>3332384.0</v>
      </c>
      <c r="Q3223" s="1" t="s">
        <v>11799</v>
      </c>
      <c r="R3223" s="1" t="s">
        <v>11596</v>
      </c>
      <c r="S3223" s="1">
        <v>1.0</v>
      </c>
      <c r="T3223" s="1">
        <v>0.0</v>
      </c>
      <c r="X3223" s="1" t="s">
        <v>29</v>
      </c>
    </row>
    <row r="3224">
      <c r="A3224" s="3" t="str">
        <f>HYPERLINK("https://stackoverflow.com/q/22861584", "22861584")</f>
        <v>22861584</v>
      </c>
      <c r="B3224" s="1" t="s">
        <v>11474</v>
      </c>
      <c r="C3224" s="1" t="s">
        <v>11800</v>
      </c>
      <c r="D3224" s="2" t="s">
        <v>11801</v>
      </c>
      <c r="E3224" s="1">
        <v>1.0</v>
      </c>
      <c r="I3224" s="1">
        <v>0.0</v>
      </c>
      <c r="J3224" s="1">
        <v>336.0</v>
      </c>
      <c r="L3224" s="1">
        <v>3332384.0</v>
      </c>
      <c r="Q3224" s="1" t="s">
        <v>11802</v>
      </c>
      <c r="R3224" s="1" t="s">
        <v>11596</v>
      </c>
      <c r="S3224" s="1">
        <v>1.0</v>
      </c>
      <c r="T3224" s="1">
        <v>0.0</v>
      </c>
      <c r="X3224" s="1" t="s">
        <v>29</v>
      </c>
    </row>
    <row r="3225">
      <c r="A3225" s="3" t="str">
        <f>HYPERLINK("https://stackoverflow.com/q/22986371", "22986371")</f>
        <v>22986371</v>
      </c>
      <c r="B3225" s="1" t="s">
        <v>11474</v>
      </c>
      <c r="C3225" s="1" t="s">
        <v>11803</v>
      </c>
      <c r="D3225" s="2" t="s">
        <v>11804</v>
      </c>
      <c r="E3225" s="1">
        <v>1.0</v>
      </c>
      <c r="I3225" s="1">
        <v>0.0</v>
      </c>
      <c r="J3225" s="1">
        <v>521.0</v>
      </c>
      <c r="L3225" s="1">
        <v>3217695.0</v>
      </c>
      <c r="N3225" s="1">
        <v>383688.0</v>
      </c>
      <c r="P3225" s="1" t="s">
        <v>11805</v>
      </c>
      <c r="Q3225" s="1" t="s">
        <v>11805</v>
      </c>
      <c r="R3225" s="1" t="s">
        <v>11806</v>
      </c>
      <c r="S3225" s="1">
        <v>0.0</v>
      </c>
      <c r="T3225" s="1">
        <v>7.0</v>
      </c>
      <c r="X3225" s="1" t="s">
        <v>29</v>
      </c>
    </row>
    <row r="3226">
      <c r="A3226" s="3" t="str">
        <f>HYPERLINK("https://stackoverflow.com/q/23062636", "23062636")</f>
        <v>23062636</v>
      </c>
      <c r="B3226" s="1" t="s">
        <v>11474</v>
      </c>
      <c r="C3226" s="1" t="s">
        <v>11807</v>
      </c>
      <c r="D3226" s="2" t="s">
        <v>11808</v>
      </c>
      <c r="E3226" s="1">
        <v>1.0</v>
      </c>
      <c r="F3226" s="1">
        <v>2.3077311E7</v>
      </c>
      <c r="I3226" s="1">
        <v>1.0</v>
      </c>
      <c r="J3226" s="1">
        <v>1861.0</v>
      </c>
      <c r="L3226" s="1">
        <v>1421665.0</v>
      </c>
      <c r="N3226" s="1">
        <v>1421665.0</v>
      </c>
      <c r="P3226" s="1" t="s">
        <v>11809</v>
      </c>
      <c r="Q3226" s="1" t="s">
        <v>11810</v>
      </c>
      <c r="R3226" s="1" t="s">
        <v>11558</v>
      </c>
      <c r="S3226" s="1">
        <v>1.0</v>
      </c>
      <c r="T3226" s="1">
        <v>0.0</v>
      </c>
      <c r="U3226" s="1">
        <v>1.0</v>
      </c>
      <c r="X3226" s="1" t="s">
        <v>29</v>
      </c>
      <c r="Z3226" s="1" t="s">
        <v>11811</v>
      </c>
    </row>
    <row r="3227">
      <c r="A3227" s="3" t="str">
        <f>HYPERLINK("https://stackoverflow.com/q/23073453", "23073453")</f>
        <v>23073453</v>
      </c>
      <c r="B3227" s="1" t="s">
        <v>11474</v>
      </c>
      <c r="C3227" s="1" t="s">
        <v>11812</v>
      </c>
      <c r="D3227" s="2" t="s">
        <v>11813</v>
      </c>
      <c r="E3227" s="1">
        <v>1.0</v>
      </c>
      <c r="I3227" s="1">
        <v>2.0</v>
      </c>
      <c r="J3227" s="1">
        <v>2557.0</v>
      </c>
      <c r="L3227" s="1">
        <v>279695.0</v>
      </c>
      <c r="Q3227" s="1" t="s">
        <v>11814</v>
      </c>
      <c r="R3227" s="1" t="s">
        <v>11596</v>
      </c>
      <c r="S3227" s="1">
        <v>1.0</v>
      </c>
      <c r="T3227" s="1">
        <v>0.0</v>
      </c>
      <c r="U3227" s="1">
        <v>2.0</v>
      </c>
      <c r="X3227" s="1" t="s">
        <v>29</v>
      </c>
    </row>
    <row r="3228">
      <c r="A3228" s="3" t="str">
        <f>HYPERLINK("https://stackoverflow.com/q/23145564", "23145564")</f>
        <v>23145564</v>
      </c>
      <c r="B3228" s="1" t="s">
        <v>11474</v>
      </c>
      <c r="C3228" s="1" t="s">
        <v>11815</v>
      </c>
      <c r="D3228" s="2" t="s">
        <v>11816</v>
      </c>
      <c r="E3228" s="1">
        <v>1.0</v>
      </c>
      <c r="I3228" s="1">
        <v>0.0</v>
      </c>
      <c r="J3228" s="1">
        <v>509.0</v>
      </c>
      <c r="L3228" s="1">
        <v>3547226.0</v>
      </c>
      <c r="N3228" s="1">
        <v>2139766.0</v>
      </c>
      <c r="P3228" s="1" t="s">
        <v>11817</v>
      </c>
      <c r="Q3228" s="1" t="s">
        <v>11817</v>
      </c>
      <c r="R3228" s="1" t="s">
        <v>11818</v>
      </c>
      <c r="S3228" s="1">
        <v>0.0</v>
      </c>
      <c r="T3228" s="1">
        <v>2.0</v>
      </c>
      <c r="U3228" s="1">
        <v>0.0</v>
      </c>
      <c r="X3228" s="1" t="s">
        <v>29</v>
      </c>
    </row>
    <row r="3229">
      <c r="A3229" s="3" t="str">
        <f>HYPERLINK("https://stackoverflow.com/q/23234021", "23234021")</f>
        <v>23234021</v>
      </c>
      <c r="B3229" s="1" t="s">
        <v>11474</v>
      </c>
      <c r="C3229" s="1" t="s">
        <v>11819</v>
      </c>
      <c r="D3229" s="2" t="s">
        <v>11820</v>
      </c>
      <c r="E3229" s="1">
        <v>1.0</v>
      </c>
      <c r="F3229" s="1">
        <v>2.3234985E7</v>
      </c>
      <c r="I3229" s="1">
        <v>7.0</v>
      </c>
      <c r="J3229" s="1">
        <v>20112.0</v>
      </c>
      <c r="L3229" s="1">
        <v>222403.0</v>
      </c>
      <c r="N3229" s="1">
        <v>222403.0</v>
      </c>
      <c r="P3229" s="1" t="s">
        <v>11821</v>
      </c>
      <c r="Q3229" s="1" t="s">
        <v>11822</v>
      </c>
      <c r="R3229" s="1" t="s">
        <v>11823</v>
      </c>
      <c r="S3229" s="1">
        <v>1.0</v>
      </c>
      <c r="T3229" s="1">
        <v>3.0</v>
      </c>
      <c r="U3229" s="1">
        <v>2.0</v>
      </c>
      <c r="X3229" s="1" t="s">
        <v>29</v>
      </c>
      <c r="Z3229" s="1" t="s">
        <v>11824</v>
      </c>
    </row>
    <row r="3230">
      <c r="A3230" s="3" t="str">
        <f>HYPERLINK("https://stackoverflow.com/q/23665466", "23665466")</f>
        <v>23665466</v>
      </c>
      <c r="B3230" s="1" t="s">
        <v>11474</v>
      </c>
      <c r="C3230" s="1" t="s">
        <v>11825</v>
      </c>
      <c r="D3230" s="2" t="s">
        <v>11826</v>
      </c>
      <c r="E3230" s="1">
        <v>1.0</v>
      </c>
      <c r="I3230" s="1">
        <v>4.0</v>
      </c>
      <c r="J3230" s="1">
        <v>3351.0</v>
      </c>
      <c r="L3230" s="1">
        <v>1695767.0</v>
      </c>
      <c r="N3230" s="1">
        <v>1695767.0</v>
      </c>
      <c r="P3230" s="1" t="s">
        <v>11827</v>
      </c>
      <c r="Q3230" s="1" t="s">
        <v>11828</v>
      </c>
      <c r="R3230" s="1" t="s">
        <v>11829</v>
      </c>
      <c r="S3230" s="1">
        <v>1.0</v>
      </c>
      <c r="T3230" s="1">
        <v>0.0</v>
      </c>
      <c r="X3230" s="1" t="s">
        <v>29</v>
      </c>
    </row>
    <row r="3231">
      <c r="A3231" s="3" t="str">
        <f>HYPERLINK("https://stackoverflow.com/q/24559072", "24559072")</f>
        <v>24559072</v>
      </c>
      <c r="B3231" s="1" t="s">
        <v>11474</v>
      </c>
      <c r="C3231" s="1" t="s">
        <v>11830</v>
      </c>
      <c r="D3231" s="2" t="s">
        <v>11831</v>
      </c>
      <c r="E3231" s="1">
        <v>1.0</v>
      </c>
      <c r="F3231" s="1">
        <v>2.4559198E7</v>
      </c>
      <c r="I3231" s="1">
        <v>0.0</v>
      </c>
      <c r="J3231" s="1">
        <v>576.0</v>
      </c>
      <c r="L3231" s="1">
        <v>1906131.0</v>
      </c>
      <c r="Q3231" s="1" t="s">
        <v>11832</v>
      </c>
      <c r="R3231" s="1" t="s">
        <v>11833</v>
      </c>
      <c r="S3231" s="1">
        <v>1.0</v>
      </c>
      <c r="T3231" s="1">
        <v>0.0</v>
      </c>
      <c r="X3231" s="1" t="s">
        <v>29</v>
      </c>
      <c r="Z3231" s="1" t="s">
        <v>11832</v>
      </c>
    </row>
    <row r="3232">
      <c r="A3232" s="3" t="str">
        <f>HYPERLINK("https://stackoverflow.com/q/25077760", "25077760")</f>
        <v>25077760</v>
      </c>
      <c r="B3232" s="1" t="s">
        <v>11474</v>
      </c>
      <c r="C3232" s="1" t="s">
        <v>11834</v>
      </c>
      <c r="D3232" s="2" t="s">
        <v>11835</v>
      </c>
      <c r="E3232" s="1">
        <v>1.0</v>
      </c>
      <c r="F3232" s="1">
        <v>3.0045516E7</v>
      </c>
      <c r="I3232" s="1">
        <v>0.0</v>
      </c>
      <c r="J3232" s="1">
        <v>192.0</v>
      </c>
      <c r="L3232" s="1">
        <v>1852370.0</v>
      </c>
      <c r="Q3232" s="1" t="s">
        <v>11836</v>
      </c>
      <c r="R3232" s="1" t="s">
        <v>11837</v>
      </c>
      <c r="S3232" s="1">
        <v>1.0</v>
      </c>
      <c r="T3232" s="1">
        <v>0.0</v>
      </c>
      <c r="X3232" s="1" t="s">
        <v>29</v>
      </c>
      <c r="Z3232" s="1" t="s">
        <v>11836</v>
      </c>
    </row>
    <row r="3233">
      <c r="A3233" s="3" t="str">
        <f>HYPERLINK("https://stackoverflow.com/q/25436947", "25436947")</f>
        <v>25436947</v>
      </c>
      <c r="B3233" s="1" t="s">
        <v>11474</v>
      </c>
      <c r="C3233" s="1" t="s">
        <v>11838</v>
      </c>
      <c r="D3233" s="2" t="s">
        <v>11839</v>
      </c>
      <c r="E3233" s="1">
        <v>1.0</v>
      </c>
      <c r="I3233" s="1">
        <v>0.0</v>
      </c>
      <c r="J3233" s="1">
        <v>1902.0</v>
      </c>
      <c r="L3233" s="1">
        <v>3966038.0</v>
      </c>
      <c r="Q3233" s="1" t="s">
        <v>11840</v>
      </c>
      <c r="R3233" s="1" t="s">
        <v>11841</v>
      </c>
      <c r="S3233" s="1">
        <v>1.0</v>
      </c>
      <c r="T3233" s="1">
        <v>0.0</v>
      </c>
      <c r="X3233" s="1" t="s">
        <v>29</v>
      </c>
    </row>
    <row r="3234">
      <c r="A3234" s="3" t="str">
        <f>HYPERLINK("https://stackoverflow.com/q/25731858", "25731858")</f>
        <v>25731858</v>
      </c>
      <c r="B3234" s="1" t="s">
        <v>11474</v>
      </c>
      <c r="C3234" s="1" t="s">
        <v>11842</v>
      </c>
      <c r="D3234" s="2" t="s">
        <v>11843</v>
      </c>
      <c r="E3234" s="1">
        <v>1.0</v>
      </c>
      <c r="F3234" s="1">
        <v>2.5732576E7</v>
      </c>
      <c r="I3234" s="1">
        <v>2.0</v>
      </c>
      <c r="J3234" s="1">
        <v>1037.0</v>
      </c>
      <c r="L3234" s="1">
        <v>495041.0</v>
      </c>
      <c r="N3234" s="1">
        <v>495041.0</v>
      </c>
      <c r="P3234" s="1" t="s">
        <v>11844</v>
      </c>
      <c r="Q3234" s="1" t="s">
        <v>11845</v>
      </c>
      <c r="R3234" s="1" t="s">
        <v>11846</v>
      </c>
      <c r="S3234" s="1">
        <v>1.0</v>
      </c>
      <c r="T3234" s="1">
        <v>5.0</v>
      </c>
      <c r="U3234" s="1">
        <v>1.0</v>
      </c>
      <c r="X3234" s="1" t="s">
        <v>29</v>
      </c>
      <c r="Z3234" s="1" t="s">
        <v>11847</v>
      </c>
    </row>
    <row r="3235">
      <c r="A3235" s="3" t="str">
        <f>HYPERLINK("https://stackoverflow.com/q/25935255", "25935255")</f>
        <v>25935255</v>
      </c>
      <c r="B3235" s="1" t="s">
        <v>11474</v>
      </c>
      <c r="C3235" s="1" t="s">
        <v>11848</v>
      </c>
      <c r="D3235" s="2" t="s">
        <v>11849</v>
      </c>
      <c r="E3235" s="1">
        <v>1.0</v>
      </c>
      <c r="F3235" s="1">
        <v>2.5941537E7</v>
      </c>
      <c r="I3235" s="1">
        <v>0.0</v>
      </c>
      <c r="J3235" s="1">
        <v>713.0</v>
      </c>
      <c r="L3235" s="1">
        <v>576998.0</v>
      </c>
      <c r="N3235" s="1">
        <v>-1.0</v>
      </c>
      <c r="P3235" s="1" t="s">
        <v>11850</v>
      </c>
      <c r="Q3235" s="1" t="s">
        <v>11851</v>
      </c>
      <c r="R3235" s="1" t="s">
        <v>11852</v>
      </c>
      <c r="S3235" s="1">
        <v>2.0</v>
      </c>
      <c r="T3235" s="1">
        <v>0.0</v>
      </c>
      <c r="X3235" s="1" t="s">
        <v>56</v>
      </c>
      <c r="Z3235" s="1" t="s">
        <v>11853</v>
      </c>
    </row>
    <row r="3236">
      <c r="A3236" s="3" t="str">
        <f>HYPERLINK("https://stackoverflow.com/q/26235358", "26235358")</f>
        <v>26235358</v>
      </c>
      <c r="B3236" s="1" t="s">
        <v>11474</v>
      </c>
      <c r="C3236" s="1" t="s">
        <v>11854</v>
      </c>
      <c r="D3236" s="2" t="s">
        <v>11855</v>
      </c>
      <c r="E3236" s="1">
        <v>1.0</v>
      </c>
      <c r="F3236" s="1">
        <v>2.6245292E7</v>
      </c>
      <c r="I3236" s="1">
        <v>0.0</v>
      </c>
      <c r="J3236" s="1">
        <v>119.0</v>
      </c>
      <c r="L3236" s="1">
        <v>576998.0</v>
      </c>
      <c r="Q3236" s="1" t="s">
        <v>11856</v>
      </c>
      <c r="R3236" s="1" t="s">
        <v>11759</v>
      </c>
      <c r="S3236" s="1">
        <v>1.0</v>
      </c>
      <c r="T3236" s="1">
        <v>0.0</v>
      </c>
      <c r="X3236" s="1" t="s">
        <v>29</v>
      </c>
      <c r="Z3236" s="1" t="s">
        <v>11856</v>
      </c>
    </row>
    <row r="3237">
      <c r="A3237" s="3" t="str">
        <f>HYPERLINK("https://stackoverflow.com/q/26475674", "26475674")</f>
        <v>26475674</v>
      </c>
      <c r="B3237" s="1" t="s">
        <v>11474</v>
      </c>
      <c r="C3237" s="1" t="s">
        <v>11857</v>
      </c>
      <c r="D3237" s="2" t="s">
        <v>11858</v>
      </c>
      <c r="E3237" s="1">
        <v>1.0</v>
      </c>
      <c r="I3237" s="1">
        <v>0.0</v>
      </c>
      <c r="J3237" s="1">
        <v>288.0</v>
      </c>
      <c r="L3237" s="1">
        <v>4163613.0</v>
      </c>
      <c r="Q3237" s="1" t="s">
        <v>11859</v>
      </c>
      <c r="R3237" s="1" t="s">
        <v>11860</v>
      </c>
      <c r="S3237" s="1">
        <v>1.0</v>
      </c>
      <c r="T3237" s="1">
        <v>0.0</v>
      </c>
      <c r="X3237" s="1" t="s">
        <v>29</v>
      </c>
    </row>
    <row r="3238">
      <c r="A3238" s="3" t="str">
        <f>HYPERLINK("https://stackoverflow.com/q/26590629", "26590629")</f>
        <v>26590629</v>
      </c>
      <c r="B3238" s="1" t="s">
        <v>11474</v>
      </c>
      <c r="C3238" s="1" t="s">
        <v>11861</v>
      </c>
      <c r="D3238" s="2" t="s">
        <v>11862</v>
      </c>
      <c r="E3238" s="1">
        <v>1.0</v>
      </c>
      <c r="I3238" s="1">
        <v>0.0</v>
      </c>
      <c r="J3238" s="1">
        <v>990.0</v>
      </c>
      <c r="L3238" s="1">
        <v>3665282.0</v>
      </c>
      <c r="N3238" s="1">
        <v>3665282.0</v>
      </c>
      <c r="P3238" s="1" t="s">
        <v>11863</v>
      </c>
      <c r="Q3238" s="1" t="s">
        <v>11863</v>
      </c>
      <c r="R3238" s="1" t="s">
        <v>11864</v>
      </c>
      <c r="S3238" s="1">
        <v>1.0</v>
      </c>
      <c r="T3238" s="1">
        <v>1.0</v>
      </c>
      <c r="X3238" s="1" t="s">
        <v>29</v>
      </c>
    </row>
    <row r="3239">
      <c r="A3239" s="3" t="str">
        <f>HYPERLINK("https://stackoverflow.com/q/26634391", "26634391")</f>
        <v>26634391</v>
      </c>
      <c r="B3239" s="1" t="s">
        <v>11474</v>
      </c>
      <c r="C3239" s="1" t="s">
        <v>11865</v>
      </c>
      <c r="D3239" s="2" t="s">
        <v>11866</v>
      </c>
      <c r="E3239" s="1">
        <v>1.0</v>
      </c>
      <c r="I3239" s="1">
        <v>0.0</v>
      </c>
      <c r="J3239" s="1">
        <v>266.0</v>
      </c>
      <c r="L3239" s="1">
        <v>3665282.0</v>
      </c>
      <c r="N3239" s="1">
        <v>3622940.0</v>
      </c>
      <c r="P3239" s="1" t="s">
        <v>11867</v>
      </c>
      <c r="Q3239" s="1" t="s">
        <v>11868</v>
      </c>
      <c r="R3239" s="1" t="s">
        <v>11869</v>
      </c>
      <c r="S3239" s="1">
        <v>2.0</v>
      </c>
      <c r="T3239" s="1">
        <v>0.0</v>
      </c>
      <c r="X3239" s="1" t="s">
        <v>29</v>
      </c>
    </row>
    <row r="3240">
      <c r="A3240" s="3" t="str">
        <f>HYPERLINK("https://stackoverflow.com/q/26712480", "26712480")</f>
        <v>26712480</v>
      </c>
      <c r="B3240" s="1" t="s">
        <v>11474</v>
      </c>
      <c r="C3240" s="1" t="s">
        <v>11870</v>
      </c>
      <c r="D3240" s="2" t="s">
        <v>11871</v>
      </c>
      <c r="E3240" s="1">
        <v>1.0</v>
      </c>
      <c r="I3240" s="1">
        <v>0.0</v>
      </c>
      <c r="J3240" s="1">
        <v>309.0</v>
      </c>
      <c r="L3240" s="1">
        <v>318220.0</v>
      </c>
      <c r="Q3240" s="1" t="s">
        <v>11872</v>
      </c>
      <c r="R3240" s="1" t="s">
        <v>11873</v>
      </c>
      <c r="S3240" s="1">
        <v>1.0</v>
      </c>
      <c r="T3240" s="1">
        <v>0.0</v>
      </c>
      <c r="X3240" s="1" t="s">
        <v>29</v>
      </c>
    </row>
    <row r="3241">
      <c r="A3241" s="3" t="str">
        <f>HYPERLINK("https://stackoverflow.com/q/26848897", "26848897")</f>
        <v>26848897</v>
      </c>
      <c r="B3241" s="1" t="s">
        <v>11474</v>
      </c>
      <c r="C3241" s="1" t="s">
        <v>11874</v>
      </c>
      <c r="D3241" s="2" t="s">
        <v>11875</v>
      </c>
      <c r="E3241" s="1">
        <v>1.0</v>
      </c>
      <c r="I3241" s="1">
        <v>3.0</v>
      </c>
      <c r="J3241" s="1">
        <v>2519.0</v>
      </c>
      <c r="L3241" s="1">
        <v>1974165.0</v>
      </c>
      <c r="Q3241" s="1" t="s">
        <v>11874</v>
      </c>
      <c r="R3241" s="1" t="s">
        <v>11666</v>
      </c>
      <c r="S3241" s="1">
        <v>0.0</v>
      </c>
      <c r="T3241" s="1">
        <v>3.0</v>
      </c>
      <c r="X3241" s="1" t="s">
        <v>29</v>
      </c>
    </row>
    <row r="3242">
      <c r="A3242" s="3" t="str">
        <f>HYPERLINK("https://stackoverflow.com/q/27306044", "27306044")</f>
        <v>27306044</v>
      </c>
      <c r="B3242" s="1" t="s">
        <v>11474</v>
      </c>
      <c r="C3242" s="1" t="s">
        <v>11876</v>
      </c>
      <c r="D3242" s="2" t="s">
        <v>11877</v>
      </c>
      <c r="E3242" s="1">
        <v>1.0</v>
      </c>
      <c r="I3242" s="1">
        <v>1.0</v>
      </c>
      <c r="J3242" s="1">
        <v>114.0</v>
      </c>
      <c r="L3242" s="1">
        <v>30674.0</v>
      </c>
      <c r="N3242" s="1">
        <v>30674.0</v>
      </c>
      <c r="P3242" s="1" t="s">
        <v>11878</v>
      </c>
      <c r="Q3242" s="1" t="s">
        <v>11878</v>
      </c>
      <c r="R3242" s="1" t="s">
        <v>11567</v>
      </c>
      <c r="S3242" s="1">
        <v>0.0</v>
      </c>
      <c r="T3242" s="1">
        <v>1.0</v>
      </c>
      <c r="X3242" s="1" t="s">
        <v>29</v>
      </c>
    </row>
    <row r="3243">
      <c r="A3243" s="3" t="str">
        <f>HYPERLINK("https://stackoverflow.com/q/27416913", "27416913")</f>
        <v>27416913</v>
      </c>
      <c r="B3243" s="1" t="s">
        <v>11474</v>
      </c>
      <c r="C3243" s="1" t="s">
        <v>11879</v>
      </c>
      <c r="D3243" s="2" t="s">
        <v>11880</v>
      </c>
      <c r="E3243" s="1">
        <v>1.0</v>
      </c>
      <c r="I3243" s="1">
        <v>0.0</v>
      </c>
      <c r="J3243" s="1">
        <v>604.0</v>
      </c>
      <c r="L3243" s="1">
        <v>3615017.0</v>
      </c>
      <c r="Q3243" s="1" t="s">
        <v>11881</v>
      </c>
      <c r="R3243" s="1" t="s">
        <v>11882</v>
      </c>
      <c r="S3243" s="1">
        <v>2.0</v>
      </c>
      <c r="T3243" s="1">
        <v>2.0</v>
      </c>
      <c r="U3243" s="1">
        <v>0.0</v>
      </c>
      <c r="X3243" s="1" t="s">
        <v>29</v>
      </c>
    </row>
    <row r="3244">
      <c r="A3244" s="3" t="str">
        <f>HYPERLINK("https://stackoverflow.com/q/27424312", "27424312")</f>
        <v>27424312</v>
      </c>
      <c r="B3244" s="1" t="s">
        <v>11474</v>
      </c>
      <c r="C3244" s="1" t="s">
        <v>11883</v>
      </c>
      <c r="D3244" s="2" t="s">
        <v>11884</v>
      </c>
      <c r="E3244" s="1">
        <v>1.0</v>
      </c>
      <c r="I3244" s="1">
        <v>1.0</v>
      </c>
      <c r="J3244" s="1">
        <v>67.0</v>
      </c>
      <c r="L3244" s="1">
        <v>4121982.0</v>
      </c>
      <c r="N3244" s="1">
        <v>4121982.0</v>
      </c>
      <c r="P3244" s="1" t="s">
        <v>11885</v>
      </c>
      <c r="Q3244" s="1" t="s">
        <v>11885</v>
      </c>
      <c r="R3244" s="1" t="s">
        <v>11886</v>
      </c>
      <c r="S3244" s="1">
        <v>0.0</v>
      </c>
      <c r="T3244" s="1">
        <v>2.0</v>
      </c>
      <c r="X3244" s="1" t="s">
        <v>29</v>
      </c>
    </row>
    <row r="3245">
      <c r="A3245" s="3" t="str">
        <f>HYPERLINK("https://stackoverflow.com/q/27748865", "27748865")</f>
        <v>27748865</v>
      </c>
      <c r="B3245" s="1" t="s">
        <v>11474</v>
      </c>
      <c r="C3245" s="1" t="s">
        <v>11887</v>
      </c>
      <c r="D3245" s="2" t="s">
        <v>11888</v>
      </c>
      <c r="E3245" s="1">
        <v>1.0</v>
      </c>
      <c r="F3245" s="1">
        <v>2.7751797E7</v>
      </c>
      <c r="I3245" s="1">
        <v>0.0</v>
      </c>
      <c r="J3245" s="1">
        <v>111.0</v>
      </c>
      <c r="L3245" s="1">
        <v>4151605.0</v>
      </c>
      <c r="N3245" s="1">
        <v>2626313.0</v>
      </c>
      <c r="P3245" s="1" t="s">
        <v>11889</v>
      </c>
      <c r="Q3245" s="1" t="s">
        <v>11890</v>
      </c>
      <c r="R3245" s="1" t="s">
        <v>11891</v>
      </c>
      <c r="S3245" s="1">
        <v>4.0</v>
      </c>
      <c r="T3245" s="1">
        <v>1.0</v>
      </c>
      <c r="X3245" s="1" t="s">
        <v>29</v>
      </c>
      <c r="Z3245" s="1" t="s">
        <v>11892</v>
      </c>
    </row>
    <row r="3246">
      <c r="A3246" s="3" t="str">
        <f>HYPERLINK("https://stackoverflow.com/q/27922716", "27922716")</f>
        <v>27922716</v>
      </c>
      <c r="B3246" s="1" t="s">
        <v>11474</v>
      </c>
      <c r="C3246" s="1" t="s">
        <v>11893</v>
      </c>
      <c r="D3246" s="2" t="s">
        <v>11894</v>
      </c>
      <c r="E3246" s="1">
        <v>1.0</v>
      </c>
      <c r="F3246" s="1">
        <v>3.0671959E7</v>
      </c>
      <c r="I3246" s="1">
        <v>1.0</v>
      </c>
      <c r="J3246" s="1">
        <v>1049.0</v>
      </c>
      <c r="L3246" s="1">
        <v>4066110.0</v>
      </c>
      <c r="Q3246" s="1" t="s">
        <v>11895</v>
      </c>
      <c r="R3246" s="1" t="s">
        <v>11596</v>
      </c>
      <c r="S3246" s="1">
        <v>1.0</v>
      </c>
      <c r="T3246" s="1">
        <v>0.0</v>
      </c>
      <c r="U3246" s="1">
        <v>0.0</v>
      </c>
      <c r="X3246" s="1" t="s">
        <v>29</v>
      </c>
      <c r="Z3246" s="1" t="s">
        <v>11896</v>
      </c>
    </row>
    <row r="3247">
      <c r="A3247" s="3" t="str">
        <f>HYPERLINK("https://stackoverflow.com/q/28019888", "28019888")</f>
        <v>28019888</v>
      </c>
      <c r="B3247" s="1" t="s">
        <v>11474</v>
      </c>
      <c r="C3247" s="1" t="s">
        <v>11897</v>
      </c>
      <c r="D3247" s="2" t="s">
        <v>11898</v>
      </c>
      <c r="E3247" s="1">
        <v>1.0</v>
      </c>
      <c r="F3247" s="1">
        <v>3.0672157E7</v>
      </c>
      <c r="I3247" s="1">
        <v>0.0</v>
      </c>
      <c r="J3247" s="1">
        <v>827.0</v>
      </c>
      <c r="L3247" s="1">
        <v>4066110.0</v>
      </c>
      <c r="Q3247" s="1" t="s">
        <v>11899</v>
      </c>
      <c r="R3247" s="1" t="s">
        <v>11900</v>
      </c>
      <c r="S3247" s="1">
        <v>1.0</v>
      </c>
      <c r="T3247" s="1">
        <v>0.0</v>
      </c>
      <c r="X3247" s="1" t="s">
        <v>29</v>
      </c>
      <c r="Z3247" s="1" t="s">
        <v>11901</v>
      </c>
    </row>
    <row r="3248">
      <c r="A3248" s="3" t="str">
        <f>HYPERLINK("https://stackoverflow.com/q/28083465", "28083465")</f>
        <v>28083465</v>
      </c>
      <c r="B3248" s="1" t="s">
        <v>11474</v>
      </c>
      <c r="C3248" s="1" t="s">
        <v>11902</v>
      </c>
      <c r="D3248" s="2" t="s">
        <v>11903</v>
      </c>
      <c r="E3248" s="1">
        <v>1.0</v>
      </c>
      <c r="I3248" s="1">
        <v>1.0</v>
      </c>
      <c r="J3248" s="1">
        <v>817.0</v>
      </c>
      <c r="L3248" s="1">
        <v>278191.0</v>
      </c>
      <c r="Q3248" s="1" t="s">
        <v>11904</v>
      </c>
      <c r="R3248" s="1" t="s">
        <v>11905</v>
      </c>
      <c r="S3248" s="1">
        <v>1.0</v>
      </c>
      <c r="T3248" s="1">
        <v>0.0</v>
      </c>
      <c r="U3248" s="1">
        <v>1.0</v>
      </c>
      <c r="X3248" s="1" t="s">
        <v>29</v>
      </c>
    </row>
    <row r="3249">
      <c r="A3249" s="3" t="str">
        <f>HYPERLINK("https://stackoverflow.com/q/28083664", "28083664")</f>
        <v>28083664</v>
      </c>
      <c r="B3249" s="1" t="s">
        <v>11474</v>
      </c>
      <c r="C3249" s="1" t="s">
        <v>11906</v>
      </c>
      <c r="D3249" s="2" t="s">
        <v>11907</v>
      </c>
      <c r="E3249" s="1">
        <v>1.0</v>
      </c>
      <c r="I3249" s="1">
        <v>0.0</v>
      </c>
      <c r="J3249" s="1">
        <v>147.0</v>
      </c>
      <c r="L3249" s="1">
        <v>278191.0</v>
      </c>
      <c r="Q3249" s="1" t="s">
        <v>11908</v>
      </c>
      <c r="R3249" s="1" t="s">
        <v>11909</v>
      </c>
      <c r="S3249" s="1">
        <v>1.0</v>
      </c>
      <c r="T3249" s="1">
        <v>0.0</v>
      </c>
      <c r="X3249" s="1" t="s">
        <v>29</v>
      </c>
    </row>
    <row r="3250">
      <c r="A3250" s="3" t="str">
        <f>HYPERLINK("https://stackoverflow.com/q/28259325", "28259325")</f>
        <v>28259325</v>
      </c>
      <c r="B3250" s="1" t="s">
        <v>11474</v>
      </c>
      <c r="C3250" s="1" t="s">
        <v>11910</v>
      </c>
      <c r="D3250" s="2" t="s">
        <v>11911</v>
      </c>
      <c r="E3250" s="1">
        <v>1.0</v>
      </c>
      <c r="I3250" s="1">
        <v>0.0</v>
      </c>
      <c r="J3250" s="1">
        <v>51.0</v>
      </c>
      <c r="L3250" s="1">
        <v>4151605.0</v>
      </c>
      <c r="N3250" s="1">
        <v>4151605.0</v>
      </c>
      <c r="P3250" s="1" t="s">
        <v>11912</v>
      </c>
      <c r="Q3250" s="1" t="s">
        <v>11913</v>
      </c>
      <c r="R3250" s="1" t="s">
        <v>11914</v>
      </c>
      <c r="S3250" s="1">
        <v>1.0</v>
      </c>
      <c r="T3250" s="1">
        <v>0.0</v>
      </c>
      <c r="X3250" s="1" t="s">
        <v>29</v>
      </c>
    </row>
    <row r="3251">
      <c r="A3251" s="3" t="str">
        <f>HYPERLINK("https://stackoverflow.com/q/28393085", "28393085")</f>
        <v>28393085</v>
      </c>
      <c r="B3251" s="1" t="s">
        <v>11474</v>
      </c>
      <c r="C3251" s="1" t="s">
        <v>11915</v>
      </c>
      <c r="D3251" s="2" t="s">
        <v>11916</v>
      </c>
      <c r="E3251" s="1">
        <v>1.0</v>
      </c>
      <c r="F3251" s="1">
        <v>2.840533E7</v>
      </c>
      <c r="I3251" s="1">
        <v>1.0</v>
      </c>
      <c r="J3251" s="1">
        <v>153.0</v>
      </c>
      <c r="L3251" s="1">
        <v>3463260.0</v>
      </c>
      <c r="Q3251" s="1" t="s">
        <v>11917</v>
      </c>
      <c r="R3251" s="1" t="s">
        <v>11918</v>
      </c>
      <c r="S3251" s="1">
        <v>1.0</v>
      </c>
      <c r="T3251" s="1">
        <v>0.0</v>
      </c>
      <c r="X3251" s="1" t="s">
        <v>29</v>
      </c>
      <c r="Z3251" s="1" t="s">
        <v>11919</v>
      </c>
    </row>
    <row r="3252">
      <c r="A3252" s="3" t="str">
        <f>HYPERLINK("https://stackoverflow.com/q/28610006", "28610006")</f>
        <v>28610006</v>
      </c>
      <c r="B3252" s="1" t="s">
        <v>11474</v>
      </c>
      <c r="C3252" s="1" t="s">
        <v>11920</v>
      </c>
      <c r="D3252" s="2" t="s">
        <v>11921</v>
      </c>
      <c r="E3252" s="1">
        <v>1.0</v>
      </c>
      <c r="F3252" s="1">
        <v>2.8618059E7</v>
      </c>
      <c r="I3252" s="1">
        <v>1.0</v>
      </c>
      <c r="J3252" s="1">
        <v>671.0</v>
      </c>
      <c r="L3252" s="1">
        <v>3593746.0</v>
      </c>
      <c r="Q3252" s="1" t="s">
        <v>11922</v>
      </c>
      <c r="R3252" s="1" t="s">
        <v>11923</v>
      </c>
      <c r="S3252" s="1">
        <v>1.0</v>
      </c>
      <c r="T3252" s="1">
        <v>0.0</v>
      </c>
      <c r="X3252" s="1" t="s">
        <v>29</v>
      </c>
      <c r="Z3252" s="1" t="s">
        <v>11922</v>
      </c>
    </row>
    <row r="3253">
      <c r="A3253" s="3" t="str">
        <f>HYPERLINK("https://stackoverflow.com/q/29658339", "29658339")</f>
        <v>29658339</v>
      </c>
      <c r="B3253" s="1" t="s">
        <v>11474</v>
      </c>
      <c r="C3253" s="1" t="s">
        <v>11924</v>
      </c>
      <c r="D3253" s="2" t="s">
        <v>11925</v>
      </c>
      <c r="E3253" s="1">
        <v>1.0</v>
      </c>
      <c r="F3253" s="1">
        <v>2.9658698E7</v>
      </c>
      <c r="I3253" s="1">
        <v>2.0</v>
      </c>
      <c r="J3253" s="1">
        <v>2487.0</v>
      </c>
      <c r="L3253" s="1">
        <v>4151605.0</v>
      </c>
      <c r="N3253" s="1">
        <v>939860.0</v>
      </c>
      <c r="P3253" s="1" t="s">
        <v>11926</v>
      </c>
      <c r="Q3253" s="1" t="s">
        <v>11926</v>
      </c>
      <c r="R3253" s="1" t="s">
        <v>11927</v>
      </c>
      <c r="S3253" s="1">
        <v>2.0</v>
      </c>
      <c r="T3253" s="1">
        <v>2.0</v>
      </c>
      <c r="X3253" s="1" t="s">
        <v>29</v>
      </c>
      <c r="Z3253" s="1" t="s">
        <v>11928</v>
      </c>
    </row>
    <row r="3254">
      <c r="A3254" s="3" t="str">
        <f>HYPERLINK("https://stackoverflow.com/q/30003533", "30003533")</f>
        <v>30003533</v>
      </c>
      <c r="B3254" s="1" t="s">
        <v>11474</v>
      </c>
      <c r="C3254" s="1" t="s">
        <v>11929</v>
      </c>
      <c r="D3254" s="2" t="s">
        <v>11930</v>
      </c>
      <c r="E3254" s="1">
        <v>1.0</v>
      </c>
      <c r="I3254" s="1">
        <v>0.0</v>
      </c>
      <c r="J3254" s="1">
        <v>386.0</v>
      </c>
      <c r="L3254" s="1">
        <v>3436603.0</v>
      </c>
      <c r="N3254" s="1">
        <v>1689783.0</v>
      </c>
      <c r="P3254" s="1" t="s">
        <v>11931</v>
      </c>
      <c r="Q3254" s="1" t="s">
        <v>11932</v>
      </c>
      <c r="R3254" s="1" t="s">
        <v>11933</v>
      </c>
      <c r="S3254" s="1">
        <v>1.0</v>
      </c>
      <c r="T3254" s="1">
        <v>0.0</v>
      </c>
      <c r="X3254" s="1" t="s">
        <v>29</v>
      </c>
    </row>
    <row r="3255">
      <c r="A3255" s="3" t="str">
        <f>HYPERLINK("https://stackoverflow.com/q/30193726", "30193726")</f>
        <v>30193726</v>
      </c>
      <c r="B3255" s="1" t="s">
        <v>11474</v>
      </c>
      <c r="C3255" s="1" t="s">
        <v>11934</v>
      </c>
      <c r="D3255" s="2" t="s">
        <v>11935</v>
      </c>
      <c r="E3255" s="1">
        <v>1.0</v>
      </c>
      <c r="I3255" s="1">
        <v>0.0</v>
      </c>
      <c r="J3255" s="1">
        <v>1806.0</v>
      </c>
      <c r="L3255" s="1">
        <v>4631576.0</v>
      </c>
      <c r="N3255" s="1">
        <v>771848.0</v>
      </c>
      <c r="P3255" s="1" t="s">
        <v>11936</v>
      </c>
      <c r="Q3255" s="1" t="s">
        <v>11936</v>
      </c>
      <c r="R3255" s="1" t="s">
        <v>11937</v>
      </c>
      <c r="S3255" s="1">
        <v>1.0</v>
      </c>
      <c r="T3255" s="1">
        <v>0.0</v>
      </c>
      <c r="X3255" s="1" t="s">
        <v>29</v>
      </c>
    </row>
    <row r="3256">
      <c r="A3256" s="3" t="str">
        <f>HYPERLINK("https://stackoverflow.com/q/30256468", "30256468")</f>
        <v>30256468</v>
      </c>
      <c r="B3256" s="1" t="s">
        <v>11474</v>
      </c>
      <c r="C3256" s="1" t="s">
        <v>11938</v>
      </c>
      <c r="D3256" s="2" t="s">
        <v>11939</v>
      </c>
      <c r="E3256" s="1">
        <v>1.0</v>
      </c>
      <c r="I3256" s="1">
        <v>1.0</v>
      </c>
      <c r="J3256" s="1">
        <v>129.0</v>
      </c>
      <c r="L3256" s="1">
        <v>4892999.0</v>
      </c>
      <c r="N3256" s="1">
        <v>1690588.0</v>
      </c>
      <c r="P3256" s="1" t="s">
        <v>11940</v>
      </c>
      <c r="Q3256" s="1" t="s">
        <v>11940</v>
      </c>
      <c r="R3256" s="1" t="s">
        <v>11759</v>
      </c>
      <c r="S3256" s="1">
        <v>0.0</v>
      </c>
      <c r="T3256" s="1">
        <v>0.0</v>
      </c>
      <c r="X3256" s="1" t="s">
        <v>29</v>
      </c>
    </row>
    <row r="3257">
      <c r="A3257" s="3" t="str">
        <f>HYPERLINK("https://stackoverflow.com/q/30295763", "30295763")</f>
        <v>30295763</v>
      </c>
      <c r="B3257" s="1" t="s">
        <v>11474</v>
      </c>
      <c r="C3257" s="1" t="s">
        <v>11941</v>
      </c>
      <c r="D3257" s="2" t="s">
        <v>11942</v>
      </c>
      <c r="E3257" s="1">
        <v>1.0</v>
      </c>
      <c r="I3257" s="1">
        <v>1.0</v>
      </c>
      <c r="J3257" s="1">
        <v>6194.0</v>
      </c>
      <c r="L3257" s="1">
        <v>4773195.0</v>
      </c>
      <c r="N3257" s="1">
        <v>133.0</v>
      </c>
      <c r="P3257" s="1" t="s">
        <v>11943</v>
      </c>
      <c r="Q3257" s="1" t="s">
        <v>11943</v>
      </c>
      <c r="R3257" s="1" t="s">
        <v>11944</v>
      </c>
      <c r="S3257" s="1">
        <v>1.0</v>
      </c>
      <c r="T3257" s="1">
        <v>0.0</v>
      </c>
      <c r="X3257" s="1" t="s">
        <v>29</v>
      </c>
    </row>
    <row r="3258">
      <c r="A3258" s="3" t="str">
        <f>HYPERLINK("https://stackoverflow.com/q/30404878", "30404878")</f>
        <v>30404878</v>
      </c>
      <c r="B3258" s="1" t="s">
        <v>11474</v>
      </c>
      <c r="C3258" s="1" t="s">
        <v>11945</v>
      </c>
      <c r="D3258" s="2" t="s">
        <v>11946</v>
      </c>
      <c r="E3258" s="1">
        <v>1.0</v>
      </c>
      <c r="I3258" s="1">
        <v>0.0</v>
      </c>
      <c r="J3258" s="1">
        <v>1256.0</v>
      </c>
      <c r="L3258" s="1">
        <v>165645.0</v>
      </c>
      <c r="Q3258" s="1" t="s">
        <v>11947</v>
      </c>
      <c r="R3258" s="1" t="s">
        <v>11948</v>
      </c>
      <c r="S3258" s="1">
        <v>2.0</v>
      </c>
      <c r="T3258" s="1">
        <v>0.0</v>
      </c>
      <c r="X3258" s="1" t="s">
        <v>29</v>
      </c>
    </row>
    <row r="3259">
      <c r="A3259" s="3" t="str">
        <f>HYPERLINK("https://stackoverflow.com/q/30460291", "30460291")</f>
        <v>30460291</v>
      </c>
      <c r="B3259" s="1" t="s">
        <v>11474</v>
      </c>
      <c r="C3259" s="1" t="s">
        <v>11949</v>
      </c>
      <c r="D3259" s="2" t="s">
        <v>11950</v>
      </c>
      <c r="E3259" s="1">
        <v>1.0</v>
      </c>
      <c r="I3259" s="1">
        <v>2.0</v>
      </c>
      <c r="J3259" s="1">
        <v>218.0</v>
      </c>
      <c r="L3259" s="1">
        <v>4940682.0</v>
      </c>
      <c r="Q3259" s="1" t="s">
        <v>11949</v>
      </c>
      <c r="R3259" s="1" t="s">
        <v>11951</v>
      </c>
      <c r="S3259" s="1">
        <v>0.0</v>
      </c>
      <c r="T3259" s="1">
        <v>0.0</v>
      </c>
      <c r="X3259" s="1" t="s">
        <v>29</v>
      </c>
    </row>
    <row r="3260">
      <c r="A3260" s="3" t="str">
        <f>HYPERLINK("https://stackoverflow.com/q/30487441", "30487441")</f>
        <v>30487441</v>
      </c>
      <c r="B3260" s="1" t="s">
        <v>11474</v>
      </c>
      <c r="C3260" s="1" t="s">
        <v>11952</v>
      </c>
      <c r="D3260" s="2" t="s">
        <v>11953</v>
      </c>
      <c r="E3260" s="1">
        <v>1.0</v>
      </c>
      <c r="F3260" s="1">
        <v>3.0488163E7</v>
      </c>
      <c r="I3260" s="1">
        <v>0.0</v>
      </c>
      <c r="J3260" s="1">
        <v>725.0</v>
      </c>
      <c r="L3260" s="1">
        <v>4050553.0</v>
      </c>
      <c r="N3260" s="1">
        <v>4050553.0</v>
      </c>
      <c r="P3260" s="1" t="s">
        <v>11954</v>
      </c>
      <c r="Q3260" s="1" t="s">
        <v>11955</v>
      </c>
      <c r="R3260" s="1" t="s">
        <v>11956</v>
      </c>
      <c r="S3260" s="1">
        <v>1.0</v>
      </c>
      <c r="T3260" s="1">
        <v>2.0</v>
      </c>
      <c r="X3260" s="1" t="s">
        <v>29</v>
      </c>
      <c r="Z3260" s="1" t="s">
        <v>11957</v>
      </c>
    </row>
    <row r="3261">
      <c r="A3261" s="3" t="str">
        <f>HYPERLINK("https://stackoverflow.com/q/31434640", "31434640")</f>
        <v>31434640</v>
      </c>
      <c r="B3261" s="1" t="s">
        <v>11474</v>
      </c>
      <c r="C3261" s="1" t="s">
        <v>11958</v>
      </c>
      <c r="D3261" s="2" t="s">
        <v>11959</v>
      </c>
      <c r="E3261" s="1">
        <v>1.0</v>
      </c>
      <c r="I3261" s="1">
        <v>0.0</v>
      </c>
      <c r="J3261" s="1">
        <v>68.0</v>
      </c>
      <c r="L3261" s="1">
        <v>5119965.0</v>
      </c>
      <c r="Q3261" s="1" t="s">
        <v>11960</v>
      </c>
      <c r="R3261" s="1" t="s">
        <v>11961</v>
      </c>
      <c r="S3261" s="1">
        <v>1.0</v>
      </c>
      <c r="T3261" s="1">
        <v>0.0</v>
      </c>
      <c r="X3261" s="1" t="s">
        <v>29</v>
      </c>
    </row>
    <row r="3262">
      <c r="A3262" s="3" t="str">
        <f>HYPERLINK("https://stackoverflow.com/q/31482020", "31482020")</f>
        <v>31482020</v>
      </c>
      <c r="B3262" s="1" t="s">
        <v>11474</v>
      </c>
      <c r="C3262" s="1" t="s">
        <v>11962</v>
      </c>
      <c r="D3262" s="2" t="s">
        <v>11963</v>
      </c>
      <c r="E3262" s="1">
        <v>1.0</v>
      </c>
      <c r="I3262" s="1">
        <v>1.0</v>
      </c>
      <c r="J3262" s="1">
        <v>699.0</v>
      </c>
      <c r="L3262" s="1">
        <v>2349594.0</v>
      </c>
      <c r="N3262" s="1">
        <v>2349594.0</v>
      </c>
      <c r="P3262" s="1" t="s">
        <v>11964</v>
      </c>
      <c r="Q3262" s="1" t="s">
        <v>11964</v>
      </c>
      <c r="R3262" s="1" t="s">
        <v>11965</v>
      </c>
      <c r="S3262" s="1">
        <v>0.0</v>
      </c>
      <c r="T3262" s="1">
        <v>6.0</v>
      </c>
      <c r="U3262" s="1">
        <v>1.0</v>
      </c>
      <c r="X3262" s="1" t="s">
        <v>29</v>
      </c>
    </row>
    <row r="3263">
      <c r="A3263" s="3" t="str">
        <f>HYPERLINK("https://stackoverflow.com/q/31501424", "31501424")</f>
        <v>31501424</v>
      </c>
      <c r="B3263" s="1" t="s">
        <v>11474</v>
      </c>
      <c r="C3263" s="1" t="s">
        <v>11966</v>
      </c>
      <c r="D3263" s="2" t="s">
        <v>11967</v>
      </c>
      <c r="E3263" s="1">
        <v>1.0</v>
      </c>
      <c r="F3263" s="1">
        <v>3.4230778E7</v>
      </c>
      <c r="I3263" s="1">
        <v>1.0</v>
      </c>
      <c r="J3263" s="1">
        <v>1151.0</v>
      </c>
      <c r="L3263" s="1">
        <v>1441835.0</v>
      </c>
      <c r="Q3263" s="1" t="s">
        <v>11968</v>
      </c>
      <c r="R3263" s="1" t="s">
        <v>11969</v>
      </c>
      <c r="S3263" s="1">
        <v>2.0</v>
      </c>
      <c r="T3263" s="1">
        <v>0.0</v>
      </c>
      <c r="X3263" s="1" t="s">
        <v>29</v>
      </c>
      <c r="Z3263" s="1" t="s">
        <v>11970</v>
      </c>
    </row>
    <row r="3264">
      <c r="A3264" s="3" t="str">
        <f>HYPERLINK("https://stackoverflow.com/q/31658122", "31658122")</f>
        <v>31658122</v>
      </c>
      <c r="B3264" s="1" t="s">
        <v>11474</v>
      </c>
      <c r="C3264" s="1" t="s">
        <v>11971</v>
      </c>
      <c r="D3264" s="2" t="s">
        <v>11972</v>
      </c>
      <c r="E3264" s="1">
        <v>1.0</v>
      </c>
      <c r="I3264" s="1">
        <v>1.0</v>
      </c>
      <c r="J3264" s="1">
        <v>1219.0</v>
      </c>
      <c r="L3264" s="1">
        <v>1546946.0</v>
      </c>
      <c r="Q3264" s="1" t="s">
        <v>11973</v>
      </c>
      <c r="R3264" s="1" t="s">
        <v>11974</v>
      </c>
      <c r="S3264" s="1">
        <v>2.0</v>
      </c>
      <c r="T3264" s="1">
        <v>0.0</v>
      </c>
      <c r="X3264" s="1" t="s">
        <v>29</v>
      </c>
    </row>
    <row r="3265">
      <c r="A3265" s="3" t="str">
        <f>HYPERLINK("https://stackoverflow.com/q/31914821", "31914821")</f>
        <v>31914821</v>
      </c>
      <c r="B3265" s="1" t="s">
        <v>11474</v>
      </c>
      <c r="C3265" s="1" t="s">
        <v>11975</v>
      </c>
      <c r="D3265" s="2" t="s">
        <v>11976</v>
      </c>
      <c r="E3265" s="1">
        <v>1.0</v>
      </c>
      <c r="I3265" s="1">
        <v>1.0</v>
      </c>
      <c r="J3265" s="1">
        <v>1637.0</v>
      </c>
      <c r="M3265" s="1" t="s">
        <v>11977</v>
      </c>
      <c r="O3265" s="1" t="s">
        <v>11977</v>
      </c>
      <c r="P3265" s="1" t="s">
        <v>11978</v>
      </c>
      <c r="Q3265" s="1" t="s">
        <v>11979</v>
      </c>
      <c r="R3265" s="1" t="s">
        <v>11499</v>
      </c>
      <c r="S3265" s="1">
        <v>2.0</v>
      </c>
      <c r="T3265" s="1">
        <v>1.0</v>
      </c>
      <c r="X3265" s="1" t="s">
        <v>29</v>
      </c>
    </row>
    <row r="3266">
      <c r="A3266" s="3" t="str">
        <f>HYPERLINK("https://stackoverflow.com/q/31942969", "31942969")</f>
        <v>31942969</v>
      </c>
      <c r="B3266" s="1" t="s">
        <v>11474</v>
      </c>
      <c r="C3266" s="1" t="s">
        <v>11980</v>
      </c>
      <c r="D3266" s="2" t="s">
        <v>11981</v>
      </c>
      <c r="E3266" s="1">
        <v>1.0</v>
      </c>
      <c r="I3266" s="1">
        <v>0.0</v>
      </c>
      <c r="J3266" s="1">
        <v>763.0</v>
      </c>
      <c r="L3266" s="1">
        <v>2740689.0</v>
      </c>
      <c r="N3266" s="1">
        <v>2310830.0</v>
      </c>
      <c r="P3266" s="1" t="s">
        <v>11982</v>
      </c>
      <c r="Q3266" s="1" t="s">
        <v>11983</v>
      </c>
      <c r="R3266" s="1" t="s">
        <v>11984</v>
      </c>
      <c r="S3266" s="1">
        <v>2.0</v>
      </c>
      <c r="T3266" s="1">
        <v>3.0</v>
      </c>
      <c r="X3266" s="1" t="s">
        <v>29</v>
      </c>
    </row>
    <row r="3267">
      <c r="A3267" s="3" t="str">
        <f>HYPERLINK("https://stackoverflow.com/q/31967389", "31967389")</f>
        <v>31967389</v>
      </c>
      <c r="B3267" s="1" t="s">
        <v>11474</v>
      </c>
      <c r="C3267" s="1" t="s">
        <v>11985</v>
      </c>
      <c r="D3267" s="2" t="s">
        <v>11986</v>
      </c>
      <c r="E3267" s="1">
        <v>1.0</v>
      </c>
      <c r="F3267" s="1">
        <v>3.1967744E7</v>
      </c>
      <c r="I3267" s="1">
        <v>0.0</v>
      </c>
      <c r="J3267" s="1">
        <v>476.0</v>
      </c>
      <c r="L3267" s="1">
        <v>2740689.0</v>
      </c>
      <c r="N3267" s="1">
        <v>2740689.0</v>
      </c>
      <c r="P3267" s="1" t="s">
        <v>11987</v>
      </c>
      <c r="Q3267" s="1" t="s">
        <v>11988</v>
      </c>
      <c r="R3267" s="1" t="s">
        <v>11989</v>
      </c>
      <c r="S3267" s="1">
        <v>1.0</v>
      </c>
      <c r="T3267" s="1">
        <v>6.0</v>
      </c>
      <c r="X3267" s="1" t="s">
        <v>29</v>
      </c>
      <c r="Z3267" s="1" t="s">
        <v>11988</v>
      </c>
    </row>
    <row r="3268">
      <c r="A3268" s="3" t="str">
        <f>HYPERLINK("https://stackoverflow.com/q/31990161", "31990161")</f>
        <v>31990161</v>
      </c>
      <c r="B3268" s="1" t="s">
        <v>11474</v>
      </c>
      <c r="C3268" s="1" t="s">
        <v>11990</v>
      </c>
      <c r="D3268" s="2" t="s">
        <v>11991</v>
      </c>
      <c r="E3268" s="1">
        <v>1.0</v>
      </c>
      <c r="F3268" s="1">
        <v>3.1994841E7</v>
      </c>
      <c r="I3268" s="1">
        <v>0.0</v>
      </c>
      <c r="J3268" s="1">
        <v>143.0</v>
      </c>
      <c r="L3268" s="1">
        <v>673075.0</v>
      </c>
      <c r="Q3268" s="1" t="s">
        <v>11992</v>
      </c>
      <c r="R3268" s="1" t="s">
        <v>11993</v>
      </c>
      <c r="S3268" s="1">
        <v>1.0</v>
      </c>
      <c r="T3268" s="1">
        <v>0.0</v>
      </c>
      <c r="X3268" s="1" t="s">
        <v>29</v>
      </c>
      <c r="Z3268" s="1" t="s">
        <v>11992</v>
      </c>
    </row>
    <row r="3269">
      <c r="A3269" s="3" t="str">
        <f>HYPERLINK("https://stackoverflow.com/q/32044225", "32044225")</f>
        <v>32044225</v>
      </c>
      <c r="B3269" s="1" t="s">
        <v>11474</v>
      </c>
      <c r="C3269" s="1" t="s">
        <v>11994</v>
      </c>
      <c r="D3269" s="2" t="s">
        <v>11995</v>
      </c>
      <c r="E3269" s="1">
        <v>1.0</v>
      </c>
      <c r="I3269" s="1">
        <v>1.0</v>
      </c>
      <c r="J3269" s="1">
        <v>128.0</v>
      </c>
      <c r="L3269" s="1">
        <v>1511602.0</v>
      </c>
      <c r="N3269" s="1">
        <v>1777699.0</v>
      </c>
      <c r="P3269" s="1" t="s">
        <v>11996</v>
      </c>
      <c r="Q3269" s="1" t="s">
        <v>11996</v>
      </c>
      <c r="R3269" s="1" t="s">
        <v>11997</v>
      </c>
      <c r="S3269" s="1">
        <v>1.0</v>
      </c>
      <c r="T3269" s="1">
        <v>0.0</v>
      </c>
      <c r="X3269" s="1" t="s">
        <v>29</v>
      </c>
    </row>
    <row r="3270">
      <c r="A3270" s="3" t="str">
        <f>HYPERLINK("https://stackoverflow.com/q/32201636", "32201636")</f>
        <v>32201636</v>
      </c>
      <c r="B3270" s="1" t="s">
        <v>11474</v>
      </c>
      <c r="C3270" s="1" t="s">
        <v>11998</v>
      </c>
      <c r="D3270" s="2" t="s">
        <v>11999</v>
      </c>
      <c r="E3270" s="1">
        <v>1.0</v>
      </c>
      <c r="F3270" s="1">
        <v>3.221695E7</v>
      </c>
      <c r="I3270" s="1">
        <v>2.0</v>
      </c>
      <c r="J3270" s="1">
        <v>947.0</v>
      </c>
      <c r="L3270" s="1">
        <v>4726104.0</v>
      </c>
      <c r="N3270" s="1">
        <v>1777699.0</v>
      </c>
      <c r="P3270" s="1" t="s">
        <v>12000</v>
      </c>
      <c r="Q3270" s="1" t="s">
        <v>12000</v>
      </c>
      <c r="R3270" s="1" t="s">
        <v>12001</v>
      </c>
      <c r="S3270" s="1">
        <v>1.0</v>
      </c>
      <c r="T3270" s="1">
        <v>0.0</v>
      </c>
      <c r="X3270" s="1" t="s">
        <v>29</v>
      </c>
      <c r="Z3270" s="1" t="s">
        <v>12002</v>
      </c>
    </row>
    <row r="3271">
      <c r="A3271" s="3" t="str">
        <f>HYPERLINK("https://stackoverflow.com/q/32225372", "32225372")</f>
        <v>32225372</v>
      </c>
      <c r="B3271" s="1" t="s">
        <v>11474</v>
      </c>
      <c r="C3271" s="1" t="s">
        <v>12003</v>
      </c>
      <c r="D3271" s="2" t="s">
        <v>12004</v>
      </c>
      <c r="E3271" s="1">
        <v>1.0</v>
      </c>
      <c r="I3271" s="1">
        <v>0.0</v>
      </c>
      <c r="J3271" s="1">
        <v>130.0</v>
      </c>
      <c r="L3271" s="1">
        <v>1446997.0</v>
      </c>
      <c r="Q3271" s="1" t="s">
        <v>12005</v>
      </c>
      <c r="R3271" s="1" t="s">
        <v>11596</v>
      </c>
      <c r="S3271" s="1">
        <v>1.0</v>
      </c>
      <c r="T3271" s="1">
        <v>0.0</v>
      </c>
      <c r="X3271" s="1" t="s">
        <v>29</v>
      </c>
    </row>
    <row r="3272">
      <c r="A3272" s="3" t="str">
        <f>HYPERLINK("https://stackoverflow.com/q/32466898", "32466898")</f>
        <v>32466898</v>
      </c>
      <c r="B3272" s="1" t="s">
        <v>11474</v>
      </c>
      <c r="C3272" s="1" t="s">
        <v>12006</v>
      </c>
      <c r="D3272" s="2" t="s">
        <v>12007</v>
      </c>
      <c r="E3272" s="1">
        <v>1.0</v>
      </c>
      <c r="I3272" s="1">
        <v>0.0</v>
      </c>
      <c r="J3272" s="1">
        <v>323.0</v>
      </c>
      <c r="L3272" s="1">
        <v>5314517.0</v>
      </c>
      <c r="Q3272" s="1" t="s">
        <v>12008</v>
      </c>
      <c r="R3272" s="1" t="s">
        <v>12009</v>
      </c>
      <c r="S3272" s="1">
        <v>1.0</v>
      </c>
      <c r="T3272" s="1">
        <v>1.0</v>
      </c>
      <c r="X3272" s="1" t="s">
        <v>29</v>
      </c>
    </row>
    <row r="3273">
      <c r="A3273" s="3" t="str">
        <f>HYPERLINK("https://stackoverflow.com/q/32540747", "32540747")</f>
        <v>32540747</v>
      </c>
      <c r="B3273" s="1" t="s">
        <v>11474</v>
      </c>
      <c r="C3273" s="1" t="s">
        <v>12010</v>
      </c>
      <c r="D3273" s="2" t="s">
        <v>12011</v>
      </c>
      <c r="E3273" s="1">
        <v>1.0</v>
      </c>
      <c r="I3273" s="1">
        <v>3.0</v>
      </c>
      <c r="J3273" s="1">
        <v>1083.0</v>
      </c>
      <c r="L3273" s="1">
        <v>1124494.0</v>
      </c>
      <c r="N3273" s="1">
        <v>-1.0</v>
      </c>
      <c r="P3273" s="1" t="s">
        <v>12012</v>
      </c>
      <c r="Q3273" s="1" t="s">
        <v>12013</v>
      </c>
      <c r="R3273" s="1" t="s">
        <v>12014</v>
      </c>
      <c r="S3273" s="1">
        <v>2.0</v>
      </c>
      <c r="T3273" s="1">
        <v>0.0</v>
      </c>
      <c r="X3273" s="1" t="s">
        <v>29</v>
      </c>
    </row>
    <row r="3274">
      <c r="A3274" s="3" t="str">
        <f>HYPERLINK("https://stackoverflow.com/q/32667656", "32667656")</f>
        <v>32667656</v>
      </c>
      <c r="B3274" s="1" t="s">
        <v>11474</v>
      </c>
      <c r="C3274" s="1" t="s">
        <v>12015</v>
      </c>
      <c r="D3274" s="2" t="s">
        <v>12016</v>
      </c>
      <c r="E3274" s="1">
        <v>1.0</v>
      </c>
      <c r="I3274" s="1">
        <v>1.0</v>
      </c>
      <c r="J3274" s="1">
        <v>2637.0</v>
      </c>
      <c r="L3274" s="1">
        <v>883033.0</v>
      </c>
      <c r="Q3274" s="1" t="s">
        <v>12017</v>
      </c>
      <c r="R3274" s="1" t="s">
        <v>12018</v>
      </c>
      <c r="S3274" s="1">
        <v>2.0</v>
      </c>
      <c r="T3274" s="1">
        <v>1.0</v>
      </c>
      <c r="U3274" s="1">
        <v>0.0</v>
      </c>
      <c r="X3274" s="1" t="s">
        <v>29</v>
      </c>
    </row>
    <row r="3275">
      <c r="A3275" s="3" t="str">
        <f>HYPERLINK("https://stackoverflow.com/q/33016067", "33016067")</f>
        <v>33016067</v>
      </c>
      <c r="B3275" s="1" t="s">
        <v>11474</v>
      </c>
      <c r="C3275" s="1" t="s">
        <v>12019</v>
      </c>
      <c r="D3275" s="2" t="s">
        <v>12020</v>
      </c>
      <c r="E3275" s="1">
        <v>1.0</v>
      </c>
      <c r="I3275" s="1">
        <v>6.0</v>
      </c>
      <c r="J3275" s="1">
        <v>214.0</v>
      </c>
      <c r="L3275" s="1">
        <v>4658490.0</v>
      </c>
      <c r="N3275" s="1">
        <v>4658490.0</v>
      </c>
      <c r="P3275" s="1" t="s">
        <v>12021</v>
      </c>
      <c r="Q3275" s="1" t="s">
        <v>12022</v>
      </c>
      <c r="R3275" s="1" t="s">
        <v>12023</v>
      </c>
      <c r="S3275" s="1">
        <v>1.0</v>
      </c>
      <c r="T3275" s="1">
        <v>5.0</v>
      </c>
      <c r="X3275" s="1" t="s">
        <v>29</v>
      </c>
    </row>
    <row r="3276">
      <c r="A3276" s="3" t="str">
        <f>HYPERLINK("https://stackoverflow.com/q/33082983", "33082983")</f>
        <v>33082983</v>
      </c>
      <c r="B3276" s="1" t="s">
        <v>11474</v>
      </c>
      <c r="C3276" s="1" t="s">
        <v>12024</v>
      </c>
      <c r="D3276" s="2" t="s">
        <v>12025</v>
      </c>
      <c r="E3276" s="1">
        <v>1.0</v>
      </c>
      <c r="I3276" s="1">
        <v>2.0</v>
      </c>
      <c r="J3276" s="1">
        <v>219.0</v>
      </c>
      <c r="L3276" s="1">
        <v>1374497.0</v>
      </c>
      <c r="Q3276" s="1" t="s">
        <v>12024</v>
      </c>
      <c r="R3276" s="1" t="s">
        <v>12026</v>
      </c>
      <c r="S3276" s="1">
        <v>0.0</v>
      </c>
      <c r="T3276" s="1">
        <v>3.0</v>
      </c>
      <c r="X3276" s="1" t="s">
        <v>29</v>
      </c>
    </row>
    <row r="3277">
      <c r="A3277" s="3" t="str">
        <f>HYPERLINK("https://stackoverflow.com/q/33401059", "33401059")</f>
        <v>33401059</v>
      </c>
      <c r="B3277" s="1" t="s">
        <v>11474</v>
      </c>
      <c r="C3277" s="1" t="s">
        <v>12027</v>
      </c>
      <c r="D3277" s="2" t="s">
        <v>12028</v>
      </c>
      <c r="E3277" s="1">
        <v>1.0</v>
      </c>
      <c r="F3277" s="1">
        <v>3.3401226E7</v>
      </c>
      <c r="I3277" s="1">
        <v>7.0</v>
      </c>
      <c r="J3277" s="1">
        <v>1869.0</v>
      </c>
      <c r="L3277" s="1">
        <v>4906733.0</v>
      </c>
      <c r="Q3277" s="1" t="s">
        <v>12029</v>
      </c>
      <c r="R3277" s="1" t="s">
        <v>12030</v>
      </c>
      <c r="S3277" s="1">
        <v>1.0</v>
      </c>
      <c r="T3277" s="1">
        <v>0.0</v>
      </c>
      <c r="U3277" s="1">
        <v>1.0</v>
      </c>
      <c r="X3277" s="1" t="s">
        <v>29</v>
      </c>
      <c r="Z3277" s="1" t="s">
        <v>12029</v>
      </c>
    </row>
    <row r="3278">
      <c r="A3278" s="3" t="str">
        <f>HYPERLINK("https://stackoverflow.com/q/34085695", "34085695")</f>
        <v>34085695</v>
      </c>
      <c r="B3278" s="1" t="s">
        <v>11474</v>
      </c>
      <c r="C3278" s="1" t="s">
        <v>12031</v>
      </c>
      <c r="D3278" s="2" t="s">
        <v>12032</v>
      </c>
      <c r="E3278" s="1">
        <v>1.0</v>
      </c>
      <c r="F3278" s="1">
        <v>3.4230707E7</v>
      </c>
      <c r="I3278" s="1">
        <v>1.0</v>
      </c>
      <c r="J3278" s="1">
        <v>1575.0</v>
      </c>
      <c r="L3278" s="1">
        <v>5151329.0</v>
      </c>
      <c r="N3278" s="1">
        <v>2252572.0</v>
      </c>
      <c r="P3278" s="1" t="s">
        <v>12033</v>
      </c>
      <c r="Q3278" s="1" t="s">
        <v>12034</v>
      </c>
      <c r="R3278" s="1" t="s">
        <v>12035</v>
      </c>
      <c r="S3278" s="1">
        <v>1.0</v>
      </c>
      <c r="T3278" s="1">
        <v>2.0</v>
      </c>
      <c r="X3278" s="1" t="s">
        <v>29</v>
      </c>
      <c r="Z3278" s="1" t="s">
        <v>12036</v>
      </c>
    </row>
    <row r="3279">
      <c r="A3279" s="3" t="str">
        <f>HYPERLINK("https://stackoverflow.com/q/34164510", "34164510")</f>
        <v>34164510</v>
      </c>
      <c r="B3279" s="1" t="s">
        <v>11474</v>
      </c>
      <c r="C3279" s="1" t="s">
        <v>12037</v>
      </c>
      <c r="D3279" s="2" t="s">
        <v>12038</v>
      </c>
      <c r="E3279" s="1">
        <v>1.0</v>
      </c>
      <c r="F3279" s="1">
        <v>3.434289E7</v>
      </c>
      <c r="I3279" s="1">
        <v>1.0</v>
      </c>
      <c r="J3279" s="1">
        <v>292.0</v>
      </c>
      <c r="L3279" s="1">
        <v>3770850.0</v>
      </c>
      <c r="N3279" s="1">
        <v>3770850.0</v>
      </c>
      <c r="P3279" s="1" t="s">
        <v>12039</v>
      </c>
      <c r="Q3279" s="1" t="s">
        <v>12040</v>
      </c>
      <c r="R3279" s="1" t="s">
        <v>11499</v>
      </c>
      <c r="S3279" s="1">
        <v>1.0</v>
      </c>
      <c r="T3279" s="1">
        <v>0.0</v>
      </c>
      <c r="X3279" s="1" t="s">
        <v>29</v>
      </c>
      <c r="Z3279" s="1" t="s">
        <v>12040</v>
      </c>
    </row>
    <row r="3280">
      <c r="A3280" s="3" t="str">
        <f>HYPERLINK("https://stackoverflow.com/q/34172317", "34172317")</f>
        <v>34172317</v>
      </c>
      <c r="B3280" s="1" t="s">
        <v>11474</v>
      </c>
      <c r="C3280" s="1" t="s">
        <v>12041</v>
      </c>
      <c r="D3280" s="2" t="s">
        <v>12042</v>
      </c>
      <c r="E3280" s="1">
        <v>1.0</v>
      </c>
      <c r="F3280" s="1">
        <v>3.4173894E7</v>
      </c>
      <c r="I3280" s="1">
        <v>0.0</v>
      </c>
      <c r="J3280" s="1">
        <v>66.0</v>
      </c>
      <c r="L3280" s="1">
        <v>4400804.0</v>
      </c>
      <c r="Q3280" s="1" t="s">
        <v>12043</v>
      </c>
      <c r="R3280" s="1" t="s">
        <v>11717</v>
      </c>
      <c r="S3280" s="1">
        <v>1.0</v>
      </c>
      <c r="T3280" s="1">
        <v>0.0</v>
      </c>
      <c r="X3280" s="1" t="s">
        <v>29</v>
      </c>
      <c r="Z3280" s="1" t="s">
        <v>12044</v>
      </c>
    </row>
    <row r="3281">
      <c r="A3281" s="3" t="str">
        <f>HYPERLINK("https://stackoverflow.com/q/34504198", "34504198")</f>
        <v>34504198</v>
      </c>
      <c r="B3281" s="1" t="s">
        <v>11474</v>
      </c>
      <c r="C3281" s="1" t="s">
        <v>12045</v>
      </c>
      <c r="D3281" s="2" t="s">
        <v>12046</v>
      </c>
      <c r="E3281" s="1">
        <v>1.0</v>
      </c>
      <c r="I3281" s="1">
        <v>1.0</v>
      </c>
      <c r="J3281" s="1">
        <v>1098.0</v>
      </c>
      <c r="L3281" s="1">
        <v>913877.0</v>
      </c>
      <c r="N3281" s="1">
        <v>913877.0</v>
      </c>
      <c r="P3281" s="1" t="s">
        <v>12047</v>
      </c>
      <c r="Q3281" s="1" t="s">
        <v>12048</v>
      </c>
      <c r="R3281" s="1" t="s">
        <v>12049</v>
      </c>
      <c r="S3281" s="1">
        <v>1.0</v>
      </c>
      <c r="T3281" s="1">
        <v>4.0</v>
      </c>
      <c r="U3281" s="1">
        <v>1.0</v>
      </c>
      <c r="X3281" s="1" t="s">
        <v>29</v>
      </c>
    </row>
    <row r="3282">
      <c r="A3282" s="3" t="str">
        <f>HYPERLINK("https://stackoverflow.com/q/34880856", "34880856")</f>
        <v>34880856</v>
      </c>
      <c r="B3282" s="1" t="s">
        <v>11474</v>
      </c>
      <c r="C3282" s="1" t="s">
        <v>12050</v>
      </c>
      <c r="D3282" s="2" t="s">
        <v>12051</v>
      </c>
      <c r="E3282" s="1">
        <v>1.0</v>
      </c>
      <c r="I3282" s="1">
        <v>0.0</v>
      </c>
      <c r="J3282" s="1">
        <v>69.0</v>
      </c>
      <c r="L3282" s="1">
        <v>3888353.0</v>
      </c>
      <c r="Q3282" s="1" t="s">
        <v>12052</v>
      </c>
      <c r="R3282" s="1" t="s">
        <v>12053</v>
      </c>
      <c r="S3282" s="1">
        <v>2.0</v>
      </c>
      <c r="T3282" s="1">
        <v>1.0</v>
      </c>
      <c r="X3282" s="1" t="s">
        <v>29</v>
      </c>
    </row>
    <row r="3283">
      <c r="A3283" s="3" t="str">
        <f>HYPERLINK("https://stackoverflow.com/q/34963112", "34963112")</f>
        <v>34963112</v>
      </c>
      <c r="B3283" s="1" t="s">
        <v>11474</v>
      </c>
      <c r="C3283" s="1" t="s">
        <v>12054</v>
      </c>
      <c r="D3283" s="2" t="s">
        <v>12055</v>
      </c>
      <c r="E3283" s="1">
        <v>1.0</v>
      </c>
      <c r="F3283" s="1">
        <v>3.4963113E7</v>
      </c>
      <c r="I3283" s="1">
        <v>4.0</v>
      </c>
      <c r="J3283" s="1">
        <v>1786.0</v>
      </c>
      <c r="L3283" s="1">
        <v>3051660.0</v>
      </c>
      <c r="N3283" s="1">
        <v>1173112.0</v>
      </c>
      <c r="P3283" s="1" t="s">
        <v>12056</v>
      </c>
      <c r="Q3283" s="1" t="s">
        <v>12057</v>
      </c>
      <c r="R3283" s="1" t="s">
        <v>12058</v>
      </c>
      <c r="S3283" s="1">
        <v>1.0</v>
      </c>
      <c r="T3283" s="1">
        <v>0.0</v>
      </c>
      <c r="U3283" s="1">
        <v>2.0</v>
      </c>
      <c r="X3283" s="1" t="s">
        <v>56</v>
      </c>
      <c r="Z3283" s="1" t="s">
        <v>12054</v>
      </c>
    </row>
    <row r="3284">
      <c r="A3284" s="3" t="str">
        <f>HYPERLINK("https://stackoverflow.com/q/34971515", "34971515")</f>
        <v>34971515</v>
      </c>
      <c r="B3284" s="1" t="s">
        <v>11474</v>
      </c>
      <c r="C3284" s="1" t="s">
        <v>12059</v>
      </c>
      <c r="D3284" s="2" t="s">
        <v>12060</v>
      </c>
      <c r="E3284" s="1">
        <v>1.0</v>
      </c>
      <c r="F3284" s="1">
        <v>3.4971526E7</v>
      </c>
      <c r="I3284" s="1">
        <v>1.0</v>
      </c>
      <c r="J3284" s="1">
        <v>122.0</v>
      </c>
      <c r="L3284" s="1">
        <v>5051045.0</v>
      </c>
      <c r="Q3284" s="1" t="s">
        <v>12061</v>
      </c>
      <c r="R3284" s="1" t="s">
        <v>12062</v>
      </c>
      <c r="S3284" s="1">
        <v>1.0</v>
      </c>
      <c r="T3284" s="1">
        <v>0.0</v>
      </c>
      <c r="X3284" s="1" t="s">
        <v>29</v>
      </c>
      <c r="Z3284" s="1" t="s">
        <v>12061</v>
      </c>
    </row>
    <row r="3285">
      <c r="A3285" s="3" t="str">
        <f>HYPERLINK("https://stackoverflow.com/q/35041549", "35041549")</f>
        <v>35041549</v>
      </c>
      <c r="B3285" s="1" t="s">
        <v>11474</v>
      </c>
      <c r="C3285" s="1" t="s">
        <v>12063</v>
      </c>
      <c r="D3285" s="2" t="s">
        <v>12064</v>
      </c>
      <c r="E3285" s="1">
        <v>1.0</v>
      </c>
      <c r="F3285" s="1">
        <v>3.5126508E7</v>
      </c>
      <c r="I3285" s="1">
        <v>0.0</v>
      </c>
      <c r="J3285" s="1">
        <v>363.0</v>
      </c>
      <c r="L3285" s="1">
        <v>5153473.0</v>
      </c>
      <c r="N3285" s="1">
        <v>3305116.0</v>
      </c>
      <c r="P3285" s="1" t="s">
        <v>12065</v>
      </c>
      <c r="Q3285" s="1" t="s">
        <v>12066</v>
      </c>
      <c r="R3285" s="1" t="s">
        <v>12067</v>
      </c>
      <c r="S3285" s="1">
        <v>1.0</v>
      </c>
      <c r="T3285" s="1">
        <v>0.0</v>
      </c>
      <c r="X3285" s="1" t="s">
        <v>29</v>
      </c>
      <c r="Z3285" s="1" t="s">
        <v>12066</v>
      </c>
    </row>
    <row r="3286">
      <c r="A3286" s="3" t="str">
        <f>HYPERLINK("https://stackoverflow.com/q/35265813", "35265813")</f>
        <v>35265813</v>
      </c>
      <c r="B3286" s="1" t="s">
        <v>11474</v>
      </c>
      <c r="C3286" s="1" t="s">
        <v>12068</v>
      </c>
      <c r="D3286" s="2" t="s">
        <v>12069</v>
      </c>
      <c r="E3286" s="1">
        <v>1.0</v>
      </c>
      <c r="I3286" s="1">
        <v>0.0</v>
      </c>
      <c r="J3286" s="1">
        <v>196.0</v>
      </c>
      <c r="L3286" s="1">
        <v>5815550.0</v>
      </c>
      <c r="Q3286" s="1" t="s">
        <v>12070</v>
      </c>
      <c r="R3286" s="1" t="s">
        <v>11596</v>
      </c>
      <c r="S3286" s="1">
        <v>1.0</v>
      </c>
      <c r="T3286" s="1">
        <v>0.0</v>
      </c>
      <c r="X3286" s="1" t="s">
        <v>29</v>
      </c>
    </row>
    <row r="3287">
      <c r="A3287" s="3" t="str">
        <f>HYPERLINK("https://stackoverflow.com/q/35414315", "35414315")</f>
        <v>35414315</v>
      </c>
      <c r="B3287" s="1" t="s">
        <v>11474</v>
      </c>
      <c r="C3287" s="1" t="s">
        <v>12071</v>
      </c>
      <c r="D3287" s="2" t="s">
        <v>12072</v>
      </c>
      <c r="E3287" s="1">
        <v>1.0</v>
      </c>
      <c r="I3287" s="1">
        <v>0.0</v>
      </c>
      <c r="J3287" s="1">
        <v>119.0</v>
      </c>
      <c r="L3287" s="1">
        <v>5930921.0</v>
      </c>
      <c r="Q3287" s="1" t="s">
        <v>12073</v>
      </c>
      <c r="R3287" s="1" t="s">
        <v>12074</v>
      </c>
      <c r="S3287" s="1">
        <v>1.0</v>
      </c>
      <c r="T3287" s="1">
        <v>0.0</v>
      </c>
      <c r="X3287" s="1" t="s">
        <v>29</v>
      </c>
    </row>
    <row r="3288">
      <c r="A3288" s="3" t="str">
        <f>HYPERLINK("https://stackoverflow.com/q/35569887", "35569887")</f>
        <v>35569887</v>
      </c>
      <c r="B3288" s="1" t="s">
        <v>11474</v>
      </c>
      <c r="C3288" s="1" t="s">
        <v>12075</v>
      </c>
      <c r="D3288" s="2" t="s">
        <v>12076</v>
      </c>
      <c r="E3288" s="1">
        <v>1.0</v>
      </c>
      <c r="F3288" s="1">
        <v>3.5649473E7</v>
      </c>
      <c r="I3288" s="1">
        <v>0.0</v>
      </c>
      <c r="J3288" s="1">
        <v>142.0</v>
      </c>
      <c r="L3288" s="1">
        <v>3920967.0</v>
      </c>
      <c r="Q3288" s="1" t="s">
        <v>12077</v>
      </c>
      <c r="R3288" s="1" t="s">
        <v>11596</v>
      </c>
      <c r="S3288" s="1">
        <v>1.0</v>
      </c>
      <c r="T3288" s="1">
        <v>0.0</v>
      </c>
      <c r="X3288" s="1" t="s">
        <v>29</v>
      </c>
      <c r="Z3288" s="1" t="s">
        <v>12078</v>
      </c>
    </row>
    <row r="3289">
      <c r="A3289" s="3" t="str">
        <f>HYPERLINK("https://stackoverflow.com/q/35618897", "35618897")</f>
        <v>35618897</v>
      </c>
      <c r="B3289" s="1" t="s">
        <v>11474</v>
      </c>
      <c r="C3289" s="1" t="s">
        <v>12079</v>
      </c>
      <c r="D3289" s="2" t="s">
        <v>12080</v>
      </c>
      <c r="E3289" s="1">
        <v>1.0</v>
      </c>
      <c r="I3289" s="1">
        <v>0.0</v>
      </c>
      <c r="J3289" s="1">
        <v>251.0</v>
      </c>
      <c r="L3289" s="1">
        <v>452333.0</v>
      </c>
      <c r="Q3289" s="1" t="s">
        <v>12081</v>
      </c>
      <c r="R3289" s="1" t="s">
        <v>11596</v>
      </c>
      <c r="S3289" s="1">
        <v>1.0</v>
      </c>
      <c r="T3289" s="1">
        <v>0.0</v>
      </c>
      <c r="X3289" s="1" t="s">
        <v>29</v>
      </c>
    </row>
    <row r="3290">
      <c r="A3290" s="3" t="str">
        <f>HYPERLINK("https://stackoverflow.com/q/35660296", "35660296")</f>
        <v>35660296</v>
      </c>
      <c r="B3290" s="1" t="s">
        <v>11474</v>
      </c>
      <c r="C3290" s="1" t="s">
        <v>12082</v>
      </c>
      <c r="D3290" s="2" t="s">
        <v>12083</v>
      </c>
      <c r="E3290" s="1">
        <v>1.0</v>
      </c>
      <c r="F3290" s="1">
        <v>3.5661315E7</v>
      </c>
      <c r="I3290" s="1">
        <v>1.0</v>
      </c>
      <c r="J3290" s="1">
        <v>732.0</v>
      </c>
      <c r="L3290" s="1">
        <v>5174821.0</v>
      </c>
      <c r="N3290" s="1">
        <v>23760.0</v>
      </c>
      <c r="P3290" s="1" t="s">
        <v>12084</v>
      </c>
      <c r="Q3290" s="1" t="s">
        <v>12085</v>
      </c>
      <c r="R3290" s="1" t="s">
        <v>12086</v>
      </c>
      <c r="S3290" s="1">
        <v>2.0</v>
      </c>
      <c r="T3290" s="1">
        <v>0.0</v>
      </c>
      <c r="X3290" s="1" t="s">
        <v>29</v>
      </c>
      <c r="Z3290" s="1" t="s">
        <v>12087</v>
      </c>
    </row>
    <row r="3291">
      <c r="A3291" s="3" t="str">
        <f>HYPERLINK("https://stackoverflow.com/q/35742554", "35742554")</f>
        <v>35742554</v>
      </c>
      <c r="B3291" s="1" t="s">
        <v>11474</v>
      </c>
      <c r="C3291" s="1" t="s">
        <v>12088</v>
      </c>
      <c r="D3291" s="2" t="s">
        <v>12089</v>
      </c>
      <c r="E3291" s="1">
        <v>1.0</v>
      </c>
      <c r="F3291" s="1">
        <v>3.5750249E7</v>
      </c>
      <c r="I3291" s="1">
        <v>2.0</v>
      </c>
      <c r="J3291" s="1">
        <v>1696.0</v>
      </c>
      <c r="L3291" s="1">
        <v>1374267.0</v>
      </c>
      <c r="N3291" s="1">
        <v>1374267.0</v>
      </c>
      <c r="P3291" s="1" t="s">
        <v>12090</v>
      </c>
      <c r="Q3291" s="1" t="s">
        <v>12090</v>
      </c>
      <c r="R3291" s="1" t="s">
        <v>11707</v>
      </c>
      <c r="S3291" s="1">
        <v>1.0</v>
      </c>
      <c r="T3291" s="1">
        <v>2.0</v>
      </c>
      <c r="X3291" s="1" t="s">
        <v>29</v>
      </c>
      <c r="Z3291" s="1" t="s">
        <v>12091</v>
      </c>
    </row>
    <row r="3292">
      <c r="A3292" s="3" t="str">
        <f>HYPERLINK("https://stackoverflow.com/q/35859198", "35859198")</f>
        <v>35859198</v>
      </c>
      <c r="B3292" s="1" t="s">
        <v>11474</v>
      </c>
      <c r="C3292" s="1" t="s">
        <v>12092</v>
      </c>
      <c r="D3292" s="2" t="s">
        <v>12093</v>
      </c>
      <c r="E3292" s="1">
        <v>1.0</v>
      </c>
      <c r="I3292" s="1">
        <v>0.0</v>
      </c>
      <c r="J3292" s="1">
        <v>504.0</v>
      </c>
      <c r="L3292" s="1">
        <v>6032420.0</v>
      </c>
      <c r="Q3292" s="1" t="s">
        <v>12094</v>
      </c>
      <c r="R3292" s="1" t="s">
        <v>12095</v>
      </c>
      <c r="S3292" s="1">
        <v>1.0</v>
      </c>
      <c r="T3292" s="1">
        <v>2.0</v>
      </c>
      <c r="X3292" s="1" t="s">
        <v>29</v>
      </c>
    </row>
    <row r="3293">
      <c r="A3293" s="3" t="str">
        <f>HYPERLINK("https://stackoverflow.com/q/36028847", "36028847")</f>
        <v>36028847</v>
      </c>
      <c r="B3293" s="1" t="s">
        <v>11474</v>
      </c>
      <c r="C3293" s="1" t="s">
        <v>12096</v>
      </c>
      <c r="D3293" s="2" t="s">
        <v>12097</v>
      </c>
      <c r="E3293" s="1">
        <v>1.0</v>
      </c>
      <c r="I3293" s="1">
        <v>0.0</v>
      </c>
      <c r="J3293" s="1">
        <v>339.0</v>
      </c>
      <c r="L3293" s="1">
        <v>4000174.0</v>
      </c>
      <c r="Q3293" s="1" t="s">
        <v>12098</v>
      </c>
      <c r="R3293" s="1" t="s">
        <v>11596</v>
      </c>
      <c r="S3293" s="1">
        <v>1.0</v>
      </c>
      <c r="T3293" s="1">
        <v>0.0</v>
      </c>
      <c r="X3293" s="1" t="s">
        <v>29</v>
      </c>
    </row>
    <row r="3294">
      <c r="A3294" s="3" t="str">
        <f>HYPERLINK("https://stackoverflow.com/q/36341976", "36341976")</f>
        <v>36341976</v>
      </c>
      <c r="B3294" s="1" t="s">
        <v>11474</v>
      </c>
      <c r="C3294" s="1" t="s">
        <v>12099</v>
      </c>
      <c r="D3294" s="2" t="s">
        <v>12100</v>
      </c>
      <c r="E3294" s="1">
        <v>1.0</v>
      </c>
      <c r="I3294" s="1">
        <v>1.0</v>
      </c>
      <c r="J3294" s="1">
        <v>375.0</v>
      </c>
      <c r="L3294" s="1">
        <v>2280741.0</v>
      </c>
      <c r="N3294" s="1">
        <v>5952681.0</v>
      </c>
      <c r="P3294" s="1" t="s">
        <v>12101</v>
      </c>
      <c r="Q3294" s="1" t="s">
        <v>12101</v>
      </c>
      <c r="R3294" s="1" t="s">
        <v>12102</v>
      </c>
      <c r="S3294" s="1">
        <v>0.0</v>
      </c>
      <c r="T3294" s="1">
        <v>2.0</v>
      </c>
      <c r="X3294" s="1" t="s">
        <v>29</v>
      </c>
    </row>
    <row r="3295">
      <c r="A3295" s="3" t="str">
        <f>HYPERLINK("https://stackoverflow.com/q/36528140", "36528140")</f>
        <v>36528140</v>
      </c>
      <c r="B3295" s="1" t="s">
        <v>11474</v>
      </c>
      <c r="C3295" s="1" t="s">
        <v>12103</v>
      </c>
      <c r="D3295" s="2" t="s">
        <v>12104</v>
      </c>
      <c r="E3295" s="1">
        <v>1.0</v>
      </c>
      <c r="I3295" s="1">
        <v>2.0</v>
      </c>
      <c r="J3295" s="1">
        <v>1958.0</v>
      </c>
      <c r="L3295" s="1">
        <v>3070763.0</v>
      </c>
      <c r="Q3295" s="1" t="s">
        <v>12105</v>
      </c>
      <c r="R3295" s="1" t="s">
        <v>12106</v>
      </c>
      <c r="S3295" s="1">
        <v>1.0</v>
      </c>
      <c r="T3295" s="1">
        <v>0.0</v>
      </c>
      <c r="U3295" s="1">
        <v>2.0</v>
      </c>
      <c r="X3295" s="1" t="s">
        <v>29</v>
      </c>
    </row>
    <row r="3296">
      <c r="A3296" s="3" t="str">
        <f>HYPERLINK("https://stackoverflow.com/q/36565321", "36565321")</f>
        <v>36565321</v>
      </c>
      <c r="B3296" s="1" t="s">
        <v>11474</v>
      </c>
      <c r="C3296" s="1" t="s">
        <v>12107</v>
      </c>
      <c r="D3296" s="2" t="s">
        <v>12108</v>
      </c>
      <c r="E3296" s="1">
        <v>1.0</v>
      </c>
      <c r="I3296" s="1">
        <v>0.0</v>
      </c>
      <c r="J3296" s="1">
        <v>101.0</v>
      </c>
      <c r="L3296" s="1">
        <v>5825642.0</v>
      </c>
      <c r="Q3296" s="1" t="s">
        <v>12109</v>
      </c>
      <c r="R3296" s="1" t="s">
        <v>11596</v>
      </c>
      <c r="S3296" s="1">
        <v>1.0</v>
      </c>
      <c r="T3296" s="1">
        <v>0.0</v>
      </c>
      <c r="X3296" s="1" t="s">
        <v>29</v>
      </c>
    </row>
    <row r="3297">
      <c r="A3297" s="3" t="str">
        <f>HYPERLINK("https://stackoverflow.com/q/37020959", "37020959")</f>
        <v>37020959</v>
      </c>
      <c r="B3297" s="1" t="s">
        <v>11474</v>
      </c>
      <c r="C3297" s="1" t="s">
        <v>12110</v>
      </c>
      <c r="D3297" s="2" t="s">
        <v>12111</v>
      </c>
      <c r="E3297" s="1">
        <v>1.0</v>
      </c>
      <c r="F3297" s="1">
        <v>3.7021281E7</v>
      </c>
      <c r="I3297" s="1">
        <v>3.0</v>
      </c>
      <c r="J3297" s="1">
        <v>570.0</v>
      </c>
      <c r="L3297" s="1">
        <v>6235456.0</v>
      </c>
      <c r="N3297" s="1">
        <v>777850.0</v>
      </c>
      <c r="P3297" s="1" t="s">
        <v>12112</v>
      </c>
      <c r="Q3297" s="1" t="s">
        <v>12113</v>
      </c>
      <c r="R3297" s="1" t="s">
        <v>11596</v>
      </c>
      <c r="S3297" s="1">
        <v>1.0</v>
      </c>
      <c r="T3297" s="1">
        <v>3.0</v>
      </c>
      <c r="U3297" s="1">
        <v>3.0</v>
      </c>
      <c r="X3297" s="1" t="s">
        <v>29</v>
      </c>
      <c r="Z3297" s="1" t="s">
        <v>12114</v>
      </c>
    </row>
    <row r="3298">
      <c r="A3298" s="3" t="str">
        <f>HYPERLINK("https://stackoverflow.com/q/37159918", "37159918")</f>
        <v>37159918</v>
      </c>
      <c r="B3298" s="1" t="s">
        <v>11474</v>
      </c>
      <c r="C3298" s="1" t="s">
        <v>12115</v>
      </c>
      <c r="D3298" s="2" t="s">
        <v>12116</v>
      </c>
      <c r="E3298" s="1">
        <v>1.0</v>
      </c>
      <c r="I3298" s="1">
        <v>0.0</v>
      </c>
      <c r="J3298" s="1">
        <v>243.0</v>
      </c>
      <c r="L3298" s="1">
        <v>6235456.0</v>
      </c>
      <c r="Q3298" s="1" t="s">
        <v>12117</v>
      </c>
      <c r="R3298" s="1" t="s">
        <v>11759</v>
      </c>
      <c r="S3298" s="1">
        <v>1.0</v>
      </c>
      <c r="T3298" s="1">
        <v>0.0</v>
      </c>
      <c r="U3298" s="1">
        <v>2.0</v>
      </c>
      <c r="X3298" s="1" t="s">
        <v>29</v>
      </c>
    </row>
    <row r="3299">
      <c r="A3299" s="3" t="str">
        <f>HYPERLINK("https://stackoverflow.com/q/37475065", "37475065")</f>
        <v>37475065</v>
      </c>
      <c r="B3299" s="1" t="s">
        <v>11474</v>
      </c>
      <c r="C3299" s="1" t="s">
        <v>12118</v>
      </c>
      <c r="D3299" s="2" t="s">
        <v>12119</v>
      </c>
      <c r="E3299" s="1">
        <v>1.0</v>
      </c>
      <c r="I3299" s="1">
        <v>2.0</v>
      </c>
      <c r="J3299" s="1">
        <v>863.0</v>
      </c>
      <c r="L3299" s="1">
        <v>6203559.0</v>
      </c>
      <c r="Q3299" s="1" t="s">
        <v>12120</v>
      </c>
      <c r="R3299" s="1" t="s">
        <v>12121</v>
      </c>
      <c r="S3299" s="1">
        <v>1.0</v>
      </c>
      <c r="T3299" s="1">
        <v>1.0</v>
      </c>
      <c r="X3299" s="1" t="s">
        <v>29</v>
      </c>
    </row>
    <row r="3300">
      <c r="A3300" s="3" t="str">
        <f>HYPERLINK("https://stackoverflow.com/q/37692232", "37692232")</f>
        <v>37692232</v>
      </c>
      <c r="B3300" s="1" t="s">
        <v>11474</v>
      </c>
      <c r="C3300" s="1" t="s">
        <v>12122</v>
      </c>
      <c r="D3300" s="2" t="s">
        <v>12123</v>
      </c>
      <c r="E3300" s="1">
        <v>1.0</v>
      </c>
      <c r="I3300" s="1">
        <v>2.0</v>
      </c>
      <c r="J3300" s="1">
        <v>112.0</v>
      </c>
      <c r="L3300" s="1">
        <v>1374497.0</v>
      </c>
      <c r="Q3300" s="1" t="s">
        <v>12122</v>
      </c>
      <c r="R3300" s="1" t="s">
        <v>12124</v>
      </c>
      <c r="S3300" s="1">
        <v>0.0</v>
      </c>
      <c r="T3300" s="1">
        <v>0.0</v>
      </c>
      <c r="X3300" s="1" t="s">
        <v>29</v>
      </c>
    </row>
    <row r="3301">
      <c r="A3301" s="3" t="str">
        <f>HYPERLINK("https://stackoverflow.com/q/37723718", "37723718")</f>
        <v>37723718</v>
      </c>
      <c r="B3301" s="1" t="s">
        <v>11474</v>
      </c>
      <c r="C3301" s="1" t="s">
        <v>12125</v>
      </c>
      <c r="D3301" s="2" t="s">
        <v>12126</v>
      </c>
      <c r="E3301" s="1">
        <v>1.0</v>
      </c>
      <c r="I3301" s="1">
        <v>1.0</v>
      </c>
      <c r="J3301" s="1">
        <v>594.0</v>
      </c>
      <c r="L3301" s="1">
        <v>6444929.0</v>
      </c>
      <c r="Q3301" s="1" t="s">
        <v>12127</v>
      </c>
      <c r="R3301" s="1" t="s">
        <v>11563</v>
      </c>
      <c r="S3301" s="1">
        <v>1.0</v>
      </c>
      <c r="T3301" s="1">
        <v>0.0</v>
      </c>
      <c r="X3301" s="1" t="s">
        <v>29</v>
      </c>
    </row>
    <row r="3302">
      <c r="A3302" s="3" t="str">
        <f>HYPERLINK("https://stackoverflow.com/q/37915834", "37915834")</f>
        <v>37915834</v>
      </c>
      <c r="B3302" s="1" t="s">
        <v>11474</v>
      </c>
      <c r="C3302" s="1" t="s">
        <v>12128</v>
      </c>
      <c r="D3302" s="2" t="s">
        <v>12129</v>
      </c>
      <c r="E3302" s="1">
        <v>1.0</v>
      </c>
      <c r="F3302" s="1">
        <v>4.3729308E7</v>
      </c>
      <c r="I3302" s="1">
        <v>0.0</v>
      </c>
      <c r="J3302" s="1">
        <v>463.0</v>
      </c>
      <c r="L3302" s="1">
        <v>2775403.0</v>
      </c>
      <c r="N3302" s="1">
        <v>2775403.0</v>
      </c>
      <c r="P3302" s="1" t="s">
        <v>12130</v>
      </c>
      <c r="Q3302" s="1" t="s">
        <v>12131</v>
      </c>
      <c r="R3302" s="1" t="s">
        <v>12132</v>
      </c>
      <c r="S3302" s="1">
        <v>1.0</v>
      </c>
      <c r="T3302" s="1">
        <v>0.0</v>
      </c>
      <c r="X3302" s="1" t="s">
        <v>29</v>
      </c>
      <c r="Z3302" s="1" t="s">
        <v>12131</v>
      </c>
    </row>
    <row r="3303">
      <c r="A3303" s="3" t="str">
        <f>HYPERLINK("https://stackoverflow.com/q/37973949", "37973949")</f>
        <v>37973949</v>
      </c>
      <c r="B3303" s="1" t="s">
        <v>11474</v>
      </c>
      <c r="C3303" s="1" t="s">
        <v>12133</v>
      </c>
      <c r="D3303" s="2" t="s">
        <v>12134</v>
      </c>
      <c r="E3303" s="1">
        <v>1.0</v>
      </c>
      <c r="I3303" s="1">
        <v>0.0</v>
      </c>
      <c r="J3303" s="1">
        <v>673.0</v>
      </c>
      <c r="L3303" s="1">
        <v>1061664.0</v>
      </c>
      <c r="N3303" s="1">
        <v>1061664.0</v>
      </c>
      <c r="P3303" s="1" t="s">
        <v>12135</v>
      </c>
      <c r="Q3303" s="1" t="s">
        <v>12135</v>
      </c>
      <c r="R3303" s="1" t="s">
        <v>12136</v>
      </c>
      <c r="S3303" s="1">
        <v>0.0</v>
      </c>
      <c r="T3303" s="1">
        <v>2.0</v>
      </c>
      <c r="X3303" s="1" t="s">
        <v>29</v>
      </c>
    </row>
    <row r="3304">
      <c r="A3304" s="3" t="str">
        <f>HYPERLINK("https://stackoverflow.com/q/38006238", "38006238")</f>
        <v>38006238</v>
      </c>
      <c r="B3304" s="1" t="s">
        <v>11474</v>
      </c>
      <c r="C3304" s="1" t="s">
        <v>12137</v>
      </c>
      <c r="D3304" s="2" t="s">
        <v>12138</v>
      </c>
      <c r="E3304" s="1">
        <v>1.0</v>
      </c>
      <c r="I3304" s="1">
        <v>0.0</v>
      </c>
      <c r="J3304" s="1">
        <v>307.0</v>
      </c>
      <c r="L3304" s="1">
        <v>5825642.0</v>
      </c>
      <c r="N3304" s="1">
        <v>6371090.0</v>
      </c>
      <c r="P3304" s="1" t="s">
        <v>12139</v>
      </c>
      <c r="Q3304" s="1" t="s">
        <v>12139</v>
      </c>
      <c r="R3304" s="1" t="s">
        <v>11558</v>
      </c>
      <c r="S3304" s="1">
        <v>1.0</v>
      </c>
      <c r="T3304" s="1">
        <v>0.0</v>
      </c>
      <c r="U3304" s="1">
        <v>1.0</v>
      </c>
      <c r="X3304" s="1" t="s">
        <v>29</v>
      </c>
    </row>
    <row r="3305">
      <c r="A3305" s="3" t="str">
        <f>HYPERLINK("https://stackoverflow.com/q/38264023", "38264023")</f>
        <v>38264023</v>
      </c>
      <c r="B3305" s="1" t="s">
        <v>11474</v>
      </c>
      <c r="C3305" s="1" t="s">
        <v>12140</v>
      </c>
      <c r="D3305" s="2" t="s">
        <v>12141</v>
      </c>
      <c r="E3305" s="1">
        <v>1.0</v>
      </c>
      <c r="F3305" s="1">
        <v>3.8272266E7</v>
      </c>
      <c r="I3305" s="1">
        <v>1.0</v>
      </c>
      <c r="J3305" s="1">
        <v>339.0</v>
      </c>
      <c r="L3305" s="1">
        <v>6564679.0</v>
      </c>
      <c r="N3305" s="1">
        <v>6564679.0</v>
      </c>
      <c r="P3305" s="1" t="s">
        <v>12142</v>
      </c>
      <c r="Q3305" s="1" t="s">
        <v>12143</v>
      </c>
      <c r="R3305" s="1" t="s">
        <v>12144</v>
      </c>
      <c r="S3305" s="1">
        <v>2.0</v>
      </c>
      <c r="T3305" s="1">
        <v>0.0</v>
      </c>
      <c r="U3305" s="1">
        <v>0.0</v>
      </c>
      <c r="X3305" s="1" t="s">
        <v>29</v>
      </c>
      <c r="Z3305" s="1" t="s">
        <v>12145</v>
      </c>
    </row>
    <row r="3306">
      <c r="A3306" s="3" t="str">
        <f>HYPERLINK("https://stackoverflow.com/q/38342186", "38342186")</f>
        <v>38342186</v>
      </c>
      <c r="B3306" s="1" t="s">
        <v>11474</v>
      </c>
      <c r="C3306" s="1" t="s">
        <v>12146</v>
      </c>
      <c r="D3306" s="2" t="s">
        <v>12147</v>
      </c>
      <c r="E3306" s="1">
        <v>1.0</v>
      </c>
      <c r="F3306" s="1">
        <v>3.8546756E7</v>
      </c>
      <c r="I3306" s="1">
        <v>1.0</v>
      </c>
      <c r="J3306" s="1">
        <v>333.0</v>
      </c>
      <c r="L3306" s="1">
        <v>882178.0</v>
      </c>
      <c r="N3306" s="1">
        <v>882178.0</v>
      </c>
      <c r="P3306" s="1" t="s">
        <v>12148</v>
      </c>
      <c r="Q3306" s="1" t="s">
        <v>12149</v>
      </c>
      <c r="R3306" s="1" t="s">
        <v>11900</v>
      </c>
      <c r="S3306" s="1">
        <v>1.0</v>
      </c>
      <c r="T3306" s="1">
        <v>2.0</v>
      </c>
      <c r="X3306" s="1" t="s">
        <v>29</v>
      </c>
      <c r="Z3306" s="1" t="s">
        <v>12149</v>
      </c>
    </row>
    <row r="3307">
      <c r="A3307" s="3" t="str">
        <f>HYPERLINK("https://stackoverflow.com/q/38556074", "38556074")</f>
        <v>38556074</v>
      </c>
      <c r="B3307" s="1" t="s">
        <v>11474</v>
      </c>
      <c r="C3307" s="1" t="s">
        <v>12150</v>
      </c>
      <c r="D3307" s="2" t="s">
        <v>12151</v>
      </c>
      <c r="E3307" s="1">
        <v>1.0</v>
      </c>
      <c r="I3307" s="1">
        <v>0.0</v>
      </c>
      <c r="J3307" s="1">
        <v>347.0</v>
      </c>
      <c r="L3307" s="1">
        <v>3513854.0</v>
      </c>
      <c r="N3307" s="1">
        <v>3513854.0</v>
      </c>
      <c r="P3307" s="1" t="s">
        <v>12152</v>
      </c>
      <c r="Q3307" s="1" t="s">
        <v>12153</v>
      </c>
      <c r="R3307" s="1" t="s">
        <v>12154</v>
      </c>
      <c r="S3307" s="1">
        <v>1.0</v>
      </c>
      <c r="T3307" s="1">
        <v>2.0</v>
      </c>
      <c r="U3307" s="1">
        <v>1.0</v>
      </c>
      <c r="X3307" s="1" t="s">
        <v>29</v>
      </c>
    </row>
    <row r="3308">
      <c r="A3308" s="3" t="str">
        <f>HYPERLINK("https://stackoverflow.com/q/38781470", "38781470")</f>
        <v>38781470</v>
      </c>
      <c r="B3308" s="1" t="s">
        <v>11474</v>
      </c>
      <c r="C3308" s="1" t="s">
        <v>12155</v>
      </c>
      <c r="D3308" s="2" t="s">
        <v>12156</v>
      </c>
      <c r="E3308" s="1">
        <v>1.0</v>
      </c>
      <c r="F3308" s="1">
        <v>3.8790875E7</v>
      </c>
      <c r="I3308" s="1">
        <v>0.0</v>
      </c>
      <c r="J3308" s="1">
        <v>1208.0</v>
      </c>
      <c r="L3308" s="1">
        <v>6616874.0</v>
      </c>
      <c r="N3308" s="1">
        <v>981744.0</v>
      </c>
      <c r="P3308" s="1" t="s">
        <v>12157</v>
      </c>
      <c r="Q3308" s="1" t="s">
        <v>12158</v>
      </c>
      <c r="R3308" s="1" t="s">
        <v>11549</v>
      </c>
      <c r="S3308" s="1">
        <v>3.0</v>
      </c>
      <c r="T3308" s="1">
        <v>2.0</v>
      </c>
      <c r="X3308" s="1" t="s">
        <v>29</v>
      </c>
      <c r="Z3308" s="1" t="s">
        <v>12159</v>
      </c>
    </row>
    <row r="3309">
      <c r="A3309" s="3" t="str">
        <f>HYPERLINK("https://stackoverflow.com/q/38866325", "38866325")</f>
        <v>38866325</v>
      </c>
      <c r="B3309" s="1" t="s">
        <v>11474</v>
      </c>
      <c r="C3309" s="1" t="s">
        <v>12160</v>
      </c>
      <c r="D3309" s="2" t="s">
        <v>12161</v>
      </c>
      <c r="E3309" s="1">
        <v>1.0</v>
      </c>
      <c r="F3309" s="1">
        <v>3.8867204E7</v>
      </c>
      <c r="I3309" s="1">
        <v>0.0</v>
      </c>
      <c r="J3309" s="1">
        <v>415.0</v>
      </c>
      <c r="L3309" s="1">
        <v>5826054.0</v>
      </c>
      <c r="N3309" s="1">
        <v>506147.0</v>
      </c>
      <c r="P3309" s="1" t="s">
        <v>12162</v>
      </c>
      <c r="Q3309" s="1" t="s">
        <v>12162</v>
      </c>
      <c r="R3309" s="1" t="s">
        <v>12163</v>
      </c>
      <c r="S3309" s="1">
        <v>2.0</v>
      </c>
      <c r="T3309" s="1">
        <v>6.0</v>
      </c>
      <c r="X3309" s="1" t="s">
        <v>56</v>
      </c>
      <c r="Z3309" s="1" t="s">
        <v>12164</v>
      </c>
    </row>
    <row r="3310">
      <c r="A3310" s="3" t="str">
        <f>HYPERLINK("https://stackoverflow.com/q/38951765", "38951765")</f>
        <v>38951765</v>
      </c>
      <c r="B3310" s="1" t="s">
        <v>11474</v>
      </c>
      <c r="C3310" s="1" t="s">
        <v>12165</v>
      </c>
      <c r="D3310" s="2" t="s">
        <v>12166</v>
      </c>
      <c r="E3310" s="1">
        <v>1.0</v>
      </c>
      <c r="F3310" s="1">
        <v>4.2356013E7</v>
      </c>
      <c r="I3310" s="1">
        <v>6.0</v>
      </c>
      <c r="J3310" s="1">
        <v>5689.0</v>
      </c>
      <c r="L3310" s="1">
        <v>3991447.0</v>
      </c>
      <c r="Q3310" s="1" t="s">
        <v>12167</v>
      </c>
      <c r="R3310" s="1" t="s">
        <v>12168</v>
      </c>
      <c r="S3310" s="1">
        <v>3.0</v>
      </c>
      <c r="T3310" s="1">
        <v>4.0</v>
      </c>
      <c r="U3310" s="1">
        <v>2.0</v>
      </c>
      <c r="X3310" s="1" t="s">
        <v>29</v>
      </c>
      <c r="Z3310" s="1" t="s">
        <v>12169</v>
      </c>
    </row>
    <row r="3311">
      <c r="A3311" s="3" t="str">
        <f>HYPERLINK("https://stackoverflow.com/q/39104959", "39104959")</f>
        <v>39104959</v>
      </c>
      <c r="B3311" s="1" t="s">
        <v>11474</v>
      </c>
      <c r="C3311" s="1" t="s">
        <v>12170</v>
      </c>
      <c r="D3311" s="2" t="s">
        <v>12171</v>
      </c>
      <c r="E3311" s="1">
        <v>1.0</v>
      </c>
      <c r="I3311" s="1">
        <v>0.0</v>
      </c>
      <c r="J3311" s="1">
        <v>242.0</v>
      </c>
      <c r="L3311" s="1">
        <v>1066611.0</v>
      </c>
      <c r="Q3311" s="1" t="s">
        <v>12172</v>
      </c>
      <c r="R3311" s="1" t="s">
        <v>12173</v>
      </c>
      <c r="S3311" s="1">
        <v>1.0</v>
      </c>
      <c r="T3311" s="1">
        <v>2.0</v>
      </c>
      <c r="X3311" s="1" t="s">
        <v>29</v>
      </c>
    </row>
    <row r="3312">
      <c r="A3312" s="3" t="str">
        <f>HYPERLINK("https://stackoverflow.com/q/39108557", "39108557")</f>
        <v>39108557</v>
      </c>
      <c r="B3312" s="1" t="s">
        <v>11474</v>
      </c>
      <c r="C3312" s="1" t="s">
        <v>12174</v>
      </c>
      <c r="D3312" s="2" t="s">
        <v>12175</v>
      </c>
      <c r="E3312" s="1">
        <v>1.0</v>
      </c>
      <c r="F3312" s="1">
        <v>3.9110466E7</v>
      </c>
      <c r="I3312" s="1">
        <v>0.0</v>
      </c>
      <c r="J3312" s="1">
        <v>109.0</v>
      </c>
      <c r="L3312" s="1">
        <v>6629681.0</v>
      </c>
      <c r="Q3312" s="1" t="s">
        <v>12176</v>
      </c>
      <c r="R3312" s="1" t="s">
        <v>12177</v>
      </c>
      <c r="S3312" s="1">
        <v>1.0</v>
      </c>
      <c r="T3312" s="1">
        <v>0.0</v>
      </c>
      <c r="X3312" s="1" t="s">
        <v>29</v>
      </c>
      <c r="Z3312" s="1" t="s">
        <v>12178</v>
      </c>
    </row>
    <row r="3313">
      <c r="A3313" s="3" t="str">
        <f>HYPERLINK("https://stackoverflow.com/q/39141990", "39141990")</f>
        <v>39141990</v>
      </c>
      <c r="B3313" s="1" t="s">
        <v>11474</v>
      </c>
      <c r="C3313" s="1" t="s">
        <v>12179</v>
      </c>
      <c r="D3313" s="2" t="s">
        <v>12180</v>
      </c>
      <c r="E3313" s="1">
        <v>1.0</v>
      </c>
      <c r="I3313" s="1">
        <v>2.0</v>
      </c>
      <c r="J3313" s="1">
        <v>942.0</v>
      </c>
      <c r="L3313" s="1">
        <v>5815550.0</v>
      </c>
      <c r="Q3313" s="1" t="s">
        <v>12181</v>
      </c>
      <c r="R3313" s="1" t="s">
        <v>11596</v>
      </c>
      <c r="S3313" s="1">
        <v>1.0</v>
      </c>
      <c r="T3313" s="1">
        <v>1.0</v>
      </c>
      <c r="U3313" s="1">
        <v>1.0</v>
      </c>
      <c r="X3313" s="1" t="s">
        <v>29</v>
      </c>
    </row>
    <row r="3314">
      <c r="A3314" s="3" t="str">
        <f>HYPERLINK("https://stackoverflow.com/q/40064989", "40064989")</f>
        <v>40064989</v>
      </c>
      <c r="B3314" s="1" t="s">
        <v>11474</v>
      </c>
      <c r="C3314" s="1" t="s">
        <v>12182</v>
      </c>
      <c r="D3314" s="2" t="s">
        <v>12183</v>
      </c>
      <c r="E3314" s="1">
        <v>1.0</v>
      </c>
      <c r="F3314" s="1">
        <v>4.0126519E7</v>
      </c>
      <c r="I3314" s="1">
        <v>1.0</v>
      </c>
      <c r="J3314" s="1">
        <v>339.0</v>
      </c>
      <c r="L3314" s="1">
        <v>4992356.0</v>
      </c>
      <c r="Q3314" s="1" t="s">
        <v>12184</v>
      </c>
      <c r="R3314" s="1" t="s">
        <v>12185</v>
      </c>
      <c r="S3314" s="1">
        <v>1.0</v>
      </c>
      <c r="T3314" s="1">
        <v>9.0</v>
      </c>
      <c r="X3314" s="1" t="s">
        <v>29</v>
      </c>
      <c r="Z3314" s="1" t="s">
        <v>12184</v>
      </c>
    </row>
    <row r="3315">
      <c r="A3315" s="3" t="str">
        <f>HYPERLINK("https://stackoverflow.com/q/40471357", "40471357")</f>
        <v>40471357</v>
      </c>
      <c r="B3315" s="1" t="s">
        <v>11474</v>
      </c>
      <c r="C3315" s="1" t="s">
        <v>12186</v>
      </c>
      <c r="D3315" s="2" t="s">
        <v>12187</v>
      </c>
      <c r="E3315" s="1">
        <v>1.0</v>
      </c>
      <c r="F3315" s="1">
        <v>4.0745293E7</v>
      </c>
      <c r="I3315" s="1">
        <v>0.0</v>
      </c>
      <c r="J3315" s="1">
        <v>428.0</v>
      </c>
      <c r="L3315" s="1">
        <v>1936343.0</v>
      </c>
      <c r="Q3315" s="1" t="s">
        <v>12188</v>
      </c>
      <c r="R3315" s="1" t="s">
        <v>11596</v>
      </c>
      <c r="S3315" s="1">
        <v>1.0</v>
      </c>
      <c r="T3315" s="1">
        <v>0.0</v>
      </c>
      <c r="X3315" s="1" t="s">
        <v>29</v>
      </c>
      <c r="Z3315" s="1" t="s">
        <v>12189</v>
      </c>
    </row>
    <row r="3316">
      <c r="A3316" s="3" t="str">
        <f>HYPERLINK("https://stackoverflow.com/q/40522198", "40522198")</f>
        <v>40522198</v>
      </c>
      <c r="B3316" s="1" t="s">
        <v>11474</v>
      </c>
      <c r="C3316" s="1" t="s">
        <v>12190</v>
      </c>
      <c r="D3316" s="2" t="s">
        <v>12191</v>
      </c>
      <c r="E3316" s="1">
        <v>1.0</v>
      </c>
      <c r="I3316" s="1">
        <v>3.0</v>
      </c>
      <c r="J3316" s="1">
        <v>364.0</v>
      </c>
      <c r="L3316" s="1">
        <v>3663436.0</v>
      </c>
      <c r="Q3316" s="1" t="s">
        <v>12192</v>
      </c>
      <c r="R3316" s="1" t="s">
        <v>12193</v>
      </c>
      <c r="S3316" s="1">
        <v>1.0</v>
      </c>
      <c r="T3316" s="1">
        <v>0.0</v>
      </c>
      <c r="U3316" s="1">
        <v>1.0</v>
      </c>
      <c r="X3316" s="1" t="s">
        <v>29</v>
      </c>
    </row>
    <row r="3317">
      <c r="A3317" s="3" t="str">
        <f>HYPERLINK("https://stackoverflow.com/q/40777490", "40777490")</f>
        <v>40777490</v>
      </c>
      <c r="B3317" s="1" t="s">
        <v>11474</v>
      </c>
      <c r="C3317" s="1" t="s">
        <v>12194</v>
      </c>
      <c r="D3317" s="2" t="s">
        <v>12195</v>
      </c>
      <c r="E3317" s="1">
        <v>1.0</v>
      </c>
      <c r="F3317" s="1">
        <v>4.2812463E7</v>
      </c>
      <c r="I3317" s="1">
        <v>0.0</v>
      </c>
      <c r="J3317" s="1">
        <v>796.0</v>
      </c>
      <c r="L3317" s="1">
        <v>1811952.0</v>
      </c>
      <c r="N3317" s="1">
        <v>1811952.0</v>
      </c>
      <c r="P3317" s="1" t="s">
        <v>12196</v>
      </c>
      <c r="Q3317" s="1" t="s">
        <v>12197</v>
      </c>
      <c r="R3317" s="1" t="s">
        <v>11596</v>
      </c>
      <c r="S3317" s="1">
        <v>3.0</v>
      </c>
      <c r="T3317" s="1">
        <v>1.0</v>
      </c>
      <c r="X3317" s="1" t="s">
        <v>29</v>
      </c>
      <c r="Z3317" s="1" t="s">
        <v>12198</v>
      </c>
    </row>
    <row r="3318">
      <c r="A3318" s="3" t="str">
        <f>HYPERLINK("https://stackoverflow.com/q/40797686", "40797686")</f>
        <v>40797686</v>
      </c>
      <c r="B3318" s="1" t="s">
        <v>11474</v>
      </c>
      <c r="C3318" s="1" t="s">
        <v>12199</v>
      </c>
      <c r="D3318" s="2" t="s">
        <v>12200</v>
      </c>
      <c r="E3318" s="1">
        <v>1.0</v>
      </c>
      <c r="I3318" s="1">
        <v>0.0</v>
      </c>
      <c r="J3318" s="1">
        <v>332.0</v>
      </c>
      <c r="L3318" s="1">
        <v>5540880.0</v>
      </c>
      <c r="Q3318" s="1" t="s">
        <v>12201</v>
      </c>
      <c r="R3318" s="1" t="s">
        <v>12202</v>
      </c>
      <c r="S3318" s="1">
        <v>1.0</v>
      </c>
      <c r="T3318" s="1">
        <v>0.0</v>
      </c>
      <c r="X3318" s="1" t="s">
        <v>29</v>
      </c>
    </row>
    <row r="3319">
      <c r="A3319" s="3" t="str">
        <f>HYPERLINK("https://stackoverflow.com/q/40910294", "40910294")</f>
        <v>40910294</v>
      </c>
      <c r="B3319" s="1" t="s">
        <v>11474</v>
      </c>
      <c r="C3319" s="1" t="s">
        <v>12203</v>
      </c>
      <c r="D3319" s="2" t="s">
        <v>12204</v>
      </c>
      <c r="E3319" s="1">
        <v>1.0</v>
      </c>
      <c r="I3319" s="1">
        <v>2.0</v>
      </c>
      <c r="J3319" s="1">
        <v>469.0</v>
      </c>
      <c r="L3319" s="1">
        <v>7233228.0</v>
      </c>
      <c r="N3319" s="1">
        <v>-1.0</v>
      </c>
      <c r="P3319" s="1" t="s">
        <v>12205</v>
      </c>
      <c r="Q3319" s="1" t="s">
        <v>12206</v>
      </c>
      <c r="R3319" s="1" t="s">
        <v>12207</v>
      </c>
      <c r="S3319" s="1">
        <v>1.0</v>
      </c>
      <c r="T3319" s="1">
        <v>1.0</v>
      </c>
      <c r="X3319" s="1" t="s">
        <v>29</v>
      </c>
    </row>
    <row r="3320">
      <c r="A3320" s="3" t="str">
        <f>HYPERLINK("https://stackoverflow.com/q/40934677", "40934677")</f>
        <v>40934677</v>
      </c>
      <c r="B3320" s="1" t="s">
        <v>11474</v>
      </c>
      <c r="C3320" s="1" t="s">
        <v>12208</v>
      </c>
      <c r="D3320" s="2" t="s">
        <v>12209</v>
      </c>
      <c r="E3320" s="1">
        <v>1.0</v>
      </c>
      <c r="F3320" s="1">
        <v>4.0934756E7</v>
      </c>
      <c r="I3320" s="1">
        <v>1.0</v>
      </c>
      <c r="J3320" s="1">
        <v>27.0</v>
      </c>
      <c r="L3320" s="1">
        <v>7241725.0</v>
      </c>
      <c r="Q3320" s="1" t="s">
        <v>12210</v>
      </c>
      <c r="R3320" s="1" t="s">
        <v>12211</v>
      </c>
      <c r="S3320" s="1">
        <v>1.0</v>
      </c>
      <c r="T3320" s="1">
        <v>1.0</v>
      </c>
      <c r="X3320" s="1" t="s">
        <v>29</v>
      </c>
      <c r="Z3320" s="1" t="s">
        <v>12210</v>
      </c>
    </row>
    <row r="3321">
      <c r="A3321" s="3" t="str">
        <f>HYPERLINK("https://stackoverflow.com/q/41994114", "41994114")</f>
        <v>41994114</v>
      </c>
      <c r="B3321" s="1" t="s">
        <v>11474</v>
      </c>
      <c r="C3321" s="1" t="s">
        <v>12212</v>
      </c>
      <c r="D3321" s="2" t="s">
        <v>12213</v>
      </c>
      <c r="E3321" s="1">
        <v>1.0</v>
      </c>
      <c r="I3321" s="1">
        <v>0.0</v>
      </c>
      <c r="J3321" s="1">
        <v>575.0</v>
      </c>
      <c r="L3321" s="1">
        <v>7372235.0</v>
      </c>
      <c r="Q3321" s="1" t="s">
        <v>12214</v>
      </c>
      <c r="R3321" s="1" t="s">
        <v>12215</v>
      </c>
      <c r="S3321" s="1">
        <v>1.0</v>
      </c>
      <c r="T3321" s="1">
        <v>0.0</v>
      </c>
      <c r="U3321" s="1">
        <v>1.0</v>
      </c>
      <c r="X3321" s="1" t="s">
        <v>29</v>
      </c>
    </row>
    <row r="3322">
      <c r="A3322" s="3" t="str">
        <f>HYPERLINK("https://stackoverflow.com/q/42295539", "42295539")</f>
        <v>42295539</v>
      </c>
      <c r="B3322" s="1" t="s">
        <v>11474</v>
      </c>
      <c r="C3322" s="1" t="s">
        <v>12216</v>
      </c>
      <c r="D3322" s="2" t="s">
        <v>12217</v>
      </c>
      <c r="E3322" s="1">
        <v>1.0</v>
      </c>
      <c r="F3322" s="1">
        <v>4.2296365E7</v>
      </c>
      <c r="I3322" s="1">
        <v>0.0</v>
      </c>
      <c r="J3322" s="1">
        <v>149.0</v>
      </c>
      <c r="L3322" s="1">
        <v>7580138.0</v>
      </c>
      <c r="N3322" s="1">
        <v>285587.0</v>
      </c>
      <c r="P3322" s="1" t="s">
        <v>12218</v>
      </c>
      <c r="Q3322" s="1" t="s">
        <v>12219</v>
      </c>
      <c r="R3322" s="1" t="s">
        <v>11600</v>
      </c>
      <c r="S3322" s="1">
        <v>2.0</v>
      </c>
      <c r="T3322" s="1">
        <v>6.0</v>
      </c>
      <c r="X3322" s="1" t="s">
        <v>29</v>
      </c>
      <c r="Z3322" s="1" t="s">
        <v>12219</v>
      </c>
    </row>
    <row r="3323">
      <c r="A3323" s="3" t="str">
        <f>HYPERLINK("https://stackoverflow.com/q/42313976", "42313976")</f>
        <v>42313976</v>
      </c>
      <c r="B3323" s="1" t="s">
        <v>11474</v>
      </c>
      <c r="C3323" s="1" t="s">
        <v>12220</v>
      </c>
      <c r="D3323" s="2" t="s">
        <v>12221</v>
      </c>
      <c r="E3323" s="1">
        <v>1.0</v>
      </c>
      <c r="I3323" s="1">
        <v>1.0</v>
      </c>
      <c r="J3323" s="1">
        <v>54.0</v>
      </c>
      <c r="L3323" s="1">
        <v>333472.0</v>
      </c>
      <c r="N3323" s="1">
        <v>3329664.0</v>
      </c>
      <c r="P3323" s="1" t="s">
        <v>12222</v>
      </c>
      <c r="Q3323" s="1" t="s">
        <v>12222</v>
      </c>
      <c r="R3323" s="1" t="s">
        <v>12223</v>
      </c>
      <c r="S3323" s="1">
        <v>0.0</v>
      </c>
      <c r="T3323" s="1">
        <v>0.0</v>
      </c>
      <c r="X3323" s="1" t="s">
        <v>29</v>
      </c>
    </row>
    <row r="3324">
      <c r="A3324" s="3" t="str">
        <f>HYPERLINK("https://stackoverflow.com/q/42560474", "42560474")</f>
        <v>42560474</v>
      </c>
      <c r="B3324" s="1" t="s">
        <v>11474</v>
      </c>
      <c r="C3324" s="1" t="s">
        <v>12224</v>
      </c>
      <c r="D3324" s="2" t="s">
        <v>12225</v>
      </c>
      <c r="E3324" s="1">
        <v>1.0</v>
      </c>
      <c r="F3324" s="1">
        <v>4.2560655E7</v>
      </c>
      <c r="I3324" s="1">
        <v>0.0</v>
      </c>
      <c r="J3324" s="1">
        <v>878.0</v>
      </c>
      <c r="L3324" s="1">
        <v>6309696.0</v>
      </c>
      <c r="Q3324" s="1" t="s">
        <v>12226</v>
      </c>
      <c r="R3324" s="1" t="s">
        <v>12227</v>
      </c>
      <c r="S3324" s="1">
        <v>1.0</v>
      </c>
      <c r="T3324" s="1">
        <v>0.0</v>
      </c>
      <c r="X3324" s="1" t="s">
        <v>29</v>
      </c>
      <c r="Z3324" s="1" t="s">
        <v>12228</v>
      </c>
    </row>
    <row r="3325">
      <c r="A3325" s="3" t="str">
        <f>HYPERLINK("https://stackoverflow.com/q/42756855", "42756855")</f>
        <v>42756855</v>
      </c>
      <c r="B3325" s="1" t="s">
        <v>11474</v>
      </c>
      <c r="C3325" s="1" t="s">
        <v>12229</v>
      </c>
      <c r="D3325" s="2" t="s">
        <v>12230</v>
      </c>
      <c r="E3325" s="1">
        <v>1.0</v>
      </c>
      <c r="F3325" s="1">
        <v>4.2783612E7</v>
      </c>
      <c r="I3325" s="1">
        <v>0.0</v>
      </c>
      <c r="J3325" s="1">
        <v>214.0</v>
      </c>
      <c r="L3325" s="1">
        <v>1742229.0</v>
      </c>
      <c r="Q3325" s="1" t="s">
        <v>12231</v>
      </c>
      <c r="R3325" s="1" t="s">
        <v>12232</v>
      </c>
      <c r="S3325" s="1">
        <v>1.0</v>
      </c>
      <c r="T3325" s="1">
        <v>1.0</v>
      </c>
      <c r="X3325" s="1" t="s">
        <v>29</v>
      </c>
      <c r="Z3325" s="1" t="s">
        <v>12231</v>
      </c>
    </row>
    <row r="3326">
      <c r="A3326" s="3" t="str">
        <f>HYPERLINK("https://stackoverflow.com/q/43170471", "43170471")</f>
        <v>43170471</v>
      </c>
      <c r="B3326" s="1" t="s">
        <v>11474</v>
      </c>
      <c r="C3326" s="1" t="s">
        <v>12233</v>
      </c>
      <c r="D3326" s="2" t="s">
        <v>12234</v>
      </c>
      <c r="E3326" s="1">
        <v>1.0</v>
      </c>
      <c r="I3326" s="1">
        <v>1.0</v>
      </c>
      <c r="J3326" s="1">
        <v>102.0</v>
      </c>
      <c r="L3326" s="1">
        <v>4826019.0</v>
      </c>
      <c r="Q3326" s="1" t="s">
        <v>12233</v>
      </c>
      <c r="R3326" s="1" t="s">
        <v>12235</v>
      </c>
      <c r="S3326" s="1">
        <v>0.0</v>
      </c>
      <c r="T3326" s="1">
        <v>1.0</v>
      </c>
      <c r="X3326" s="1" t="s">
        <v>29</v>
      </c>
    </row>
    <row r="3327">
      <c r="A3327" s="3" t="str">
        <f>HYPERLINK("https://stackoverflow.com/q/43201890", "43201890")</f>
        <v>43201890</v>
      </c>
      <c r="B3327" s="1" t="s">
        <v>11474</v>
      </c>
      <c r="C3327" s="1" t="s">
        <v>12236</v>
      </c>
      <c r="D3327" s="2" t="s">
        <v>12237</v>
      </c>
      <c r="E3327" s="1">
        <v>1.0</v>
      </c>
      <c r="I3327" s="1">
        <v>2.0</v>
      </c>
      <c r="J3327" s="1">
        <v>550.0</v>
      </c>
      <c r="M3327" s="1" t="s">
        <v>12238</v>
      </c>
      <c r="Q3327" s="1" t="s">
        <v>12239</v>
      </c>
      <c r="R3327" s="1" t="s">
        <v>11596</v>
      </c>
      <c r="S3327" s="1">
        <v>1.0</v>
      </c>
      <c r="T3327" s="1">
        <v>1.0</v>
      </c>
      <c r="U3327" s="1">
        <v>1.0</v>
      </c>
      <c r="X3327" s="1" t="s">
        <v>29</v>
      </c>
    </row>
    <row r="3328">
      <c r="A3328" s="3" t="str">
        <f>HYPERLINK("https://stackoverflow.com/q/43299948", "43299948")</f>
        <v>43299948</v>
      </c>
      <c r="B3328" s="1" t="s">
        <v>11474</v>
      </c>
      <c r="C3328" s="1" t="s">
        <v>12240</v>
      </c>
      <c r="D3328" s="2" t="s">
        <v>12241</v>
      </c>
      <c r="E3328" s="1">
        <v>1.0</v>
      </c>
      <c r="I3328" s="1">
        <v>0.0</v>
      </c>
      <c r="J3328" s="1">
        <v>306.0</v>
      </c>
      <c r="L3328" s="1">
        <v>7837995.0</v>
      </c>
      <c r="Q3328" s="1" t="s">
        <v>12242</v>
      </c>
      <c r="R3328" s="1" t="s">
        <v>12243</v>
      </c>
      <c r="S3328" s="1">
        <v>1.0</v>
      </c>
      <c r="T3328" s="1">
        <v>0.0</v>
      </c>
      <c r="U3328" s="1">
        <v>1.0</v>
      </c>
      <c r="X3328" s="1" t="s">
        <v>29</v>
      </c>
    </row>
    <row r="3329">
      <c r="A3329" s="3" t="str">
        <f>HYPERLINK("https://stackoverflow.com/q/43634549", "43634549")</f>
        <v>43634549</v>
      </c>
      <c r="B3329" s="1" t="s">
        <v>11474</v>
      </c>
      <c r="C3329" s="1" t="s">
        <v>12244</v>
      </c>
      <c r="D3329" s="2" t="s">
        <v>12245</v>
      </c>
      <c r="E3329" s="1">
        <v>1.0</v>
      </c>
      <c r="F3329" s="1">
        <v>4.3693021E7</v>
      </c>
      <c r="I3329" s="1">
        <v>1.0</v>
      </c>
      <c r="J3329" s="1">
        <v>270.0</v>
      </c>
      <c r="L3329" s="1">
        <v>6090379.0</v>
      </c>
      <c r="Q3329" s="1" t="s">
        <v>12246</v>
      </c>
      <c r="R3329" s="1" t="s">
        <v>12247</v>
      </c>
      <c r="S3329" s="1">
        <v>1.0</v>
      </c>
      <c r="T3329" s="1">
        <v>13.0</v>
      </c>
      <c r="X3329" s="1" t="s">
        <v>29</v>
      </c>
      <c r="Z3329" s="1" t="s">
        <v>12246</v>
      </c>
    </row>
    <row r="3330">
      <c r="A3330" s="3" t="str">
        <f>HYPERLINK("https://stackoverflow.com/q/43752772", "43752772")</f>
        <v>43752772</v>
      </c>
      <c r="B3330" s="1" t="s">
        <v>11474</v>
      </c>
      <c r="C3330" s="1" t="s">
        <v>12248</v>
      </c>
      <c r="D3330" s="2" t="s">
        <v>12249</v>
      </c>
      <c r="E3330" s="1">
        <v>1.0</v>
      </c>
      <c r="F3330" s="1">
        <v>4.3753201E7</v>
      </c>
      <c r="I3330" s="1">
        <v>2.0</v>
      </c>
      <c r="J3330" s="1">
        <v>2279.0</v>
      </c>
      <c r="L3330" s="1">
        <v>6435908.0</v>
      </c>
      <c r="N3330" s="1">
        <v>7792662.0</v>
      </c>
      <c r="P3330" s="1" t="s">
        <v>12250</v>
      </c>
      <c r="Q3330" s="1" t="s">
        <v>12250</v>
      </c>
      <c r="R3330" s="1" t="s">
        <v>12251</v>
      </c>
      <c r="S3330" s="1">
        <v>1.0</v>
      </c>
      <c r="T3330" s="1">
        <v>0.0</v>
      </c>
      <c r="X3330" s="1" t="s">
        <v>29</v>
      </c>
      <c r="Z3330" s="1" t="s">
        <v>12252</v>
      </c>
    </row>
    <row r="3331">
      <c r="A3331" s="3" t="str">
        <f>HYPERLINK("https://stackoverflow.com/q/43837603", "43837603")</f>
        <v>43837603</v>
      </c>
      <c r="B3331" s="1" t="s">
        <v>11474</v>
      </c>
      <c r="C3331" s="1" t="s">
        <v>12253</v>
      </c>
      <c r="D3331" s="2" t="s">
        <v>12254</v>
      </c>
      <c r="E3331" s="1">
        <v>1.0</v>
      </c>
      <c r="I3331" s="1">
        <v>0.0</v>
      </c>
      <c r="J3331" s="1">
        <v>964.0</v>
      </c>
      <c r="L3331" s="1">
        <v>5011403.0</v>
      </c>
      <c r="Q3331" s="1" t="s">
        <v>12253</v>
      </c>
      <c r="R3331" s="1" t="s">
        <v>12255</v>
      </c>
      <c r="S3331" s="1">
        <v>0.0</v>
      </c>
      <c r="T3331" s="1">
        <v>10.0</v>
      </c>
      <c r="U3331" s="1">
        <v>1.0</v>
      </c>
      <c r="X3331" s="1" t="s">
        <v>29</v>
      </c>
    </row>
    <row r="3332">
      <c r="A3332" s="3" t="str">
        <f>HYPERLINK("https://stackoverflow.com/q/43906526", "43906526")</f>
        <v>43906526</v>
      </c>
      <c r="B3332" s="1" t="s">
        <v>11474</v>
      </c>
      <c r="C3332" s="1" t="s">
        <v>12256</v>
      </c>
      <c r="D3332" s="2" t="s">
        <v>12257</v>
      </c>
      <c r="E3332" s="1">
        <v>1.0</v>
      </c>
      <c r="I3332" s="1">
        <v>1.0</v>
      </c>
      <c r="J3332" s="1">
        <v>168.0</v>
      </c>
      <c r="L3332" s="1">
        <v>7995124.0</v>
      </c>
      <c r="Q3332" s="1" t="s">
        <v>12256</v>
      </c>
      <c r="R3332" s="1" t="s">
        <v>12258</v>
      </c>
      <c r="S3332" s="1">
        <v>0.0</v>
      </c>
      <c r="T3332" s="1">
        <v>3.0</v>
      </c>
      <c r="U3332" s="1">
        <v>0.0</v>
      </c>
      <c r="X3332" s="1" t="s">
        <v>29</v>
      </c>
    </row>
    <row r="3333">
      <c r="A3333" s="3" t="str">
        <f>HYPERLINK("https://stackoverflow.com/q/43908577", "43908577")</f>
        <v>43908577</v>
      </c>
      <c r="B3333" s="1" t="s">
        <v>11474</v>
      </c>
      <c r="C3333" s="1" t="s">
        <v>12259</v>
      </c>
      <c r="D3333" s="2" t="s">
        <v>12260</v>
      </c>
      <c r="E3333" s="1">
        <v>1.0</v>
      </c>
      <c r="F3333" s="1">
        <v>4.3908905E7</v>
      </c>
      <c r="I3333" s="1">
        <v>1.0</v>
      </c>
      <c r="J3333" s="1">
        <v>49.0</v>
      </c>
      <c r="L3333" s="1">
        <v>7995715.0</v>
      </c>
      <c r="Q3333" s="1" t="s">
        <v>12261</v>
      </c>
      <c r="R3333" s="1" t="s">
        <v>12262</v>
      </c>
      <c r="S3333" s="1">
        <v>1.0</v>
      </c>
      <c r="T3333" s="1">
        <v>5.0</v>
      </c>
      <c r="X3333" s="1" t="s">
        <v>29</v>
      </c>
      <c r="Z3333" s="1" t="s">
        <v>12263</v>
      </c>
    </row>
    <row r="3334">
      <c r="A3334" s="3" t="str">
        <f>HYPERLINK("https://stackoverflow.com/q/44070042", "44070042")</f>
        <v>44070042</v>
      </c>
      <c r="B3334" s="1" t="s">
        <v>11474</v>
      </c>
      <c r="C3334" s="1" t="s">
        <v>12264</v>
      </c>
      <c r="D3334" s="2" t="s">
        <v>12265</v>
      </c>
      <c r="E3334" s="1">
        <v>1.0</v>
      </c>
      <c r="I3334" s="1">
        <v>0.0</v>
      </c>
      <c r="J3334" s="1">
        <v>75.0</v>
      </c>
      <c r="L3334" s="1">
        <v>5691925.0</v>
      </c>
      <c r="N3334" s="1">
        <v>1955244.0</v>
      </c>
      <c r="P3334" s="1" t="s">
        <v>12266</v>
      </c>
      <c r="Q3334" s="1" t="s">
        <v>12266</v>
      </c>
      <c r="R3334" s="1" t="s">
        <v>12267</v>
      </c>
      <c r="S3334" s="1">
        <v>0.0</v>
      </c>
      <c r="T3334" s="1">
        <v>5.0</v>
      </c>
      <c r="X3334" s="1" t="s">
        <v>29</v>
      </c>
    </row>
    <row r="3335">
      <c r="A3335" s="3" t="str">
        <f>HYPERLINK("https://stackoverflow.com/q/44525150", "44525150")</f>
        <v>44525150</v>
      </c>
      <c r="B3335" s="1" t="s">
        <v>11474</v>
      </c>
      <c r="C3335" s="1" t="s">
        <v>12268</v>
      </c>
      <c r="D3335" s="2" t="s">
        <v>12269</v>
      </c>
      <c r="E3335" s="1">
        <v>1.0</v>
      </c>
      <c r="F3335" s="1">
        <v>4.487959E7</v>
      </c>
      <c r="I3335" s="1">
        <v>1.0</v>
      </c>
      <c r="J3335" s="1">
        <v>453.0</v>
      </c>
      <c r="L3335" s="1">
        <v>4217721.0</v>
      </c>
      <c r="N3335" s="1">
        <v>4217721.0</v>
      </c>
      <c r="P3335" s="1" t="s">
        <v>12270</v>
      </c>
      <c r="Q3335" s="1" t="s">
        <v>12271</v>
      </c>
      <c r="R3335" s="1" t="s">
        <v>12272</v>
      </c>
      <c r="S3335" s="1">
        <v>2.0</v>
      </c>
      <c r="T3335" s="1">
        <v>0.0</v>
      </c>
      <c r="X3335" s="1" t="s">
        <v>56</v>
      </c>
      <c r="Z3335" s="1" t="s">
        <v>12273</v>
      </c>
    </row>
    <row r="3336">
      <c r="A3336" s="3" t="str">
        <f>HYPERLINK("https://stackoverflow.com/q/44535351", "44535351")</f>
        <v>44535351</v>
      </c>
      <c r="B3336" s="1" t="s">
        <v>11474</v>
      </c>
      <c r="C3336" s="1" t="s">
        <v>12274</v>
      </c>
      <c r="D3336" s="2" t="s">
        <v>12275</v>
      </c>
      <c r="E3336" s="1">
        <v>1.0</v>
      </c>
      <c r="I3336" s="1">
        <v>0.0</v>
      </c>
      <c r="J3336" s="1">
        <v>33.0</v>
      </c>
      <c r="L3336" s="1">
        <v>5433806.0</v>
      </c>
      <c r="Q3336" s="1" t="s">
        <v>12276</v>
      </c>
      <c r="R3336" s="1" t="s">
        <v>12277</v>
      </c>
      <c r="S3336" s="1">
        <v>1.0</v>
      </c>
      <c r="T3336" s="1">
        <v>0.0</v>
      </c>
      <c r="X3336" s="1" t="s">
        <v>29</v>
      </c>
    </row>
    <row r="3337">
      <c r="A3337" s="3" t="str">
        <f>HYPERLINK("https://stackoverflow.com/q/44551967", "44551967")</f>
        <v>44551967</v>
      </c>
      <c r="B3337" s="1" t="s">
        <v>11474</v>
      </c>
      <c r="C3337" s="1" t="s">
        <v>12278</v>
      </c>
      <c r="D3337" s="2" t="s">
        <v>12279</v>
      </c>
      <c r="E3337" s="1">
        <v>1.0</v>
      </c>
      <c r="I3337" s="1">
        <v>0.0</v>
      </c>
      <c r="J3337" s="1">
        <v>23.0</v>
      </c>
      <c r="L3337" s="1">
        <v>3494047.0</v>
      </c>
      <c r="N3337" s="1">
        <v>3494047.0</v>
      </c>
      <c r="P3337" s="1" t="s">
        <v>12280</v>
      </c>
      <c r="Q3337" s="1" t="s">
        <v>12280</v>
      </c>
      <c r="R3337" s="1" t="s">
        <v>12281</v>
      </c>
      <c r="S3337" s="1">
        <v>0.0</v>
      </c>
      <c r="T3337" s="1">
        <v>5.0</v>
      </c>
      <c r="V3337" s="1" t="s">
        <v>12282</v>
      </c>
      <c r="X3337" s="1" t="s">
        <v>29</v>
      </c>
    </row>
    <row r="3338">
      <c r="A3338" s="3" t="str">
        <f>HYPERLINK("https://stackoverflow.com/q/44708936", "44708936")</f>
        <v>44708936</v>
      </c>
      <c r="B3338" s="1" t="s">
        <v>11474</v>
      </c>
      <c r="C3338" s="1" t="s">
        <v>12283</v>
      </c>
      <c r="D3338" s="2" t="s">
        <v>12284</v>
      </c>
      <c r="E3338" s="1">
        <v>1.0</v>
      </c>
      <c r="I3338" s="1">
        <v>0.0</v>
      </c>
      <c r="J3338" s="1">
        <v>50.0</v>
      </c>
      <c r="L3338" s="1">
        <v>5501253.0</v>
      </c>
      <c r="N3338" s="1">
        <v>472495.0</v>
      </c>
      <c r="P3338" s="1" t="s">
        <v>12285</v>
      </c>
      <c r="Q3338" s="1" t="s">
        <v>12286</v>
      </c>
      <c r="R3338" s="1" t="s">
        <v>12287</v>
      </c>
      <c r="S3338" s="1">
        <v>1.0</v>
      </c>
      <c r="T3338" s="1">
        <v>1.0</v>
      </c>
      <c r="U3338" s="1">
        <v>1.0</v>
      </c>
      <c r="X3338" s="1" t="s">
        <v>29</v>
      </c>
    </row>
    <row r="3339">
      <c r="A3339" s="3" t="str">
        <f>HYPERLINK("https://stackoverflow.com/q/44813180", "44813180")</f>
        <v>44813180</v>
      </c>
      <c r="B3339" s="1" t="s">
        <v>11474</v>
      </c>
      <c r="C3339" s="1" t="s">
        <v>12288</v>
      </c>
      <c r="D3339" s="2" t="s">
        <v>12289</v>
      </c>
      <c r="E3339" s="1">
        <v>1.0</v>
      </c>
      <c r="I3339" s="1">
        <v>0.0</v>
      </c>
      <c r="J3339" s="1">
        <v>676.0</v>
      </c>
      <c r="L3339" s="1">
        <v>2236624.0</v>
      </c>
      <c r="Q3339" s="1" t="s">
        <v>12290</v>
      </c>
      <c r="R3339" s="1" t="s">
        <v>12291</v>
      </c>
      <c r="S3339" s="1">
        <v>1.0</v>
      </c>
      <c r="T3339" s="1">
        <v>0.0</v>
      </c>
      <c r="X3339" s="1" t="s">
        <v>29</v>
      </c>
    </row>
    <row r="3340">
      <c r="A3340" s="3" t="str">
        <f>HYPERLINK("https://stackoverflow.com/q/44950507", "44950507")</f>
        <v>44950507</v>
      </c>
      <c r="B3340" s="1" t="s">
        <v>11474</v>
      </c>
      <c r="C3340" s="1" t="s">
        <v>12292</v>
      </c>
      <c r="D3340" s="2" t="s">
        <v>12293</v>
      </c>
      <c r="E3340" s="1">
        <v>1.0</v>
      </c>
      <c r="I3340" s="1">
        <v>0.0</v>
      </c>
      <c r="J3340" s="1">
        <v>1268.0</v>
      </c>
      <c r="L3340" s="1">
        <v>908123.0</v>
      </c>
      <c r="Q3340" s="1" t="s">
        <v>12294</v>
      </c>
      <c r="R3340" s="1" t="s">
        <v>12295</v>
      </c>
      <c r="S3340" s="1">
        <v>2.0</v>
      </c>
      <c r="T3340" s="1">
        <v>0.0</v>
      </c>
      <c r="X3340" s="1" t="s">
        <v>29</v>
      </c>
    </row>
    <row r="3341">
      <c r="A3341" s="3" t="str">
        <f>HYPERLINK("https://stackoverflow.com/q/45174597", "45174597")</f>
        <v>45174597</v>
      </c>
      <c r="B3341" s="1" t="s">
        <v>11474</v>
      </c>
      <c r="C3341" s="1" t="s">
        <v>12296</v>
      </c>
      <c r="D3341" s="2" t="s">
        <v>12297</v>
      </c>
      <c r="E3341" s="1">
        <v>1.0</v>
      </c>
      <c r="I3341" s="1">
        <v>0.0</v>
      </c>
      <c r="J3341" s="1">
        <v>164.0</v>
      </c>
      <c r="L3341" s="1">
        <v>1617737.0</v>
      </c>
      <c r="Q3341" s="1" t="s">
        <v>12296</v>
      </c>
      <c r="R3341" s="1" t="s">
        <v>12298</v>
      </c>
      <c r="S3341" s="1">
        <v>1.0</v>
      </c>
      <c r="T3341" s="1">
        <v>0.0</v>
      </c>
      <c r="X3341" s="1" t="s">
        <v>29</v>
      </c>
    </row>
    <row r="3342">
      <c r="A3342" s="3" t="str">
        <f>HYPERLINK("https://stackoverflow.com/q/45202450", "45202450")</f>
        <v>45202450</v>
      </c>
      <c r="B3342" s="1" t="s">
        <v>11474</v>
      </c>
      <c r="C3342" s="1" t="s">
        <v>12299</v>
      </c>
      <c r="D3342" s="2" t="s">
        <v>12300</v>
      </c>
      <c r="E3342" s="1">
        <v>1.0</v>
      </c>
      <c r="I3342" s="1">
        <v>0.0</v>
      </c>
      <c r="J3342" s="1">
        <v>408.0</v>
      </c>
      <c r="L3342" s="1">
        <v>4805876.0</v>
      </c>
      <c r="N3342" s="1">
        <v>4805876.0</v>
      </c>
      <c r="P3342" s="1" t="s">
        <v>12301</v>
      </c>
      <c r="Q3342" s="1" t="s">
        <v>12301</v>
      </c>
      <c r="R3342" s="1" t="s">
        <v>11759</v>
      </c>
      <c r="S3342" s="1">
        <v>0.0</v>
      </c>
      <c r="T3342" s="1">
        <v>3.0</v>
      </c>
      <c r="X3342" s="1" t="s">
        <v>29</v>
      </c>
    </row>
    <row r="3343">
      <c r="A3343" s="3" t="str">
        <f>HYPERLINK("https://stackoverflow.com/q/45324416", "45324416")</f>
        <v>45324416</v>
      </c>
      <c r="B3343" s="1" t="s">
        <v>11474</v>
      </c>
      <c r="C3343" s="1" t="s">
        <v>12302</v>
      </c>
      <c r="D3343" s="2" t="s">
        <v>12303</v>
      </c>
      <c r="E3343" s="1">
        <v>1.0</v>
      </c>
      <c r="F3343" s="1">
        <v>4.5327646E7</v>
      </c>
      <c r="I3343" s="1">
        <v>1.0</v>
      </c>
      <c r="J3343" s="1">
        <v>1110.0</v>
      </c>
      <c r="L3343" s="1">
        <v>2301600.0</v>
      </c>
      <c r="N3343" s="1">
        <v>2301600.0</v>
      </c>
      <c r="P3343" s="1" t="s">
        <v>12304</v>
      </c>
      <c r="Q3343" s="1" t="s">
        <v>12305</v>
      </c>
      <c r="R3343" s="1" t="s">
        <v>12306</v>
      </c>
      <c r="S3343" s="1">
        <v>3.0</v>
      </c>
      <c r="T3343" s="1">
        <v>12.0</v>
      </c>
      <c r="U3343" s="1">
        <v>2.0</v>
      </c>
      <c r="X3343" s="1" t="s">
        <v>29</v>
      </c>
      <c r="Z3343" s="1" t="s">
        <v>12307</v>
      </c>
    </row>
    <row r="3344">
      <c r="A3344" s="3" t="str">
        <f>HYPERLINK("https://stackoverflow.com/q/45442784", "45442784")</f>
        <v>45442784</v>
      </c>
      <c r="B3344" s="1" t="s">
        <v>11474</v>
      </c>
      <c r="C3344" s="1" t="s">
        <v>12308</v>
      </c>
      <c r="D3344" s="2" t="s">
        <v>12309</v>
      </c>
      <c r="E3344" s="1">
        <v>1.0</v>
      </c>
      <c r="I3344" s="1">
        <v>0.0</v>
      </c>
      <c r="J3344" s="1">
        <v>3880.0</v>
      </c>
      <c r="L3344" s="1">
        <v>2084936.0</v>
      </c>
      <c r="Q3344" s="1" t="s">
        <v>12310</v>
      </c>
      <c r="R3344" s="1" t="s">
        <v>12311</v>
      </c>
      <c r="S3344" s="1">
        <v>1.0</v>
      </c>
      <c r="T3344" s="1">
        <v>3.0</v>
      </c>
      <c r="X3344" s="1" t="s">
        <v>29</v>
      </c>
    </row>
    <row r="3345">
      <c r="A3345" s="3" t="str">
        <f>HYPERLINK("https://stackoverflow.com/q/45507738", "45507738")</f>
        <v>45507738</v>
      </c>
      <c r="B3345" s="1" t="s">
        <v>11474</v>
      </c>
      <c r="C3345" s="1" t="s">
        <v>12312</v>
      </c>
      <c r="D3345" s="2" t="s">
        <v>12313</v>
      </c>
      <c r="E3345" s="1">
        <v>1.0</v>
      </c>
      <c r="I3345" s="1">
        <v>0.0</v>
      </c>
      <c r="J3345" s="1">
        <v>347.0</v>
      </c>
      <c r="L3345" s="1">
        <v>1842105.0</v>
      </c>
      <c r="N3345" s="1">
        <v>1842105.0</v>
      </c>
      <c r="P3345" s="1" t="s">
        <v>12314</v>
      </c>
      <c r="Q3345" s="1" t="s">
        <v>12315</v>
      </c>
      <c r="R3345" s="1" t="s">
        <v>12316</v>
      </c>
      <c r="S3345" s="1">
        <v>2.0</v>
      </c>
      <c r="T3345" s="1">
        <v>1.0</v>
      </c>
      <c r="X3345" s="1" t="s">
        <v>29</v>
      </c>
    </row>
    <row r="3346">
      <c r="A3346" s="3" t="str">
        <f>HYPERLINK("https://stackoverflow.com/q/45535094", "45535094")</f>
        <v>45535094</v>
      </c>
      <c r="B3346" s="1" t="s">
        <v>11474</v>
      </c>
      <c r="C3346" s="1" t="s">
        <v>12317</v>
      </c>
      <c r="D3346" s="2" t="s">
        <v>12318</v>
      </c>
      <c r="E3346" s="1">
        <v>1.0</v>
      </c>
      <c r="I3346" s="1">
        <v>1.0</v>
      </c>
      <c r="J3346" s="1">
        <v>211.0</v>
      </c>
      <c r="L3346" s="1">
        <v>6827225.0</v>
      </c>
      <c r="Q3346" s="1" t="s">
        <v>12317</v>
      </c>
      <c r="R3346" s="1" t="s">
        <v>12319</v>
      </c>
      <c r="S3346" s="1">
        <v>0.0</v>
      </c>
      <c r="T3346" s="1">
        <v>7.0</v>
      </c>
      <c r="X3346" s="1" t="s">
        <v>29</v>
      </c>
    </row>
    <row r="3347">
      <c r="A3347" s="3" t="str">
        <f>HYPERLINK("https://stackoverflow.com/q/45563892", "45563892")</f>
        <v>45563892</v>
      </c>
      <c r="B3347" s="1" t="s">
        <v>11474</v>
      </c>
      <c r="C3347" s="1" t="s">
        <v>12320</v>
      </c>
      <c r="D3347" s="2" t="s">
        <v>12321</v>
      </c>
      <c r="E3347" s="1">
        <v>1.0</v>
      </c>
      <c r="I3347" s="1">
        <v>0.0</v>
      </c>
      <c r="J3347" s="1">
        <v>126.0</v>
      </c>
      <c r="L3347" s="1">
        <v>6235456.0</v>
      </c>
      <c r="Q3347" s="1" t="s">
        <v>12322</v>
      </c>
      <c r="R3347" s="1" t="s">
        <v>12258</v>
      </c>
      <c r="S3347" s="1">
        <v>1.0</v>
      </c>
      <c r="T3347" s="1">
        <v>0.0</v>
      </c>
      <c r="U3347" s="1">
        <v>1.0</v>
      </c>
      <c r="X3347" s="1" t="s">
        <v>29</v>
      </c>
    </row>
    <row r="3348">
      <c r="A3348" s="3" t="str">
        <f>HYPERLINK("https://stackoverflow.com/q/45772221", "45772221")</f>
        <v>45772221</v>
      </c>
      <c r="B3348" s="1" t="s">
        <v>11474</v>
      </c>
      <c r="C3348" s="1" t="s">
        <v>12323</v>
      </c>
      <c r="D3348" s="2" t="s">
        <v>12324</v>
      </c>
      <c r="E3348" s="1">
        <v>1.0</v>
      </c>
      <c r="F3348" s="1">
        <v>4.5773236E7</v>
      </c>
      <c r="I3348" s="1">
        <v>4.0</v>
      </c>
      <c r="J3348" s="1">
        <v>4496.0</v>
      </c>
      <c r="L3348" s="1">
        <v>1407692.0</v>
      </c>
      <c r="Q3348" s="1" t="s">
        <v>12325</v>
      </c>
      <c r="R3348" s="1" t="s">
        <v>12326</v>
      </c>
      <c r="S3348" s="1">
        <v>2.0</v>
      </c>
      <c r="T3348" s="1">
        <v>0.0</v>
      </c>
      <c r="X3348" s="1" t="s">
        <v>29</v>
      </c>
      <c r="Z3348" s="1" t="s">
        <v>12327</v>
      </c>
    </row>
    <row r="3349">
      <c r="A3349" s="3" t="str">
        <f>HYPERLINK("https://stackoverflow.com/q/45824743", "45824743")</f>
        <v>45824743</v>
      </c>
      <c r="B3349" s="1" t="s">
        <v>11474</v>
      </c>
      <c r="C3349" s="1" t="s">
        <v>12328</v>
      </c>
      <c r="D3349" s="2" t="s">
        <v>12329</v>
      </c>
      <c r="E3349" s="1">
        <v>1.0</v>
      </c>
      <c r="F3349" s="1">
        <v>4.5931046E7</v>
      </c>
      <c r="I3349" s="1">
        <v>0.0</v>
      </c>
      <c r="J3349" s="1">
        <v>52.0</v>
      </c>
      <c r="L3349" s="1">
        <v>2350986.0</v>
      </c>
      <c r="N3349" s="1">
        <v>2350986.0</v>
      </c>
      <c r="P3349" s="1" t="s">
        <v>12330</v>
      </c>
      <c r="Q3349" s="1" t="s">
        <v>12331</v>
      </c>
      <c r="R3349" s="1" t="s">
        <v>12332</v>
      </c>
      <c r="S3349" s="1">
        <v>1.0</v>
      </c>
      <c r="T3349" s="1">
        <v>2.0</v>
      </c>
      <c r="X3349" s="1" t="s">
        <v>29</v>
      </c>
      <c r="Z3349" s="1" t="s">
        <v>12331</v>
      </c>
    </row>
    <row r="3350">
      <c r="A3350" s="3" t="str">
        <f>HYPERLINK("https://stackoverflow.com/q/45846521", "45846521")</f>
        <v>45846521</v>
      </c>
      <c r="B3350" s="1" t="s">
        <v>11474</v>
      </c>
      <c r="C3350" s="1" t="s">
        <v>12333</v>
      </c>
      <c r="D3350" s="2" t="s">
        <v>12334</v>
      </c>
      <c r="E3350" s="1">
        <v>1.0</v>
      </c>
      <c r="F3350" s="1">
        <v>4.5873779E7</v>
      </c>
      <c r="I3350" s="1">
        <v>1.0</v>
      </c>
      <c r="J3350" s="1">
        <v>589.0</v>
      </c>
      <c r="L3350" s="1">
        <v>1188867.0</v>
      </c>
      <c r="Q3350" s="1" t="s">
        <v>12335</v>
      </c>
      <c r="R3350" s="1" t="s">
        <v>11806</v>
      </c>
      <c r="S3350" s="1">
        <v>2.0</v>
      </c>
      <c r="T3350" s="1">
        <v>1.0</v>
      </c>
      <c r="X3350" s="1" t="s">
        <v>29</v>
      </c>
      <c r="Z3350" s="1" t="s">
        <v>12335</v>
      </c>
    </row>
    <row r="3351">
      <c r="A3351" s="3" t="str">
        <f>HYPERLINK("https://stackoverflow.com/q/45853491", "45853491")</f>
        <v>45853491</v>
      </c>
      <c r="B3351" s="1" t="s">
        <v>11474</v>
      </c>
      <c r="C3351" s="1" t="s">
        <v>12336</v>
      </c>
      <c r="D3351" s="2" t="s">
        <v>12337</v>
      </c>
      <c r="E3351" s="1">
        <v>1.0</v>
      </c>
      <c r="F3351" s="1">
        <v>5.7092928E7</v>
      </c>
      <c r="I3351" s="1">
        <v>2.0</v>
      </c>
      <c r="J3351" s="1">
        <v>123.0</v>
      </c>
      <c r="L3351" s="1">
        <v>6394109.0</v>
      </c>
      <c r="N3351" s="1">
        <v>7561275.0</v>
      </c>
      <c r="P3351" s="1" t="s">
        <v>12338</v>
      </c>
      <c r="Q3351" s="1" t="s">
        <v>12338</v>
      </c>
      <c r="R3351" s="1" t="s">
        <v>11596</v>
      </c>
      <c r="S3351" s="1">
        <v>1.0</v>
      </c>
      <c r="T3351" s="1">
        <v>0.0</v>
      </c>
      <c r="X3351" s="1" t="s">
        <v>56</v>
      </c>
      <c r="Z3351" s="1" t="s">
        <v>12339</v>
      </c>
    </row>
    <row r="3352">
      <c r="A3352" s="3" t="str">
        <f>HYPERLINK("https://stackoverflow.com/q/45874369", "45874369")</f>
        <v>45874369</v>
      </c>
      <c r="B3352" s="1" t="s">
        <v>11474</v>
      </c>
      <c r="C3352" s="1" t="s">
        <v>12340</v>
      </c>
      <c r="D3352" s="2" t="s">
        <v>12341</v>
      </c>
      <c r="E3352" s="1">
        <v>1.0</v>
      </c>
      <c r="F3352" s="1">
        <v>4.587475E7</v>
      </c>
      <c r="I3352" s="1">
        <v>0.0</v>
      </c>
      <c r="J3352" s="1">
        <v>27.0</v>
      </c>
      <c r="L3352" s="1">
        <v>8162611.0</v>
      </c>
      <c r="Q3352" s="1" t="s">
        <v>12342</v>
      </c>
      <c r="R3352" s="1" t="s">
        <v>12343</v>
      </c>
      <c r="S3352" s="1">
        <v>1.0</v>
      </c>
      <c r="T3352" s="1">
        <v>0.0</v>
      </c>
      <c r="X3352" s="1" t="s">
        <v>29</v>
      </c>
      <c r="Z3352" s="1" t="s">
        <v>12342</v>
      </c>
    </row>
    <row r="3353">
      <c r="A3353" s="3" t="str">
        <f>HYPERLINK("https://stackoverflow.com/q/45896488", "45896488")</f>
        <v>45896488</v>
      </c>
      <c r="B3353" s="1" t="s">
        <v>11474</v>
      </c>
      <c r="C3353" s="1" t="s">
        <v>12344</v>
      </c>
      <c r="D3353" s="2" t="s">
        <v>12345</v>
      </c>
      <c r="E3353" s="1">
        <v>1.0</v>
      </c>
      <c r="I3353" s="1">
        <v>1.0</v>
      </c>
      <c r="J3353" s="1">
        <v>112.0</v>
      </c>
      <c r="L3353" s="1">
        <v>8520754.0</v>
      </c>
      <c r="N3353" s="1">
        <v>2308683.0</v>
      </c>
      <c r="P3353" s="1" t="s">
        <v>12346</v>
      </c>
      <c r="Q3353" s="1" t="s">
        <v>12346</v>
      </c>
      <c r="R3353" s="1" t="s">
        <v>12347</v>
      </c>
      <c r="S3353" s="1">
        <v>0.0</v>
      </c>
      <c r="T3353" s="1">
        <v>2.0</v>
      </c>
      <c r="V3353" s="1" t="s">
        <v>12348</v>
      </c>
      <c r="X3353" s="1" t="s">
        <v>29</v>
      </c>
    </row>
    <row r="3354">
      <c r="A3354" s="3" t="str">
        <f>HYPERLINK("https://stackoverflow.com/q/45928071", "45928071")</f>
        <v>45928071</v>
      </c>
      <c r="B3354" s="1" t="s">
        <v>11474</v>
      </c>
      <c r="C3354" s="1" t="s">
        <v>12349</v>
      </c>
      <c r="D3354" s="2" t="s">
        <v>12350</v>
      </c>
      <c r="E3354" s="1">
        <v>1.0</v>
      </c>
      <c r="I3354" s="1">
        <v>0.0</v>
      </c>
      <c r="J3354" s="1">
        <v>253.0</v>
      </c>
      <c r="L3354" s="1">
        <v>6711986.0</v>
      </c>
      <c r="Q3354" s="1" t="s">
        <v>12351</v>
      </c>
      <c r="R3354" s="1" t="s">
        <v>12193</v>
      </c>
      <c r="S3354" s="1">
        <v>1.0</v>
      </c>
      <c r="T3354" s="1">
        <v>0.0</v>
      </c>
      <c r="X3354" s="1" t="s">
        <v>29</v>
      </c>
    </row>
    <row r="3355">
      <c r="A3355" s="3" t="str">
        <f>HYPERLINK("https://stackoverflow.com/q/45949757", "45949757")</f>
        <v>45949757</v>
      </c>
      <c r="B3355" s="1" t="s">
        <v>11474</v>
      </c>
      <c r="C3355" s="1" t="s">
        <v>12352</v>
      </c>
      <c r="D3355" s="2" t="s">
        <v>12353</v>
      </c>
      <c r="E3355" s="1">
        <v>1.0</v>
      </c>
      <c r="I3355" s="1">
        <v>0.0</v>
      </c>
      <c r="J3355" s="1">
        <v>137.0</v>
      </c>
      <c r="L3355" s="1">
        <v>8497324.0</v>
      </c>
      <c r="N3355" s="1">
        <v>8497324.0</v>
      </c>
      <c r="P3355" s="1" t="s">
        <v>12354</v>
      </c>
      <c r="Q3355" s="1" t="s">
        <v>12354</v>
      </c>
      <c r="R3355" s="1" t="s">
        <v>12355</v>
      </c>
      <c r="S3355" s="1">
        <v>0.0</v>
      </c>
      <c r="T3355" s="1">
        <v>9.0</v>
      </c>
      <c r="X3355" s="1" t="s">
        <v>29</v>
      </c>
    </row>
    <row r="3356">
      <c r="A3356" s="3" t="str">
        <f>HYPERLINK("https://stackoverflow.com/q/45993730", "45993730")</f>
        <v>45993730</v>
      </c>
      <c r="B3356" s="1" t="s">
        <v>11474</v>
      </c>
      <c r="C3356" s="1" t="s">
        <v>12356</v>
      </c>
      <c r="D3356" s="2" t="s">
        <v>12357</v>
      </c>
      <c r="E3356" s="1">
        <v>1.0</v>
      </c>
      <c r="I3356" s="1">
        <v>0.0</v>
      </c>
      <c r="J3356" s="1">
        <v>610.0</v>
      </c>
      <c r="L3356" s="1">
        <v>1999006.0</v>
      </c>
      <c r="N3356" s="1">
        <v>1999006.0</v>
      </c>
      <c r="P3356" s="1" t="s">
        <v>12358</v>
      </c>
      <c r="Q3356" s="1" t="s">
        <v>12359</v>
      </c>
      <c r="R3356" s="1" t="s">
        <v>11823</v>
      </c>
      <c r="S3356" s="1">
        <v>1.0</v>
      </c>
      <c r="T3356" s="1">
        <v>2.0</v>
      </c>
      <c r="X3356" s="1" t="s">
        <v>29</v>
      </c>
    </row>
    <row r="3357">
      <c r="A3357" s="3" t="str">
        <f>HYPERLINK("https://stackoverflow.com/q/46171283", "46171283")</f>
        <v>46171283</v>
      </c>
      <c r="B3357" s="1" t="s">
        <v>11474</v>
      </c>
      <c r="C3357" s="1" t="s">
        <v>12360</v>
      </c>
      <c r="D3357" s="2" t="s">
        <v>12361</v>
      </c>
      <c r="E3357" s="1">
        <v>1.0</v>
      </c>
      <c r="F3357" s="1">
        <v>4.6172225E7</v>
      </c>
      <c r="I3357" s="1">
        <v>4.0</v>
      </c>
      <c r="J3357" s="1">
        <v>1793.0</v>
      </c>
      <c r="L3357" s="1">
        <v>4732633.0</v>
      </c>
      <c r="Q3357" s="1" t="s">
        <v>12362</v>
      </c>
      <c r="R3357" s="1" t="s">
        <v>12326</v>
      </c>
      <c r="S3357" s="1">
        <v>2.0</v>
      </c>
      <c r="T3357" s="1">
        <v>2.0</v>
      </c>
      <c r="U3357" s="1">
        <v>1.0</v>
      </c>
      <c r="X3357" s="1" t="s">
        <v>29</v>
      </c>
      <c r="Z3357" s="1" t="s">
        <v>12362</v>
      </c>
    </row>
    <row r="3358">
      <c r="A3358" s="3" t="str">
        <f>HYPERLINK("https://stackoverflow.com/q/46241015", "46241015")</f>
        <v>46241015</v>
      </c>
      <c r="B3358" s="1" t="s">
        <v>11474</v>
      </c>
      <c r="C3358" s="1" t="s">
        <v>12363</v>
      </c>
      <c r="D3358" s="2" t="s">
        <v>12364</v>
      </c>
      <c r="E3358" s="1">
        <v>1.0</v>
      </c>
      <c r="I3358" s="1">
        <v>2.0</v>
      </c>
      <c r="J3358" s="1">
        <v>461.0</v>
      </c>
      <c r="L3358" s="1">
        <v>6363738.0</v>
      </c>
      <c r="Q3358" s="1" t="s">
        <v>12363</v>
      </c>
      <c r="R3358" s="1" t="s">
        <v>12365</v>
      </c>
      <c r="S3358" s="1">
        <v>0.0</v>
      </c>
      <c r="T3358" s="1">
        <v>0.0</v>
      </c>
      <c r="X3358" s="1" t="s">
        <v>29</v>
      </c>
    </row>
    <row r="3359">
      <c r="A3359" s="3" t="str">
        <f>HYPERLINK("https://stackoverflow.com/q/46362311", "46362311")</f>
        <v>46362311</v>
      </c>
      <c r="B3359" s="1" t="s">
        <v>11474</v>
      </c>
      <c r="C3359" s="1" t="s">
        <v>12366</v>
      </c>
      <c r="D3359" s="2" t="s">
        <v>12367</v>
      </c>
      <c r="E3359" s="1">
        <v>1.0</v>
      </c>
      <c r="F3359" s="1">
        <v>5.2446917E7</v>
      </c>
      <c r="I3359" s="1">
        <v>2.0</v>
      </c>
      <c r="J3359" s="1">
        <v>462.0</v>
      </c>
      <c r="L3359" s="1">
        <v>6394109.0</v>
      </c>
      <c r="Q3359" s="1" t="s">
        <v>12368</v>
      </c>
      <c r="R3359" s="1" t="s">
        <v>12369</v>
      </c>
      <c r="S3359" s="1">
        <v>1.0</v>
      </c>
      <c r="T3359" s="1">
        <v>2.0</v>
      </c>
      <c r="X3359" s="1" t="s">
        <v>29</v>
      </c>
      <c r="Z3359" s="1" t="s">
        <v>12370</v>
      </c>
    </row>
    <row r="3360">
      <c r="A3360" s="3" t="str">
        <f>HYPERLINK("https://stackoverflow.com/q/46417978", "46417978")</f>
        <v>46417978</v>
      </c>
      <c r="B3360" s="1" t="s">
        <v>11474</v>
      </c>
      <c r="C3360" s="1" t="s">
        <v>12371</v>
      </c>
      <c r="D3360" s="2" t="s">
        <v>12372</v>
      </c>
      <c r="E3360" s="1">
        <v>1.0</v>
      </c>
      <c r="I3360" s="1">
        <v>0.0</v>
      </c>
      <c r="J3360" s="1">
        <v>387.0</v>
      </c>
      <c r="L3360" s="1">
        <v>7561523.0</v>
      </c>
      <c r="N3360" s="1">
        <v>7561523.0</v>
      </c>
      <c r="P3360" s="1" t="s">
        <v>12373</v>
      </c>
      <c r="Q3360" s="1" t="s">
        <v>12373</v>
      </c>
      <c r="R3360" s="1" t="s">
        <v>12374</v>
      </c>
      <c r="S3360" s="1">
        <v>1.0</v>
      </c>
      <c r="T3360" s="1">
        <v>0.0</v>
      </c>
      <c r="X3360" s="1" t="s">
        <v>56</v>
      </c>
    </row>
    <row r="3361">
      <c r="A3361" s="3" t="str">
        <f>HYPERLINK("https://stackoverflow.com/q/46482177", "46482177")</f>
        <v>46482177</v>
      </c>
      <c r="B3361" s="1" t="s">
        <v>11474</v>
      </c>
      <c r="C3361" s="1" t="s">
        <v>12375</v>
      </c>
      <c r="D3361" s="2" t="s">
        <v>12376</v>
      </c>
      <c r="E3361" s="1">
        <v>1.0</v>
      </c>
      <c r="I3361" s="1">
        <v>0.0</v>
      </c>
      <c r="J3361" s="1">
        <v>934.0</v>
      </c>
      <c r="L3361" s="1">
        <v>8243651.0</v>
      </c>
      <c r="Q3361" s="1" t="s">
        <v>12377</v>
      </c>
      <c r="R3361" s="1" t="s">
        <v>12378</v>
      </c>
      <c r="S3361" s="1">
        <v>1.0</v>
      </c>
      <c r="T3361" s="1">
        <v>1.0</v>
      </c>
      <c r="U3361" s="1">
        <v>1.0</v>
      </c>
      <c r="X3361" s="1" t="s">
        <v>29</v>
      </c>
    </row>
    <row r="3362">
      <c r="A3362" s="3" t="str">
        <f>HYPERLINK("https://stackoverflow.com/q/46483388", "46483388")</f>
        <v>46483388</v>
      </c>
      <c r="B3362" s="1" t="s">
        <v>11474</v>
      </c>
      <c r="C3362" s="1" t="s">
        <v>12379</v>
      </c>
      <c r="D3362" s="2" t="s">
        <v>12380</v>
      </c>
      <c r="E3362" s="1">
        <v>1.0</v>
      </c>
      <c r="I3362" s="1">
        <v>0.0</v>
      </c>
      <c r="J3362" s="1">
        <v>257.0</v>
      </c>
      <c r="L3362" s="1">
        <v>6891522.0</v>
      </c>
      <c r="N3362" s="1">
        <v>6891522.0</v>
      </c>
      <c r="P3362" s="1" t="s">
        <v>12381</v>
      </c>
      <c r="Q3362" s="1" t="s">
        <v>12382</v>
      </c>
      <c r="R3362" s="1" t="s">
        <v>12383</v>
      </c>
      <c r="S3362" s="1">
        <v>1.0</v>
      </c>
      <c r="T3362" s="1">
        <v>0.0</v>
      </c>
      <c r="X3362" s="1" t="s">
        <v>29</v>
      </c>
    </row>
    <row r="3363">
      <c r="A3363" s="3" t="str">
        <f>HYPERLINK("https://stackoverflow.com/q/46738962", "46738962")</f>
        <v>46738962</v>
      </c>
      <c r="B3363" s="1" t="s">
        <v>11474</v>
      </c>
      <c r="C3363" s="1" t="s">
        <v>12384</v>
      </c>
      <c r="D3363" s="2" t="s">
        <v>12385</v>
      </c>
      <c r="E3363" s="1">
        <v>1.0</v>
      </c>
      <c r="I3363" s="1">
        <v>0.0</v>
      </c>
      <c r="J3363" s="1">
        <v>165.0</v>
      </c>
      <c r="L3363" s="1">
        <v>5008045.0</v>
      </c>
      <c r="N3363" s="1">
        <v>5008045.0</v>
      </c>
      <c r="P3363" s="1" t="s">
        <v>12386</v>
      </c>
      <c r="Q3363" s="1" t="s">
        <v>12387</v>
      </c>
      <c r="R3363" s="1" t="s">
        <v>12388</v>
      </c>
      <c r="S3363" s="1">
        <v>1.0</v>
      </c>
      <c r="T3363" s="1">
        <v>1.0</v>
      </c>
      <c r="X3363" s="1" t="s">
        <v>29</v>
      </c>
    </row>
    <row r="3364">
      <c r="A3364" s="3" t="str">
        <f>HYPERLINK("https://stackoverflow.com/q/46798556", "46798556")</f>
        <v>46798556</v>
      </c>
      <c r="B3364" s="1" t="s">
        <v>11474</v>
      </c>
      <c r="C3364" s="1" t="s">
        <v>12389</v>
      </c>
      <c r="D3364" s="2" t="s">
        <v>12390</v>
      </c>
      <c r="E3364" s="1">
        <v>1.0</v>
      </c>
      <c r="I3364" s="1">
        <v>0.0</v>
      </c>
      <c r="J3364" s="1">
        <v>73.0</v>
      </c>
      <c r="L3364" s="1">
        <v>5008045.0</v>
      </c>
      <c r="N3364" s="1">
        <v>472495.0</v>
      </c>
      <c r="P3364" s="1" t="s">
        <v>12391</v>
      </c>
      <c r="Q3364" s="1" t="s">
        <v>12391</v>
      </c>
      <c r="R3364" s="1" t="s">
        <v>12392</v>
      </c>
      <c r="S3364" s="1">
        <v>0.0</v>
      </c>
      <c r="T3364" s="1">
        <v>2.0</v>
      </c>
      <c r="X3364" s="1" t="s">
        <v>29</v>
      </c>
    </row>
    <row r="3365">
      <c r="A3365" s="3" t="str">
        <f>HYPERLINK("https://stackoverflow.com/q/46803436", "46803436")</f>
        <v>46803436</v>
      </c>
      <c r="B3365" s="1" t="s">
        <v>11474</v>
      </c>
      <c r="C3365" s="1" t="s">
        <v>12393</v>
      </c>
      <c r="D3365" s="2" t="s">
        <v>12394</v>
      </c>
      <c r="E3365" s="1">
        <v>1.0</v>
      </c>
      <c r="I3365" s="1">
        <v>0.0</v>
      </c>
      <c r="J3365" s="1">
        <v>29.0</v>
      </c>
      <c r="L3365" s="1">
        <v>8793753.0</v>
      </c>
      <c r="Q3365" s="1" t="s">
        <v>12393</v>
      </c>
      <c r="R3365" s="1" t="s">
        <v>12395</v>
      </c>
      <c r="S3365" s="1">
        <v>0.0</v>
      </c>
      <c r="T3365" s="1">
        <v>10.0</v>
      </c>
      <c r="V3365" s="1" t="s">
        <v>12396</v>
      </c>
      <c r="X3365" s="1" t="s">
        <v>29</v>
      </c>
    </row>
    <row r="3366">
      <c r="A3366" s="3" t="str">
        <f>HYPERLINK("https://stackoverflow.com/q/47005811", "47005811")</f>
        <v>47005811</v>
      </c>
      <c r="B3366" s="1" t="s">
        <v>11474</v>
      </c>
      <c r="C3366" s="1" t="s">
        <v>12397</v>
      </c>
      <c r="D3366" s="2" t="s">
        <v>12398</v>
      </c>
      <c r="E3366" s="1">
        <v>1.0</v>
      </c>
      <c r="I3366" s="1">
        <v>0.0</v>
      </c>
      <c r="J3366" s="1">
        <v>119.0</v>
      </c>
      <c r="L3366" s="1">
        <v>8497324.0</v>
      </c>
      <c r="N3366" s="1">
        <v>8497324.0</v>
      </c>
      <c r="P3366" s="1" t="s">
        <v>12399</v>
      </c>
      <c r="Q3366" s="1" t="s">
        <v>12399</v>
      </c>
      <c r="R3366" s="1" t="s">
        <v>12400</v>
      </c>
      <c r="S3366" s="1">
        <v>0.0</v>
      </c>
      <c r="T3366" s="1">
        <v>3.0</v>
      </c>
      <c r="X3366" s="1" t="s">
        <v>29</v>
      </c>
    </row>
    <row r="3367">
      <c r="A3367" s="3" t="str">
        <f>HYPERLINK("https://stackoverflow.com/q/47358219", "47358219")</f>
        <v>47358219</v>
      </c>
      <c r="B3367" s="1" t="s">
        <v>11474</v>
      </c>
      <c r="C3367" s="1" t="s">
        <v>12401</v>
      </c>
      <c r="D3367" s="2" t="s">
        <v>12402</v>
      </c>
      <c r="E3367" s="1">
        <v>1.0</v>
      </c>
      <c r="F3367" s="1">
        <v>4.735862E7</v>
      </c>
      <c r="I3367" s="1">
        <v>0.0</v>
      </c>
      <c r="J3367" s="1">
        <v>517.0</v>
      </c>
      <c r="L3367" s="1">
        <v>3772600.0</v>
      </c>
      <c r="Q3367" s="1" t="s">
        <v>12403</v>
      </c>
      <c r="R3367" s="1" t="s">
        <v>12404</v>
      </c>
      <c r="S3367" s="1">
        <v>2.0</v>
      </c>
      <c r="T3367" s="1">
        <v>4.0</v>
      </c>
      <c r="X3367" s="1" t="s">
        <v>29</v>
      </c>
      <c r="Z3367" s="1" t="s">
        <v>12403</v>
      </c>
    </row>
    <row r="3368">
      <c r="A3368" s="3" t="str">
        <f>HYPERLINK("https://stackoverflow.com/q/47378071", "47378071")</f>
        <v>47378071</v>
      </c>
      <c r="B3368" s="1" t="s">
        <v>11474</v>
      </c>
      <c r="C3368" s="1" t="s">
        <v>12405</v>
      </c>
      <c r="D3368" s="2" t="s">
        <v>12406</v>
      </c>
      <c r="E3368" s="1">
        <v>1.0</v>
      </c>
      <c r="I3368" s="1">
        <v>0.0</v>
      </c>
      <c r="J3368" s="1">
        <v>514.0</v>
      </c>
      <c r="L3368" s="1">
        <v>6923139.0</v>
      </c>
      <c r="N3368" s="1">
        <v>6923139.0</v>
      </c>
      <c r="P3368" s="1" t="s">
        <v>12407</v>
      </c>
      <c r="Q3368" s="1" t="s">
        <v>12407</v>
      </c>
      <c r="R3368" s="1" t="s">
        <v>12408</v>
      </c>
      <c r="S3368" s="1">
        <v>1.0</v>
      </c>
      <c r="T3368" s="1">
        <v>7.0</v>
      </c>
      <c r="X3368" s="1" t="s">
        <v>29</v>
      </c>
    </row>
    <row r="3369">
      <c r="A3369" s="3" t="str">
        <f>HYPERLINK("https://stackoverflow.com/q/47393775", "47393775")</f>
        <v>47393775</v>
      </c>
      <c r="B3369" s="1" t="s">
        <v>11474</v>
      </c>
      <c r="C3369" s="1" t="s">
        <v>12409</v>
      </c>
      <c r="D3369" s="2" t="s">
        <v>12410</v>
      </c>
      <c r="E3369" s="1">
        <v>1.0</v>
      </c>
      <c r="I3369" s="1">
        <v>2.0</v>
      </c>
      <c r="J3369" s="1">
        <v>611.0</v>
      </c>
      <c r="L3369" s="1">
        <v>768206.0</v>
      </c>
      <c r="N3369" s="1">
        <v>768206.0</v>
      </c>
      <c r="P3369" s="1" t="s">
        <v>12411</v>
      </c>
      <c r="Q3369" s="1" t="s">
        <v>12411</v>
      </c>
      <c r="R3369" s="1" t="s">
        <v>12412</v>
      </c>
      <c r="S3369" s="1">
        <v>1.0</v>
      </c>
      <c r="T3369" s="1">
        <v>1.0</v>
      </c>
      <c r="X3369" s="1" t="s">
        <v>29</v>
      </c>
    </row>
    <row r="3370">
      <c r="A3370" s="3" t="str">
        <f>HYPERLINK("https://stackoverflow.com/q/47497901", "47497901")</f>
        <v>47497901</v>
      </c>
      <c r="B3370" s="1" t="s">
        <v>11474</v>
      </c>
      <c r="C3370" s="1" t="s">
        <v>12413</v>
      </c>
      <c r="D3370" s="2" t="s">
        <v>12414</v>
      </c>
      <c r="E3370" s="1">
        <v>1.0</v>
      </c>
      <c r="I3370" s="1">
        <v>0.0</v>
      </c>
      <c r="J3370" s="1">
        <v>48.0</v>
      </c>
      <c r="L3370" s="1">
        <v>6923139.0</v>
      </c>
      <c r="N3370" s="1">
        <v>1.1271432E7</v>
      </c>
      <c r="P3370" s="1" t="s">
        <v>12415</v>
      </c>
      <c r="Q3370" s="1" t="s">
        <v>12415</v>
      </c>
      <c r="R3370" s="1" t="s">
        <v>12416</v>
      </c>
      <c r="S3370" s="1">
        <v>0.0</v>
      </c>
      <c r="T3370" s="1">
        <v>4.0</v>
      </c>
      <c r="X3370" s="1" t="s">
        <v>56</v>
      </c>
    </row>
    <row r="3371">
      <c r="A3371" s="3" t="str">
        <f>HYPERLINK("https://stackoverflow.com/q/48105880", "48105880")</f>
        <v>48105880</v>
      </c>
      <c r="B3371" s="1" t="s">
        <v>11474</v>
      </c>
      <c r="C3371" s="1" t="s">
        <v>12417</v>
      </c>
      <c r="D3371" s="2" t="s">
        <v>12418</v>
      </c>
      <c r="E3371" s="1">
        <v>1.0</v>
      </c>
      <c r="I3371" s="1">
        <v>0.0</v>
      </c>
      <c r="J3371" s="1">
        <v>338.0</v>
      </c>
      <c r="L3371" s="1">
        <v>9175336.0</v>
      </c>
      <c r="N3371" s="1">
        <v>9175336.0</v>
      </c>
      <c r="P3371" s="1" t="s">
        <v>12419</v>
      </c>
      <c r="Q3371" s="1" t="s">
        <v>12419</v>
      </c>
      <c r="R3371" s="1" t="s">
        <v>12420</v>
      </c>
      <c r="S3371" s="1">
        <v>1.0</v>
      </c>
      <c r="T3371" s="1">
        <v>0.0</v>
      </c>
      <c r="X3371" s="1" t="s">
        <v>29</v>
      </c>
    </row>
    <row r="3372">
      <c r="A3372" s="3" t="str">
        <f>HYPERLINK("https://stackoverflow.com/q/48454558", "48454558")</f>
        <v>48454558</v>
      </c>
      <c r="B3372" s="1" t="s">
        <v>11474</v>
      </c>
      <c r="C3372" s="1" t="s">
        <v>12421</v>
      </c>
      <c r="D3372" s="2" t="s">
        <v>12422</v>
      </c>
      <c r="E3372" s="1">
        <v>1.0</v>
      </c>
      <c r="I3372" s="1">
        <v>0.0</v>
      </c>
      <c r="J3372" s="1">
        <v>54.0</v>
      </c>
      <c r="L3372" s="1">
        <v>8508058.0</v>
      </c>
      <c r="N3372" s="1">
        <v>8508058.0</v>
      </c>
      <c r="P3372" s="1" t="s">
        <v>12423</v>
      </c>
      <c r="Q3372" s="1" t="s">
        <v>12423</v>
      </c>
      <c r="R3372" s="1" t="s">
        <v>12424</v>
      </c>
      <c r="S3372" s="1">
        <v>0.0</v>
      </c>
      <c r="T3372" s="1">
        <v>3.0</v>
      </c>
      <c r="X3372" s="1" t="s">
        <v>29</v>
      </c>
    </row>
    <row r="3373">
      <c r="A3373" s="3" t="str">
        <f>HYPERLINK("https://stackoverflow.com/q/48628269", "48628269")</f>
        <v>48628269</v>
      </c>
      <c r="B3373" s="1" t="s">
        <v>11474</v>
      </c>
      <c r="C3373" s="1" t="s">
        <v>12425</v>
      </c>
      <c r="D3373" s="2" t="s">
        <v>12426</v>
      </c>
      <c r="E3373" s="1">
        <v>1.0</v>
      </c>
      <c r="F3373" s="1">
        <v>4.8754612E7</v>
      </c>
      <c r="I3373" s="1">
        <v>1.0</v>
      </c>
      <c r="J3373" s="1">
        <v>173.0</v>
      </c>
      <c r="L3373" s="1">
        <v>9317899.0</v>
      </c>
      <c r="N3373" s="1">
        <v>243245.0</v>
      </c>
      <c r="P3373" s="1" t="s">
        <v>12427</v>
      </c>
      <c r="Q3373" s="1" t="s">
        <v>12428</v>
      </c>
      <c r="R3373" s="1" t="s">
        <v>12429</v>
      </c>
      <c r="S3373" s="1">
        <v>1.0</v>
      </c>
      <c r="T3373" s="1">
        <v>4.0</v>
      </c>
      <c r="U3373" s="1">
        <v>1.0</v>
      </c>
      <c r="X3373" s="1" t="s">
        <v>29</v>
      </c>
      <c r="Z3373" s="1" t="s">
        <v>12428</v>
      </c>
    </row>
    <row r="3374">
      <c r="A3374" s="3" t="str">
        <f>HYPERLINK("https://stackoverflow.com/q/48641569", "48641569")</f>
        <v>48641569</v>
      </c>
      <c r="B3374" s="1" t="s">
        <v>11474</v>
      </c>
      <c r="C3374" s="1" t="s">
        <v>12430</v>
      </c>
      <c r="D3374" s="2" t="s">
        <v>12431</v>
      </c>
      <c r="E3374" s="1">
        <v>1.0</v>
      </c>
      <c r="I3374" s="1">
        <v>0.0</v>
      </c>
      <c r="J3374" s="1">
        <v>325.0</v>
      </c>
      <c r="L3374" s="1">
        <v>7737940.0</v>
      </c>
      <c r="Q3374" s="1" t="s">
        <v>12432</v>
      </c>
      <c r="R3374" s="1" t="s">
        <v>12433</v>
      </c>
      <c r="S3374" s="1">
        <v>1.0</v>
      </c>
      <c r="T3374" s="1">
        <v>0.0</v>
      </c>
      <c r="X3374" s="1" t="s">
        <v>29</v>
      </c>
    </row>
    <row r="3375">
      <c r="A3375" s="3" t="str">
        <f>HYPERLINK("https://stackoverflow.com/q/48672445", "48672445")</f>
        <v>48672445</v>
      </c>
      <c r="B3375" s="1" t="s">
        <v>11474</v>
      </c>
      <c r="C3375" s="1" t="s">
        <v>12434</v>
      </c>
      <c r="D3375" s="2" t="s">
        <v>12435</v>
      </c>
      <c r="E3375" s="1">
        <v>1.0</v>
      </c>
      <c r="I3375" s="1">
        <v>0.0</v>
      </c>
      <c r="J3375" s="1">
        <v>2119.0</v>
      </c>
      <c r="L3375" s="1">
        <v>4912599.0</v>
      </c>
      <c r="Q3375" s="1" t="s">
        <v>12436</v>
      </c>
      <c r="R3375" s="1" t="s">
        <v>12437</v>
      </c>
      <c r="S3375" s="1">
        <v>2.0</v>
      </c>
      <c r="T3375" s="1">
        <v>0.0</v>
      </c>
      <c r="U3375" s="1">
        <v>0.0</v>
      </c>
      <c r="X3375" s="1" t="s">
        <v>29</v>
      </c>
    </row>
    <row r="3376">
      <c r="A3376" s="3" t="str">
        <f>HYPERLINK("https://stackoverflow.com/q/48761222", "48761222")</f>
        <v>48761222</v>
      </c>
      <c r="B3376" s="1" t="s">
        <v>11474</v>
      </c>
      <c r="C3376" s="1" t="s">
        <v>12438</v>
      </c>
      <c r="D3376" s="2" t="s">
        <v>12439</v>
      </c>
      <c r="E3376" s="1">
        <v>1.0</v>
      </c>
      <c r="I3376" s="1">
        <v>1.0</v>
      </c>
      <c r="J3376" s="1">
        <v>604.0</v>
      </c>
      <c r="L3376" s="1">
        <v>8919244.0</v>
      </c>
      <c r="Q3376" s="1" t="s">
        <v>12438</v>
      </c>
      <c r="R3376" s="1" t="s">
        <v>12440</v>
      </c>
      <c r="S3376" s="1">
        <v>0.0</v>
      </c>
      <c r="T3376" s="1">
        <v>5.0</v>
      </c>
      <c r="X3376" s="1" t="s">
        <v>29</v>
      </c>
    </row>
    <row r="3377">
      <c r="A3377" s="3" t="str">
        <f>HYPERLINK("https://stackoverflow.com/q/48837776", "48837776")</f>
        <v>48837776</v>
      </c>
      <c r="B3377" s="1" t="s">
        <v>11474</v>
      </c>
      <c r="C3377" s="1" t="s">
        <v>12441</v>
      </c>
      <c r="D3377" s="2" t="s">
        <v>12442</v>
      </c>
      <c r="E3377" s="1">
        <v>1.0</v>
      </c>
      <c r="I3377" s="1">
        <v>1.0</v>
      </c>
      <c r="J3377" s="1">
        <v>447.0</v>
      </c>
      <c r="L3377" s="1">
        <v>8919244.0</v>
      </c>
      <c r="N3377" s="1">
        <v>8919244.0</v>
      </c>
      <c r="P3377" s="1" t="s">
        <v>12443</v>
      </c>
      <c r="Q3377" s="1" t="s">
        <v>12443</v>
      </c>
      <c r="R3377" s="1" t="s">
        <v>12444</v>
      </c>
      <c r="S3377" s="1">
        <v>0.0</v>
      </c>
      <c r="T3377" s="1">
        <v>8.0</v>
      </c>
      <c r="X3377" s="1" t="s">
        <v>29</v>
      </c>
    </row>
    <row r="3378">
      <c r="A3378" s="3" t="str">
        <f>HYPERLINK("https://stackoverflow.com/q/48865565", "48865565")</f>
        <v>48865565</v>
      </c>
      <c r="B3378" s="1" t="s">
        <v>11474</v>
      </c>
      <c r="C3378" s="1" t="s">
        <v>12445</v>
      </c>
      <c r="D3378" s="2" t="s">
        <v>12446</v>
      </c>
      <c r="E3378" s="1">
        <v>1.0</v>
      </c>
      <c r="F3378" s="1">
        <v>4.8867162E7</v>
      </c>
      <c r="I3378" s="1">
        <v>2.0</v>
      </c>
      <c r="J3378" s="1">
        <v>1623.0</v>
      </c>
      <c r="L3378" s="1">
        <v>6381081.0</v>
      </c>
      <c r="Q3378" s="1" t="s">
        <v>12447</v>
      </c>
      <c r="R3378" s="1" t="s">
        <v>12448</v>
      </c>
      <c r="S3378" s="1">
        <v>1.0</v>
      </c>
      <c r="T3378" s="1">
        <v>12.0</v>
      </c>
      <c r="X3378" s="1" t="s">
        <v>29</v>
      </c>
      <c r="Z3378" s="1" t="s">
        <v>12449</v>
      </c>
    </row>
    <row r="3379">
      <c r="A3379" s="3" t="str">
        <f>HYPERLINK("https://stackoverflow.com/q/48866981", "48866981")</f>
        <v>48866981</v>
      </c>
      <c r="B3379" s="1" t="s">
        <v>11474</v>
      </c>
      <c r="C3379" s="1" t="s">
        <v>12450</v>
      </c>
      <c r="D3379" s="2" t="s">
        <v>12451</v>
      </c>
      <c r="E3379" s="1">
        <v>1.0</v>
      </c>
      <c r="I3379" s="1">
        <v>1.0</v>
      </c>
      <c r="J3379" s="1">
        <v>1184.0</v>
      </c>
      <c r="L3379" s="1">
        <v>5820400.0</v>
      </c>
      <c r="N3379" s="1">
        <v>330315.0</v>
      </c>
      <c r="P3379" s="1" t="s">
        <v>12452</v>
      </c>
      <c r="Q3379" s="1" t="s">
        <v>12452</v>
      </c>
      <c r="R3379" s="1" t="s">
        <v>11567</v>
      </c>
      <c r="S3379" s="1">
        <v>2.0</v>
      </c>
      <c r="T3379" s="1">
        <v>5.0</v>
      </c>
      <c r="X3379" s="1" t="s">
        <v>29</v>
      </c>
    </row>
    <row r="3380">
      <c r="A3380" s="3" t="str">
        <f>HYPERLINK("https://stackoverflow.com/q/48871444", "48871444")</f>
        <v>48871444</v>
      </c>
      <c r="B3380" s="1" t="s">
        <v>11474</v>
      </c>
      <c r="C3380" s="1" t="s">
        <v>12453</v>
      </c>
      <c r="D3380" s="2" t="s">
        <v>12454</v>
      </c>
      <c r="E3380" s="1">
        <v>1.0</v>
      </c>
      <c r="F3380" s="1">
        <v>4.8883104E7</v>
      </c>
      <c r="I3380" s="1">
        <v>0.0</v>
      </c>
      <c r="J3380" s="1">
        <v>1116.0</v>
      </c>
      <c r="L3380" s="1">
        <v>8919244.0</v>
      </c>
      <c r="N3380" s="1">
        <v>8919244.0</v>
      </c>
      <c r="P3380" s="1" t="s">
        <v>12455</v>
      </c>
      <c r="Q3380" s="1" t="s">
        <v>12456</v>
      </c>
      <c r="R3380" s="1" t="s">
        <v>12457</v>
      </c>
      <c r="S3380" s="1">
        <v>1.0</v>
      </c>
      <c r="T3380" s="1">
        <v>8.0</v>
      </c>
      <c r="X3380" s="1" t="s">
        <v>29</v>
      </c>
      <c r="Z3380" s="1" t="s">
        <v>12456</v>
      </c>
    </row>
    <row r="3381">
      <c r="A3381" s="3" t="str">
        <f>HYPERLINK("https://stackoverflow.com/q/48881818", "48881818")</f>
        <v>48881818</v>
      </c>
      <c r="B3381" s="1" t="s">
        <v>11474</v>
      </c>
      <c r="C3381" s="1" t="s">
        <v>12458</v>
      </c>
      <c r="D3381" s="2" t="s">
        <v>12459</v>
      </c>
      <c r="E3381" s="1">
        <v>1.0</v>
      </c>
      <c r="F3381" s="1">
        <v>4.8883423E7</v>
      </c>
      <c r="I3381" s="1">
        <v>0.0</v>
      </c>
      <c r="J3381" s="1">
        <v>371.0</v>
      </c>
      <c r="L3381" s="1">
        <v>8919244.0</v>
      </c>
      <c r="N3381" s="1">
        <v>8919244.0</v>
      </c>
      <c r="P3381" s="1" t="s">
        <v>12460</v>
      </c>
      <c r="Q3381" s="1" t="s">
        <v>12461</v>
      </c>
      <c r="R3381" s="1" t="s">
        <v>12462</v>
      </c>
      <c r="S3381" s="1">
        <v>1.0</v>
      </c>
      <c r="T3381" s="1">
        <v>3.0</v>
      </c>
      <c r="X3381" s="1" t="s">
        <v>29</v>
      </c>
      <c r="Z3381" s="1" t="s">
        <v>12463</v>
      </c>
    </row>
    <row r="3382">
      <c r="A3382" s="3" t="str">
        <f>HYPERLINK("https://stackoverflow.com/q/48904349", "48904349")</f>
        <v>48904349</v>
      </c>
      <c r="B3382" s="1" t="s">
        <v>11474</v>
      </c>
      <c r="C3382" s="1" t="s">
        <v>12464</v>
      </c>
      <c r="D3382" s="2" t="s">
        <v>12465</v>
      </c>
      <c r="E3382" s="1">
        <v>1.0</v>
      </c>
      <c r="I3382" s="1">
        <v>2.0</v>
      </c>
      <c r="J3382" s="1">
        <v>732.0</v>
      </c>
      <c r="L3382" s="1">
        <v>9390484.0</v>
      </c>
      <c r="Q3382" s="1" t="s">
        <v>12466</v>
      </c>
      <c r="R3382" s="1" t="s">
        <v>12467</v>
      </c>
      <c r="S3382" s="1">
        <v>0.0</v>
      </c>
      <c r="T3382" s="1">
        <v>1.0</v>
      </c>
      <c r="X3382" s="1" t="s">
        <v>29</v>
      </c>
    </row>
    <row r="3383">
      <c r="A3383" s="3" t="str">
        <f>HYPERLINK("https://stackoverflow.com/q/48914817", "48914817")</f>
        <v>48914817</v>
      </c>
      <c r="B3383" s="1" t="s">
        <v>11474</v>
      </c>
      <c r="C3383" s="1" t="s">
        <v>12468</v>
      </c>
      <c r="D3383" s="2" t="s">
        <v>12469</v>
      </c>
      <c r="E3383" s="1">
        <v>1.0</v>
      </c>
      <c r="I3383" s="1">
        <v>0.0</v>
      </c>
      <c r="J3383" s="1">
        <v>334.0</v>
      </c>
      <c r="L3383" s="1">
        <v>4005908.0</v>
      </c>
      <c r="N3383" s="1">
        <v>4005908.0</v>
      </c>
      <c r="P3383" s="1" t="s">
        <v>12470</v>
      </c>
      <c r="Q3383" s="1" t="s">
        <v>12471</v>
      </c>
      <c r="R3383" s="1" t="s">
        <v>12462</v>
      </c>
      <c r="S3383" s="1">
        <v>0.0</v>
      </c>
      <c r="T3383" s="1">
        <v>4.0</v>
      </c>
      <c r="U3383" s="1">
        <v>1.0</v>
      </c>
      <c r="X3383" s="1" t="s">
        <v>29</v>
      </c>
    </row>
    <row r="3384">
      <c r="A3384" s="3" t="str">
        <f>HYPERLINK("https://stackoverflow.com/q/48933290", "48933290")</f>
        <v>48933290</v>
      </c>
      <c r="B3384" s="1" t="s">
        <v>11474</v>
      </c>
      <c r="C3384" s="1" t="s">
        <v>12472</v>
      </c>
      <c r="D3384" s="2" t="s">
        <v>12473</v>
      </c>
      <c r="E3384" s="1">
        <v>1.0</v>
      </c>
      <c r="I3384" s="1">
        <v>0.0</v>
      </c>
      <c r="J3384" s="1">
        <v>60.0</v>
      </c>
      <c r="L3384" s="1">
        <v>5820400.0</v>
      </c>
      <c r="N3384" s="1">
        <v>330315.0</v>
      </c>
      <c r="P3384" s="1" t="s">
        <v>12474</v>
      </c>
      <c r="Q3384" s="1" t="s">
        <v>12474</v>
      </c>
      <c r="R3384" s="1" t="s">
        <v>11567</v>
      </c>
      <c r="S3384" s="1">
        <v>2.0</v>
      </c>
      <c r="T3384" s="1">
        <v>0.0</v>
      </c>
      <c r="X3384" s="1" t="s">
        <v>29</v>
      </c>
    </row>
    <row r="3385">
      <c r="A3385" s="3" t="str">
        <f>HYPERLINK("https://stackoverflow.com/q/48981236", "48981236")</f>
        <v>48981236</v>
      </c>
      <c r="B3385" s="1" t="s">
        <v>11474</v>
      </c>
      <c r="C3385" s="1" t="s">
        <v>12475</v>
      </c>
      <c r="D3385" s="2" t="s">
        <v>12476</v>
      </c>
      <c r="E3385" s="1">
        <v>1.0</v>
      </c>
      <c r="F3385" s="1">
        <v>4.8981346E7</v>
      </c>
      <c r="I3385" s="1">
        <v>0.0</v>
      </c>
      <c r="J3385" s="1">
        <v>45.0</v>
      </c>
      <c r="L3385" s="1">
        <v>5820400.0</v>
      </c>
      <c r="Q3385" s="1" t="s">
        <v>12477</v>
      </c>
      <c r="R3385" s="1" t="s">
        <v>11567</v>
      </c>
      <c r="S3385" s="1">
        <v>1.0</v>
      </c>
      <c r="T3385" s="1">
        <v>0.0</v>
      </c>
      <c r="X3385" s="1" t="s">
        <v>29</v>
      </c>
      <c r="Z3385" s="1" t="s">
        <v>12477</v>
      </c>
    </row>
    <row r="3386">
      <c r="A3386" s="3" t="str">
        <f>HYPERLINK("https://stackoverflow.com/q/49002928", "49002928")</f>
        <v>49002928</v>
      </c>
      <c r="B3386" s="1" t="s">
        <v>11474</v>
      </c>
      <c r="C3386" s="1" t="s">
        <v>12478</v>
      </c>
      <c r="D3386" s="2" t="s">
        <v>12479</v>
      </c>
      <c r="E3386" s="1">
        <v>1.0</v>
      </c>
      <c r="I3386" s="1">
        <v>0.0</v>
      </c>
      <c r="J3386" s="1">
        <v>32.0</v>
      </c>
      <c r="L3386" s="1">
        <v>9208146.0</v>
      </c>
      <c r="N3386" s="1">
        <v>18157.0</v>
      </c>
      <c r="P3386" s="1" t="s">
        <v>12480</v>
      </c>
      <c r="Q3386" s="1" t="s">
        <v>12480</v>
      </c>
      <c r="R3386" s="1" t="s">
        <v>12365</v>
      </c>
      <c r="S3386" s="1">
        <v>0.0</v>
      </c>
      <c r="T3386" s="1">
        <v>2.0</v>
      </c>
      <c r="X3386" s="1" t="s">
        <v>29</v>
      </c>
    </row>
    <row r="3387">
      <c r="A3387" s="3" t="str">
        <f>HYPERLINK("https://stackoverflow.com/q/49051500", "49051500")</f>
        <v>49051500</v>
      </c>
      <c r="B3387" s="1" t="s">
        <v>11474</v>
      </c>
      <c r="C3387" s="1" t="s">
        <v>12481</v>
      </c>
      <c r="D3387" s="2" t="s">
        <v>12482</v>
      </c>
      <c r="E3387" s="1">
        <v>1.0</v>
      </c>
      <c r="I3387" s="1">
        <v>1.0</v>
      </c>
      <c r="J3387" s="1">
        <v>719.0</v>
      </c>
      <c r="L3387" s="1">
        <v>5820400.0</v>
      </c>
      <c r="N3387" s="1">
        <v>5820400.0</v>
      </c>
      <c r="P3387" s="1" t="s">
        <v>12483</v>
      </c>
      <c r="Q3387" s="1" t="s">
        <v>12483</v>
      </c>
      <c r="R3387" s="1" t="s">
        <v>11567</v>
      </c>
      <c r="S3387" s="1">
        <v>1.0</v>
      </c>
      <c r="T3387" s="1">
        <v>9.0</v>
      </c>
      <c r="X3387" s="1" t="s">
        <v>29</v>
      </c>
    </row>
    <row r="3388">
      <c r="A3388" s="3" t="str">
        <f>HYPERLINK("https://stackoverflow.com/q/49298407", "49298407")</f>
        <v>49298407</v>
      </c>
      <c r="B3388" s="1" t="s">
        <v>11474</v>
      </c>
      <c r="C3388" s="1" t="s">
        <v>12484</v>
      </c>
      <c r="D3388" s="2" t="s">
        <v>12485</v>
      </c>
      <c r="E3388" s="1">
        <v>1.0</v>
      </c>
      <c r="I3388" s="1">
        <v>0.0</v>
      </c>
      <c r="J3388" s="1">
        <v>192.0</v>
      </c>
      <c r="M3388" s="1" t="s">
        <v>12486</v>
      </c>
      <c r="O3388" s="1" t="s">
        <v>12486</v>
      </c>
      <c r="P3388" s="1" t="s">
        <v>12487</v>
      </c>
      <c r="Q3388" s="1" t="s">
        <v>12488</v>
      </c>
      <c r="R3388" s="1" t="s">
        <v>11629</v>
      </c>
      <c r="S3388" s="1">
        <v>1.0</v>
      </c>
      <c r="T3388" s="1">
        <v>1.0</v>
      </c>
      <c r="U3388" s="1">
        <v>1.0</v>
      </c>
      <c r="X3388" s="1" t="s">
        <v>29</v>
      </c>
    </row>
    <row r="3389">
      <c r="A3389" s="3" t="str">
        <f>HYPERLINK("https://stackoverflow.com/q/49412482", "49412482")</f>
        <v>49412482</v>
      </c>
      <c r="B3389" s="1" t="s">
        <v>11474</v>
      </c>
      <c r="C3389" s="1" t="s">
        <v>12489</v>
      </c>
      <c r="D3389" s="2" t="s">
        <v>12490</v>
      </c>
      <c r="E3389" s="1">
        <v>1.0</v>
      </c>
      <c r="I3389" s="1">
        <v>0.0</v>
      </c>
      <c r="J3389" s="1">
        <v>212.0</v>
      </c>
      <c r="L3389" s="1">
        <v>5820400.0</v>
      </c>
      <c r="N3389" s="1">
        <v>330315.0</v>
      </c>
      <c r="P3389" s="1" t="s">
        <v>12491</v>
      </c>
      <c r="Q3389" s="1" t="s">
        <v>12492</v>
      </c>
      <c r="R3389" s="1" t="s">
        <v>11567</v>
      </c>
      <c r="S3389" s="1">
        <v>1.0</v>
      </c>
      <c r="T3389" s="1">
        <v>2.0</v>
      </c>
      <c r="X3389" s="1" t="s">
        <v>29</v>
      </c>
    </row>
    <row r="3390">
      <c r="A3390" s="3" t="str">
        <f>HYPERLINK("https://stackoverflow.com/q/49550965", "49550965")</f>
        <v>49550965</v>
      </c>
      <c r="B3390" s="1" t="s">
        <v>11474</v>
      </c>
      <c r="C3390" s="1" t="s">
        <v>12493</v>
      </c>
      <c r="D3390" s="2" t="s">
        <v>12494</v>
      </c>
      <c r="E3390" s="1">
        <v>1.0</v>
      </c>
      <c r="I3390" s="1">
        <v>0.0</v>
      </c>
      <c r="J3390" s="1">
        <v>712.0</v>
      </c>
      <c r="L3390" s="1">
        <v>2245761.0</v>
      </c>
      <c r="Q3390" s="1" t="s">
        <v>12495</v>
      </c>
      <c r="R3390" s="1" t="s">
        <v>12496</v>
      </c>
      <c r="S3390" s="1">
        <v>1.0</v>
      </c>
      <c r="T3390" s="1">
        <v>0.0</v>
      </c>
      <c r="X3390" s="1" t="s">
        <v>29</v>
      </c>
    </row>
    <row r="3391">
      <c r="A3391" s="3" t="str">
        <f>HYPERLINK("https://stackoverflow.com/q/49770636", "49770636")</f>
        <v>49770636</v>
      </c>
      <c r="B3391" s="1" t="s">
        <v>11474</v>
      </c>
      <c r="C3391" s="1" t="s">
        <v>12497</v>
      </c>
      <c r="D3391" s="2" t="s">
        <v>12498</v>
      </c>
      <c r="E3391" s="1">
        <v>1.0</v>
      </c>
      <c r="F3391" s="1">
        <v>4.9771307E7</v>
      </c>
      <c r="I3391" s="1">
        <v>3.0</v>
      </c>
      <c r="J3391" s="1">
        <v>115.0</v>
      </c>
      <c r="L3391" s="1">
        <v>6516139.0</v>
      </c>
      <c r="Q3391" s="1" t="s">
        <v>12499</v>
      </c>
      <c r="R3391" s="1" t="s">
        <v>12500</v>
      </c>
      <c r="S3391" s="1">
        <v>1.0</v>
      </c>
      <c r="T3391" s="1">
        <v>4.0</v>
      </c>
      <c r="X3391" s="1" t="s">
        <v>29</v>
      </c>
      <c r="Z3391" s="1" t="s">
        <v>12499</v>
      </c>
    </row>
    <row r="3392">
      <c r="A3392" s="3" t="str">
        <f>HYPERLINK("https://stackoverflow.com/q/49984925", "49984925")</f>
        <v>49984925</v>
      </c>
      <c r="B3392" s="1" t="s">
        <v>11474</v>
      </c>
      <c r="C3392" s="1" t="s">
        <v>12501</v>
      </c>
      <c r="D3392" s="2" t="s">
        <v>12502</v>
      </c>
      <c r="E3392" s="1">
        <v>1.0</v>
      </c>
      <c r="I3392" s="1">
        <v>2.0</v>
      </c>
      <c r="J3392" s="1">
        <v>204.0</v>
      </c>
      <c r="L3392" s="1">
        <v>9631564.0</v>
      </c>
      <c r="N3392" s="1">
        <v>9631564.0</v>
      </c>
      <c r="P3392" s="1" t="s">
        <v>12503</v>
      </c>
      <c r="Q3392" s="1" t="s">
        <v>12503</v>
      </c>
      <c r="R3392" s="1" t="s">
        <v>12504</v>
      </c>
      <c r="S3392" s="1">
        <v>0.0</v>
      </c>
      <c r="T3392" s="1">
        <v>0.0</v>
      </c>
      <c r="X3392" s="1" t="s">
        <v>29</v>
      </c>
    </row>
    <row r="3393">
      <c r="A3393" s="3" t="str">
        <f>HYPERLINK("https://stackoverflow.com/q/50027522", "50027522")</f>
        <v>50027522</v>
      </c>
      <c r="B3393" s="1" t="s">
        <v>11474</v>
      </c>
      <c r="C3393" s="1" t="s">
        <v>12505</v>
      </c>
      <c r="D3393" s="2" t="s">
        <v>12506</v>
      </c>
      <c r="E3393" s="1">
        <v>1.0</v>
      </c>
      <c r="I3393" s="1">
        <v>1.0</v>
      </c>
      <c r="J3393" s="1">
        <v>157.0</v>
      </c>
      <c r="L3393" s="1">
        <v>4127659.0</v>
      </c>
      <c r="N3393" s="1">
        <v>4127659.0</v>
      </c>
      <c r="P3393" s="1" t="s">
        <v>12507</v>
      </c>
      <c r="Q3393" s="1" t="s">
        <v>12508</v>
      </c>
      <c r="R3393" s="1" t="s">
        <v>12509</v>
      </c>
      <c r="S3393" s="1">
        <v>0.0</v>
      </c>
      <c r="T3393" s="1">
        <v>0.0</v>
      </c>
      <c r="X3393" s="1" t="s">
        <v>29</v>
      </c>
    </row>
    <row r="3394">
      <c r="A3394" s="3" t="str">
        <f>HYPERLINK("https://stackoverflow.com/q/50028775", "50028775")</f>
        <v>50028775</v>
      </c>
      <c r="B3394" s="1" t="s">
        <v>11474</v>
      </c>
      <c r="C3394" s="1" t="s">
        <v>12510</v>
      </c>
      <c r="D3394" s="2" t="s">
        <v>12511</v>
      </c>
      <c r="E3394" s="1">
        <v>1.0</v>
      </c>
      <c r="I3394" s="1">
        <v>4.0</v>
      </c>
      <c r="J3394" s="1">
        <v>112.0</v>
      </c>
      <c r="L3394" s="1">
        <v>193980.0</v>
      </c>
      <c r="N3394" s="1">
        <v>193980.0</v>
      </c>
      <c r="P3394" s="1" t="s">
        <v>12512</v>
      </c>
      <c r="Q3394" s="1" t="s">
        <v>12513</v>
      </c>
      <c r="R3394" s="1" t="s">
        <v>11837</v>
      </c>
      <c r="S3394" s="1">
        <v>1.0</v>
      </c>
      <c r="T3394" s="1">
        <v>5.0</v>
      </c>
      <c r="X3394" s="1" t="s">
        <v>29</v>
      </c>
    </row>
    <row r="3395">
      <c r="A3395" s="3" t="str">
        <f>HYPERLINK("https://stackoverflow.com/q/50168921", "50168921")</f>
        <v>50168921</v>
      </c>
      <c r="B3395" s="1" t="s">
        <v>11474</v>
      </c>
      <c r="C3395" s="1" t="s">
        <v>12514</v>
      </c>
      <c r="D3395" s="2" t="s">
        <v>12515</v>
      </c>
      <c r="E3395" s="1">
        <v>1.0</v>
      </c>
      <c r="I3395" s="1">
        <v>0.0</v>
      </c>
      <c r="J3395" s="1">
        <v>550.0</v>
      </c>
      <c r="L3395" s="1">
        <v>1860959.0</v>
      </c>
      <c r="N3395" s="1">
        <v>857727.0</v>
      </c>
      <c r="P3395" s="1" t="s">
        <v>12516</v>
      </c>
      <c r="Q3395" s="1" t="s">
        <v>12516</v>
      </c>
      <c r="R3395" s="1" t="s">
        <v>12517</v>
      </c>
      <c r="S3395" s="1">
        <v>0.0</v>
      </c>
      <c r="T3395" s="1">
        <v>2.0</v>
      </c>
      <c r="X3395" s="1" t="s">
        <v>56</v>
      </c>
    </row>
    <row r="3396">
      <c r="A3396" s="3" t="str">
        <f>HYPERLINK("https://stackoverflow.com/q/50267824", "50267824")</f>
        <v>50267824</v>
      </c>
      <c r="B3396" s="1" t="s">
        <v>11474</v>
      </c>
      <c r="C3396" s="1" t="s">
        <v>12518</v>
      </c>
      <c r="D3396" s="2" t="s">
        <v>12519</v>
      </c>
      <c r="E3396" s="1">
        <v>1.0</v>
      </c>
      <c r="F3396" s="1">
        <v>5.0384822E7</v>
      </c>
      <c r="I3396" s="1">
        <v>1.0</v>
      </c>
      <c r="J3396" s="1">
        <v>1150.0</v>
      </c>
      <c r="L3396" s="1">
        <v>7877160.0</v>
      </c>
      <c r="N3396" s="1">
        <v>9757721.0</v>
      </c>
      <c r="P3396" s="1" t="s">
        <v>12520</v>
      </c>
      <c r="Q3396" s="1" t="s">
        <v>12521</v>
      </c>
      <c r="R3396" s="1" t="s">
        <v>12522</v>
      </c>
      <c r="S3396" s="1">
        <v>3.0</v>
      </c>
      <c r="T3396" s="1">
        <v>0.0</v>
      </c>
      <c r="X3396" s="1" t="s">
        <v>56</v>
      </c>
      <c r="Z3396" s="1" t="s">
        <v>12523</v>
      </c>
    </row>
    <row r="3397">
      <c r="A3397" s="3" t="str">
        <f>HYPERLINK("https://stackoverflow.com/q/50299058", "50299058")</f>
        <v>50299058</v>
      </c>
      <c r="B3397" s="1" t="s">
        <v>11474</v>
      </c>
      <c r="C3397" s="1" t="s">
        <v>12524</v>
      </c>
      <c r="D3397" s="2" t="s">
        <v>12525</v>
      </c>
      <c r="E3397" s="1">
        <v>1.0</v>
      </c>
      <c r="F3397" s="1">
        <v>5.0299191E7</v>
      </c>
      <c r="I3397" s="1">
        <v>0.0</v>
      </c>
      <c r="J3397" s="1">
        <v>161.0</v>
      </c>
      <c r="L3397" s="1">
        <v>6923139.0</v>
      </c>
      <c r="Q3397" s="1" t="s">
        <v>12526</v>
      </c>
      <c r="R3397" s="1" t="s">
        <v>12527</v>
      </c>
      <c r="S3397" s="1">
        <v>1.0</v>
      </c>
      <c r="T3397" s="1">
        <v>0.0</v>
      </c>
      <c r="X3397" s="1" t="s">
        <v>56</v>
      </c>
      <c r="Z3397" s="1" t="s">
        <v>12526</v>
      </c>
    </row>
    <row r="3398">
      <c r="A3398" s="3" t="str">
        <f>HYPERLINK("https://stackoverflow.com/q/50378352", "50378352")</f>
        <v>50378352</v>
      </c>
      <c r="B3398" s="1" t="s">
        <v>11474</v>
      </c>
      <c r="C3398" s="1" t="s">
        <v>12528</v>
      </c>
      <c r="D3398" s="2" t="s">
        <v>12529</v>
      </c>
      <c r="E3398" s="1">
        <v>1.0</v>
      </c>
      <c r="I3398" s="1">
        <v>0.0</v>
      </c>
      <c r="J3398" s="1">
        <v>134.0</v>
      </c>
      <c r="L3398" s="1">
        <v>7195907.0</v>
      </c>
      <c r="Q3398" s="1" t="s">
        <v>12530</v>
      </c>
      <c r="R3398" s="1" t="s">
        <v>12531</v>
      </c>
      <c r="S3398" s="1">
        <v>1.0</v>
      </c>
      <c r="T3398" s="1">
        <v>2.0</v>
      </c>
      <c r="X3398" s="1" t="s">
        <v>56</v>
      </c>
    </row>
    <row r="3399">
      <c r="A3399" s="3" t="str">
        <f>HYPERLINK("https://stackoverflow.com/q/50407983", "50407983")</f>
        <v>50407983</v>
      </c>
      <c r="B3399" s="1" t="s">
        <v>11474</v>
      </c>
      <c r="C3399" s="1" t="s">
        <v>12532</v>
      </c>
      <c r="D3399" s="2" t="s">
        <v>12533</v>
      </c>
      <c r="E3399" s="1">
        <v>1.0</v>
      </c>
      <c r="I3399" s="1">
        <v>0.0</v>
      </c>
      <c r="J3399" s="1">
        <v>107.0</v>
      </c>
      <c r="L3399" s="1">
        <v>1633188.0</v>
      </c>
      <c r="Q3399" s="1" t="s">
        <v>12534</v>
      </c>
      <c r="R3399" s="1" t="s">
        <v>12535</v>
      </c>
      <c r="S3399" s="1">
        <v>1.0</v>
      </c>
      <c r="T3399" s="1">
        <v>0.0</v>
      </c>
      <c r="X3399" s="1" t="s">
        <v>56</v>
      </c>
    </row>
    <row r="3400">
      <c r="A3400" s="3" t="str">
        <f>HYPERLINK("https://stackoverflow.com/q/50427696", "50427696")</f>
        <v>50427696</v>
      </c>
      <c r="B3400" s="1" t="s">
        <v>11474</v>
      </c>
      <c r="C3400" s="1" t="s">
        <v>12536</v>
      </c>
      <c r="D3400" s="2" t="s">
        <v>12537</v>
      </c>
      <c r="E3400" s="1">
        <v>1.0</v>
      </c>
      <c r="I3400" s="1">
        <v>0.0</v>
      </c>
      <c r="J3400" s="1">
        <v>67.0</v>
      </c>
      <c r="L3400" s="1">
        <v>8242664.0</v>
      </c>
      <c r="Q3400" s="1" t="s">
        <v>12538</v>
      </c>
      <c r="R3400" s="1" t="s">
        <v>12539</v>
      </c>
      <c r="S3400" s="1">
        <v>1.0</v>
      </c>
      <c r="T3400" s="1">
        <v>0.0</v>
      </c>
      <c r="X3400" s="1" t="s">
        <v>56</v>
      </c>
    </row>
    <row r="3401">
      <c r="A3401" s="3" t="str">
        <f>HYPERLINK("https://stackoverflow.com/q/50491544", "50491544")</f>
        <v>50491544</v>
      </c>
      <c r="B3401" s="1" t="s">
        <v>11474</v>
      </c>
      <c r="C3401" s="1" t="s">
        <v>12540</v>
      </c>
      <c r="D3401" s="2" t="s">
        <v>12541</v>
      </c>
      <c r="E3401" s="1">
        <v>1.0</v>
      </c>
      <c r="I3401" s="1">
        <v>0.0</v>
      </c>
      <c r="J3401" s="1">
        <v>442.0</v>
      </c>
      <c r="L3401" s="1">
        <v>7519034.0</v>
      </c>
      <c r="Q3401" s="1" t="s">
        <v>12542</v>
      </c>
      <c r="R3401" s="1" t="s">
        <v>12543</v>
      </c>
      <c r="S3401" s="1">
        <v>1.0</v>
      </c>
      <c r="T3401" s="1">
        <v>3.0</v>
      </c>
      <c r="X3401" s="1" t="s">
        <v>56</v>
      </c>
    </row>
    <row r="3402">
      <c r="A3402" s="3" t="str">
        <f>HYPERLINK("https://stackoverflow.com/q/50512460", "50512460")</f>
        <v>50512460</v>
      </c>
      <c r="B3402" s="1" t="s">
        <v>11474</v>
      </c>
      <c r="C3402" s="1" t="s">
        <v>12544</v>
      </c>
      <c r="D3402" s="2" t="s">
        <v>12545</v>
      </c>
      <c r="E3402" s="1">
        <v>1.0</v>
      </c>
      <c r="I3402" s="1">
        <v>1.0</v>
      </c>
      <c r="J3402" s="1">
        <v>220.0</v>
      </c>
      <c r="L3402" s="1">
        <v>8696377.0</v>
      </c>
      <c r="N3402" s="1">
        <v>1.05325E7</v>
      </c>
      <c r="P3402" s="1" t="s">
        <v>12546</v>
      </c>
      <c r="Q3402" s="1" t="s">
        <v>12547</v>
      </c>
      <c r="R3402" s="1" t="s">
        <v>12548</v>
      </c>
      <c r="S3402" s="1">
        <v>1.0</v>
      </c>
      <c r="T3402" s="1">
        <v>0.0</v>
      </c>
      <c r="X3402" s="1" t="s">
        <v>56</v>
      </c>
    </row>
    <row r="3403">
      <c r="A3403" s="3" t="str">
        <f>HYPERLINK("https://stackoverflow.com/q/50591528", "50591528")</f>
        <v>50591528</v>
      </c>
      <c r="B3403" s="1" t="s">
        <v>11474</v>
      </c>
      <c r="C3403" s="1" t="s">
        <v>12549</v>
      </c>
      <c r="D3403" s="2" t="s">
        <v>12550</v>
      </c>
      <c r="E3403" s="1">
        <v>1.0</v>
      </c>
      <c r="F3403" s="1">
        <v>5.0591929E7</v>
      </c>
      <c r="I3403" s="1">
        <v>0.0</v>
      </c>
      <c r="J3403" s="1">
        <v>86.0</v>
      </c>
      <c r="L3403" s="1">
        <v>5306210.0</v>
      </c>
      <c r="N3403" s="1">
        <v>5306210.0</v>
      </c>
      <c r="P3403" s="1" t="s">
        <v>12551</v>
      </c>
      <c r="Q3403" s="1" t="s">
        <v>12552</v>
      </c>
      <c r="R3403" s="1" t="s">
        <v>12553</v>
      </c>
      <c r="S3403" s="1">
        <v>1.0</v>
      </c>
      <c r="T3403" s="1">
        <v>3.0</v>
      </c>
      <c r="X3403" s="1" t="s">
        <v>56</v>
      </c>
      <c r="Z3403" s="1" t="s">
        <v>12552</v>
      </c>
    </row>
    <row r="3404">
      <c r="A3404" s="3" t="str">
        <f>HYPERLINK("https://stackoverflow.com/q/50635277", "50635277")</f>
        <v>50635277</v>
      </c>
      <c r="B3404" s="1" t="s">
        <v>11474</v>
      </c>
      <c r="C3404" s="1" t="s">
        <v>12554</v>
      </c>
      <c r="D3404" s="2" t="s">
        <v>12555</v>
      </c>
      <c r="E3404" s="1">
        <v>1.0</v>
      </c>
      <c r="F3404" s="1">
        <v>5.0652906E7</v>
      </c>
      <c r="I3404" s="1">
        <v>1.0</v>
      </c>
      <c r="J3404" s="1">
        <v>389.0</v>
      </c>
      <c r="L3404" s="1">
        <v>5306210.0</v>
      </c>
      <c r="N3404" s="1">
        <v>5306210.0</v>
      </c>
      <c r="P3404" s="1" t="s">
        <v>12556</v>
      </c>
      <c r="Q3404" s="1" t="s">
        <v>12557</v>
      </c>
      <c r="R3404" s="1" t="s">
        <v>12558</v>
      </c>
      <c r="S3404" s="1">
        <v>1.0</v>
      </c>
      <c r="T3404" s="1">
        <v>0.0</v>
      </c>
      <c r="U3404" s="1">
        <v>0.0</v>
      </c>
      <c r="X3404" s="1" t="s">
        <v>56</v>
      </c>
      <c r="Z3404" s="1" t="s">
        <v>12557</v>
      </c>
    </row>
    <row r="3405">
      <c r="A3405" s="3" t="str">
        <f>HYPERLINK("https://stackoverflow.com/q/50752250", "50752250")</f>
        <v>50752250</v>
      </c>
      <c r="B3405" s="1" t="s">
        <v>11474</v>
      </c>
      <c r="C3405" s="1" t="s">
        <v>12559</v>
      </c>
      <c r="D3405" s="2" t="s">
        <v>12560</v>
      </c>
      <c r="E3405" s="1">
        <v>1.0</v>
      </c>
      <c r="I3405" s="1">
        <v>0.0</v>
      </c>
      <c r="J3405" s="1">
        <v>469.0</v>
      </c>
      <c r="L3405" s="1">
        <v>6927636.0</v>
      </c>
      <c r="N3405" s="1">
        <v>6927636.0</v>
      </c>
      <c r="P3405" s="1" t="s">
        <v>12561</v>
      </c>
      <c r="Q3405" s="1" t="s">
        <v>12562</v>
      </c>
      <c r="R3405" s="1" t="s">
        <v>11629</v>
      </c>
      <c r="S3405" s="1">
        <v>1.0</v>
      </c>
      <c r="T3405" s="1">
        <v>0.0</v>
      </c>
      <c r="V3405" s="1" t="s">
        <v>12563</v>
      </c>
      <c r="X3405" s="1" t="s">
        <v>56</v>
      </c>
    </row>
    <row r="3406">
      <c r="A3406" s="3" t="str">
        <f>HYPERLINK("https://stackoverflow.com/q/50783112", "50783112")</f>
        <v>50783112</v>
      </c>
      <c r="B3406" s="1" t="s">
        <v>11474</v>
      </c>
      <c r="C3406" s="1" t="s">
        <v>12564</v>
      </c>
      <c r="D3406" s="2" t="s">
        <v>12565</v>
      </c>
      <c r="E3406" s="1">
        <v>1.0</v>
      </c>
      <c r="F3406" s="1">
        <v>5.0783167E7</v>
      </c>
      <c r="I3406" s="1">
        <v>1.0</v>
      </c>
      <c r="J3406" s="1">
        <v>110.0</v>
      </c>
      <c r="L3406" s="1">
        <v>9674126.0</v>
      </c>
      <c r="N3406" s="1">
        <v>5375464.0</v>
      </c>
      <c r="P3406" s="1" t="s">
        <v>12566</v>
      </c>
      <c r="Q3406" s="1" t="s">
        <v>12567</v>
      </c>
      <c r="R3406" s="1" t="s">
        <v>12568</v>
      </c>
      <c r="S3406" s="1">
        <v>2.0</v>
      </c>
      <c r="T3406" s="1">
        <v>5.0</v>
      </c>
      <c r="X3406" s="1" t="s">
        <v>56</v>
      </c>
      <c r="Z3406" s="1" t="s">
        <v>12569</v>
      </c>
    </row>
    <row r="3407">
      <c r="A3407" s="3" t="str">
        <f>HYPERLINK("https://stackoverflow.com/q/50850661", "50850661")</f>
        <v>50850661</v>
      </c>
      <c r="B3407" s="1" t="s">
        <v>11474</v>
      </c>
      <c r="C3407" s="1" t="s">
        <v>12570</v>
      </c>
      <c r="D3407" s="2" t="s">
        <v>12571</v>
      </c>
      <c r="E3407" s="1">
        <v>1.0</v>
      </c>
      <c r="I3407" s="1">
        <v>0.0</v>
      </c>
      <c r="J3407" s="1">
        <v>834.0</v>
      </c>
      <c r="L3407" s="1">
        <v>395097.0</v>
      </c>
      <c r="Q3407" s="1" t="s">
        <v>12572</v>
      </c>
      <c r="R3407" s="1" t="s">
        <v>12573</v>
      </c>
      <c r="S3407" s="1">
        <v>1.0</v>
      </c>
      <c r="T3407" s="1">
        <v>0.0</v>
      </c>
      <c r="X3407" s="1" t="s">
        <v>56</v>
      </c>
    </row>
    <row r="3408">
      <c r="A3408" s="3" t="str">
        <f>HYPERLINK("https://stackoverflow.com/q/50872515", "50872515")</f>
        <v>50872515</v>
      </c>
      <c r="B3408" s="1" t="s">
        <v>11474</v>
      </c>
      <c r="C3408" s="1" t="s">
        <v>12574</v>
      </c>
      <c r="D3408" s="2" t="s">
        <v>12575</v>
      </c>
      <c r="E3408" s="1">
        <v>1.0</v>
      </c>
      <c r="I3408" s="1">
        <v>0.0</v>
      </c>
      <c r="J3408" s="1">
        <v>873.0</v>
      </c>
      <c r="L3408" s="1">
        <v>2649643.0</v>
      </c>
      <c r="N3408" s="1">
        <v>4944490.0</v>
      </c>
      <c r="P3408" s="1" t="s">
        <v>12576</v>
      </c>
      <c r="Q3408" s="1" t="s">
        <v>12577</v>
      </c>
      <c r="R3408" s="1" t="s">
        <v>12578</v>
      </c>
      <c r="S3408" s="1">
        <v>1.0</v>
      </c>
      <c r="T3408" s="1">
        <v>0.0</v>
      </c>
      <c r="X3408" s="1" t="s">
        <v>56</v>
      </c>
    </row>
    <row r="3409">
      <c r="A3409" s="3" t="str">
        <f>HYPERLINK("https://stackoverflow.com/q/50980779", "50980779")</f>
        <v>50980779</v>
      </c>
      <c r="B3409" s="1" t="s">
        <v>11474</v>
      </c>
      <c r="C3409" s="1" t="s">
        <v>12579</v>
      </c>
      <c r="D3409" s="2" t="s">
        <v>12580</v>
      </c>
      <c r="E3409" s="1">
        <v>1.0</v>
      </c>
      <c r="I3409" s="1">
        <v>1.0</v>
      </c>
      <c r="J3409" s="1">
        <v>2646.0</v>
      </c>
      <c r="L3409" s="1">
        <v>7561523.0</v>
      </c>
      <c r="N3409" s="1">
        <v>7561523.0</v>
      </c>
      <c r="P3409" s="1" t="s">
        <v>12581</v>
      </c>
      <c r="Q3409" s="1" t="s">
        <v>12582</v>
      </c>
      <c r="R3409" s="1" t="s">
        <v>11553</v>
      </c>
      <c r="S3409" s="1">
        <v>5.0</v>
      </c>
      <c r="T3409" s="1">
        <v>2.0</v>
      </c>
      <c r="X3409" s="1" t="s">
        <v>56</v>
      </c>
    </row>
    <row r="3410">
      <c r="A3410" s="3" t="str">
        <f>HYPERLINK("https://stackoverflow.com/q/51000955", "51000955")</f>
        <v>51000955</v>
      </c>
      <c r="B3410" s="1" t="s">
        <v>11474</v>
      </c>
      <c r="C3410" s="1" t="s">
        <v>12583</v>
      </c>
      <c r="D3410" s="2" t="s">
        <v>12584</v>
      </c>
      <c r="E3410" s="1">
        <v>1.0</v>
      </c>
      <c r="F3410" s="1">
        <v>5.1001395E7</v>
      </c>
      <c r="I3410" s="1">
        <v>0.0</v>
      </c>
      <c r="J3410" s="1">
        <v>294.0</v>
      </c>
      <c r="L3410" s="1">
        <v>7133015.0</v>
      </c>
      <c r="Q3410" s="1" t="s">
        <v>12585</v>
      </c>
      <c r="R3410" s="1" t="s">
        <v>12586</v>
      </c>
      <c r="S3410" s="1">
        <v>2.0</v>
      </c>
      <c r="T3410" s="1">
        <v>0.0</v>
      </c>
      <c r="X3410" s="1" t="s">
        <v>56</v>
      </c>
      <c r="Z3410" s="1" t="s">
        <v>12587</v>
      </c>
    </row>
    <row r="3411">
      <c r="A3411" s="3" t="str">
        <f>HYPERLINK("https://stackoverflow.com/q/51079139", "51079139")</f>
        <v>51079139</v>
      </c>
      <c r="B3411" s="1" t="s">
        <v>11474</v>
      </c>
      <c r="C3411" s="1" t="s">
        <v>12588</v>
      </c>
      <c r="D3411" s="2" t="s">
        <v>12589</v>
      </c>
      <c r="E3411" s="1">
        <v>1.0</v>
      </c>
      <c r="F3411" s="1">
        <v>5.1207126E7</v>
      </c>
      <c r="I3411" s="1">
        <v>0.0</v>
      </c>
      <c r="J3411" s="1">
        <v>234.0</v>
      </c>
      <c r="L3411" s="1">
        <v>32322.0</v>
      </c>
      <c r="N3411" s="1">
        <v>1554616.0</v>
      </c>
      <c r="P3411" s="1" t="s">
        <v>12590</v>
      </c>
      <c r="Q3411" s="1" t="s">
        <v>12591</v>
      </c>
      <c r="R3411" s="1" t="s">
        <v>12592</v>
      </c>
      <c r="S3411" s="1">
        <v>1.0</v>
      </c>
      <c r="T3411" s="1">
        <v>0.0</v>
      </c>
      <c r="X3411" s="1" t="s">
        <v>56</v>
      </c>
      <c r="Z3411" s="1" t="s">
        <v>12591</v>
      </c>
    </row>
    <row r="3412">
      <c r="A3412" s="3" t="str">
        <f>HYPERLINK("https://stackoverflow.com/q/51303561", "51303561")</f>
        <v>51303561</v>
      </c>
      <c r="B3412" s="1" t="s">
        <v>11474</v>
      </c>
      <c r="C3412" s="1" t="s">
        <v>12593</v>
      </c>
      <c r="D3412" s="2" t="s">
        <v>12594</v>
      </c>
      <c r="E3412" s="1">
        <v>1.0</v>
      </c>
      <c r="I3412" s="1">
        <v>0.0</v>
      </c>
      <c r="J3412" s="1">
        <v>593.0</v>
      </c>
      <c r="L3412" s="1">
        <v>2955301.0</v>
      </c>
      <c r="N3412" s="1">
        <v>1.0908769E7</v>
      </c>
      <c r="P3412" s="1" t="s">
        <v>12595</v>
      </c>
      <c r="Q3412" s="1" t="s">
        <v>12595</v>
      </c>
      <c r="R3412" s="1" t="s">
        <v>11596</v>
      </c>
      <c r="S3412" s="1">
        <v>1.0</v>
      </c>
      <c r="T3412" s="1">
        <v>0.0</v>
      </c>
      <c r="X3412" s="1" t="s">
        <v>56</v>
      </c>
    </row>
    <row r="3413">
      <c r="A3413" s="3" t="str">
        <f>HYPERLINK("https://stackoverflow.com/q/51312073", "51312073")</f>
        <v>51312073</v>
      </c>
      <c r="B3413" s="1" t="s">
        <v>11474</v>
      </c>
      <c r="C3413" s="1" t="s">
        <v>12596</v>
      </c>
      <c r="D3413" s="2" t="s">
        <v>12597</v>
      </c>
      <c r="E3413" s="1">
        <v>1.0</v>
      </c>
      <c r="F3413" s="1">
        <v>5.1312324E7</v>
      </c>
      <c r="I3413" s="1">
        <v>0.0</v>
      </c>
      <c r="J3413" s="1">
        <v>546.0</v>
      </c>
      <c r="L3413" s="1">
        <v>9615630.0</v>
      </c>
      <c r="N3413" s="1">
        <v>9615630.0</v>
      </c>
      <c r="P3413" s="1" t="s">
        <v>12598</v>
      </c>
      <c r="Q3413" s="1" t="s">
        <v>12599</v>
      </c>
      <c r="R3413" s="1" t="s">
        <v>12600</v>
      </c>
      <c r="S3413" s="1">
        <v>1.0</v>
      </c>
      <c r="T3413" s="1">
        <v>2.0</v>
      </c>
      <c r="X3413" s="1" t="s">
        <v>56</v>
      </c>
      <c r="Z3413" s="1" t="s">
        <v>12599</v>
      </c>
    </row>
    <row r="3414">
      <c r="A3414" s="3" t="str">
        <f>HYPERLINK("https://stackoverflow.com/q/51352265", "51352265")</f>
        <v>51352265</v>
      </c>
      <c r="B3414" s="1" t="s">
        <v>11474</v>
      </c>
      <c r="C3414" s="1" t="s">
        <v>12601</v>
      </c>
      <c r="D3414" s="2" t="s">
        <v>12602</v>
      </c>
      <c r="E3414" s="1">
        <v>1.0</v>
      </c>
      <c r="F3414" s="1">
        <v>5.1362453E7</v>
      </c>
      <c r="I3414" s="1">
        <v>2.0</v>
      </c>
      <c r="J3414" s="1">
        <v>2597.0</v>
      </c>
      <c r="L3414" s="1">
        <v>1.0085184E7</v>
      </c>
      <c r="N3414" s="1">
        <v>1602555.0</v>
      </c>
      <c r="P3414" s="1" t="s">
        <v>12603</v>
      </c>
      <c r="Q3414" s="1" t="s">
        <v>12604</v>
      </c>
      <c r="R3414" s="1" t="s">
        <v>12605</v>
      </c>
      <c r="S3414" s="1">
        <v>2.0</v>
      </c>
      <c r="T3414" s="1">
        <v>0.0</v>
      </c>
      <c r="X3414" s="1" t="s">
        <v>56</v>
      </c>
      <c r="Z3414" s="1" t="s">
        <v>12606</v>
      </c>
    </row>
    <row r="3415">
      <c r="A3415" s="3" t="str">
        <f>HYPERLINK("https://stackoverflow.com/q/51360587", "51360587")</f>
        <v>51360587</v>
      </c>
      <c r="B3415" s="1" t="s">
        <v>11474</v>
      </c>
      <c r="C3415" s="1" t="s">
        <v>12607</v>
      </c>
      <c r="D3415" s="2" t="s">
        <v>12608</v>
      </c>
      <c r="E3415" s="1">
        <v>1.0</v>
      </c>
      <c r="F3415" s="1">
        <v>5.1420657E7</v>
      </c>
      <c r="I3415" s="1">
        <v>7.0</v>
      </c>
      <c r="J3415" s="1">
        <v>426.0</v>
      </c>
      <c r="L3415" s="1">
        <v>8919244.0</v>
      </c>
      <c r="N3415" s="1">
        <v>2202537.0</v>
      </c>
      <c r="P3415" s="1" t="s">
        <v>12609</v>
      </c>
      <c r="Q3415" s="1" t="s">
        <v>12609</v>
      </c>
      <c r="R3415" s="1" t="s">
        <v>12610</v>
      </c>
      <c r="S3415" s="1">
        <v>2.0</v>
      </c>
      <c r="T3415" s="1">
        <v>11.0</v>
      </c>
      <c r="U3415" s="1">
        <v>3.0</v>
      </c>
      <c r="X3415" s="1" t="s">
        <v>56</v>
      </c>
      <c r="Z3415" s="1" t="s">
        <v>12611</v>
      </c>
    </row>
    <row r="3416">
      <c r="A3416" s="3" t="str">
        <f>HYPERLINK("https://stackoverflow.com/q/51389551", "51389551")</f>
        <v>51389551</v>
      </c>
      <c r="B3416" s="1" t="s">
        <v>11474</v>
      </c>
      <c r="C3416" s="1" t="s">
        <v>12612</v>
      </c>
      <c r="D3416" s="2" t="s">
        <v>12613</v>
      </c>
      <c r="E3416" s="1">
        <v>1.0</v>
      </c>
      <c r="I3416" s="1">
        <v>1.0</v>
      </c>
      <c r="J3416" s="1">
        <v>225.0</v>
      </c>
      <c r="L3416" s="1">
        <v>3693606.0</v>
      </c>
      <c r="Q3416" s="1" t="s">
        <v>12614</v>
      </c>
      <c r="R3416" s="1" t="s">
        <v>12615</v>
      </c>
      <c r="S3416" s="1">
        <v>1.0</v>
      </c>
      <c r="T3416" s="1">
        <v>2.0</v>
      </c>
      <c r="X3416" s="1" t="s">
        <v>56</v>
      </c>
    </row>
    <row r="3417">
      <c r="A3417" s="3" t="str">
        <f>HYPERLINK("https://stackoverflow.com/q/51432021", "51432021")</f>
        <v>51432021</v>
      </c>
      <c r="B3417" s="1" t="s">
        <v>11474</v>
      </c>
      <c r="C3417" s="1" t="s">
        <v>12616</v>
      </c>
      <c r="D3417" s="2" t="s">
        <v>12617</v>
      </c>
      <c r="E3417" s="1">
        <v>1.0</v>
      </c>
      <c r="I3417" s="1">
        <v>1.0</v>
      </c>
      <c r="J3417" s="1">
        <v>68.0</v>
      </c>
      <c r="L3417" s="1">
        <v>1.0085184E7</v>
      </c>
      <c r="Q3417" s="1" t="s">
        <v>12616</v>
      </c>
      <c r="R3417" s="1" t="s">
        <v>12618</v>
      </c>
      <c r="S3417" s="1">
        <v>0.0</v>
      </c>
      <c r="T3417" s="1">
        <v>0.0</v>
      </c>
      <c r="X3417" s="1" t="s">
        <v>56</v>
      </c>
    </row>
    <row r="3418">
      <c r="A3418" s="3" t="str">
        <f>HYPERLINK("https://stackoverflow.com/q/51464538", "51464538")</f>
        <v>51464538</v>
      </c>
      <c r="B3418" s="1" t="s">
        <v>11474</v>
      </c>
      <c r="C3418" s="1" t="s">
        <v>12619</v>
      </c>
      <c r="D3418" s="2" t="s">
        <v>12620</v>
      </c>
      <c r="E3418" s="1">
        <v>1.0</v>
      </c>
      <c r="F3418" s="1">
        <v>5.1466191E7</v>
      </c>
      <c r="I3418" s="1">
        <v>1.0</v>
      </c>
      <c r="J3418" s="1">
        <v>237.0</v>
      </c>
      <c r="L3418" s="1">
        <v>8622150.0</v>
      </c>
      <c r="Q3418" s="1" t="s">
        <v>12621</v>
      </c>
      <c r="R3418" s="1" t="s">
        <v>12622</v>
      </c>
      <c r="S3418" s="1">
        <v>1.0</v>
      </c>
      <c r="T3418" s="1">
        <v>3.0</v>
      </c>
      <c r="X3418" s="1" t="s">
        <v>56</v>
      </c>
      <c r="Z3418" s="1" t="s">
        <v>12623</v>
      </c>
    </row>
    <row r="3419">
      <c r="A3419" s="3" t="str">
        <f>HYPERLINK("https://stackoverflow.com/q/51480081", "51480081")</f>
        <v>51480081</v>
      </c>
      <c r="B3419" s="1" t="s">
        <v>11474</v>
      </c>
      <c r="C3419" s="1" t="s">
        <v>12624</v>
      </c>
      <c r="D3419" s="2" t="s">
        <v>12625</v>
      </c>
      <c r="E3419" s="1">
        <v>1.0</v>
      </c>
      <c r="I3419" s="1">
        <v>3.0</v>
      </c>
      <c r="J3419" s="1">
        <v>1316.0</v>
      </c>
      <c r="L3419" s="1">
        <v>2310594.0</v>
      </c>
      <c r="Q3419" s="1" t="s">
        <v>12626</v>
      </c>
      <c r="R3419" s="1" t="s">
        <v>12627</v>
      </c>
      <c r="S3419" s="1">
        <v>3.0</v>
      </c>
      <c r="T3419" s="1">
        <v>0.0</v>
      </c>
      <c r="U3419" s="1">
        <v>1.0</v>
      </c>
      <c r="X3419" s="1" t="s">
        <v>56</v>
      </c>
    </row>
    <row r="3420">
      <c r="A3420" s="3" t="str">
        <f>HYPERLINK("https://stackoverflow.com/q/51603118", "51603118")</f>
        <v>51603118</v>
      </c>
      <c r="B3420" s="1" t="s">
        <v>11474</v>
      </c>
      <c r="C3420" s="1" t="s">
        <v>12628</v>
      </c>
      <c r="D3420" s="2" t="s">
        <v>12629</v>
      </c>
      <c r="E3420" s="1">
        <v>1.0</v>
      </c>
      <c r="I3420" s="1">
        <v>0.0</v>
      </c>
      <c r="J3420" s="1">
        <v>650.0</v>
      </c>
      <c r="L3420" s="1">
        <v>7405950.0</v>
      </c>
      <c r="Q3420" s="1" t="s">
        <v>12630</v>
      </c>
      <c r="R3420" s="1" t="s">
        <v>12631</v>
      </c>
      <c r="S3420" s="1">
        <v>1.0</v>
      </c>
      <c r="T3420" s="1">
        <v>0.0</v>
      </c>
      <c r="X3420" s="1" t="s">
        <v>56</v>
      </c>
    </row>
    <row r="3421">
      <c r="A3421" s="3" t="str">
        <f>HYPERLINK("https://stackoverflow.com/q/51612458", "51612458")</f>
        <v>51612458</v>
      </c>
      <c r="B3421" s="1" t="s">
        <v>11474</v>
      </c>
      <c r="C3421" s="1" t="s">
        <v>12632</v>
      </c>
      <c r="D3421" s="2" t="s">
        <v>12633</v>
      </c>
      <c r="E3421" s="1">
        <v>1.0</v>
      </c>
      <c r="F3421" s="1">
        <v>5.2101304E7</v>
      </c>
      <c r="I3421" s="1">
        <v>0.0</v>
      </c>
      <c r="J3421" s="1">
        <v>226.0</v>
      </c>
      <c r="L3421" s="1">
        <v>6641245.0</v>
      </c>
      <c r="Q3421" s="1" t="s">
        <v>12634</v>
      </c>
      <c r="R3421" s="1" t="s">
        <v>12522</v>
      </c>
      <c r="S3421" s="1">
        <v>1.0</v>
      </c>
      <c r="T3421" s="1">
        <v>0.0</v>
      </c>
      <c r="X3421" s="1" t="s">
        <v>56</v>
      </c>
      <c r="Z3421" s="1" t="s">
        <v>12634</v>
      </c>
    </row>
    <row r="3422">
      <c r="A3422" s="3" t="str">
        <f>HYPERLINK("https://stackoverflow.com/q/51649558", "51649558")</f>
        <v>51649558</v>
      </c>
      <c r="B3422" s="1" t="s">
        <v>11474</v>
      </c>
      <c r="C3422" s="1" t="s">
        <v>12635</v>
      </c>
      <c r="D3422" s="2" t="s">
        <v>12636</v>
      </c>
      <c r="E3422" s="1">
        <v>1.0</v>
      </c>
      <c r="I3422" s="1">
        <v>0.0</v>
      </c>
      <c r="J3422" s="1">
        <v>117.0</v>
      </c>
      <c r="L3422" s="1">
        <v>1837052.0</v>
      </c>
      <c r="Q3422" s="1" t="s">
        <v>12637</v>
      </c>
      <c r="R3422" s="1" t="s">
        <v>12374</v>
      </c>
      <c r="S3422" s="1">
        <v>1.0</v>
      </c>
      <c r="T3422" s="1">
        <v>0.0</v>
      </c>
      <c r="X3422" s="1" t="s">
        <v>56</v>
      </c>
    </row>
    <row r="3423">
      <c r="A3423" s="3" t="str">
        <f>HYPERLINK("https://stackoverflow.com/q/51665421", "51665421")</f>
        <v>51665421</v>
      </c>
      <c r="B3423" s="1" t="s">
        <v>11474</v>
      </c>
      <c r="C3423" s="1" t="s">
        <v>12638</v>
      </c>
      <c r="D3423" s="2" t="s">
        <v>12639</v>
      </c>
      <c r="E3423" s="1">
        <v>1.0</v>
      </c>
      <c r="F3423" s="1">
        <v>5.1665556E7</v>
      </c>
      <c r="I3423" s="1">
        <v>0.0</v>
      </c>
      <c r="J3423" s="1">
        <v>207.0</v>
      </c>
      <c r="L3423" s="1">
        <v>9186879.0</v>
      </c>
      <c r="Q3423" s="1" t="s">
        <v>12640</v>
      </c>
      <c r="R3423" s="1" t="s">
        <v>12641</v>
      </c>
      <c r="S3423" s="1">
        <v>1.0</v>
      </c>
      <c r="T3423" s="1">
        <v>0.0</v>
      </c>
      <c r="X3423" s="1" t="s">
        <v>56</v>
      </c>
      <c r="Z3423" s="1" t="s">
        <v>12640</v>
      </c>
    </row>
    <row r="3424">
      <c r="A3424" s="3" t="str">
        <f>HYPERLINK("https://stackoverflow.com/q/51678234", "51678234")</f>
        <v>51678234</v>
      </c>
      <c r="B3424" s="1" t="s">
        <v>11474</v>
      </c>
      <c r="C3424" s="1" t="s">
        <v>12642</v>
      </c>
      <c r="D3424" s="2" t="s">
        <v>12643</v>
      </c>
      <c r="E3424" s="1">
        <v>1.0</v>
      </c>
      <c r="F3424" s="1">
        <v>5.1680489E7</v>
      </c>
      <c r="I3424" s="1">
        <v>0.0</v>
      </c>
      <c r="J3424" s="1">
        <v>535.0</v>
      </c>
      <c r="L3424" s="1">
        <v>4851566.0</v>
      </c>
      <c r="Q3424" s="1" t="s">
        <v>12644</v>
      </c>
      <c r="R3424" s="1" t="s">
        <v>12645</v>
      </c>
      <c r="S3424" s="1">
        <v>1.0</v>
      </c>
      <c r="T3424" s="1">
        <v>0.0</v>
      </c>
      <c r="X3424" s="1" t="s">
        <v>56</v>
      </c>
      <c r="Z3424" s="1" t="s">
        <v>12646</v>
      </c>
    </row>
    <row r="3425">
      <c r="A3425" s="3" t="str">
        <f>HYPERLINK("https://stackoverflow.com/q/51828297", "51828297")</f>
        <v>51828297</v>
      </c>
      <c r="B3425" s="1" t="s">
        <v>11474</v>
      </c>
      <c r="C3425" s="1" t="s">
        <v>12647</v>
      </c>
      <c r="D3425" s="2" t="s">
        <v>12648</v>
      </c>
      <c r="E3425" s="1">
        <v>1.0</v>
      </c>
      <c r="I3425" s="1">
        <v>1.0</v>
      </c>
      <c r="J3425" s="1">
        <v>388.0</v>
      </c>
      <c r="L3425" s="1">
        <v>1384645.0</v>
      </c>
      <c r="Q3425" s="1" t="s">
        <v>12649</v>
      </c>
      <c r="R3425" s="1" t="s">
        <v>11596</v>
      </c>
      <c r="S3425" s="1">
        <v>1.0</v>
      </c>
      <c r="T3425" s="1">
        <v>0.0</v>
      </c>
      <c r="X3425" s="1" t="s">
        <v>56</v>
      </c>
    </row>
    <row r="3426">
      <c r="A3426" s="3" t="str">
        <f>HYPERLINK("https://stackoverflow.com/q/51876478", "51876478")</f>
        <v>51876478</v>
      </c>
      <c r="B3426" s="1" t="s">
        <v>11474</v>
      </c>
      <c r="C3426" s="1" t="s">
        <v>12650</v>
      </c>
      <c r="D3426" s="2" t="s">
        <v>12651</v>
      </c>
      <c r="E3426" s="1">
        <v>1.0</v>
      </c>
      <c r="I3426" s="1">
        <v>1.0</v>
      </c>
      <c r="J3426" s="1">
        <v>373.0</v>
      </c>
      <c r="L3426" s="1">
        <v>3082989.0</v>
      </c>
      <c r="Q3426" s="1" t="s">
        <v>12652</v>
      </c>
      <c r="R3426" s="1" t="s">
        <v>12653</v>
      </c>
      <c r="S3426" s="1">
        <v>1.0</v>
      </c>
      <c r="T3426" s="1">
        <v>0.0</v>
      </c>
      <c r="X3426" s="1" t="s">
        <v>56</v>
      </c>
    </row>
    <row r="3427">
      <c r="A3427" s="3" t="str">
        <f>HYPERLINK("https://stackoverflow.com/q/51964843", "51964843")</f>
        <v>51964843</v>
      </c>
      <c r="B3427" s="1" t="s">
        <v>11474</v>
      </c>
      <c r="C3427" s="1" t="s">
        <v>12654</v>
      </c>
      <c r="D3427" s="2" t="s">
        <v>12655</v>
      </c>
      <c r="E3427" s="1">
        <v>1.0</v>
      </c>
      <c r="I3427" s="1">
        <v>0.0</v>
      </c>
      <c r="J3427" s="1">
        <v>480.0</v>
      </c>
      <c r="L3427" s="1">
        <v>7360695.0</v>
      </c>
      <c r="Q3427" s="1" t="s">
        <v>12656</v>
      </c>
      <c r="R3427" s="1" t="s">
        <v>12657</v>
      </c>
      <c r="S3427" s="1">
        <v>2.0</v>
      </c>
      <c r="T3427" s="1">
        <v>0.0</v>
      </c>
      <c r="U3427" s="1">
        <v>1.0</v>
      </c>
      <c r="X3427" s="1" t="s">
        <v>56</v>
      </c>
    </row>
    <row r="3428">
      <c r="A3428" s="3" t="str">
        <f>HYPERLINK("https://stackoverflow.com/q/51973751", "51973751")</f>
        <v>51973751</v>
      </c>
      <c r="B3428" s="1" t="s">
        <v>11474</v>
      </c>
      <c r="C3428" s="1" t="s">
        <v>12658</v>
      </c>
      <c r="D3428" s="2" t="s">
        <v>12659</v>
      </c>
      <c r="E3428" s="1">
        <v>1.0</v>
      </c>
      <c r="F3428" s="1">
        <v>5.1988843E7</v>
      </c>
      <c r="I3428" s="1">
        <v>1.0</v>
      </c>
      <c r="J3428" s="1">
        <v>2739.0</v>
      </c>
      <c r="L3428" s="1">
        <v>8593412.0</v>
      </c>
      <c r="Q3428" s="1" t="s">
        <v>12660</v>
      </c>
      <c r="R3428" s="1" t="s">
        <v>12661</v>
      </c>
      <c r="S3428" s="1">
        <v>2.0</v>
      </c>
      <c r="T3428" s="1">
        <v>0.0</v>
      </c>
      <c r="U3428" s="1">
        <v>1.0</v>
      </c>
      <c r="X3428" s="1" t="s">
        <v>56</v>
      </c>
      <c r="Z3428" s="1" t="s">
        <v>12662</v>
      </c>
    </row>
    <row r="3429">
      <c r="A3429" s="3" t="str">
        <f>HYPERLINK("https://stackoverflow.com/q/52023042", "52023042")</f>
        <v>52023042</v>
      </c>
      <c r="B3429" s="1" t="s">
        <v>11474</v>
      </c>
      <c r="C3429" s="1" t="s">
        <v>12663</v>
      </c>
      <c r="D3429" s="2" t="s">
        <v>12664</v>
      </c>
      <c r="E3429" s="1">
        <v>1.0</v>
      </c>
      <c r="I3429" s="1">
        <v>0.0</v>
      </c>
      <c r="J3429" s="1">
        <v>1009.0</v>
      </c>
      <c r="L3429" s="1">
        <v>1.0274821E7</v>
      </c>
      <c r="N3429" s="1">
        <v>490454.0</v>
      </c>
      <c r="P3429" s="1" t="s">
        <v>12665</v>
      </c>
      <c r="Q3429" s="1" t="s">
        <v>12665</v>
      </c>
      <c r="R3429" s="1" t="s">
        <v>11567</v>
      </c>
      <c r="S3429" s="1">
        <v>0.0</v>
      </c>
      <c r="T3429" s="1">
        <v>9.0</v>
      </c>
      <c r="X3429" s="1" t="s">
        <v>56</v>
      </c>
    </row>
    <row r="3430">
      <c r="A3430" s="3" t="str">
        <f>HYPERLINK("https://stackoverflow.com/q/52046824", "52046824")</f>
        <v>52046824</v>
      </c>
      <c r="B3430" s="1" t="s">
        <v>11474</v>
      </c>
      <c r="C3430" s="1" t="s">
        <v>12666</v>
      </c>
      <c r="D3430" s="2" t="s">
        <v>12667</v>
      </c>
      <c r="E3430" s="1">
        <v>1.0</v>
      </c>
      <c r="I3430" s="1">
        <v>0.0</v>
      </c>
      <c r="J3430" s="1">
        <v>61.0</v>
      </c>
      <c r="L3430" s="1">
        <v>1.012146E7</v>
      </c>
      <c r="N3430" s="1">
        <v>1.012146E7</v>
      </c>
      <c r="P3430" s="1" t="s">
        <v>12668</v>
      </c>
      <c r="Q3430" s="1" t="s">
        <v>12668</v>
      </c>
      <c r="R3430" s="1" t="s">
        <v>12669</v>
      </c>
      <c r="S3430" s="1">
        <v>0.0</v>
      </c>
      <c r="T3430" s="1">
        <v>2.0</v>
      </c>
      <c r="X3430" s="1" t="s">
        <v>56</v>
      </c>
    </row>
    <row r="3431">
      <c r="A3431" s="3" t="str">
        <f>HYPERLINK("https://stackoverflow.com/q/52083694", "52083694")</f>
        <v>52083694</v>
      </c>
      <c r="B3431" s="1" t="s">
        <v>11474</v>
      </c>
      <c r="C3431" s="1" t="s">
        <v>12670</v>
      </c>
      <c r="D3431" s="2" t="s">
        <v>12671</v>
      </c>
      <c r="E3431" s="1">
        <v>1.0</v>
      </c>
      <c r="F3431" s="1">
        <v>5.2087461E7</v>
      </c>
      <c r="I3431" s="1">
        <v>0.0</v>
      </c>
      <c r="J3431" s="1">
        <v>341.0</v>
      </c>
      <c r="L3431" s="1">
        <v>7717686.0</v>
      </c>
      <c r="Q3431" s="1" t="s">
        <v>12672</v>
      </c>
      <c r="R3431" s="1" t="s">
        <v>12673</v>
      </c>
      <c r="S3431" s="1">
        <v>1.0</v>
      </c>
      <c r="T3431" s="1">
        <v>0.0</v>
      </c>
      <c r="X3431" s="1" t="s">
        <v>56</v>
      </c>
      <c r="Z3431" s="1" t="s">
        <v>12672</v>
      </c>
    </row>
    <row r="3432">
      <c r="A3432" s="3" t="str">
        <f>HYPERLINK("https://stackoverflow.com/q/52144934", "52144934")</f>
        <v>52144934</v>
      </c>
      <c r="B3432" s="1" t="s">
        <v>11474</v>
      </c>
      <c r="C3432" s="1" t="s">
        <v>12674</v>
      </c>
      <c r="D3432" s="2" t="s">
        <v>12675</v>
      </c>
      <c r="E3432" s="1">
        <v>1.0</v>
      </c>
      <c r="I3432" s="1">
        <v>2.0</v>
      </c>
      <c r="J3432" s="1">
        <v>642.0</v>
      </c>
      <c r="L3432" s="1">
        <v>7561523.0</v>
      </c>
      <c r="N3432" s="1">
        <v>7561523.0</v>
      </c>
      <c r="P3432" s="1" t="s">
        <v>12676</v>
      </c>
      <c r="Q3432" s="1" t="s">
        <v>12676</v>
      </c>
      <c r="R3432" s="1" t="s">
        <v>11596</v>
      </c>
      <c r="S3432" s="1">
        <v>1.0</v>
      </c>
      <c r="T3432" s="1">
        <v>2.0</v>
      </c>
      <c r="X3432" s="1" t="s">
        <v>56</v>
      </c>
    </row>
    <row r="3433">
      <c r="A3433" s="3" t="str">
        <f>HYPERLINK("https://stackoverflow.com/q/52145113", "52145113")</f>
        <v>52145113</v>
      </c>
      <c r="B3433" s="1" t="s">
        <v>11474</v>
      </c>
      <c r="C3433" s="1" t="s">
        <v>12677</v>
      </c>
      <c r="D3433" s="2" t="s">
        <v>12678</v>
      </c>
      <c r="E3433" s="1">
        <v>1.0</v>
      </c>
      <c r="I3433" s="1">
        <v>0.0</v>
      </c>
      <c r="J3433" s="1">
        <v>970.0</v>
      </c>
      <c r="L3433" s="1">
        <v>7561523.0</v>
      </c>
      <c r="Q3433" s="1" t="s">
        <v>12679</v>
      </c>
      <c r="R3433" s="1" t="s">
        <v>11596</v>
      </c>
      <c r="S3433" s="1">
        <v>2.0</v>
      </c>
      <c r="T3433" s="1">
        <v>0.0</v>
      </c>
      <c r="X3433" s="1" t="s">
        <v>56</v>
      </c>
    </row>
    <row r="3434">
      <c r="A3434" s="3" t="str">
        <f>HYPERLINK("https://stackoverflow.com/q/52163958", "52163958")</f>
        <v>52163958</v>
      </c>
      <c r="B3434" s="1" t="s">
        <v>11474</v>
      </c>
      <c r="C3434" s="1" t="s">
        <v>12680</v>
      </c>
      <c r="D3434" s="2" t="s">
        <v>12681</v>
      </c>
      <c r="E3434" s="1">
        <v>1.0</v>
      </c>
      <c r="F3434" s="1">
        <v>5.2276515E7</v>
      </c>
      <c r="I3434" s="1">
        <v>0.0</v>
      </c>
      <c r="J3434" s="1">
        <v>454.0</v>
      </c>
      <c r="L3434" s="1">
        <v>1.012146E7</v>
      </c>
      <c r="N3434" s="1">
        <v>1.012146E7</v>
      </c>
      <c r="P3434" s="1" t="s">
        <v>12682</v>
      </c>
      <c r="Q3434" s="1" t="s">
        <v>12682</v>
      </c>
      <c r="R3434" s="1" t="s">
        <v>12683</v>
      </c>
      <c r="S3434" s="1">
        <v>1.0</v>
      </c>
      <c r="T3434" s="1">
        <v>3.0</v>
      </c>
      <c r="X3434" s="1" t="s">
        <v>56</v>
      </c>
      <c r="Z3434" s="1" t="s">
        <v>12684</v>
      </c>
    </row>
    <row r="3435">
      <c r="A3435" s="3" t="str">
        <f>HYPERLINK("https://stackoverflow.com/q/52294271", "52294271")</f>
        <v>52294271</v>
      </c>
      <c r="B3435" s="1" t="s">
        <v>11474</v>
      </c>
      <c r="C3435" s="1" t="s">
        <v>12685</v>
      </c>
      <c r="D3435" s="2" t="s">
        <v>12686</v>
      </c>
      <c r="E3435" s="1">
        <v>1.0</v>
      </c>
      <c r="I3435" s="1">
        <v>0.0</v>
      </c>
      <c r="J3435" s="1">
        <v>493.0</v>
      </c>
      <c r="L3435" s="1">
        <v>134823.0</v>
      </c>
      <c r="Q3435" s="1" t="s">
        <v>12687</v>
      </c>
      <c r="R3435" s="1" t="s">
        <v>12688</v>
      </c>
      <c r="S3435" s="1">
        <v>2.0</v>
      </c>
      <c r="T3435" s="1">
        <v>0.0</v>
      </c>
      <c r="X3435" s="1" t="s">
        <v>56</v>
      </c>
    </row>
    <row r="3436">
      <c r="A3436" s="3" t="str">
        <f>HYPERLINK("https://stackoverflow.com/q/52296498", "52296498")</f>
        <v>52296498</v>
      </c>
      <c r="B3436" s="1" t="s">
        <v>11474</v>
      </c>
      <c r="C3436" s="1" t="s">
        <v>12689</v>
      </c>
      <c r="D3436" s="2" t="s">
        <v>12690</v>
      </c>
      <c r="E3436" s="1">
        <v>1.0</v>
      </c>
      <c r="I3436" s="1">
        <v>0.0</v>
      </c>
      <c r="J3436" s="1">
        <v>155.0</v>
      </c>
      <c r="L3436" s="1">
        <v>8552125.0</v>
      </c>
      <c r="N3436" s="1">
        <v>8552125.0</v>
      </c>
      <c r="P3436" s="1" t="s">
        <v>12691</v>
      </c>
      <c r="Q3436" s="1" t="s">
        <v>12691</v>
      </c>
      <c r="R3436" s="1" t="s">
        <v>12437</v>
      </c>
      <c r="S3436" s="1">
        <v>1.0</v>
      </c>
      <c r="T3436" s="1">
        <v>2.0</v>
      </c>
      <c r="X3436" s="1" t="s">
        <v>56</v>
      </c>
    </row>
    <row r="3437">
      <c r="A3437" s="3" t="str">
        <f>HYPERLINK("https://stackoverflow.com/q/52370526", "52370526")</f>
        <v>52370526</v>
      </c>
      <c r="B3437" s="1" t="s">
        <v>11474</v>
      </c>
      <c r="C3437" s="1" t="s">
        <v>12692</v>
      </c>
      <c r="D3437" s="2" t="s">
        <v>12693</v>
      </c>
      <c r="E3437" s="1">
        <v>1.0</v>
      </c>
      <c r="I3437" s="1">
        <v>0.0</v>
      </c>
      <c r="J3437" s="1">
        <v>235.0</v>
      </c>
      <c r="L3437" s="1">
        <v>1.0375676E7</v>
      </c>
      <c r="N3437" s="1">
        <v>7920473.0</v>
      </c>
      <c r="P3437" s="1" t="s">
        <v>12694</v>
      </c>
      <c r="Q3437" s="1" t="s">
        <v>12694</v>
      </c>
      <c r="R3437" s="1" t="s">
        <v>12695</v>
      </c>
      <c r="S3437" s="1">
        <v>0.0</v>
      </c>
      <c r="T3437" s="1">
        <v>2.0</v>
      </c>
      <c r="X3437" s="1" t="s">
        <v>56</v>
      </c>
    </row>
    <row r="3438">
      <c r="A3438" s="3" t="str">
        <f>HYPERLINK("https://stackoverflow.com/q/52421026", "52421026")</f>
        <v>52421026</v>
      </c>
      <c r="B3438" s="1" t="s">
        <v>11474</v>
      </c>
      <c r="C3438" s="1" t="s">
        <v>12696</v>
      </c>
      <c r="D3438" s="2" t="s">
        <v>12697</v>
      </c>
      <c r="E3438" s="1">
        <v>1.0</v>
      </c>
      <c r="F3438" s="1">
        <v>5.2422053E7</v>
      </c>
      <c r="I3438" s="1">
        <v>1.0</v>
      </c>
      <c r="J3438" s="1">
        <v>39.0</v>
      </c>
      <c r="L3438" s="1">
        <v>8732628.0</v>
      </c>
      <c r="N3438" s="1">
        <v>8732628.0</v>
      </c>
      <c r="P3438" s="1" t="s">
        <v>12698</v>
      </c>
      <c r="Q3438" s="1" t="s">
        <v>12699</v>
      </c>
      <c r="R3438" s="1" t="s">
        <v>12700</v>
      </c>
      <c r="S3438" s="1">
        <v>1.0</v>
      </c>
      <c r="T3438" s="1">
        <v>8.0</v>
      </c>
      <c r="X3438" s="1" t="s">
        <v>56</v>
      </c>
      <c r="Z3438" s="1" t="s">
        <v>12699</v>
      </c>
    </row>
    <row r="3439">
      <c r="A3439" s="3" t="str">
        <f>HYPERLINK("https://stackoverflow.com/q/52492264", "52492264")</f>
        <v>52492264</v>
      </c>
      <c r="B3439" s="1" t="s">
        <v>11474</v>
      </c>
      <c r="C3439" s="1" t="s">
        <v>12701</v>
      </c>
      <c r="D3439" s="2" t="s">
        <v>12702</v>
      </c>
      <c r="E3439" s="1">
        <v>1.0</v>
      </c>
      <c r="I3439" s="1">
        <v>0.0</v>
      </c>
      <c r="J3439" s="1">
        <v>197.0</v>
      </c>
      <c r="L3439" s="1">
        <v>6652549.0</v>
      </c>
      <c r="N3439" s="1">
        <v>6652549.0</v>
      </c>
      <c r="P3439" s="1" t="s">
        <v>12703</v>
      </c>
      <c r="Q3439" s="1" t="s">
        <v>12703</v>
      </c>
      <c r="R3439" s="1" t="s">
        <v>11671</v>
      </c>
      <c r="S3439" s="1">
        <v>0.0</v>
      </c>
      <c r="T3439" s="1">
        <v>2.0</v>
      </c>
      <c r="X3439" s="1" t="s">
        <v>56</v>
      </c>
    </row>
    <row r="3440">
      <c r="A3440" s="3" t="str">
        <f>HYPERLINK("https://stackoverflow.com/q/52499067", "52499067")</f>
        <v>52499067</v>
      </c>
      <c r="B3440" s="1" t="s">
        <v>11474</v>
      </c>
      <c r="C3440" s="1" t="s">
        <v>12704</v>
      </c>
      <c r="D3440" s="2" t="s">
        <v>12705</v>
      </c>
      <c r="E3440" s="1">
        <v>1.0</v>
      </c>
      <c r="I3440" s="1">
        <v>0.0</v>
      </c>
      <c r="J3440" s="1">
        <v>222.0</v>
      </c>
      <c r="L3440" s="1">
        <v>1.0413301E7</v>
      </c>
      <c r="N3440" s="1">
        <v>1.0413301E7</v>
      </c>
      <c r="P3440" s="1" t="s">
        <v>12706</v>
      </c>
      <c r="Q3440" s="1" t="s">
        <v>12707</v>
      </c>
      <c r="R3440" s="1" t="s">
        <v>12378</v>
      </c>
      <c r="S3440" s="1">
        <v>1.0</v>
      </c>
      <c r="T3440" s="1">
        <v>1.0</v>
      </c>
      <c r="X3440" s="1" t="s">
        <v>56</v>
      </c>
    </row>
    <row r="3441">
      <c r="A3441" s="3" t="str">
        <f>HYPERLINK("https://stackoverflow.com/q/52510724", "52510724")</f>
        <v>52510724</v>
      </c>
      <c r="B3441" s="1" t="s">
        <v>11474</v>
      </c>
      <c r="C3441" s="1" t="s">
        <v>12708</v>
      </c>
      <c r="D3441" s="2" t="s">
        <v>12709</v>
      </c>
      <c r="E3441" s="1">
        <v>1.0</v>
      </c>
      <c r="I3441" s="1">
        <v>0.0</v>
      </c>
      <c r="J3441" s="1">
        <v>239.0</v>
      </c>
      <c r="L3441" s="1">
        <v>8737748.0</v>
      </c>
      <c r="N3441" s="1">
        <v>7561523.0</v>
      </c>
      <c r="P3441" s="1" t="s">
        <v>12710</v>
      </c>
      <c r="Q3441" s="1" t="s">
        <v>12710</v>
      </c>
      <c r="R3441" s="1" t="s">
        <v>12711</v>
      </c>
      <c r="S3441" s="1">
        <v>1.0</v>
      </c>
      <c r="T3441" s="1">
        <v>0.0</v>
      </c>
      <c r="U3441" s="1">
        <v>1.0</v>
      </c>
      <c r="X3441" s="1" t="s">
        <v>56</v>
      </c>
    </row>
    <row r="3442">
      <c r="A3442" s="3" t="str">
        <f>HYPERLINK("https://stackoverflow.com/q/52534581", "52534581")</f>
        <v>52534581</v>
      </c>
      <c r="B3442" s="1" t="s">
        <v>11474</v>
      </c>
      <c r="C3442" s="1" t="s">
        <v>12712</v>
      </c>
      <c r="D3442" s="2" t="s">
        <v>12713</v>
      </c>
      <c r="E3442" s="1">
        <v>1.0</v>
      </c>
      <c r="I3442" s="1">
        <v>1.0</v>
      </c>
      <c r="J3442" s="1">
        <v>647.0</v>
      </c>
      <c r="L3442" s="1">
        <v>5083828.0</v>
      </c>
      <c r="Q3442" s="1" t="s">
        <v>12714</v>
      </c>
      <c r="R3442" s="1" t="s">
        <v>12715</v>
      </c>
      <c r="S3442" s="1">
        <v>2.0</v>
      </c>
      <c r="T3442" s="1">
        <v>0.0</v>
      </c>
      <c r="X3442" s="1" t="s">
        <v>56</v>
      </c>
    </row>
    <row r="3443">
      <c r="A3443" s="3" t="str">
        <f>HYPERLINK("https://stackoverflow.com/q/52574490", "52574490")</f>
        <v>52574490</v>
      </c>
      <c r="B3443" s="1" t="s">
        <v>11474</v>
      </c>
      <c r="C3443" s="1" t="s">
        <v>12716</v>
      </c>
      <c r="D3443" s="2" t="s">
        <v>12717</v>
      </c>
      <c r="E3443" s="1">
        <v>1.0</v>
      </c>
      <c r="I3443" s="1">
        <v>1.0</v>
      </c>
      <c r="J3443" s="1">
        <v>451.0</v>
      </c>
      <c r="L3443" s="1">
        <v>5849706.0</v>
      </c>
      <c r="Q3443" s="1" t="s">
        <v>12718</v>
      </c>
      <c r="R3443" s="1" t="s">
        <v>12719</v>
      </c>
      <c r="S3443" s="1">
        <v>1.0</v>
      </c>
      <c r="T3443" s="1">
        <v>1.0</v>
      </c>
      <c r="X3443" s="1" t="s">
        <v>56</v>
      </c>
    </row>
    <row r="3444">
      <c r="A3444" s="3" t="str">
        <f>HYPERLINK("https://stackoverflow.com/q/52836878", "52836878")</f>
        <v>52836878</v>
      </c>
      <c r="B3444" s="1" t="s">
        <v>11474</v>
      </c>
      <c r="C3444" s="1" t="s">
        <v>12720</v>
      </c>
      <c r="D3444" s="2" t="s">
        <v>12721</v>
      </c>
      <c r="E3444" s="1">
        <v>1.0</v>
      </c>
      <c r="I3444" s="1">
        <v>0.0</v>
      </c>
      <c r="J3444" s="1">
        <v>33.0</v>
      </c>
      <c r="L3444" s="1">
        <v>9626069.0</v>
      </c>
      <c r="N3444" s="1">
        <v>472495.0</v>
      </c>
      <c r="P3444" s="1" t="s">
        <v>12722</v>
      </c>
      <c r="Q3444" s="1" t="s">
        <v>12722</v>
      </c>
      <c r="R3444" s="1" t="s">
        <v>12723</v>
      </c>
      <c r="S3444" s="1">
        <v>1.0</v>
      </c>
      <c r="T3444" s="1">
        <v>1.0</v>
      </c>
      <c r="X3444" s="1" t="s">
        <v>56</v>
      </c>
    </row>
    <row r="3445">
      <c r="A3445" s="3" t="str">
        <f>HYPERLINK("https://stackoverflow.com/q/52890757", "52890757")</f>
        <v>52890757</v>
      </c>
      <c r="B3445" s="1" t="s">
        <v>11474</v>
      </c>
      <c r="C3445" s="1" t="s">
        <v>12724</v>
      </c>
      <c r="D3445" s="2" t="s">
        <v>12725</v>
      </c>
      <c r="E3445" s="1">
        <v>1.0</v>
      </c>
      <c r="I3445" s="1">
        <v>2.0</v>
      </c>
      <c r="J3445" s="1">
        <v>1570.0</v>
      </c>
      <c r="L3445" s="1">
        <v>1384210.0</v>
      </c>
      <c r="N3445" s="1">
        <v>1384210.0</v>
      </c>
      <c r="P3445" s="1" t="s">
        <v>12726</v>
      </c>
      <c r="Q3445" s="1" t="s">
        <v>12726</v>
      </c>
      <c r="R3445" s="1" t="s">
        <v>12727</v>
      </c>
      <c r="S3445" s="1">
        <v>0.0</v>
      </c>
      <c r="T3445" s="1">
        <v>1.0</v>
      </c>
      <c r="U3445" s="1">
        <v>1.0</v>
      </c>
      <c r="X3445" s="1" t="s">
        <v>56</v>
      </c>
    </row>
    <row r="3446">
      <c r="A3446" s="3" t="str">
        <f>HYPERLINK("https://stackoverflow.com/q/52958536", "52958536")</f>
        <v>52958536</v>
      </c>
      <c r="B3446" s="1" t="s">
        <v>11474</v>
      </c>
      <c r="C3446" s="1" t="s">
        <v>12728</v>
      </c>
      <c r="D3446" s="2" t="s">
        <v>12729</v>
      </c>
      <c r="E3446" s="1">
        <v>1.0</v>
      </c>
      <c r="I3446" s="1">
        <v>0.0</v>
      </c>
      <c r="J3446" s="1">
        <v>95.0</v>
      </c>
      <c r="L3446" s="1">
        <v>7988379.0</v>
      </c>
      <c r="Q3446" s="1" t="s">
        <v>12730</v>
      </c>
      <c r="R3446" s="1" t="s">
        <v>12731</v>
      </c>
      <c r="S3446" s="1">
        <v>1.0</v>
      </c>
      <c r="T3446" s="1">
        <v>0.0</v>
      </c>
      <c r="X3446" s="1" t="s">
        <v>56</v>
      </c>
    </row>
    <row r="3447">
      <c r="A3447" s="3" t="str">
        <f>HYPERLINK("https://stackoverflow.com/q/53015958", "53015958")</f>
        <v>53015958</v>
      </c>
      <c r="B3447" s="1" t="s">
        <v>11474</v>
      </c>
      <c r="C3447" s="1" t="s">
        <v>12732</v>
      </c>
      <c r="D3447" s="2" t="s">
        <v>12733</v>
      </c>
      <c r="E3447" s="1">
        <v>1.0</v>
      </c>
      <c r="I3447" s="1">
        <v>0.0</v>
      </c>
      <c r="J3447" s="1">
        <v>47.0</v>
      </c>
      <c r="L3447" s="1">
        <v>7988379.0</v>
      </c>
      <c r="N3447" s="1">
        <v>616443.0</v>
      </c>
      <c r="P3447" s="1" t="s">
        <v>12734</v>
      </c>
      <c r="Q3447" s="1" t="s">
        <v>12735</v>
      </c>
      <c r="R3447" s="1" t="s">
        <v>12731</v>
      </c>
      <c r="S3447" s="1">
        <v>1.0</v>
      </c>
      <c r="T3447" s="1">
        <v>1.0</v>
      </c>
      <c r="X3447" s="1" t="s">
        <v>56</v>
      </c>
    </row>
    <row r="3448">
      <c r="A3448" s="3" t="str">
        <f>HYPERLINK("https://stackoverflow.com/q/53027157", "53027157")</f>
        <v>53027157</v>
      </c>
      <c r="B3448" s="1" t="s">
        <v>11474</v>
      </c>
      <c r="C3448" s="1" t="s">
        <v>12736</v>
      </c>
      <c r="D3448" s="2" t="s">
        <v>12737</v>
      </c>
      <c r="E3448" s="1">
        <v>1.0</v>
      </c>
      <c r="I3448" s="1">
        <v>0.0</v>
      </c>
      <c r="J3448" s="1">
        <v>520.0</v>
      </c>
      <c r="L3448" s="1">
        <v>6166062.0</v>
      </c>
      <c r="Q3448" s="1" t="s">
        <v>12738</v>
      </c>
      <c r="R3448" s="1" t="s">
        <v>12378</v>
      </c>
      <c r="S3448" s="1">
        <v>1.0</v>
      </c>
      <c r="T3448" s="1">
        <v>0.0</v>
      </c>
      <c r="X3448" s="1" t="s">
        <v>56</v>
      </c>
    </row>
    <row r="3449">
      <c r="A3449" s="3" t="str">
        <f>HYPERLINK("https://stackoverflow.com/q/53082382", "53082382")</f>
        <v>53082382</v>
      </c>
      <c r="B3449" s="1" t="s">
        <v>11474</v>
      </c>
      <c r="C3449" s="1" t="s">
        <v>12739</v>
      </c>
      <c r="D3449" s="2" t="s">
        <v>12740</v>
      </c>
      <c r="E3449" s="1">
        <v>1.0</v>
      </c>
      <c r="I3449" s="1">
        <v>0.0</v>
      </c>
      <c r="J3449" s="1">
        <v>222.0</v>
      </c>
      <c r="L3449" s="1">
        <v>7561523.0</v>
      </c>
      <c r="Q3449" s="1" t="s">
        <v>12741</v>
      </c>
      <c r="R3449" s="1" t="s">
        <v>11553</v>
      </c>
      <c r="S3449" s="1">
        <v>1.0</v>
      </c>
      <c r="T3449" s="1">
        <v>2.0</v>
      </c>
      <c r="U3449" s="1">
        <v>1.0</v>
      </c>
      <c r="X3449" s="1" t="s">
        <v>56</v>
      </c>
    </row>
    <row r="3450">
      <c r="A3450" s="3" t="str">
        <f>HYPERLINK("https://stackoverflow.com/q/53095373", "53095373")</f>
        <v>53095373</v>
      </c>
      <c r="B3450" s="1" t="s">
        <v>11474</v>
      </c>
      <c r="C3450" s="1" t="s">
        <v>12742</v>
      </c>
      <c r="D3450" s="2" t="s">
        <v>12743</v>
      </c>
      <c r="E3450" s="1">
        <v>1.0</v>
      </c>
      <c r="I3450" s="1">
        <v>1.0</v>
      </c>
      <c r="J3450" s="1">
        <v>2533.0</v>
      </c>
      <c r="L3450" s="1">
        <v>7284734.0</v>
      </c>
      <c r="Q3450" s="1" t="s">
        <v>12744</v>
      </c>
      <c r="R3450" s="1" t="s">
        <v>12688</v>
      </c>
      <c r="S3450" s="1">
        <v>1.0</v>
      </c>
      <c r="T3450" s="1">
        <v>8.0</v>
      </c>
      <c r="X3450" s="1" t="s">
        <v>56</v>
      </c>
    </row>
    <row r="3451">
      <c r="A3451" s="3" t="str">
        <f>HYPERLINK("https://stackoverflow.com/q/53109130", "53109130")</f>
        <v>53109130</v>
      </c>
      <c r="B3451" s="1" t="s">
        <v>11474</v>
      </c>
      <c r="C3451" s="1" t="s">
        <v>12745</v>
      </c>
      <c r="D3451" s="2" t="s">
        <v>12746</v>
      </c>
      <c r="E3451" s="1">
        <v>1.0</v>
      </c>
      <c r="I3451" s="1">
        <v>0.0</v>
      </c>
      <c r="J3451" s="1">
        <v>62.0</v>
      </c>
      <c r="L3451" s="1">
        <v>7076289.0</v>
      </c>
      <c r="Q3451" s="1" t="s">
        <v>12747</v>
      </c>
      <c r="R3451" s="1" t="s">
        <v>12748</v>
      </c>
      <c r="S3451" s="1">
        <v>1.0</v>
      </c>
      <c r="T3451" s="1">
        <v>0.0</v>
      </c>
      <c r="X3451" s="1" t="s">
        <v>56</v>
      </c>
    </row>
    <row r="3452">
      <c r="A3452" s="3" t="str">
        <f>HYPERLINK("https://stackoverflow.com/q/53413258", "53413258")</f>
        <v>53413258</v>
      </c>
      <c r="B3452" s="1" t="s">
        <v>11474</v>
      </c>
      <c r="C3452" s="1" t="s">
        <v>12749</v>
      </c>
      <c r="D3452" s="2" t="s">
        <v>12750</v>
      </c>
      <c r="E3452" s="1">
        <v>1.0</v>
      </c>
      <c r="I3452" s="1">
        <v>4.0</v>
      </c>
      <c r="J3452" s="1">
        <v>584.0</v>
      </c>
      <c r="L3452" s="1">
        <v>4133852.0</v>
      </c>
      <c r="Q3452" s="1" t="s">
        <v>12751</v>
      </c>
      <c r="R3452" s="1" t="s">
        <v>12752</v>
      </c>
      <c r="S3452" s="1">
        <v>1.0</v>
      </c>
      <c r="T3452" s="1">
        <v>2.0</v>
      </c>
      <c r="X3452" s="1" t="s">
        <v>56</v>
      </c>
    </row>
    <row r="3453">
      <c r="A3453" s="3" t="str">
        <f>HYPERLINK("https://stackoverflow.com/q/53472963", "53472963")</f>
        <v>53472963</v>
      </c>
      <c r="B3453" s="1" t="s">
        <v>11474</v>
      </c>
      <c r="C3453" s="1" t="s">
        <v>12753</v>
      </c>
      <c r="D3453" s="2" t="s">
        <v>12754</v>
      </c>
      <c r="E3453" s="1">
        <v>1.0</v>
      </c>
      <c r="I3453" s="1">
        <v>0.0</v>
      </c>
      <c r="J3453" s="1">
        <v>539.0</v>
      </c>
      <c r="L3453" s="1">
        <v>5844968.0</v>
      </c>
      <c r="Q3453" s="1" t="s">
        <v>12755</v>
      </c>
      <c r="R3453" s="1" t="s">
        <v>12756</v>
      </c>
      <c r="S3453" s="1">
        <v>0.0</v>
      </c>
      <c r="T3453" s="1">
        <v>2.0</v>
      </c>
      <c r="X3453" s="1" t="s">
        <v>56</v>
      </c>
    </row>
    <row r="3454">
      <c r="A3454" s="3" t="str">
        <f>HYPERLINK("https://stackoverflow.com/q/53504268", "53504268")</f>
        <v>53504268</v>
      </c>
      <c r="B3454" s="1" t="s">
        <v>11474</v>
      </c>
      <c r="C3454" s="1" t="s">
        <v>12757</v>
      </c>
      <c r="D3454" s="2" t="s">
        <v>12758</v>
      </c>
      <c r="E3454" s="1">
        <v>1.0</v>
      </c>
      <c r="F3454" s="1">
        <v>5.4449818E7</v>
      </c>
      <c r="I3454" s="1">
        <v>2.0</v>
      </c>
      <c r="J3454" s="1">
        <v>472.0</v>
      </c>
      <c r="L3454" s="1">
        <v>1841940.0</v>
      </c>
      <c r="Q3454" s="1" t="s">
        <v>12759</v>
      </c>
      <c r="R3454" s="1" t="s">
        <v>11596</v>
      </c>
      <c r="S3454" s="1">
        <v>2.0</v>
      </c>
      <c r="T3454" s="1">
        <v>0.0</v>
      </c>
      <c r="U3454" s="1">
        <v>2.0</v>
      </c>
      <c r="X3454" s="1" t="s">
        <v>56</v>
      </c>
      <c r="Z3454" s="1" t="s">
        <v>12760</v>
      </c>
    </row>
    <row r="3455">
      <c r="A3455" s="3" t="str">
        <f>HYPERLINK("https://stackoverflow.com/q/53544934", "53544934")</f>
        <v>53544934</v>
      </c>
      <c r="B3455" s="1" t="s">
        <v>11474</v>
      </c>
      <c r="C3455" s="1" t="s">
        <v>12761</v>
      </c>
      <c r="D3455" s="2" t="s">
        <v>12762</v>
      </c>
      <c r="E3455" s="1">
        <v>1.0</v>
      </c>
      <c r="I3455" s="1">
        <v>0.0</v>
      </c>
      <c r="J3455" s="1">
        <v>28.0</v>
      </c>
      <c r="L3455" s="1">
        <v>1438399.0</v>
      </c>
      <c r="Q3455" s="1" t="s">
        <v>12763</v>
      </c>
      <c r="R3455" s="1" t="s">
        <v>11596</v>
      </c>
      <c r="S3455" s="1">
        <v>1.0</v>
      </c>
      <c r="T3455" s="1">
        <v>0.0</v>
      </c>
      <c r="X3455" s="1" t="s">
        <v>56</v>
      </c>
    </row>
    <row r="3456">
      <c r="A3456" s="3" t="str">
        <f>HYPERLINK("https://stackoverflow.com/q/53664484", "53664484")</f>
        <v>53664484</v>
      </c>
      <c r="B3456" s="1" t="s">
        <v>11474</v>
      </c>
      <c r="C3456" s="1" t="s">
        <v>12764</v>
      </c>
      <c r="D3456" s="2" t="s">
        <v>12765</v>
      </c>
      <c r="E3456" s="1">
        <v>1.0</v>
      </c>
      <c r="I3456" s="1">
        <v>0.0</v>
      </c>
      <c r="J3456" s="1">
        <v>105.0</v>
      </c>
      <c r="L3456" s="1">
        <v>1.0627072E7</v>
      </c>
      <c r="N3456" s="1">
        <v>1.0632369E7</v>
      </c>
      <c r="P3456" s="1" t="s">
        <v>12766</v>
      </c>
      <c r="Q3456" s="1" t="s">
        <v>12767</v>
      </c>
      <c r="R3456" s="1" t="s">
        <v>12768</v>
      </c>
      <c r="S3456" s="1">
        <v>1.0</v>
      </c>
      <c r="T3456" s="1">
        <v>2.0</v>
      </c>
      <c r="X3456" s="1" t="s">
        <v>56</v>
      </c>
    </row>
    <row r="3457">
      <c r="A3457" s="3" t="str">
        <f>HYPERLINK("https://stackoverflow.com/q/53707341", "53707341")</f>
        <v>53707341</v>
      </c>
      <c r="B3457" s="1" t="s">
        <v>11474</v>
      </c>
      <c r="C3457" s="1" t="s">
        <v>12769</v>
      </c>
      <c r="D3457" s="2" t="s">
        <v>12770</v>
      </c>
      <c r="E3457" s="1">
        <v>1.0</v>
      </c>
      <c r="I3457" s="1">
        <v>1.0</v>
      </c>
      <c r="J3457" s="1">
        <v>1005.0</v>
      </c>
      <c r="L3457" s="1">
        <v>8052305.0</v>
      </c>
      <c r="Q3457" s="1" t="s">
        <v>12771</v>
      </c>
      <c r="R3457" s="1" t="s">
        <v>11558</v>
      </c>
      <c r="S3457" s="1">
        <v>2.0</v>
      </c>
      <c r="T3457" s="1">
        <v>1.0</v>
      </c>
      <c r="X3457" s="1" t="s">
        <v>56</v>
      </c>
    </row>
    <row r="3458">
      <c r="A3458" s="3" t="str">
        <f>HYPERLINK("https://stackoverflow.com/q/53751429", "53751429")</f>
        <v>53751429</v>
      </c>
      <c r="B3458" s="1" t="s">
        <v>11474</v>
      </c>
      <c r="C3458" s="1" t="s">
        <v>12772</v>
      </c>
      <c r="D3458" s="2" t="s">
        <v>12773</v>
      </c>
      <c r="E3458" s="1">
        <v>1.0</v>
      </c>
      <c r="I3458" s="1">
        <v>0.0</v>
      </c>
      <c r="J3458" s="1">
        <v>71.0</v>
      </c>
      <c r="L3458" s="1">
        <v>1.0782979E7</v>
      </c>
      <c r="Q3458" s="1" t="s">
        <v>12772</v>
      </c>
      <c r="R3458" s="1" t="s">
        <v>12774</v>
      </c>
      <c r="S3458" s="1">
        <v>0.0</v>
      </c>
      <c r="T3458" s="1">
        <v>3.0</v>
      </c>
      <c r="X3458" s="1" t="s">
        <v>56</v>
      </c>
    </row>
    <row r="3459">
      <c r="A3459" s="3" t="str">
        <f>HYPERLINK("https://stackoverflow.com/q/53801839", "53801839")</f>
        <v>53801839</v>
      </c>
      <c r="B3459" s="1" t="s">
        <v>11474</v>
      </c>
      <c r="C3459" s="1" t="s">
        <v>12775</v>
      </c>
      <c r="D3459" s="2" t="s">
        <v>12776</v>
      </c>
      <c r="E3459" s="1">
        <v>1.0</v>
      </c>
      <c r="I3459" s="1">
        <v>0.0</v>
      </c>
      <c r="J3459" s="1">
        <v>195.0</v>
      </c>
      <c r="L3459" s="1">
        <v>3485933.0</v>
      </c>
      <c r="N3459" s="1">
        <v>3485933.0</v>
      </c>
      <c r="P3459" s="1" t="s">
        <v>12777</v>
      </c>
      <c r="Q3459" s="1" t="s">
        <v>12777</v>
      </c>
      <c r="R3459" s="1" t="s">
        <v>12778</v>
      </c>
      <c r="S3459" s="1">
        <v>0.0</v>
      </c>
      <c r="T3459" s="1">
        <v>2.0</v>
      </c>
      <c r="X3459" s="1" t="s">
        <v>56</v>
      </c>
    </row>
    <row r="3460">
      <c r="A3460" s="3" t="str">
        <f>HYPERLINK("https://stackoverflow.com/q/53944354", "53944354")</f>
        <v>53944354</v>
      </c>
      <c r="B3460" s="1" t="s">
        <v>11474</v>
      </c>
      <c r="C3460" s="1" t="s">
        <v>12779</v>
      </c>
      <c r="D3460" s="2" t="s">
        <v>12780</v>
      </c>
      <c r="E3460" s="1">
        <v>1.0</v>
      </c>
      <c r="F3460" s="1">
        <v>5.8083227E7</v>
      </c>
      <c r="I3460" s="1">
        <v>0.0</v>
      </c>
      <c r="J3460" s="1">
        <v>155.0</v>
      </c>
      <c r="L3460" s="1">
        <v>395097.0</v>
      </c>
      <c r="Q3460" s="1" t="s">
        <v>12781</v>
      </c>
      <c r="R3460" s="1" t="s">
        <v>11499</v>
      </c>
      <c r="S3460" s="1">
        <v>1.0</v>
      </c>
      <c r="T3460" s="1">
        <v>0.0</v>
      </c>
      <c r="U3460" s="1">
        <v>1.0</v>
      </c>
      <c r="X3460" s="1" t="s">
        <v>56</v>
      </c>
      <c r="Z3460" s="1" t="s">
        <v>12781</v>
      </c>
    </row>
    <row r="3461">
      <c r="A3461" s="3" t="str">
        <f>HYPERLINK("https://stackoverflow.com/q/54049205", "54049205")</f>
        <v>54049205</v>
      </c>
      <c r="B3461" s="1" t="s">
        <v>11474</v>
      </c>
      <c r="C3461" s="1" t="s">
        <v>12782</v>
      </c>
      <c r="D3461" s="2" t="s">
        <v>12783</v>
      </c>
      <c r="E3461" s="1">
        <v>1.0</v>
      </c>
      <c r="I3461" s="1">
        <v>0.0</v>
      </c>
      <c r="J3461" s="1">
        <v>148.0</v>
      </c>
      <c r="L3461" s="1">
        <v>6845557.0</v>
      </c>
      <c r="N3461" s="1">
        <v>6845557.0</v>
      </c>
      <c r="P3461" s="1" t="s">
        <v>12784</v>
      </c>
      <c r="Q3461" s="1" t="s">
        <v>12785</v>
      </c>
      <c r="R3461" s="1" t="s">
        <v>12786</v>
      </c>
      <c r="S3461" s="1">
        <v>1.0</v>
      </c>
      <c r="T3461" s="1">
        <v>0.0</v>
      </c>
      <c r="X3461" s="1" t="s">
        <v>56</v>
      </c>
    </row>
    <row r="3462">
      <c r="A3462" s="3" t="str">
        <f>HYPERLINK("https://stackoverflow.com/q/54060686", "54060686")</f>
        <v>54060686</v>
      </c>
      <c r="B3462" s="1" t="s">
        <v>11474</v>
      </c>
      <c r="C3462" s="1" t="s">
        <v>12787</v>
      </c>
      <c r="D3462" s="2" t="s">
        <v>12788</v>
      </c>
      <c r="E3462" s="1">
        <v>1.0</v>
      </c>
      <c r="I3462" s="1">
        <v>0.0</v>
      </c>
      <c r="J3462" s="1">
        <v>138.0</v>
      </c>
      <c r="L3462" s="1">
        <v>1471958.0</v>
      </c>
      <c r="Q3462" s="1" t="s">
        <v>12789</v>
      </c>
      <c r="R3462" s="1" t="s">
        <v>12790</v>
      </c>
      <c r="S3462" s="1">
        <v>1.0</v>
      </c>
      <c r="T3462" s="1">
        <v>0.0</v>
      </c>
      <c r="X3462" s="1" t="s">
        <v>56</v>
      </c>
    </row>
    <row r="3463">
      <c r="A3463" s="3" t="str">
        <f>HYPERLINK("https://stackoverflow.com/q/54079576", "54079576")</f>
        <v>54079576</v>
      </c>
      <c r="B3463" s="1" t="s">
        <v>11474</v>
      </c>
      <c r="C3463" s="1" t="s">
        <v>12791</v>
      </c>
      <c r="D3463" s="2" t="s">
        <v>12792</v>
      </c>
      <c r="E3463" s="1">
        <v>1.0</v>
      </c>
      <c r="F3463" s="1">
        <v>5.4084886E7</v>
      </c>
      <c r="I3463" s="1">
        <v>2.0</v>
      </c>
      <c r="J3463" s="1">
        <v>879.0</v>
      </c>
      <c r="L3463" s="1">
        <v>7102721.0</v>
      </c>
      <c r="N3463" s="1">
        <v>4589931.0</v>
      </c>
      <c r="P3463" s="1" t="s">
        <v>12793</v>
      </c>
      <c r="Q3463" s="1" t="s">
        <v>12794</v>
      </c>
      <c r="R3463" s="1" t="s">
        <v>12326</v>
      </c>
      <c r="S3463" s="1">
        <v>2.0</v>
      </c>
      <c r="T3463" s="1">
        <v>0.0</v>
      </c>
      <c r="U3463" s="1">
        <v>1.0</v>
      </c>
      <c r="X3463" s="1" t="s">
        <v>56</v>
      </c>
      <c r="Z3463" s="1" t="s">
        <v>12795</v>
      </c>
    </row>
    <row r="3464">
      <c r="A3464" s="3" t="str">
        <f>HYPERLINK("https://stackoverflow.com/q/54113212", "54113212")</f>
        <v>54113212</v>
      </c>
      <c r="B3464" s="1" t="s">
        <v>11474</v>
      </c>
      <c r="C3464" s="1" t="s">
        <v>12796</v>
      </c>
      <c r="D3464" s="2" t="s">
        <v>12797</v>
      </c>
      <c r="E3464" s="1">
        <v>1.0</v>
      </c>
      <c r="I3464" s="1">
        <v>1.0</v>
      </c>
      <c r="J3464" s="1">
        <v>794.0</v>
      </c>
      <c r="L3464" s="1">
        <v>1977662.0</v>
      </c>
      <c r="N3464" s="1">
        <v>1977662.0</v>
      </c>
      <c r="P3464" s="1" t="s">
        <v>12798</v>
      </c>
      <c r="Q3464" s="1" t="s">
        <v>12799</v>
      </c>
      <c r="R3464" s="1" t="s">
        <v>12800</v>
      </c>
      <c r="S3464" s="1">
        <v>1.0</v>
      </c>
      <c r="T3464" s="1">
        <v>4.0</v>
      </c>
      <c r="X3464" s="1" t="s">
        <v>56</v>
      </c>
    </row>
    <row r="3465">
      <c r="A3465" s="3" t="str">
        <f>HYPERLINK("https://stackoverflow.com/q/54161244", "54161244")</f>
        <v>54161244</v>
      </c>
      <c r="B3465" s="1" t="s">
        <v>11474</v>
      </c>
      <c r="C3465" s="1" t="s">
        <v>12801</v>
      </c>
      <c r="D3465" s="2" t="s">
        <v>12802</v>
      </c>
      <c r="E3465" s="1">
        <v>1.0</v>
      </c>
      <c r="I3465" s="1">
        <v>0.0</v>
      </c>
      <c r="J3465" s="1">
        <v>23.0</v>
      </c>
      <c r="L3465" s="1">
        <v>8584970.0</v>
      </c>
      <c r="Q3465" s="1" t="s">
        <v>12803</v>
      </c>
      <c r="R3465" s="1" t="s">
        <v>11596</v>
      </c>
      <c r="S3465" s="1">
        <v>1.0</v>
      </c>
      <c r="T3465" s="1">
        <v>0.0</v>
      </c>
      <c r="X3465" s="1" t="s">
        <v>56</v>
      </c>
    </row>
    <row r="3466">
      <c r="A3466" s="3" t="str">
        <f>HYPERLINK("https://stackoverflow.com/q/54216119", "54216119")</f>
        <v>54216119</v>
      </c>
      <c r="B3466" s="1" t="s">
        <v>11474</v>
      </c>
      <c r="C3466" s="1" t="s">
        <v>12804</v>
      </c>
      <c r="D3466" s="2" t="s">
        <v>12805</v>
      </c>
      <c r="E3466" s="1">
        <v>1.0</v>
      </c>
      <c r="I3466" s="1">
        <v>1.0</v>
      </c>
      <c r="J3466" s="1">
        <v>410.0</v>
      </c>
      <c r="L3466" s="1">
        <v>9671941.0</v>
      </c>
      <c r="N3466" s="1">
        <v>4329778.0</v>
      </c>
      <c r="P3466" s="1" t="s">
        <v>12806</v>
      </c>
      <c r="Q3466" s="1" t="s">
        <v>12807</v>
      </c>
      <c r="R3466" s="1" t="s">
        <v>12808</v>
      </c>
      <c r="S3466" s="1">
        <v>1.0</v>
      </c>
      <c r="T3466" s="1">
        <v>0.0</v>
      </c>
      <c r="U3466" s="1">
        <v>1.0</v>
      </c>
      <c r="X3466" s="1" t="s">
        <v>56</v>
      </c>
    </row>
    <row r="3467">
      <c r="A3467" s="3" t="str">
        <f>HYPERLINK("https://stackoverflow.com/q/54406837", "54406837")</f>
        <v>54406837</v>
      </c>
      <c r="B3467" s="1" t="s">
        <v>11474</v>
      </c>
      <c r="C3467" s="1" t="s">
        <v>12809</v>
      </c>
      <c r="D3467" s="2" t="s">
        <v>12810</v>
      </c>
      <c r="E3467" s="1">
        <v>1.0</v>
      </c>
      <c r="I3467" s="1">
        <v>2.0</v>
      </c>
      <c r="J3467" s="1">
        <v>141.0</v>
      </c>
      <c r="L3467" s="1">
        <v>1.098032E7</v>
      </c>
      <c r="Q3467" s="1" t="s">
        <v>12809</v>
      </c>
      <c r="R3467" s="1" t="s">
        <v>12811</v>
      </c>
      <c r="S3467" s="1">
        <v>0.0</v>
      </c>
      <c r="T3467" s="1">
        <v>2.0</v>
      </c>
      <c r="X3467" s="1" t="s">
        <v>56</v>
      </c>
    </row>
    <row r="3468">
      <c r="A3468" s="3" t="str">
        <f>HYPERLINK("https://stackoverflow.com/q/54548422", "54548422")</f>
        <v>54548422</v>
      </c>
      <c r="B3468" s="1" t="s">
        <v>11474</v>
      </c>
      <c r="C3468" s="1" t="s">
        <v>12812</v>
      </c>
      <c r="D3468" s="2" t="s">
        <v>12813</v>
      </c>
      <c r="E3468" s="1">
        <v>1.0</v>
      </c>
      <c r="I3468" s="1">
        <v>0.0</v>
      </c>
      <c r="J3468" s="1">
        <v>318.0</v>
      </c>
      <c r="L3468" s="1">
        <v>395097.0</v>
      </c>
      <c r="Q3468" s="1" t="s">
        <v>12814</v>
      </c>
      <c r="R3468" s="1" t="s">
        <v>11596</v>
      </c>
      <c r="S3468" s="1">
        <v>1.0</v>
      </c>
      <c r="T3468" s="1">
        <v>2.0</v>
      </c>
      <c r="X3468" s="1" t="s">
        <v>56</v>
      </c>
    </row>
    <row r="3469">
      <c r="A3469" s="3" t="str">
        <f>HYPERLINK("https://stackoverflow.com/q/54563348", "54563348")</f>
        <v>54563348</v>
      </c>
      <c r="B3469" s="1" t="s">
        <v>11474</v>
      </c>
      <c r="C3469" s="1" t="s">
        <v>12815</v>
      </c>
      <c r="D3469" s="2" t="s">
        <v>12816</v>
      </c>
      <c r="E3469" s="1">
        <v>1.0</v>
      </c>
      <c r="I3469" s="1">
        <v>0.0</v>
      </c>
      <c r="J3469" s="1">
        <v>576.0</v>
      </c>
      <c r="L3469" s="1">
        <v>1.0577232E7</v>
      </c>
      <c r="N3469" s="1">
        <v>1.0577232E7</v>
      </c>
      <c r="P3469" s="1" t="s">
        <v>12817</v>
      </c>
      <c r="Q3469" s="1" t="s">
        <v>12817</v>
      </c>
      <c r="R3469" s="1" t="s">
        <v>12818</v>
      </c>
      <c r="S3469" s="1">
        <v>0.0</v>
      </c>
      <c r="T3469" s="1">
        <v>6.0</v>
      </c>
      <c r="U3469" s="1">
        <v>1.0</v>
      </c>
      <c r="X3469" s="1" t="s">
        <v>56</v>
      </c>
    </row>
    <row r="3470">
      <c r="A3470" s="3" t="str">
        <f>HYPERLINK("https://stackoverflow.com/q/54666876", "54666876")</f>
        <v>54666876</v>
      </c>
      <c r="B3470" s="1" t="s">
        <v>11474</v>
      </c>
      <c r="C3470" s="1" t="s">
        <v>12819</v>
      </c>
      <c r="D3470" s="2" t="s">
        <v>12820</v>
      </c>
      <c r="E3470" s="1">
        <v>1.0</v>
      </c>
      <c r="F3470" s="1">
        <v>5.4981471E7</v>
      </c>
      <c r="I3470" s="1">
        <v>0.0</v>
      </c>
      <c r="J3470" s="1">
        <v>494.0</v>
      </c>
      <c r="L3470" s="1">
        <v>8052305.0</v>
      </c>
      <c r="N3470" s="1">
        <v>8052305.0</v>
      </c>
      <c r="P3470" s="1" t="s">
        <v>12821</v>
      </c>
      <c r="Q3470" s="1" t="s">
        <v>12822</v>
      </c>
      <c r="R3470" s="1" t="s">
        <v>11596</v>
      </c>
      <c r="S3470" s="1">
        <v>2.0</v>
      </c>
      <c r="T3470" s="1">
        <v>0.0</v>
      </c>
      <c r="X3470" s="1" t="s">
        <v>56</v>
      </c>
      <c r="Z3470" s="1" t="s">
        <v>12823</v>
      </c>
    </row>
    <row r="3471">
      <c r="A3471" s="3" t="str">
        <f>HYPERLINK("https://stackoverflow.com/q/54695712", "54695712")</f>
        <v>54695712</v>
      </c>
      <c r="B3471" s="1" t="s">
        <v>11474</v>
      </c>
      <c r="C3471" s="1" t="s">
        <v>12824</v>
      </c>
      <c r="D3471" s="2" t="s">
        <v>12825</v>
      </c>
      <c r="E3471" s="1">
        <v>1.0</v>
      </c>
      <c r="F3471" s="1">
        <v>5.4769722E7</v>
      </c>
      <c r="I3471" s="1">
        <v>1.0</v>
      </c>
      <c r="J3471" s="1">
        <v>82.0</v>
      </c>
      <c r="L3471" s="1">
        <v>1.0798916E7</v>
      </c>
      <c r="N3471" s="1">
        <v>1.0798916E7</v>
      </c>
      <c r="P3471" s="1" t="s">
        <v>12826</v>
      </c>
      <c r="Q3471" s="1" t="s">
        <v>12827</v>
      </c>
      <c r="R3471" s="1" t="s">
        <v>11759</v>
      </c>
      <c r="S3471" s="1">
        <v>1.0</v>
      </c>
      <c r="T3471" s="1">
        <v>6.0</v>
      </c>
      <c r="X3471" s="1" t="s">
        <v>56</v>
      </c>
      <c r="Z3471" s="1" t="s">
        <v>12828</v>
      </c>
    </row>
    <row r="3472">
      <c r="A3472" s="3" t="str">
        <f>HYPERLINK("https://stackoverflow.com/q/54741436", "54741436")</f>
        <v>54741436</v>
      </c>
      <c r="B3472" s="1" t="s">
        <v>11474</v>
      </c>
      <c r="C3472" s="1" t="s">
        <v>12829</v>
      </c>
      <c r="D3472" s="2" t="s">
        <v>12830</v>
      </c>
      <c r="E3472" s="1">
        <v>1.0</v>
      </c>
      <c r="I3472" s="1">
        <v>0.0</v>
      </c>
      <c r="J3472" s="1">
        <v>226.0</v>
      </c>
      <c r="L3472" s="1">
        <v>3362119.0</v>
      </c>
      <c r="Q3472" s="1" t="s">
        <v>12829</v>
      </c>
      <c r="R3472" s="1" t="s">
        <v>11596</v>
      </c>
      <c r="S3472" s="1">
        <v>0.0</v>
      </c>
      <c r="T3472" s="1">
        <v>2.0</v>
      </c>
      <c r="X3472" s="1" t="s">
        <v>56</v>
      </c>
    </row>
    <row r="3473">
      <c r="A3473" s="3" t="str">
        <f>HYPERLINK("https://stackoverflow.com/q/54894563", "54894563")</f>
        <v>54894563</v>
      </c>
      <c r="B3473" s="1" t="s">
        <v>11474</v>
      </c>
      <c r="C3473" s="1" t="s">
        <v>12831</v>
      </c>
      <c r="D3473" s="2" t="s">
        <v>12832</v>
      </c>
      <c r="E3473" s="1">
        <v>1.0</v>
      </c>
      <c r="I3473" s="1">
        <v>1.0</v>
      </c>
      <c r="J3473" s="1">
        <v>87.0</v>
      </c>
      <c r="L3473" s="1">
        <v>1.098032E7</v>
      </c>
      <c r="N3473" s="1">
        <v>4753489.0</v>
      </c>
      <c r="P3473" s="1" t="s">
        <v>12833</v>
      </c>
      <c r="Q3473" s="1" t="s">
        <v>12833</v>
      </c>
      <c r="R3473" s="1" t="s">
        <v>12834</v>
      </c>
      <c r="S3473" s="1">
        <v>0.0</v>
      </c>
      <c r="T3473" s="1">
        <v>1.0</v>
      </c>
      <c r="X3473" s="1" t="s">
        <v>56</v>
      </c>
    </row>
    <row r="3474">
      <c r="A3474" s="3" t="str">
        <f>HYPERLINK("https://stackoverflow.com/q/54960110", "54960110")</f>
        <v>54960110</v>
      </c>
      <c r="B3474" s="1" t="s">
        <v>11474</v>
      </c>
      <c r="C3474" s="1" t="s">
        <v>12835</v>
      </c>
      <c r="D3474" s="2" t="s">
        <v>12836</v>
      </c>
      <c r="E3474" s="1">
        <v>1.0</v>
      </c>
      <c r="I3474" s="1">
        <v>0.0</v>
      </c>
      <c r="J3474" s="1">
        <v>40.0</v>
      </c>
      <c r="L3474" s="1">
        <v>9093671.0</v>
      </c>
      <c r="Q3474" s="1" t="s">
        <v>12837</v>
      </c>
      <c r="R3474" s="1" t="s">
        <v>12838</v>
      </c>
      <c r="S3474" s="1">
        <v>1.0</v>
      </c>
      <c r="T3474" s="1">
        <v>0.0</v>
      </c>
      <c r="X3474" s="1" t="s">
        <v>56</v>
      </c>
    </row>
    <row r="3475">
      <c r="A3475" s="3" t="str">
        <f>HYPERLINK("https://stackoverflow.com/q/54995158", "54995158")</f>
        <v>54995158</v>
      </c>
      <c r="B3475" s="1" t="s">
        <v>11474</v>
      </c>
      <c r="C3475" s="1" t="s">
        <v>12839</v>
      </c>
      <c r="D3475" s="2" t="s">
        <v>12840</v>
      </c>
      <c r="E3475" s="1">
        <v>1.0</v>
      </c>
      <c r="I3475" s="1">
        <v>0.0</v>
      </c>
      <c r="J3475" s="1">
        <v>240.0</v>
      </c>
      <c r="L3475" s="1">
        <v>5415345.0</v>
      </c>
      <c r="Q3475" s="1" t="s">
        <v>12841</v>
      </c>
      <c r="R3475" s="1" t="s">
        <v>11596</v>
      </c>
      <c r="S3475" s="1">
        <v>2.0</v>
      </c>
      <c r="T3475" s="1">
        <v>0.0</v>
      </c>
      <c r="X3475" s="1" t="s">
        <v>56</v>
      </c>
    </row>
    <row r="3476">
      <c r="A3476" s="3" t="str">
        <f>HYPERLINK("https://stackoverflow.com/q/55064804", "55064804")</f>
        <v>55064804</v>
      </c>
      <c r="B3476" s="1" t="s">
        <v>11474</v>
      </c>
      <c r="C3476" s="1" t="s">
        <v>12842</v>
      </c>
      <c r="D3476" s="2" t="s">
        <v>12843</v>
      </c>
      <c r="E3476" s="1">
        <v>1.0</v>
      </c>
      <c r="I3476" s="1">
        <v>0.0</v>
      </c>
      <c r="J3476" s="1">
        <v>129.0</v>
      </c>
      <c r="L3476" s="1">
        <v>8052305.0</v>
      </c>
      <c r="Q3476" s="1" t="s">
        <v>12844</v>
      </c>
      <c r="R3476" s="1" t="s">
        <v>12845</v>
      </c>
      <c r="S3476" s="1">
        <v>1.0</v>
      </c>
      <c r="T3476" s="1">
        <v>0.0</v>
      </c>
      <c r="X3476" s="1" t="s">
        <v>56</v>
      </c>
    </row>
    <row r="3477">
      <c r="A3477" s="3" t="str">
        <f>HYPERLINK("https://stackoverflow.com/q/55116523", "55116523")</f>
        <v>55116523</v>
      </c>
      <c r="B3477" s="1" t="s">
        <v>11474</v>
      </c>
      <c r="C3477" s="1" t="s">
        <v>12846</v>
      </c>
      <c r="D3477" s="2" t="s">
        <v>12847</v>
      </c>
      <c r="E3477" s="1">
        <v>1.0</v>
      </c>
      <c r="I3477" s="1">
        <v>1.0</v>
      </c>
      <c r="J3477" s="1">
        <v>38.0</v>
      </c>
      <c r="L3477" s="1">
        <v>8635226.0</v>
      </c>
      <c r="Q3477" s="1" t="s">
        <v>12846</v>
      </c>
      <c r="R3477" s="1" t="s">
        <v>12848</v>
      </c>
      <c r="S3477" s="1">
        <v>0.0</v>
      </c>
      <c r="T3477" s="1">
        <v>3.0</v>
      </c>
      <c r="X3477" s="1" t="s">
        <v>56</v>
      </c>
    </row>
    <row r="3478">
      <c r="A3478" s="3" t="str">
        <f>HYPERLINK("https://stackoverflow.com/q/55217961", "55217961")</f>
        <v>55217961</v>
      </c>
      <c r="B3478" s="1" t="s">
        <v>11474</v>
      </c>
      <c r="C3478" s="1" t="s">
        <v>12849</v>
      </c>
      <c r="D3478" s="2" t="s">
        <v>12850</v>
      </c>
      <c r="E3478" s="1">
        <v>1.0</v>
      </c>
      <c r="I3478" s="1">
        <v>0.0</v>
      </c>
      <c r="J3478" s="1">
        <v>321.0</v>
      </c>
      <c r="L3478" s="1">
        <v>4532655.0</v>
      </c>
      <c r="Q3478" s="1" t="s">
        <v>12851</v>
      </c>
      <c r="R3478" s="1" t="s">
        <v>12852</v>
      </c>
      <c r="S3478" s="1">
        <v>1.0</v>
      </c>
      <c r="T3478" s="1">
        <v>0.0</v>
      </c>
      <c r="X3478" s="1" t="s">
        <v>56</v>
      </c>
    </row>
    <row r="3479">
      <c r="A3479" s="3" t="str">
        <f>HYPERLINK("https://stackoverflow.com/q/55275485", "55275485")</f>
        <v>55275485</v>
      </c>
      <c r="B3479" s="1" t="s">
        <v>11474</v>
      </c>
      <c r="C3479" s="1" t="s">
        <v>12853</v>
      </c>
      <c r="D3479" s="2" t="s">
        <v>12854</v>
      </c>
      <c r="E3479" s="1">
        <v>1.0</v>
      </c>
      <c r="I3479" s="1">
        <v>0.0</v>
      </c>
      <c r="J3479" s="1">
        <v>26.0</v>
      </c>
      <c r="L3479" s="1">
        <v>5780058.0</v>
      </c>
      <c r="Q3479" s="1" t="s">
        <v>12853</v>
      </c>
      <c r="R3479" s="1" t="s">
        <v>12855</v>
      </c>
      <c r="S3479" s="1">
        <v>0.0</v>
      </c>
      <c r="T3479" s="1">
        <v>6.0</v>
      </c>
      <c r="V3479" s="1" t="s">
        <v>12856</v>
      </c>
      <c r="X3479" s="1" t="s">
        <v>56</v>
      </c>
    </row>
    <row r="3480">
      <c r="A3480" s="3" t="str">
        <f>HYPERLINK("https://stackoverflow.com/q/55484404", "55484404")</f>
        <v>55484404</v>
      </c>
      <c r="B3480" s="1" t="s">
        <v>11474</v>
      </c>
      <c r="C3480" s="1" t="s">
        <v>12857</v>
      </c>
      <c r="D3480" s="2" t="s">
        <v>12858</v>
      </c>
      <c r="E3480" s="1">
        <v>1.0</v>
      </c>
      <c r="I3480" s="1">
        <v>0.0</v>
      </c>
      <c r="J3480" s="1">
        <v>55.0</v>
      </c>
      <c r="L3480" s="1">
        <v>1.0942443E7</v>
      </c>
      <c r="Q3480" s="1" t="s">
        <v>12859</v>
      </c>
      <c r="R3480" s="1" t="s">
        <v>12860</v>
      </c>
      <c r="S3480" s="1">
        <v>1.0</v>
      </c>
      <c r="T3480" s="1">
        <v>0.0</v>
      </c>
      <c r="X3480" s="1" t="s">
        <v>56</v>
      </c>
    </row>
    <row r="3481">
      <c r="A3481" s="3" t="str">
        <f>HYPERLINK("https://stackoverflow.com/q/55514820", "55514820")</f>
        <v>55514820</v>
      </c>
      <c r="B3481" s="1" t="s">
        <v>11474</v>
      </c>
      <c r="C3481" s="1" t="s">
        <v>12861</v>
      </c>
      <c r="D3481" s="2" t="s">
        <v>12862</v>
      </c>
      <c r="E3481" s="1">
        <v>1.0</v>
      </c>
      <c r="I3481" s="1">
        <v>0.0</v>
      </c>
      <c r="J3481" s="1">
        <v>212.0</v>
      </c>
      <c r="L3481" s="1">
        <v>1.1311212E7</v>
      </c>
      <c r="N3481" s="1">
        <v>1.1158908E7</v>
      </c>
      <c r="P3481" s="1" t="s">
        <v>12863</v>
      </c>
      <c r="Q3481" s="1" t="s">
        <v>12864</v>
      </c>
      <c r="R3481" s="1" t="s">
        <v>12865</v>
      </c>
      <c r="S3481" s="1">
        <v>1.0</v>
      </c>
      <c r="T3481" s="1">
        <v>1.0</v>
      </c>
      <c r="X3481" s="1" t="s">
        <v>56</v>
      </c>
    </row>
    <row r="3482">
      <c r="A3482" s="3" t="str">
        <f>HYPERLINK("https://stackoverflow.com/q/55520394", "55520394")</f>
        <v>55520394</v>
      </c>
      <c r="B3482" s="1" t="s">
        <v>11474</v>
      </c>
      <c r="C3482" s="1" t="s">
        <v>12866</v>
      </c>
      <c r="D3482" s="2" t="s">
        <v>12867</v>
      </c>
      <c r="E3482" s="1">
        <v>1.0</v>
      </c>
      <c r="F3482" s="1">
        <v>5.5520534E7</v>
      </c>
      <c r="I3482" s="1">
        <v>1.0</v>
      </c>
      <c r="J3482" s="1">
        <v>71.0</v>
      </c>
      <c r="L3482" s="1">
        <v>1.1312487E7</v>
      </c>
      <c r="N3482" s="1">
        <v>1.1312487E7</v>
      </c>
      <c r="P3482" s="1" t="s">
        <v>12868</v>
      </c>
      <c r="Q3482" s="1" t="s">
        <v>12868</v>
      </c>
      <c r="R3482" s="1" t="s">
        <v>12869</v>
      </c>
      <c r="S3482" s="1">
        <v>2.0</v>
      </c>
      <c r="T3482" s="1">
        <v>0.0</v>
      </c>
      <c r="U3482" s="1">
        <v>1.0</v>
      </c>
      <c r="X3482" s="1" t="s">
        <v>56</v>
      </c>
      <c r="Z3482" s="1" t="s">
        <v>12870</v>
      </c>
    </row>
    <row r="3483">
      <c r="A3483" s="3" t="str">
        <f>HYPERLINK("https://stackoverflow.com/q/55853588", "55853588")</f>
        <v>55853588</v>
      </c>
      <c r="B3483" s="1" t="s">
        <v>11474</v>
      </c>
      <c r="C3483" s="1" t="s">
        <v>12871</v>
      </c>
      <c r="D3483" s="2" t="s">
        <v>12872</v>
      </c>
      <c r="E3483" s="1">
        <v>1.0</v>
      </c>
      <c r="I3483" s="1">
        <v>0.0</v>
      </c>
      <c r="J3483" s="1">
        <v>862.0</v>
      </c>
      <c r="L3483" s="1">
        <v>8783973.0</v>
      </c>
      <c r="N3483" s="1">
        <v>1082435.0</v>
      </c>
      <c r="P3483" s="1" t="s">
        <v>12873</v>
      </c>
      <c r="Q3483" s="1" t="s">
        <v>12874</v>
      </c>
      <c r="R3483" s="1" t="s">
        <v>12875</v>
      </c>
      <c r="S3483" s="1">
        <v>1.0</v>
      </c>
      <c r="T3483" s="1">
        <v>0.0</v>
      </c>
      <c r="X3483" s="1" t="s">
        <v>56</v>
      </c>
    </row>
    <row r="3484">
      <c r="A3484" s="3" t="str">
        <f>HYPERLINK("https://stackoverflow.com/q/56104228", "56104228")</f>
        <v>56104228</v>
      </c>
      <c r="B3484" s="1" t="s">
        <v>11474</v>
      </c>
      <c r="C3484" s="1" t="s">
        <v>12876</v>
      </c>
      <c r="D3484" s="2" t="s">
        <v>12877</v>
      </c>
      <c r="E3484" s="1">
        <v>1.0</v>
      </c>
      <c r="I3484" s="1">
        <v>0.0</v>
      </c>
      <c r="J3484" s="1">
        <v>90.0</v>
      </c>
      <c r="L3484" s="1">
        <v>6792446.0</v>
      </c>
      <c r="Q3484" s="1" t="s">
        <v>12878</v>
      </c>
      <c r="R3484" s="1" t="s">
        <v>12879</v>
      </c>
      <c r="S3484" s="1">
        <v>1.0</v>
      </c>
      <c r="T3484" s="1">
        <v>1.0</v>
      </c>
      <c r="X3484" s="1" t="s">
        <v>56</v>
      </c>
    </row>
    <row r="3485">
      <c r="A3485" s="3" t="str">
        <f>HYPERLINK("https://stackoverflow.com/q/56215583", "56215583")</f>
        <v>56215583</v>
      </c>
      <c r="B3485" s="1" t="s">
        <v>11474</v>
      </c>
      <c r="C3485" s="1" t="s">
        <v>12880</v>
      </c>
      <c r="D3485" s="2" t="s">
        <v>12881</v>
      </c>
      <c r="E3485" s="1">
        <v>1.0</v>
      </c>
      <c r="I3485" s="1">
        <v>0.0</v>
      </c>
      <c r="J3485" s="1">
        <v>438.0</v>
      </c>
      <c r="L3485" s="1">
        <v>9876564.0</v>
      </c>
      <c r="Q3485" s="1" t="s">
        <v>12882</v>
      </c>
      <c r="R3485" s="1" t="s">
        <v>12883</v>
      </c>
      <c r="S3485" s="1">
        <v>1.0</v>
      </c>
      <c r="T3485" s="1">
        <v>0.0</v>
      </c>
      <c r="X3485" s="1" t="s">
        <v>56</v>
      </c>
    </row>
    <row r="3486">
      <c r="A3486" s="3" t="str">
        <f>HYPERLINK("https://stackoverflow.com/q/56276882", "56276882")</f>
        <v>56276882</v>
      </c>
      <c r="B3486" s="1" t="s">
        <v>11474</v>
      </c>
      <c r="C3486" s="1" t="s">
        <v>12884</v>
      </c>
      <c r="D3486" s="2" t="s">
        <v>12885</v>
      </c>
      <c r="E3486" s="1">
        <v>1.0</v>
      </c>
      <c r="I3486" s="1">
        <v>0.0</v>
      </c>
      <c r="J3486" s="1">
        <v>149.0</v>
      </c>
      <c r="L3486" s="1">
        <v>1.1545288E7</v>
      </c>
      <c r="Q3486" s="1" t="s">
        <v>12886</v>
      </c>
      <c r="R3486" s="1" t="s">
        <v>12437</v>
      </c>
      <c r="S3486" s="1">
        <v>1.0</v>
      </c>
      <c r="T3486" s="1">
        <v>0.0</v>
      </c>
      <c r="X3486" s="1" t="s">
        <v>56</v>
      </c>
    </row>
    <row r="3487">
      <c r="A3487" s="3" t="str">
        <f>HYPERLINK("https://stackoverflow.com/q/56305835", "56305835")</f>
        <v>56305835</v>
      </c>
      <c r="B3487" s="1" t="s">
        <v>11474</v>
      </c>
      <c r="C3487" s="1" t="s">
        <v>12887</v>
      </c>
      <c r="D3487" s="2" t="s">
        <v>12888</v>
      </c>
      <c r="E3487" s="1">
        <v>1.0</v>
      </c>
      <c r="I3487" s="1">
        <v>0.0</v>
      </c>
      <c r="J3487" s="1">
        <v>178.0</v>
      </c>
      <c r="L3487" s="1">
        <v>1659719.0</v>
      </c>
      <c r="Q3487" s="1" t="s">
        <v>12887</v>
      </c>
      <c r="R3487" s="1" t="s">
        <v>12834</v>
      </c>
      <c r="S3487" s="1">
        <v>0.0</v>
      </c>
      <c r="T3487" s="1">
        <v>0.0</v>
      </c>
      <c r="X3487" s="1" t="s">
        <v>56</v>
      </c>
    </row>
    <row r="3488">
      <c r="A3488" s="3" t="str">
        <f>HYPERLINK("https://stackoverflow.com/q/56336917", "56336917")</f>
        <v>56336917</v>
      </c>
      <c r="B3488" s="1" t="s">
        <v>11474</v>
      </c>
      <c r="C3488" s="1" t="s">
        <v>12889</v>
      </c>
      <c r="D3488" s="2" t="s">
        <v>12890</v>
      </c>
      <c r="E3488" s="1">
        <v>1.0</v>
      </c>
      <c r="I3488" s="1">
        <v>0.0</v>
      </c>
      <c r="J3488" s="1">
        <v>31.0</v>
      </c>
      <c r="L3488" s="1">
        <v>1.1565902E7</v>
      </c>
      <c r="Q3488" s="1" t="s">
        <v>12889</v>
      </c>
      <c r="R3488" s="1" t="s">
        <v>12891</v>
      </c>
      <c r="S3488" s="1">
        <v>0.0</v>
      </c>
      <c r="T3488" s="1">
        <v>2.0</v>
      </c>
      <c r="X3488" s="1" t="s">
        <v>56</v>
      </c>
    </row>
    <row r="3489">
      <c r="A3489" s="3" t="str">
        <f>HYPERLINK("https://stackoverflow.com/q/56355331", "56355331")</f>
        <v>56355331</v>
      </c>
      <c r="B3489" s="1" t="s">
        <v>11474</v>
      </c>
      <c r="C3489" s="1" t="s">
        <v>12892</v>
      </c>
      <c r="D3489" s="2" t="s">
        <v>12893</v>
      </c>
      <c r="E3489" s="1">
        <v>1.0</v>
      </c>
      <c r="I3489" s="1">
        <v>0.0</v>
      </c>
      <c r="J3489" s="1">
        <v>396.0</v>
      </c>
      <c r="L3489" s="1">
        <v>1.1571397E7</v>
      </c>
      <c r="N3489" s="1">
        <v>1.1571397E7</v>
      </c>
      <c r="P3489" s="1" t="s">
        <v>12894</v>
      </c>
      <c r="Q3489" s="1" t="s">
        <v>12895</v>
      </c>
      <c r="R3489" s="1" t="s">
        <v>12605</v>
      </c>
      <c r="S3489" s="1">
        <v>1.0</v>
      </c>
      <c r="T3489" s="1">
        <v>0.0</v>
      </c>
      <c r="X3489" s="1" t="s">
        <v>56</v>
      </c>
    </row>
    <row r="3490">
      <c r="A3490" s="3" t="str">
        <f>HYPERLINK("https://stackoverflow.com/q/56469964", "56469964")</f>
        <v>56469964</v>
      </c>
      <c r="B3490" s="1" t="s">
        <v>11474</v>
      </c>
      <c r="C3490" s="1" t="s">
        <v>12896</v>
      </c>
      <c r="D3490" s="2" t="s">
        <v>12897</v>
      </c>
      <c r="E3490" s="1">
        <v>1.0</v>
      </c>
      <c r="I3490" s="1">
        <v>1.0</v>
      </c>
      <c r="J3490" s="1">
        <v>37.0</v>
      </c>
      <c r="L3490" s="1">
        <v>8645952.0</v>
      </c>
      <c r="Q3490" s="1" t="s">
        <v>12896</v>
      </c>
      <c r="R3490" s="1" t="s">
        <v>11549</v>
      </c>
      <c r="S3490" s="1">
        <v>0.0</v>
      </c>
      <c r="T3490" s="1">
        <v>1.0</v>
      </c>
      <c r="X3490" s="1" t="s">
        <v>56</v>
      </c>
    </row>
    <row r="3491">
      <c r="A3491" s="3" t="str">
        <f>HYPERLINK("https://stackoverflow.com/q/56542464", "56542464")</f>
        <v>56542464</v>
      </c>
      <c r="B3491" s="1" t="s">
        <v>11474</v>
      </c>
      <c r="C3491" s="1" t="s">
        <v>12898</v>
      </c>
      <c r="D3491" s="2" t="s">
        <v>12899</v>
      </c>
      <c r="E3491" s="1">
        <v>1.0</v>
      </c>
      <c r="F3491" s="1">
        <v>5.6542933E7</v>
      </c>
      <c r="I3491" s="1">
        <v>0.0</v>
      </c>
      <c r="J3491" s="1">
        <v>168.0</v>
      </c>
      <c r="L3491" s="1">
        <v>9745982.0</v>
      </c>
      <c r="Q3491" s="1" t="s">
        <v>12900</v>
      </c>
      <c r="R3491" s="1" t="s">
        <v>12901</v>
      </c>
      <c r="S3491" s="1">
        <v>1.0</v>
      </c>
      <c r="T3491" s="1">
        <v>0.0</v>
      </c>
      <c r="X3491" s="1" t="s">
        <v>56</v>
      </c>
      <c r="Z3491" s="1" t="s">
        <v>12900</v>
      </c>
    </row>
    <row r="3492">
      <c r="A3492" s="3" t="str">
        <f>HYPERLINK("https://stackoverflow.com/q/56570383", "56570383")</f>
        <v>56570383</v>
      </c>
      <c r="B3492" s="1" t="s">
        <v>11474</v>
      </c>
      <c r="C3492" s="1" t="s">
        <v>12902</v>
      </c>
      <c r="D3492" s="2" t="s">
        <v>12903</v>
      </c>
      <c r="E3492" s="1">
        <v>1.0</v>
      </c>
      <c r="F3492" s="1">
        <v>5.6581077E7</v>
      </c>
      <c r="I3492" s="1">
        <v>0.0</v>
      </c>
      <c r="J3492" s="1">
        <v>163.0</v>
      </c>
      <c r="L3492" s="1">
        <v>9548702.0</v>
      </c>
      <c r="N3492" s="1">
        <v>5946921.0</v>
      </c>
      <c r="P3492" s="1" t="s">
        <v>12904</v>
      </c>
      <c r="Q3492" s="1" t="s">
        <v>12905</v>
      </c>
      <c r="R3492" s="1" t="s">
        <v>12906</v>
      </c>
      <c r="S3492" s="1">
        <v>1.0</v>
      </c>
      <c r="T3492" s="1">
        <v>2.0</v>
      </c>
      <c r="X3492" s="1" t="s">
        <v>56</v>
      </c>
      <c r="Z3492" s="1" t="s">
        <v>12905</v>
      </c>
    </row>
    <row r="3493">
      <c r="A3493" s="3" t="str">
        <f>HYPERLINK("https://stackoverflow.com/q/56573602", "56573602")</f>
        <v>56573602</v>
      </c>
      <c r="B3493" s="1" t="s">
        <v>11474</v>
      </c>
      <c r="C3493" s="1" t="s">
        <v>12907</v>
      </c>
      <c r="D3493" s="2" t="s">
        <v>12908</v>
      </c>
      <c r="E3493" s="1">
        <v>1.0</v>
      </c>
      <c r="I3493" s="1">
        <v>0.0</v>
      </c>
      <c r="J3493" s="1">
        <v>77.0</v>
      </c>
      <c r="L3493" s="1">
        <v>1.1598739E7</v>
      </c>
      <c r="N3493" s="1">
        <v>7404943.0</v>
      </c>
      <c r="P3493" s="1" t="s">
        <v>12909</v>
      </c>
      <c r="Q3493" s="1" t="s">
        <v>12909</v>
      </c>
      <c r="R3493" s="1" t="s">
        <v>12910</v>
      </c>
      <c r="S3493" s="1">
        <v>0.0</v>
      </c>
      <c r="T3493" s="1">
        <v>2.0</v>
      </c>
      <c r="X3493" s="1" t="s">
        <v>56</v>
      </c>
    </row>
    <row r="3494">
      <c r="A3494" s="3" t="str">
        <f>HYPERLINK("https://stackoverflow.com/q/56587997", "56587997")</f>
        <v>56587997</v>
      </c>
      <c r="B3494" s="1" t="s">
        <v>11474</v>
      </c>
      <c r="C3494" s="1" t="s">
        <v>12911</v>
      </c>
      <c r="D3494" s="2" t="s">
        <v>12912</v>
      </c>
      <c r="E3494" s="1">
        <v>1.0</v>
      </c>
      <c r="I3494" s="1">
        <v>1.0</v>
      </c>
      <c r="J3494" s="1">
        <v>45.0</v>
      </c>
      <c r="L3494" s="1">
        <v>3976494.0</v>
      </c>
      <c r="Q3494" s="1" t="s">
        <v>12911</v>
      </c>
      <c r="R3494" s="1" t="s">
        <v>12913</v>
      </c>
      <c r="S3494" s="1">
        <v>0.0</v>
      </c>
      <c r="T3494" s="1">
        <v>5.0</v>
      </c>
      <c r="X3494" s="1" t="s">
        <v>56</v>
      </c>
    </row>
    <row r="3495">
      <c r="A3495" s="3" t="str">
        <f>HYPERLINK("https://stackoverflow.com/q/56633307", "56633307")</f>
        <v>56633307</v>
      </c>
      <c r="B3495" s="1" t="s">
        <v>11474</v>
      </c>
      <c r="C3495" s="1" t="s">
        <v>12914</v>
      </c>
      <c r="D3495" s="2" t="s">
        <v>12915</v>
      </c>
      <c r="E3495" s="1">
        <v>1.0</v>
      </c>
      <c r="I3495" s="1">
        <v>3.0</v>
      </c>
      <c r="J3495" s="1">
        <v>480.0</v>
      </c>
      <c r="L3495" s="1">
        <v>8927542.0</v>
      </c>
      <c r="Q3495" s="1" t="s">
        <v>12916</v>
      </c>
      <c r="R3495" s="1" t="s">
        <v>12917</v>
      </c>
      <c r="S3495" s="1">
        <v>1.0</v>
      </c>
      <c r="T3495" s="1">
        <v>3.0</v>
      </c>
      <c r="U3495" s="1">
        <v>0.0</v>
      </c>
      <c r="X3495" s="1" t="s">
        <v>56</v>
      </c>
    </row>
    <row r="3496">
      <c r="A3496" s="3" t="str">
        <f>HYPERLINK("https://stackoverflow.com/q/56669375", "56669375")</f>
        <v>56669375</v>
      </c>
      <c r="B3496" s="1" t="s">
        <v>11474</v>
      </c>
      <c r="C3496" s="1" t="s">
        <v>12918</v>
      </c>
      <c r="D3496" s="2" t="s">
        <v>12919</v>
      </c>
      <c r="E3496" s="1">
        <v>1.0</v>
      </c>
      <c r="I3496" s="1">
        <v>0.0</v>
      </c>
      <c r="J3496" s="1">
        <v>41.0</v>
      </c>
      <c r="L3496" s="1">
        <v>3976494.0</v>
      </c>
      <c r="N3496" s="1">
        <v>3976494.0</v>
      </c>
      <c r="P3496" s="1" t="s">
        <v>12920</v>
      </c>
      <c r="Q3496" s="1" t="s">
        <v>12920</v>
      </c>
      <c r="R3496" s="1" t="s">
        <v>12921</v>
      </c>
      <c r="S3496" s="1">
        <v>0.0</v>
      </c>
      <c r="T3496" s="1">
        <v>3.0</v>
      </c>
      <c r="X3496" s="1" t="s">
        <v>56</v>
      </c>
    </row>
    <row r="3497">
      <c r="A3497" s="3" t="str">
        <f>HYPERLINK("https://stackoverflow.com/q/56679178", "56679178")</f>
        <v>56679178</v>
      </c>
      <c r="B3497" s="1" t="s">
        <v>11474</v>
      </c>
      <c r="C3497" s="1" t="s">
        <v>12922</v>
      </c>
      <c r="D3497" s="2" t="s">
        <v>12923</v>
      </c>
      <c r="E3497" s="1">
        <v>1.0</v>
      </c>
      <c r="I3497" s="1">
        <v>0.0</v>
      </c>
      <c r="J3497" s="1">
        <v>115.0</v>
      </c>
      <c r="L3497" s="1">
        <v>8554833.0</v>
      </c>
      <c r="Q3497" s="1" t="s">
        <v>12924</v>
      </c>
      <c r="R3497" s="1" t="s">
        <v>12925</v>
      </c>
      <c r="S3497" s="1">
        <v>1.0</v>
      </c>
      <c r="T3497" s="1">
        <v>2.0</v>
      </c>
      <c r="X3497" s="1" t="s">
        <v>56</v>
      </c>
    </row>
    <row r="3498">
      <c r="A3498" s="3" t="str">
        <f>HYPERLINK("https://stackoverflow.com/q/56700759", "56700759")</f>
        <v>56700759</v>
      </c>
      <c r="B3498" s="1" t="s">
        <v>11474</v>
      </c>
      <c r="C3498" s="1" t="s">
        <v>12926</v>
      </c>
      <c r="D3498" s="2" t="s">
        <v>12927</v>
      </c>
      <c r="E3498" s="1">
        <v>1.0</v>
      </c>
      <c r="I3498" s="1">
        <v>1.0</v>
      </c>
      <c r="J3498" s="1">
        <v>1699.0</v>
      </c>
      <c r="L3498" s="1">
        <v>6908381.0</v>
      </c>
      <c r="N3498" s="1">
        <v>6908381.0</v>
      </c>
      <c r="P3498" s="1" t="s">
        <v>12928</v>
      </c>
      <c r="Q3498" s="1" t="s">
        <v>12929</v>
      </c>
      <c r="R3498" s="1" t="s">
        <v>12838</v>
      </c>
      <c r="S3498" s="1">
        <v>2.0</v>
      </c>
      <c r="T3498" s="1">
        <v>1.0</v>
      </c>
      <c r="X3498" s="1" t="s">
        <v>56</v>
      </c>
    </row>
    <row r="3499">
      <c r="A3499" s="3" t="str">
        <f>HYPERLINK("https://stackoverflow.com/q/56741525", "56741525")</f>
        <v>56741525</v>
      </c>
      <c r="B3499" s="1" t="s">
        <v>11474</v>
      </c>
      <c r="C3499" s="1" t="s">
        <v>12930</v>
      </c>
      <c r="D3499" s="2" t="s">
        <v>12931</v>
      </c>
      <c r="E3499" s="1">
        <v>1.0</v>
      </c>
      <c r="I3499" s="1">
        <v>2.0</v>
      </c>
      <c r="J3499" s="1">
        <v>316.0</v>
      </c>
      <c r="L3499" s="1">
        <v>1.163808E7</v>
      </c>
      <c r="Q3499" s="1" t="s">
        <v>12932</v>
      </c>
      <c r="R3499" s="1" t="s">
        <v>12933</v>
      </c>
      <c r="S3499" s="1">
        <v>1.0</v>
      </c>
      <c r="T3499" s="1">
        <v>0.0</v>
      </c>
      <c r="X3499" s="1" t="s">
        <v>56</v>
      </c>
    </row>
    <row r="3500">
      <c r="A3500" s="3" t="str">
        <f>HYPERLINK("https://stackoverflow.com/q/56744215", "56744215")</f>
        <v>56744215</v>
      </c>
      <c r="B3500" s="1" t="s">
        <v>11474</v>
      </c>
      <c r="C3500" s="1" t="s">
        <v>12934</v>
      </c>
      <c r="D3500" s="2" t="s">
        <v>12935</v>
      </c>
      <c r="E3500" s="1">
        <v>1.0</v>
      </c>
      <c r="I3500" s="1">
        <v>0.0</v>
      </c>
      <c r="J3500" s="1">
        <v>143.0</v>
      </c>
      <c r="L3500" s="1">
        <v>1.0942443E7</v>
      </c>
      <c r="Q3500" s="1" t="s">
        <v>12936</v>
      </c>
      <c r="R3500" s="1" t="s">
        <v>12937</v>
      </c>
      <c r="S3500" s="1">
        <v>1.0</v>
      </c>
      <c r="T3500" s="1">
        <v>2.0</v>
      </c>
      <c r="X3500" s="1" t="s">
        <v>56</v>
      </c>
    </row>
    <row r="3501">
      <c r="A3501" s="3" t="str">
        <f>HYPERLINK("https://stackoverflow.com/q/56746025", "56746025")</f>
        <v>56746025</v>
      </c>
      <c r="B3501" s="1" t="s">
        <v>11474</v>
      </c>
      <c r="C3501" s="1" t="s">
        <v>12938</v>
      </c>
      <c r="D3501" s="2" t="s">
        <v>12939</v>
      </c>
      <c r="E3501" s="1">
        <v>1.0</v>
      </c>
      <c r="I3501" s="1">
        <v>0.0</v>
      </c>
      <c r="J3501" s="1">
        <v>101.0</v>
      </c>
      <c r="L3501" s="1">
        <v>3769145.0</v>
      </c>
      <c r="N3501" s="1">
        <v>3431280.0</v>
      </c>
      <c r="P3501" s="1" t="s">
        <v>12940</v>
      </c>
      <c r="Q3501" s="1" t="s">
        <v>12940</v>
      </c>
      <c r="R3501" s="1" t="s">
        <v>11596</v>
      </c>
      <c r="S3501" s="1">
        <v>1.0</v>
      </c>
      <c r="T3501" s="1">
        <v>0.0</v>
      </c>
      <c r="X3501" s="1" t="s">
        <v>56</v>
      </c>
    </row>
    <row r="3502">
      <c r="A3502" s="3" t="str">
        <f>HYPERLINK("https://stackoverflow.com/q/56809303", "56809303")</f>
        <v>56809303</v>
      </c>
      <c r="B3502" s="1" t="s">
        <v>11474</v>
      </c>
      <c r="C3502" s="1" t="s">
        <v>12941</v>
      </c>
      <c r="D3502" s="2" t="s">
        <v>12942</v>
      </c>
      <c r="E3502" s="1">
        <v>1.0</v>
      </c>
      <c r="I3502" s="1">
        <v>0.0</v>
      </c>
      <c r="J3502" s="1">
        <v>39.0</v>
      </c>
      <c r="L3502" s="1">
        <v>6229558.0</v>
      </c>
      <c r="Q3502" s="1" t="s">
        <v>12941</v>
      </c>
      <c r="R3502" s="1" t="s">
        <v>11596</v>
      </c>
      <c r="S3502" s="1">
        <v>0.0</v>
      </c>
      <c r="T3502" s="1">
        <v>1.0</v>
      </c>
      <c r="X3502" s="1" t="s">
        <v>56</v>
      </c>
    </row>
    <row r="3503">
      <c r="A3503" s="3" t="str">
        <f>HYPERLINK("https://stackoverflow.com/q/56816188", "56816188")</f>
        <v>56816188</v>
      </c>
      <c r="B3503" s="1" t="s">
        <v>11474</v>
      </c>
      <c r="C3503" s="1" t="s">
        <v>12943</v>
      </c>
      <c r="D3503" s="2" t="s">
        <v>12944</v>
      </c>
      <c r="E3503" s="1">
        <v>1.0</v>
      </c>
      <c r="I3503" s="1">
        <v>0.0</v>
      </c>
      <c r="J3503" s="1">
        <v>29.0</v>
      </c>
      <c r="L3503" s="1">
        <v>395097.0</v>
      </c>
      <c r="Q3503" s="1" t="s">
        <v>12943</v>
      </c>
      <c r="R3503" s="1" t="s">
        <v>11499</v>
      </c>
      <c r="S3503" s="1">
        <v>0.0</v>
      </c>
      <c r="T3503" s="1">
        <v>0.0</v>
      </c>
      <c r="X3503" s="1" t="s">
        <v>56</v>
      </c>
    </row>
    <row r="3504">
      <c r="A3504" s="3" t="str">
        <f>HYPERLINK("https://stackoverflow.com/q/56833949", "56833949")</f>
        <v>56833949</v>
      </c>
      <c r="B3504" s="1" t="s">
        <v>11474</v>
      </c>
      <c r="C3504" s="1" t="s">
        <v>12945</v>
      </c>
      <c r="D3504" s="2" t="s">
        <v>12946</v>
      </c>
      <c r="E3504" s="1">
        <v>1.0</v>
      </c>
      <c r="I3504" s="1">
        <v>0.0</v>
      </c>
      <c r="J3504" s="1">
        <v>189.0</v>
      </c>
      <c r="L3504" s="1">
        <v>1.1723481E7</v>
      </c>
      <c r="N3504" s="1">
        <v>3999272.0</v>
      </c>
      <c r="P3504" s="1" t="s">
        <v>12947</v>
      </c>
      <c r="Q3504" s="1" t="s">
        <v>12948</v>
      </c>
      <c r="R3504" s="1" t="s">
        <v>11596</v>
      </c>
      <c r="S3504" s="1">
        <v>1.0</v>
      </c>
      <c r="T3504" s="1">
        <v>2.0</v>
      </c>
      <c r="X3504" s="1" t="s">
        <v>56</v>
      </c>
    </row>
    <row r="3505">
      <c r="A3505" s="3" t="str">
        <f>HYPERLINK("https://stackoverflow.com/q/56844066", "56844066")</f>
        <v>56844066</v>
      </c>
      <c r="B3505" s="1" t="s">
        <v>11474</v>
      </c>
      <c r="C3505" s="1" t="s">
        <v>12949</v>
      </c>
      <c r="D3505" s="2" t="s">
        <v>12950</v>
      </c>
      <c r="E3505" s="1">
        <v>1.0</v>
      </c>
      <c r="I3505" s="1">
        <v>1.0</v>
      </c>
      <c r="J3505" s="1">
        <v>120.0</v>
      </c>
      <c r="L3505" s="1">
        <v>1.0942443E7</v>
      </c>
      <c r="N3505" s="1">
        <v>1.0942443E7</v>
      </c>
      <c r="P3505" s="1" t="s">
        <v>12951</v>
      </c>
      <c r="Q3505" s="1" t="s">
        <v>12952</v>
      </c>
      <c r="R3505" s="1" t="s">
        <v>12953</v>
      </c>
      <c r="S3505" s="1">
        <v>1.0</v>
      </c>
      <c r="T3505" s="1">
        <v>6.0</v>
      </c>
      <c r="X3505" s="1" t="s">
        <v>56</v>
      </c>
    </row>
    <row r="3506">
      <c r="A3506" s="3" t="str">
        <f>HYPERLINK("https://stackoverflow.com/q/56846426", "56846426")</f>
        <v>56846426</v>
      </c>
      <c r="B3506" s="1" t="s">
        <v>11474</v>
      </c>
      <c r="C3506" s="1" t="s">
        <v>12954</v>
      </c>
      <c r="D3506" s="2" t="s">
        <v>12955</v>
      </c>
      <c r="E3506" s="1">
        <v>1.0</v>
      </c>
      <c r="F3506" s="1">
        <v>5.8480476E7</v>
      </c>
      <c r="I3506" s="1">
        <v>0.0</v>
      </c>
      <c r="J3506" s="1">
        <v>95.0</v>
      </c>
      <c r="L3506" s="1">
        <v>2271117.0</v>
      </c>
      <c r="Q3506" s="1" t="s">
        <v>12956</v>
      </c>
      <c r="R3506" s="1" t="s">
        <v>12374</v>
      </c>
      <c r="S3506" s="1">
        <v>1.0</v>
      </c>
      <c r="T3506" s="1">
        <v>0.0</v>
      </c>
      <c r="X3506" s="1" t="s">
        <v>56</v>
      </c>
      <c r="Z3506" s="1" t="s">
        <v>12956</v>
      </c>
    </row>
    <row r="3507">
      <c r="A3507" s="3" t="str">
        <f>HYPERLINK("https://stackoverflow.com/q/56873258", "56873258")</f>
        <v>56873258</v>
      </c>
      <c r="B3507" s="1" t="s">
        <v>11474</v>
      </c>
      <c r="C3507" s="1" t="s">
        <v>12957</v>
      </c>
      <c r="D3507" s="2" t="s">
        <v>12958</v>
      </c>
      <c r="E3507" s="1">
        <v>1.0</v>
      </c>
      <c r="I3507" s="1">
        <v>0.0</v>
      </c>
      <c r="J3507" s="1">
        <v>29.0</v>
      </c>
      <c r="L3507" s="1">
        <v>4464397.0</v>
      </c>
      <c r="Q3507" s="1" t="s">
        <v>12959</v>
      </c>
      <c r="R3507" s="1" t="s">
        <v>12960</v>
      </c>
      <c r="S3507" s="1">
        <v>1.0</v>
      </c>
      <c r="T3507" s="1">
        <v>0.0</v>
      </c>
      <c r="X3507" s="1" t="s">
        <v>56</v>
      </c>
    </row>
    <row r="3508">
      <c r="A3508" s="3" t="str">
        <f>HYPERLINK("https://stackoverflow.com/q/56875888", "56875888")</f>
        <v>56875888</v>
      </c>
      <c r="B3508" s="1" t="s">
        <v>11474</v>
      </c>
      <c r="C3508" s="1" t="s">
        <v>12961</v>
      </c>
      <c r="D3508" s="2" t="s">
        <v>12962</v>
      </c>
      <c r="E3508" s="1">
        <v>1.0</v>
      </c>
      <c r="I3508" s="1">
        <v>0.0</v>
      </c>
      <c r="J3508" s="1">
        <v>9.0</v>
      </c>
      <c r="L3508" s="1">
        <v>876341.0</v>
      </c>
      <c r="Q3508" s="1" t="s">
        <v>12961</v>
      </c>
      <c r="R3508" s="1" t="s">
        <v>11499</v>
      </c>
      <c r="S3508" s="1">
        <v>0.0</v>
      </c>
      <c r="T3508" s="1">
        <v>1.0</v>
      </c>
      <c r="X3508" s="1" t="s">
        <v>56</v>
      </c>
    </row>
    <row r="3509">
      <c r="A3509" s="3" t="str">
        <f>HYPERLINK("https://stackoverflow.com/q/56903025", "56903025")</f>
        <v>56903025</v>
      </c>
      <c r="B3509" s="1" t="s">
        <v>11474</v>
      </c>
      <c r="C3509" s="1" t="s">
        <v>12963</v>
      </c>
      <c r="D3509" s="2" t="s">
        <v>12964</v>
      </c>
      <c r="E3509" s="1">
        <v>1.0</v>
      </c>
      <c r="I3509" s="1">
        <v>0.0</v>
      </c>
      <c r="J3509" s="1">
        <v>159.0</v>
      </c>
      <c r="L3509" s="1">
        <v>3778626.0</v>
      </c>
      <c r="N3509" s="1">
        <v>4425782.0</v>
      </c>
      <c r="P3509" s="1" t="s">
        <v>12965</v>
      </c>
      <c r="Q3509" s="1" t="s">
        <v>12965</v>
      </c>
      <c r="R3509" s="1" t="s">
        <v>12966</v>
      </c>
      <c r="S3509" s="1">
        <v>0.0</v>
      </c>
      <c r="T3509" s="1">
        <v>0.0</v>
      </c>
      <c r="X3509" s="1" t="s">
        <v>56</v>
      </c>
    </row>
    <row r="3510">
      <c r="A3510" s="3" t="str">
        <f>HYPERLINK("https://stackoverflow.com/q/57035108", "57035108")</f>
        <v>57035108</v>
      </c>
      <c r="B3510" s="1" t="s">
        <v>11474</v>
      </c>
      <c r="C3510" s="1" t="s">
        <v>12967</v>
      </c>
      <c r="D3510" s="2" t="s">
        <v>12968</v>
      </c>
      <c r="E3510" s="1">
        <v>1.0</v>
      </c>
      <c r="F3510" s="1">
        <v>5.914017E7</v>
      </c>
      <c r="I3510" s="1">
        <v>0.0</v>
      </c>
      <c r="J3510" s="1">
        <v>309.0</v>
      </c>
      <c r="L3510" s="1">
        <v>9025415.0</v>
      </c>
      <c r="N3510" s="1">
        <v>9025415.0</v>
      </c>
      <c r="P3510" s="1" t="s">
        <v>12969</v>
      </c>
      <c r="Q3510" s="1" t="s">
        <v>12970</v>
      </c>
      <c r="R3510" s="1" t="s">
        <v>12971</v>
      </c>
      <c r="S3510" s="1">
        <v>1.0</v>
      </c>
      <c r="T3510" s="1">
        <v>2.0</v>
      </c>
      <c r="X3510" s="1" t="s">
        <v>56</v>
      </c>
      <c r="Z3510" s="1" t="s">
        <v>12972</v>
      </c>
    </row>
    <row r="3511">
      <c r="A3511" s="3" t="str">
        <f>HYPERLINK("https://stackoverflow.com/q/57076871", "57076871")</f>
        <v>57076871</v>
      </c>
      <c r="B3511" s="1" t="s">
        <v>11474</v>
      </c>
      <c r="C3511" s="1" t="s">
        <v>12973</v>
      </c>
      <c r="D3511" s="2" t="s">
        <v>12974</v>
      </c>
      <c r="E3511" s="1">
        <v>1.0</v>
      </c>
      <c r="I3511" s="1">
        <v>0.0</v>
      </c>
      <c r="J3511" s="1">
        <v>29.0</v>
      </c>
      <c r="L3511" s="1">
        <v>1.0050231E7</v>
      </c>
      <c r="Q3511" s="1" t="s">
        <v>12973</v>
      </c>
      <c r="R3511" s="1" t="s">
        <v>11596</v>
      </c>
      <c r="S3511" s="1">
        <v>0.0</v>
      </c>
      <c r="T3511" s="1">
        <v>0.0</v>
      </c>
      <c r="X3511" s="1" t="s">
        <v>56</v>
      </c>
    </row>
    <row r="3512">
      <c r="A3512" s="3" t="str">
        <f>HYPERLINK("https://stackoverflow.com/q/57143256", "57143256")</f>
        <v>57143256</v>
      </c>
      <c r="B3512" s="1" t="s">
        <v>11474</v>
      </c>
      <c r="C3512" s="1" t="s">
        <v>12975</v>
      </c>
      <c r="D3512" s="2" t="s">
        <v>12976</v>
      </c>
      <c r="E3512" s="1">
        <v>1.0</v>
      </c>
      <c r="I3512" s="1">
        <v>0.0</v>
      </c>
      <c r="J3512" s="1">
        <v>17.0</v>
      </c>
      <c r="L3512" s="1">
        <v>9568178.0</v>
      </c>
      <c r="Q3512" s="1" t="s">
        <v>12975</v>
      </c>
      <c r="R3512" s="1" t="s">
        <v>11596</v>
      </c>
      <c r="S3512" s="1">
        <v>0.0</v>
      </c>
      <c r="T3512" s="1">
        <v>0.0</v>
      </c>
      <c r="U3512" s="1">
        <v>1.0</v>
      </c>
      <c r="X3512" s="1" t="s">
        <v>56</v>
      </c>
    </row>
    <row r="3513">
      <c r="A3513" s="3" t="str">
        <f>HYPERLINK("https://stackoverflow.com/q/57248253", "57248253")</f>
        <v>57248253</v>
      </c>
      <c r="B3513" s="1" t="s">
        <v>11474</v>
      </c>
      <c r="C3513" s="1" t="s">
        <v>12977</v>
      </c>
      <c r="D3513" s="2" t="s">
        <v>12978</v>
      </c>
      <c r="E3513" s="1">
        <v>1.0</v>
      </c>
      <c r="F3513" s="1">
        <v>5.7248289E7</v>
      </c>
      <c r="I3513" s="1">
        <v>1.0</v>
      </c>
      <c r="J3513" s="1">
        <v>27.0</v>
      </c>
      <c r="L3513" s="1">
        <v>1.1850668E7</v>
      </c>
      <c r="N3513" s="1">
        <v>6914864.0</v>
      </c>
      <c r="P3513" s="1" t="s">
        <v>12979</v>
      </c>
      <c r="Q3513" s="1" t="s">
        <v>12980</v>
      </c>
      <c r="R3513" s="1" t="s">
        <v>11567</v>
      </c>
      <c r="S3513" s="1">
        <v>1.0</v>
      </c>
      <c r="T3513" s="1">
        <v>0.0</v>
      </c>
      <c r="X3513" s="1" t="s">
        <v>56</v>
      </c>
      <c r="Z3513" s="1" t="s">
        <v>12980</v>
      </c>
    </row>
    <row r="3514">
      <c r="A3514" s="3" t="str">
        <f>HYPERLINK("https://stackoverflow.com/q/57282075", "57282075")</f>
        <v>57282075</v>
      </c>
      <c r="B3514" s="1" t="s">
        <v>11474</v>
      </c>
      <c r="C3514" s="1" t="s">
        <v>12981</v>
      </c>
      <c r="D3514" s="2" t="s">
        <v>12982</v>
      </c>
      <c r="E3514" s="1">
        <v>1.0</v>
      </c>
      <c r="I3514" s="1">
        <v>0.0</v>
      </c>
      <c r="J3514" s="1">
        <v>117.0</v>
      </c>
      <c r="L3514" s="1">
        <v>3610088.0</v>
      </c>
      <c r="N3514" s="1">
        <v>6553328.0</v>
      </c>
      <c r="P3514" s="1" t="s">
        <v>12983</v>
      </c>
      <c r="Q3514" s="1" t="s">
        <v>12983</v>
      </c>
      <c r="R3514" s="1" t="s">
        <v>12984</v>
      </c>
      <c r="S3514" s="1">
        <v>0.0</v>
      </c>
      <c r="T3514" s="1">
        <v>6.0</v>
      </c>
      <c r="X3514" s="1" t="s">
        <v>56</v>
      </c>
    </row>
    <row r="3515">
      <c r="A3515" s="3" t="str">
        <f>HYPERLINK("https://stackoverflow.com/q/57359876", "57359876")</f>
        <v>57359876</v>
      </c>
      <c r="B3515" s="1" t="s">
        <v>11474</v>
      </c>
      <c r="C3515" s="1" t="s">
        <v>12985</v>
      </c>
      <c r="D3515" s="2" t="s">
        <v>12986</v>
      </c>
      <c r="E3515" s="1">
        <v>1.0</v>
      </c>
      <c r="F3515" s="1">
        <v>5.7377367E7</v>
      </c>
      <c r="I3515" s="1">
        <v>0.0</v>
      </c>
      <c r="J3515" s="1">
        <v>238.0</v>
      </c>
      <c r="L3515" s="1">
        <v>1.0403902E7</v>
      </c>
      <c r="N3515" s="1">
        <v>1.0403902E7</v>
      </c>
      <c r="P3515" s="1" t="s">
        <v>12987</v>
      </c>
      <c r="Q3515" s="1" t="s">
        <v>12988</v>
      </c>
      <c r="R3515" s="1" t="s">
        <v>12852</v>
      </c>
      <c r="S3515" s="1">
        <v>1.0</v>
      </c>
      <c r="T3515" s="1">
        <v>4.0</v>
      </c>
      <c r="U3515" s="1">
        <v>1.0</v>
      </c>
      <c r="X3515" s="1" t="s">
        <v>56</v>
      </c>
      <c r="Z3515" s="1" t="s">
        <v>12988</v>
      </c>
    </row>
    <row r="3516">
      <c r="A3516" s="3" t="str">
        <f>HYPERLINK("https://stackoverflow.com/q/57369751", "57369751")</f>
        <v>57369751</v>
      </c>
      <c r="B3516" s="1" t="s">
        <v>11474</v>
      </c>
      <c r="C3516" s="1" t="s">
        <v>12989</v>
      </c>
      <c r="D3516" s="2" t="s">
        <v>12990</v>
      </c>
      <c r="E3516" s="1">
        <v>1.0</v>
      </c>
      <c r="F3516" s="1">
        <v>5.9560748E7</v>
      </c>
      <c r="I3516" s="1">
        <v>1.0</v>
      </c>
      <c r="J3516" s="1">
        <v>50.0</v>
      </c>
      <c r="L3516" s="1">
        <v>1.0403902E7</v>
      </c>
      <c r="Q3516" s="1" t="s">
        <v>12991</v>
      </c>
      <c r="R3516" s="1" t="s">
        <v>12992</v>
      </c>
      <c r="S3516" s="1">
        <v>1.0</v>
      </c>
      <c r="T3516" s="1">
        <v>0.0</v>
      </c>
      <c r="X3516" s="1" t="s">
        <v>56</v>
      </c>
      <c r="Z3516" s="1" t="s">
        <v>12993</v>
      </c>
    </row>
    <row r="3517">
      <c r="A3517" s="3" t="str">
        <f>HYPERLINK("https://stackoverflow.com/q/57403551", "57403551")</f>
        <v>57403551</v>
      </c>
      <c r="B3517" s="1" t="s">
        <v>11474</v>
      </c>
      <c r="C3517" s="1" t="s">
        <v>12994</v>
      </c>
      <c r="D3517" s="2" t="s">
        <v>12995</v>
      </c>
      <c r="E3517" s="1">
        <v>1.0</v>
      </c>
      <c r="I3517" s="1">
        <v>0.0</v>
      </c>
      <c r="J3517" s="1">
        <v>115.0</v>
      </c>
      <c r="L3517" s="1">
        <v>6252481.0</v>
      </c>
      <c r="N3517" s="1">
        <v>7328370.0</v>
      </c>
      <c r="P3517" s="1" t="s">
        <v>12996</v>
      </c>
      <c r="Q3517" s="1" t="s">
        <v>12997</v>
      </c>
      <c r="R3517" s="1" t="s">
        <v>12998</v>
      </c>
      <c r="S3517" s="1">
        <v>1.0</v>
      </c>
      <c r="T3517" s="1">
        <v>0.0</v>
      </c>
      <c r="X3517" s="1" t="s">
        <v>56</v>
      </c>
    </row>
    <row r="3518">
      <c r="A3518" s="3" t="str">
        <f>HYPERLINK("https://stackoverflow.com/q/57410420", "57410420")</f>
        <v>57410420</v>
      </c>
      <c r="B3518" s="1" t="s">
        <v>11474</v>
      </c>
      <c r="C3518" s="1" t="s">
        <v>12999</v>
      </c>
      <c r="D3518" s="2" t="s">
        <v>13000</v>
      </c>
      <c r="E3518" s="1">
        <v>1.0</v>
      </c>
      <c r="F3518" s="1">
        <v>5.7410502E7</v>
      </c>
      <c r="I3518" s="1">
        <v>0.0</v>
      </c>
      <c r="J3518" s="1">
        <v>33.0</v>
      </c>
      <c r="L3518" s="1">
        <v>1.170908E7</v>
      </c>
      <c r="N3518" s="1">
        <v>4344586.0</v>
      </c>
      <c r="P3518" s="1" t="s">
        <v>13001</v>
      </c>
      <c r="Q3518" s="1" t="s">
        <v>13001</v>
      </c>
      <c r="R3518" s="1" t="s">
        <v>11600</v>
      </c>
      <c r="S3518" s="1">
        <v>1.0</v>
      </c>
      <c r="T3518" s="1">
        <v>1.0</v>
      </c>
      <c r="X3518" s="1" t="s">
        <v>56</v>
      </c>
      <c r="Z3518" s="1" t="s">
        <v>13002</v>
      </c>
    </row>
    <row r="3519">
      <c r="A3519" s="3" t="str">
        <f>HYPERLINK("https://stackoverflow.com/q/57523759", "57523759")</f>
        <v>57523759</v>
      </c>
      <c r="B3519" s="1" t="s">
        <v>11474</v>
      </c>
      <c r="C3519" s="1" t="s">
        <v>13003</v>
      </c>
      <c r="D3519" s="2" t="s">
        <v>13004</v>
      </c>
      <c r="E3519" s="1">
        <v>1.0</v>
      </c>
      <c r="I3519" s="1">
        <v>0.0</v>
      </c>
      <c r="J3519" s="1">
        <v>100.0</v>
      </c>
      <c r="L3519" s="1">
        <v>1.1762986E7</v>
      </c>
      <c r="N3519" s="1">
        <v>5226328.0</v>
      </c>
      <c r="P3519" s="1" t="s">
        <v>13005</v>
      </c>
      <c r="Q3519" s="1" t="s">
        <v>13006</v>
      </c>
      <c r="R3519" s="1" t="s">
        <v>13007</v>
      </c>
      <c r="S3519" s="1">
        <v>1.0</v>
      </c>
      <c r="T3519" s="1">
        <v>0.0</v>
      </c>
      <c r="U3519" s="1">
        <v>0.0</v>
      </c>
      <c r="X3519" s="1" t="s">
        <v>56</v>
      </c>
    </row>
    <row r="3520">
      <c r="A3520" s="3" t="str">
        <f>HYPERLINK("https://stackoverflow.com/q/57686877", "57686877")</f>
        <v>57686877</v>
      </c>
      <c r="B3520" s="1" t="s">
        <v>11474</v>
      </c>
      <c r="C3520" s="1" t="s">
        <v>13008</v>
      </c>
      <c r="D3520" s="2" t="s">
        <v>13009</v>
      </c>
      <c r="E3520" s="1">
        <v>1.0</v>
      </c>
      <c r="F3520" s="1">
        <v>5.7765825E7</v>
      </c>
      <c r="I3520" s="1">
        <v>2.0</v>
      </c>
      <c r="J3520" s="1">
        <v>173.0</v>
      </c>
      <c r="L3520" s="1">
        <v>9621507.0</v>
      </c>
      <c r="Q3520" s="1" t="s">
        <v>13010</v>
      </c>
      <c r="R3520" s="1" t="s">
        <v>13011</v>
      </c>
      <c r="S3520" s="1">
        <v>1.0</v>
      </c>
      <c r="T3520" s="1">
        <v>0.0</v>
      </c>
      <c r="X3520" s="1" t="s">
        <v>56</v>
      </c>
      <c r="Z3520" s="1" t="s">
        <v>13010</v>
      </c>
    </row>
    <row r="3521">
      <c r="A3521" s="3" t="str">
        <f>HYPERLINK("https://stackoverflow.com/q/57762017", "57762017")</f>
        <v>57762017</v>
      </c>
      <c r="B3521" s="1" t="s">
        <v>11474</v>
      </c>
      <c r="C3521" s="1" t="s">
        <v>13012</v>
      </c>
      <c r="D3521" s="2" t="s">
        <v>13013</v>
      </c>
      <c r="E3521" s="1">
        <v>1.0</v>
      </c>
      <c r="F3521" s="1">
        <v>5.7877775E7</v>
      </c>
      <c r="I3521" s="1">
        <v>0.0</v>
      </c>
      <c r="J3521" s="1">
        <v>266.0</v>
      </c>
      <c r="L3521" s="1">
        <v>7416865.0</v>
      </c>
      <c r="N3521" s="1">
        <v>7416865.0</v>
      </c>
      <c r="P3521" s="1" t="s">
        <v>13014</v>
      </c>
      <c r="Q3521" s="1" t="s">
        <v>13015</v>
      </c>
      <c r="R3521" s="1" t="s">
        <v>13016</v>
      </c>
      <c r="S3521" s="1">
        <v>2.0</v>
      </c>
      <c r="T3521" s="1">
        <v>0.0</v>
      </c>
      <c r="U3521" s="1">
        <v>1.0</v>
      </c>
      <c r="X3521" s="1" t="s">
        <v>56</v>
      </c>
      <c r="Z3521" s="1" t="s">
        <v>13017</v>
      </c>
    </row>
    <row r="3522">
      <c r="A3522" s="3" t="str">
        <f>HYPERLINK("https://stackoverflow.com/q/57831723", "57831723")</f>
        <v>57831723</v>
      </c>
      <c r="B3522" s="1" t="s">
        <v>11474</v>
      </c>
      <c r="C3522" s="1" t="s">
        <v>13018</v>
      </c>
      <c r="D3522" s="2" t="s">
        <v>13019</v>
      </c>
      <c r="E3522" s="1">
        <v>1.0</v>
      </c>
      <c r="I3522" s="1">
        <v>0.0</v>
      </c>
      <c r="J3522" s="1">
        <v>176.0</v>
      </c>
      <c r="L3522" s="1">
        <v>1.2033693E7</v>
      </c>
      <c r="Q3522" s="1" t="s">
        <v>13020</v>
      </c>
      <c r="R3522" s="1" t="s">
        <v>11596</v>
      </c>
      <c r="S3522" s="1">
        <v>1.0</v>
      </c>
      <c r="T3522" s="1">
        <v>0.0</v>
      </c>
      <c r="X3522" s="1" t="s">
        <v>56</v>
      </c>
    </row>
    <row r="3523">
      <c r="A3523" s="3" t="str">
        <f>HYPERLINK("https://stackoverflow.com/q/57901336", "57901336")</f>
        <v>57901336</v>
      </c>
      <c r="B3523" s="1" t="s">
        <v>11474</v>
      </c>
      <c r="C3523" s="1" t="s">
        <v>13021</v>
      </c>
      <c r="D3523" s="2" t="s">
        <v>13022</v>
      </c>
      <c r="E3523" s="1">
        <v>1.0</v>
      </c>
      <c r="I3523" s="1">
        <v>0.0</v>
      </c>
      <c r="J3523" s="1">
        <v>37.0</v>
      </c>
      <c r="L3523" s="1">
        <v>6629338.0</v>
      </c>
      <c r="N3523" s="1">
        <v>3682162.0</v>
      </c>
      <c r="P3523" s="1" t="s">
        <v>13023</v>
      </c>
      <c r="Q3523" s="1" t="s">
        <v>13023</v>
      </c>
      <c r="R3523" s="1" t="s">
        <v>13024</v>
      </c>
      <c r="S3523" s="1">
        <v>0.0</v>
      </c>
      <c r="T3523" s="1">
        <v>1.0</v>
      </c>
      <c r="X3523" s="1" t="s">
        <v>56</v>
      </c>
    </row>
    <row r="3524">
      <c r="A3524" s="3" t="str">
        <f>HYPERLINK("https://stackoverflow.com/q/58011656", "58011656")</f>
        <v>58011656</v>
      </c>
      <c r="B3524" s="1" t="s">
        <v>11474</v>
      </c>
      <c r="C3524" s="1" t="s">
        <v>13025</v>
      </c>
      <c r="D3524" s="2" t="s">
        <v>13026</v>
      </c>
      <c r="E3524" s="1">
        <v>1.0</v>
      </c>
      <c r="F3524" s="1">
        <v>5.8337195E7</v>
      </c>
      <c r="I3524" s="1">
        <v>0.0</v>
      </c>
      <c r="J3524" s="1">
        <v>76.0</v>
      </c>
      <c r="L3524" s="1">
        <v>4050313.0</v>
      </c>
      <c r="Q3524" s="1" t="s">
        <v>13027</v>
      </c>
      <c r="R3524" s="1" t="s">
        <v>13028</v>
      </c>
      <c r="S3524" s="1">
        <v>1.0</v>
      </c>
      <c r="T3524" s="1">
        <v>0.0</v>
      </c>
      <c r="X3524" s="1" t="s">
        <v>56</v>
      </c>
      <c r="Z3524" s="1" t="s">
        <v>13027</v>
      </c>
    </row>
    <row r="3525">
      <c r="A3525" s="3" t="str">
        <f>HYPERLINK("https://stackoverflow.com/q/58054575", "58054575")</f>
        <v>58054575</v>
      </c>
      <c r="B3525" s="1" t="s">
        <v>11474</v>
      </c>
      <c r="C3525" s="1" t="s">
        <v>13029</v>
      </c>
      <c r="D3525" s="2" t="s">
        <v>13030</v>
      </c>
      <c r="E3525" s="1">
        <v>1.0</v>
      </c>
      <c r="F3525" s="1">
        <v>5.8095393E7</v>
      </c>
      <c r="I3525" s="1">
        <v>0.0</v>
      </c>
      <c r="J3525" s="1">
        <v>240.0</v>
      </c>
      <c r="L3525" s="1">
        <v>162273.0</v>
      </c>
      <c r="Q3525" s="1" t="s">
        <v>13031</v>
      </c>
      <c r="R3525" s="1" t="s">
        <v>11596</v>
      </c>
      <c r="S3525" s="1">
        <v>1.0</v>
      </c>
      <c r="T3525" s="1">
        <v>0.0</v>
      </c>
      <c r="X3525" s="1" t="s">
        <v>56</v>
      </c>
      <c r="Z3525" s="1" t="s">
        <v>13032</v>
      </c>
    </row>
    <row r="3526">
      <c r="A3526" s="3" t="str">
        <f>HYPERLINK("https://stackoverflow.com/q/58091962", "58091962")</f>
        <v>58091962</v>
      </c>
      <c r="B3526" s="1" t="s">
        <v>11474</v>
      </c>
      <c r="C3526" s="1" t="s">
        <v>13033</v>
      </c>
      <c r="D3526" s="2" t="s">
        <v>13034</v>
      </c>
      <c r="E3526" s="1">
        <v>1.0</v>
      </c>
      <c r="I3526" s="1">
        <v>0.0</v>
      </c>
      <c r="J3526" s="1">
        <v>78.0</v>
      </c>
      <c r="L3526" s="1">
        <v>49238.0</v>
      </c>
      <c r="N3526" s="1">
        <v>7458887.0</v>
      </c>
      <c r="P3526" s="1" t="s">
        <v>13035</v>
      </c>
      <c r="Q3526" s="1" t="s">
        <v>13036</v>
      </c>
      <c r="R3526" s="1" t="s">
        <v>13037</v>
      </c>
      <c r="S3526" s="1">
        <v>1.0</v>
      </c>
      <c r="T3526" s="1">
        <v>2.0</v>
      </c>
      <c r="X3526" s="1" t="s">
        <v>56</v>
      </c>
    </row>
    <row r="3527">
      <c r="A3527" s="3" t="str">
        <f>HYPERLINK("https://stackoverflow.com/q/58102675", "58102675")</f>
        <v>58102675</v>
      </c>
      <c r="B3527" s="1" t="s">
        <v>11474</v>
      </c>
      <c r="C3527" s="1" t="s">
        <v>13038</v>
      </c>
      <c r="D3527" s="2" t="s">
        <v>13039</v>
      </c>
      <c r="E3527" s="1">
        <v>1.0</v>
      </c>
      <c r="I3527" s="1">
        <v>0.0</v>
      </c>
      <c r="J3527" s="1">
        <v>92.0</v>
      </c>
      <c r="L3527" s="1">
        <v>1.2120245E7</v>
      </c>
      <c r="N3527" s="1">
        <v>1.2120245E7</v>
      </c>
      <c r="P3527" s="1" t="s">
        <v>13040</v>
      </c>
      <c r="Q3527" s="1" t="s">
        <v>13040</v>
      </c>
      <c r="R3527" s="1" t="s">
        <v>13041</v>
      </c>
      <c r="S3527" s="1">
        <v>0.0</v>
      </c>
      <c r="T3527" s="1">
        <v>0.0</v>
      </c>
      <c r="X3527" s="1" t="s">
        <v>56</v>
      </c>
    </row>
    <row r="3528">
      <c r="A3528" s="3" t="str">
        <f>HYPERLINK("https://stackoverflow.com/q/58115925", "58115925")</f>
        <v>58115925</v>
      </c>
      <c r="B3528" s="1" t="s">
        <v>11474</v>
      </c>
      <c r="C3528" s="1" t="s">
        <v>13042</v>
      </c>
      <c r="D3528" s="2" t="s">
        <v>13043</v>
      </c>
      <c r="E3528" s="1">
        <v>1.0</v>
      </c>
      <c r="I3528" s="1">
        <v>0.0</v>
      </c>
      <c r="J3528" s="1">
        <v>69.0</v>
      </c>
      <c r="L3528" s="1">
        <v>6942012.0</v>
      </c>
      <c r="Q3528" s="1" t="s">
        <v>13044</v>
      </c>
      <c r="R3528" s="1" t="s">
        <v>13045</v>
      </c>
      <c r="S3528" s="1">
        <v>2.0</v>
      </c>
      <c r="T3528" s="1">
        <v>0.0</v>
      </c>
      <c r="X3528" s="1" t="s">
        <v>56</v>
      </c>
    </row>
    <row r="3529">
      <c r="A3529" s="3" t="str">
        <f>HYPERLINK("https://stackoverflow.com/q/58134573", "58134573")</f>
        <v>58134573</v>
      </c>
      <c r="B3529" s="1" t="s">
        <v>11474</v>
      </c>
      <c r="C3529" s="1" t="s">
        <v>13046</v>
      </c>
      <c r="D3529" s="2" t="s">
        <v>13047</v>
      </c>
      <c r="E3529" s="1">
        <v>1.0</v>
      </c>
      <c r="I3529" s="1">
        <v>0.0</v>
      </c>
      <c r="J3529" s="1">
        <v>98.0</v>
      </c>
      <c r="L3529" s="1">
        <v>1.0384336E7</v>
      </c>
      <c r="Q3529" s="1" t="s">
        <v>13048</v>
      </c>
      <c r="R3529" s="1" t="s">
        <v>13049</v>
      </c>
      <c r="S3529" s="1">
        <v>1.0</v>
      </c>
      <c r="T3529" s="1">
        <v>0.0</v>
      </c>
      <c r="X3529" s="1" t="s">
        <v>56</v>
      </c>
    </row>
    <row r="3530">
      <c r="A3530" s="3" t="str">
        <f>HYPERLINK("https://stackoverflow.com/q/58170140", "58170140")</f>
        <v>58170140</v>
      </c>
      <c r="B3530" s="1" t="s">
        <v>11474</v>
      </c>
      <c r="C3530" s="1" t="s">
        <v>13050</v>
      </c>
      <c r="D3530" s="2" t="s">
        <v>13051</v>
      </c>
      <c r="E3530" s="1">
        <v>1.0</v>
      </c>
      <c r="I3530" s="1">
        <v>0.0</v>
      </c>
      <c r="J3530" s="1">
        <v>97.0</v>
      </c>
      <c r="L3530" s="1">
        <v>3624041.0</v>
      </c>
      <c r="Q3530" s="1" t="s">
        <v>13050</v>
      </c>
      <c r="R3530" s="1" t="s">
        <v>13052</v>
      </c>
      <c r="S3530" s="1">
        <v>0.0</v>
      </c>
      <c r="T3530" s="1">
        <v>0.0</v>
      </c>
      <c r="X3530" s="1" t="s">
        <v>56</v>
      </c>
    </row>
    <row r="3531">
      <c r="A3531" s="3" t="str">
        <f>HYPERLINK("https://stackoverflow.com/q/58248640", "58248640")</f>
        <v>58248640</v>
      </c>
      <c r="B3531" s="1" t="s">
        <v>11474</v>
      </c>
      <c r="C3531" s="1" t="s">
        <v>13053</v>
      </c>
      <c r="D3531" s="2" t="s">
        <v>13054</v>
      </c>
      <c r="E3531" s="1">
        <v>1.0</v>
      </c>
      <c r="I3531" s="1">
        <v>0.0</v>
      </c>
      <c r="J3531" s="1">
        <v>25.0</v>
      </c>
      <c r="L3531" s="1">
        <v>7020219.0</v>
      </c>
      <c r="Q3531" s="1" t="s">
        <v>13053</v>
      </c>
      <c r="R3531" s="1" t="s">
        <v>12960</v>
      </c>
      <c r="S3531" s="1">
        <v>0.0</v>
      </c>
      <c r="T3531" s="1">
        <v>0.0</v>
      </c>
      <c r="X3531" s="1" t="s">
        <v>56</v>
      </c>
    </row>
    <row r="3532">
      <c r="A3532" s="3" t="str">
        <f>HYPERLINK("https://stackoverflow.com/q/58255162", "58255162")</f>
        <v>58255162</v>
      </c>
      <c r="B3532" s="1" t="s">
        <v>11474</v>
      </c>
      <c r="C3532" s="1" t="s">
        <v>13055</v>
      </c>
      <c r="D3532" s="2" t="s">
        <v>13056</v>
      </c>
      <c r="E3532" s="1">
        <v>1.0</v>
      </c>
      <c r="I3532" s="1">
        <v>0.0</v>
      </c>
      <c r="J3532" s="1">
        <v>94.0</v>
      </c>
      <c r="L3532" s="1">
        <v>7020219.0</v>
      </c>
      <c r="Q3532" s="1" t="s">
        <v>13057</v>
      </c>
      <c r="R3532" s="1" t="s">
        <v>12573</v>
      </c>
      <c r="S3532" s="1">
        <v>1.0</v>
      </c>
      <c r="T3532" s="1">
        <v>0.0</v>
      </c>
      <c r="X3532" s="1" t="s">
        <v>56</v>
      </c>
    </row>
    <row r="3533">
      <c r="A3533" s="3" t="str">
        <f>HYPERLINK("https://stackoverflow.com/q/58270907", "58270907")</f>
        <v>58270907</v>
      </c>
      <c r="B3533" s="1" t="s">
        <v>11474</v>
      </c>
      <c r="C3533" s="1" t="s">
        <v>13058</v>
      </c>
      <c r="D3533" s="2" t="s">
        <v>13059</v>
      </c>
      <c r="E3533" s="1">
        <v>1.0</v>
      </c>
      <c r="I3533" s="1">
        <v>0.0</v>
      </c>
      <c r="J3533" s="1">
        <v>33.0</v>
      </c>
      <c r="L3533" s="1">
        <v>3142451.0</v>
      </c>
      <c r="N3533" s="1">
        <v>1.185434E7</v>
      </c>
      <c r="P3533" s="1" t="s">
        <v>13060</v>
      </c>
      <c r="Q3533" s="1" t="s">
        <v>13061</v>
      </c>
      <c r="R3533" s="1" t="s">
        <v>13062</v>
      </c>
      <c r="S3533" s="1">
        <v>0.0</v>
      </c>
      <c r="T3533" s="1">
        <v>0.0</v>
      </c>
      <c r="X3533" s="1" t="s">
        <v>56</v>
      </c>
    </row>
    <row r="3534">
      <c r="A3534" s="3" t="str">
        <f>HYPERLINK("https://stackoverflow.com/q/58303923", "58303923")</f>
        <v>58303923</v>
      </c>
      <c r="B3534" s="1" t="s">
        <v>11474</v>
      </c>
      <c r="C3534" s="1" t="s">
        <v>13063</v>
      </c>
      <c r="D3534" s="2" t="s">
        <v>13064</v>
      </c>
      <c r="E3534" s="1">
        <v>1.0</v>
      </c>
      <c r="I3534" s="1">
        <v>0.0</v>
      </c>
      <c r="J3534" s="1">
        <v>51.0</v>
      </c>
      <c r="L3534" s="1">
        <v>797374.0</v>
      </c>
      <c r="Q3534" s="1" t="s">
        <v>13063</v>
      </c>
      <c r="R3534" s="1" t="s">
        <v>13065</v>
      </c>
      <c r="S3534" s="1">
        <v>0.0</v>
      </c>
      <c r="T3534" s="1">
        <v>1.0</v>
      </c>
      <c r="X3534" s="1" t="s">
        <v>56</v>
      </c>
    </row>
    <row r="3535">
      <c r="A3535" s="3" t="str">
        <f>HYPERLINK("https://stackoverflow.com/q/58340827", "58340827")</f>
        <v>58340827</v>
      </c>
      <c r="B3535" s="1" t="s">
        <v>11474</v>
      </c>
      <c r="C3535" s="1" t="s">
        <v>13066</v>
      </c>
      <c r="D3535" s="2" t="s">
        <v>13067</v>
      </c>
      <c r="E3535" s="1">
        <v>1.0</v>
      </c>
      <c r="I3535" s="1">
        <v>1.0</v>
      </c>
      <c r="J3535" s="1">
        <v>10.0</v>
      </c>
      <c r="L3535" s="1">
        <v>8590083.0</v>
      </c>
      <c r="Q3535" s="1" t="s">
        <v>13066</v>
      </c>
      <c r="R3535" s="1" t="s">
        <v>11499</v>
      </c>
      <c r="S3535" s="1">
        <v>0.0</v>
      </c>
      <c r="T3535" s="1">
        <v>0.0</v>
      </c>
      <c r="X3535" s="1" t="s">
        <v>56</v>
      </c>
    </row>
    <row r="3536">
      <c r="A3536" s="3" t="str">
        <f>HYPERLINK("https://stackoverflow.com/q/58345697", "58345697")</f>
        <v>58345697</v>
      </c>
      <c r="B3536" s="1" t="s">
        <v>11474</v>
      </c>
      <c r="C3536" s="1" t="s">
        <v>13068</v>
      </c>
      <c r="D3536" s="2" t="s">
        <v>13069</v>
      </c>
      <c r="E3536" s="1">
        <v>1.0</v>
      </c>
      <c r="I3536" s="1">
        <v>0.0</v>
      </c>
      <c r="J3536" s="1">
        <v>164.0</v>
      </c>
      <c r="L3536" s="1">
        <v>1.2202419E7</v>
      </c>
      <c r="N3536" s="1">
        <v>5581565.0</v>
      </c>
      <c r="P3536" s="1" t="s">
        <v>13070</v>
      </c>
      <c r="Q3536" s="1" t="s">
        <v>13071</v>
      </c>
      <c r="R3536" s="1" t="s">
        <v>13072</v>
      </c>
      <c r="S3536" s="1">
        <v>1.0</v>
      </c>
      <c r="T3536" s="1">
        <v>1.0</v>
      </c>
      <c r="X3536" s="1" t="s">
        <v>56</v>
      </c>
    </row>
    <row r="3537">
      <c r="A3537" s="3" t="str">
        <f>HYPERLINK("https://stackoverflow.com/q/58362057", "58362057")</f>
        <v>58362057</v>
      </c>
      <c r="B3537" s="1" t="s">
        <v>11474</v>
      </c>
      <c r="C3537" s="1" t="s">
        <v>13073</v>
      </c>
      <c r="D3537" s="2" t="s">
        <v>13074</v>
      </c>
      <c r="E3537" s="1">
        <v>1.0</v>
      </c>
      <c r="I3537" s="1">
        <v>0.0</v>
      </c>
      <c r="J3537" s="1">
        <v>28.0</v>
      </c>
      <c r="L3537" s="1">
        <v>1.1569643E7</v>
      </c>
      <c r="N3537" s="1">
        <v>5436880.0</v>
      </c>
      <c r="P3537" s="1" t="s">
        <v>13075</v>
      </c>
      <c r="Q3537" s="1" t="s">
        <v>13075</v>
      </c>
      <c r="R3537" s="1" t="s">
        <v>13076</v>
      </c>
      <c r="S3537" s="1">
        <v>0.0</v>
      </c>
      <c r="T3537" s="1">
        <v>0.0</v>
      </c>
      <c r="X3537" s="1" t="s">
        <v>56</v>
      </c>
    </row>
    <row r="3538">
      <c r="A3538" s="3" t="str">
        <f>HYPERLINK("https://stackoverflow.com/q/58394762", "58394762")</f>
        <v>58394762</v>
      </c>
      <c r="B3538" s="1" t="s">
        <v>11474</v>
      </c>
      <c r="C3538" s="1" t="s">
        <v>13077</v>
      </c>
      <c r="D3538" s="2" t="s">
        <v>13078</v>
      </c>
      <c r="E3538" s="1">
        <v>1.0</v>
      </c>
      <c r="I3538" s="1">
        <v>0.0</v>
      </c>
      <c r="J3538" s="1">
        <v>52.0</v>
      </c>
      <c r="L3538" s="1">
        <v>9389070.0</v>
      </c>
      <c r="N3538" s="1">
        <v>1974224.0</v>
      </c>
      <c r="P3538" s="1" t="s">
        <v>13079</v>
      </c>
      <c r="Q3538" s="1" t="s">
        <v>13079</v>
      </c>
      <c r="R3538" s="1" t="s">
        <v>12255</v>
      </c>
      <c r="S3538" s="1">
        <v>0.0</v>
      </c>
      <c r="T3538" s="1">
        <v>1.0</v>
      </c>
      <c r="X3538" s="1" t="s">
        <v>56</v>
      </c>
    </row>
    <row r="3539">
      <c r="A3539" s="3" t="str">
        <f>HYPERLINK("https://stackoverflow.com/q/58430408", "58430408")</f>
        <v>58430408</v>
      </c>
      <c r="B3539" s="1" t="s">
        <v>11474</v>
      </c>
      <c r="C3539" s="1" t="s">
        <v>13080</v>
      </c>
      <c r="D3539" s="2" t="s">
        <v>13081</v>
      </c>
      <c r="E3539" s="1">
        <v>1.0</v>
      </c>
      <c r="I3539" s="1">
        <v>0.0</v>
      </c>
      <c r="J3539" s="1">
        <v>59.0</v>
      </c>
      <c r="L3539" s="1">
        <v>4180140.0</v>
      </c>
      <c r="N3539" s="1">
        <v>4180140.0</v>
      </c>
      <c r="P3539" s="1" t="s">
        <v>13082</v>
      </c>
      <c r="Q3539" s="1" t="s">
        <v>13082</v>
      </c>
      <c r="R3539" s="1" t="s">
        <v>13083</v>
      </c>
      <c r="S3539" s="1">
        <v>0.0</v>
      </c>
      <c r="T3539" s="1">
        <v>0.0</v>
      </c>
      <c r="X3539" s="1" t="s">
        <v>56</v>
      </c>
    </row>
    <row r="3540">
      <c r="A3540" s="3" t="str">
        <f>HYPERLINK("https://stackoverflow.com/q/58454150", "58454150")</f>
        <v>58454150</v>
      </c>
      <c r="B3540" s="1" t="s">
        <v>11474</v>
      </c>
      <c r="C3540" s="1" t="s">
        <v>13084</v>
      </c>
      <c r="D3540" s="2" t="s">
        <v>13085</v>
      </c>
      <c r="E3540" s="1">
        <v>1.0</v>
      </c>
      <c r="I3540" s="1">
        <v>0.0</v>
      </c>
      <c r="J3540" s="1">
        <v>16.0</v>
      </c>
      <c r="L3540" s="1">
        <v>7115880.0</v>
      </c>
      <c r="Q3540" s="1" t="s">
        <v>13084</v>
      </c>
      <c r="R3540" s="1" t="s">
        <v>11596</v>
      </c>
      <c r="S3540" s="1">
        <v>0.0</v>
      </c>
      <c r="T3540" s="1">
        <v>0.0</v>
      </c>
      <c r="X3540" s="1" t="s">
        <v>56</v>
      </c>
    </row>
    <row r="3541">
      <c r="A3541" s="3" t="str">
        <f>HYPERLINK("https://stackoverflow.com/q/58511704", "58511704")</f>
        <v>58511704</v>
      </c>
      <c r="B3541" s="1" t="s">
        <v>11474</v>
      </c>
      <c r="C3541" s="1" t="s">
        <v>13086</v>
      </c>
      <c r="D3541" s="2" t="s">
        <v>13087</v>
      </c>
      <c r="E3541" s="1">
        <v>1.0</v>
      </c>
      <c r="I3541" s="1">
        <v>0.0</v>
      </c>
      <c r="J3541" s="1">
        <v>24.0</v>
      </c>
      <c r="L3541" s="1">
        <v>1.2234129E7</v>
      </c>
      <c r="Q3541" s="1" t="s">
        <v>13086</v>
      </c>
      <c r="R3541" s="1" t="s">
        <v>13088</v>
      </c>
      <c r="S3541" s="1">
        <v>0.0</v>
      </c>
      <c r="T3541" s="1">
        <v>0.0</v>
      </c>
      <c r="X3541" s="1" t="s">
        <v>56</v>
      </c>
    </row>
    <row r="3542">
      <c r="A3542" s="3" t="str">
        <f>HYPERLINK("https://stackoverflow.com/q/58687783", "58687783")</f>
        <v>58687783</v>
      </c>
      <c r="B3542" s="1" t="s">
        <v>11474</v>
      </c>
      <c r="C3542" s="1" t="s">
        <v>13089</v>
      </c>
      <c r="D3542" s="2" t="s">
        <v>13090</v>
      </c>
      <c r="E3542" s="1">
        <v>1.0</v>
      </c>
      <c r="F3542" s="1">
        <v>5.8688989E7</v>
      </c>
      <c r="I3542" s="1">
        <v>1.0</v>
      </c>
      <c r="J3542" s="1">
        <v>546.0</v>
      </c>
      <c r="L3542" s="1">
        <v>1.0116367E7</v>
      </c>
      <c r="Q3542" s="1" t="s">
        <v>13091</v>
      </c>
      <c r="R3542" s="1" t="s">
        <v>13092</v>
      </c>
      <c r="S3542" s="1">
        <v>1.0</v>
      </c>
      <c r="T3542" s="1">
        <v>0.0</v>
      </c>
      <c r="X3542" s="1" t="s">
        <v>56</v>
      </c>
      <c r="Z3542" s="1" t="s">
        <v>13091</v>
      </c>
    </row>
    <row r="3543">
      <c r="A3543" s="3" t="str">
        <f>HYPERLINK("https://stackoverflow.com/q/58715146", "58715146")</f>
        <v>58715146</v>
      </c>
      <c r="B3543" s="1" t="s">
        <v>11474</v>
      </c>
      <c r="C3543" s="1" t="s">
        <v>13093</v>
      </c>
      <c r="D3543" s="2" t="s">
        <v>13094</v>
      </c>
      <c r="E3543" s="1">
        <v>1.0</v>
      </c>
      <c r="I3543" s="1">
        <v>0.0</v>
      </c>
      <c r="J3543" s="1">
        <v>122.0</v>
      </c>
      <c r="L3543" s="1">
        <v>9846351.0</v>
      </c>
      <c r="N3543" s="1">
        <v>13302.0</v>
      </c>
      <c r="P3543" s="1" t="s">
        <v>13095</v>
      </c>
      <c r="Q3543" s="1" t="s">
        <v>13096</v>
      </c>
      <c r="R3543" s="1" t="s">
        <v>13097</v>
      </c>
      <c r="S3543" s="1">
        <v>1.0</v>
      </c>
      <c r="T3543" s="1">
        <v>0.0</v>
      </c>
      <c r="X3543" s="1" t="s">
        <v>56</v>
      </c>
    </row>
    <row r="3544">
      <c r="A3544" s="3" t="str">
        <f>HYPERLINK("https://stackoverflow.com/q/58738924", "58738924")</f>
        <v>58738924</v>
      </c>
      <c r="B3544" s="1" t="s">
        <v>11474</v>
      </c>
      <c r="C3544" s="1" t="s">
        <v>13098</v>
      </c>
      <c r="D3544" s="2" t="s">
        <v>13099</v>
      </c>
      <c r="E3544" s="1">
        <v>1.0</v>
      </c>
      <c r="I3544" s="1">
        <v>2.0</v>
      </c>
      <c r="J3544" s="1">
        <v>295.0</v>
      </c>
      <c r="L3544" s="1">
        <v>7053185.0</v>
      </c>
      <c r="Q3544" s="1" t="s">
        <v>13098</v>
      </c>
      <c r="R3544" s="1" t="s">
        <v>11596</v>
      </c>
      <c r="S3544" s="1">
        <v>0.0</v>
      </c>
      <c r="T3544" s="1">
        <v>4.0</v>
      </c>
      <c r="X3544" s="1" t="s">
        <v>56</v>
      </c>
    </row>
    <row r="3545">
      <c r="A3545" s="3" t="str">
        <f>HYPERLINK("https://stackoverflow.com/q/58773119", "58773119")</f>
        <v>58773119</v>
      </c>
      <c r="B3545" s="1" t="s">
        <v>11474</v>
      </c>
      <c r="C3545" s="1" t="s">
        <v>13100</v>
      </c>
      <c r="D3545" s="2" t="s">
        <v>13101</v>
      </c>
      <c r="E3545" s="1">
        <v>1.0</v>
      </c>
      <c r="I3545" s="1">
        <v>1.0</v>
      </c>
      <c r="J3545" s="1">
        <v>25.0</v>
      </c>
      <c r="L3545" s="1">
        <v>1.1958891E7</v>
      </c>
      <c r="N3545" s="1">
        <v>1.0012519E7</v>
      </c>
      <c r="P3545" s="1" t="s">
        <v>13102</v>
      </c>
      <c r="Q3545" s="1" t="s">
        <v>13102</v>
      </c>
      <c r="R3545" s="1" t="s">
        <v>13103</v>
      </c>
      <c r="S3545" s="1">
        <v>0.0</v>
      </c>
      <c r="T3545" s="1">
        <v>0.0</v>
      </c>
      <c r="X3545" s="1" t="s">
        <v>56</v>
      </c>
    </row>
    <row r="3546">
      <c r="A3546" s="3" t="str">
        <f>HYPERLINK("https://stackoverflow.com/q/58783610", "58783610")</f>
        <v>58783610</v>
      </c>
      <c r="B3546" s="1" t="s">
        <v>11474</v>
      </c>
      <c r="C3546" s="1" t="s">
        <v>13104</v>
      </c>
      <c r="D3546" s="2" t="s">
        <v>13105</v>
      </c>
      <c r="E3546" s="1">
        <v>1.0</v>
      </c>
      <c r="F3546" s="1">
        <v>5.8811597E7</v>
      </c>
      <c r="I3546" s="1">
        <v>0.0</v>
      </c>
      <c r="J3546" s="1">
        <v>67.0</v>
      </c>
      <c r="L3546" s="1">
        <v>1.0783877E7</v>
      </c>
      <c r="Q3546" s="1" t="s">
        <v>13106</v>
      </c>
      <c r="R3546" s="1" t="s">
        <v>13107</v>
      </c>
      <c r="S3546" s="1">
        <v>1.0</v>
      </c>
      <c r="T3546" s="1">
        <v>2.0</v>
      </c>
      <c r="X3546" s="1" t="s">
        <v>56</v>
      </c>
      <c r="Z3546" s="1" t="s">
        <v>13108</v>
      </c>
    </row>
    <row r="3547">
      <c r="A3547" s="3" t="str">
        <f>HYPERLINK("https://stackoverflow.com/q/58844302", "58844302")</f>
        <v>58844302</v>
      </c>
      <c r="B3547" s="1" t="s">
        <v>11474</v>
      </c>
      <c r="C3547" s="1" t="s">
        <v>13109</v>
      </c>
      <c r="D3547" s="2" t="s">
        <v>13110</v>
      </c>
      <c r="E3547" s="1">
        <v>1.0</v>
      </c>
      <c r="F3547" s="1">
        <v>5.8909686E7</v>
      </c>
      <c r="I3547" s="1">
        <v>0.0</v>
      </c>
      <c r="J3547" s="1">
        <v>70.0</v>
      </c>
      <c r="L3547" s="1">
        <v>1.2368807E7</v>
      </c>
      <c r="Q3547" s="1" t="s">
        <v>13111</v>
      </c>
      <c r="R3547" s="1" t="s">
        <v>11596</v>
      </c>
      <c r="S3547" s="1">
        <v>1.0</v>
      </c>
      <c r="T3547" s="1">
        <v>0.0</v>
      </c>
      <c r="X3547" s="1" t="s">
        <v>56</v>
      </c>
      <c r="Z3547" s="1" t="s">
        <v>13111</v>
      </c>
    </row>
    <row r="3548">
      <c r="A3548" s="3" t="str">
        <f>HYPERLINK("https://stackoverflow.com/q/58858248", "58858248")</f>
        <v>58858248</v>
      </c>
      <c r="B3548" s="1" t="s">
        <v>11474</v>
      </c>
      <c r="C3548" s="1" t="s">
        <v>13112</v>
      </c>
      <c r="D3548" s="2" t="s">
        <v>13113</v>
      </c>
      <c r="E3548" s="1">
        <v>1.0</v>
      </c>
      <c r="I3548" s="1">
        <v>0.0</v>
      </c>
      <c r="J3548" s="1">
        <v>36.0</v>
      </c>
      <c r="L3548" s="1">
        <v>1.0544343E7</v>
      </c>
      <c r="N3548" s="1">
        <v>5183031.0</v>
      </c>
      <c r="P3548" s="1" t="s">
        <v>13114</v>
      </c>
      <c r="Q3548" s="1" t="s">
        <v>13114</v>
      </c>
      <c r="R3548" s="1" t="s">
        <v>13115</v>
      </c>
      <c r="S3548" s="1">
        <v>0.0</v>
      </c>
      <c r="T3548" s="1">
        <v>0.0</v>
      </c>
      <c r="X3548" s="1" t="s">
        <v>56</v>
      </c>
    </row>
    <row r="3549">
      <c r="A3549" s="3" t="str">
        <f>HYPERLINK("https://stackoverflow.com/q/58877222", "58877222")</f>
        <v>58877222</v>
      </c>
      <c r="B3549" s="1" t="s">
        <v>11474</v>
      </c>
      <c r="C3549" s="1" t="s">
        <v>13116</v>
      </c>
      <c r="D3549" s="2" t="s">
        <v>13117</v>
      </c>
      <c r="E3549" s="1">
        <v>1.0</v>
      </c>
      <c r="F3549" s="1">
        <v>5.9049664E7</v>
      </c>
      <c r="I3549" s="1">
        <v>0.0</v>
      </c>
      <c r="J3549" s="1">
        <v>114.0</v>
      </c>
      <c r="L3549" s="1">
        <v>2633591.0</v>
      </c>
      <c r="N3549" s="1">
        <v>7299148.0</v>
      </c>
      <c r="P3549" s="1" t="s">
        <v>13118</v>
      </c>
      <c r="Q3549" s="1" t="s">
        <v>13119</v>
      </c>
      <c r="R3549" s="1" t="s">
        <v>12223</v>
      </c>
      <c r="S3549" s="1">
        <v>1.0</v>
      </c>
      <c r="T3549" s="1">
        <v>0.0</v>
      </c>
      <c r="X3549" s="1" t="s">
        <v>56</v>
      </c>
      <c r="Z3549" s="1" t="s">
        <v>13120</v>
      </c>
    </row>
    <row r="3550">
      <c r="A3550" s="3" t="str">
        <f>HYPERLINK("https://stackoverflow.com/q/58927398", "58927398")</f>
        <v>58927398</v>
      </c>
      <c r="B3550" s="1" t="s">
        <v>11474</v>
      </c>
      <c r="C3550" s="1" t="s">
        <v>13121</v>
      </c>
      <c r="D3550" s="2" t="s">
        <v>13122</v>
      </c>
      <c r="E3550" s="1">
        <v>1.0</v>
      </c>
      <c r="F3550" s="1">
        <v>5.8928009E7</v>
      </c>
      <c r="I3550" s="1">
        <v>0.0</v>
      </c>
      <c r="J3550" s="1">
        <v>47.0</v>
      </c>
      <c r="L3550" s="1">
        <v>1.1569643E7</v>
      </c>
      <c r="Q3550" s="1" t="s">
        <v>13123</v>
      </c>
      <c r="R3550" s="1" t="s">
        <v>13124</v>
      </c>
      <c r="S3550" s="1">
        <v>1.0</v>
      </c>
      <c r="T3550" s="1">
        <v>0.0</v>
      </c>
      <c r="X3550" s="1" t="s">
        <v>56</v>
      </c>
      <c r="Z3550" s="1" t="s">
        <v>13125</v>
      </c>
    </row>
    <row r="3551">
      <c r="A3551" s="3" t="str">
        <f>HYPERLINK("https://stackoverflow.com/q/58927482", "58927482")</f>
        <v>58927482</v>
      </c>
      <c r="B3551" s="1" t="s">
        <v>11474</v>
      </c>
      <c r="C3551" s="1" t="s">
        <v>13126</v>
      </c>
      <c r="D3551" s="2" t="s">
        <v>13127</v>
      </c>
      <c r="E3551" s="1">
        <v>1.0</v>
      </c>
      <c r="I3551" s="1">
        <v>0.0</v>
      </c>
      <c r="J3551" s="1">
        <v>12.0</v>
      </c>
      <c r="L3551" s="1">
        <v>1.2168943E7</v>
      </c>
      <c r="Q3551" s="1" t="s">
        <v>13126</v>
      </c>
      <c r="R3551" s="1" t="s">
        <v>13128</v>
      </c>
      <c r="S3551" s="1">
        <v>0.0</v>
      </c>
      <c r="T3551" s="1">
        <v>0.0</v>
      </c>
      <c r="X3551" s="1" t="s">
        <v>56</v>
      </c>
    </row>
    <row r="3552">
      <c r="A3552" s="3" t="str">
        <f>HYPERLINK("https://stackoverflow.com/q/58933463", "58933463")</f>
        <v>58933463</v>
      </c>
      <c r="B3552" s="1" t="s">
        <v>11474</v>
      </c>
      <c r="C3552" s="1" t="s">
        <v>13129</v>
      </c>
      <c r="D3552" s="2" t="s">
        <v>13130</v>
      </c>
      <c r="E3552" s="1">
        <v>1.0</v>
      </c>
      <c r="I3552" s="1">
        <v>0.0</v>
      </c>
      <c r="J3552" s="1">
        <v>58.0</v>
      </c>
      <c r="L3552" s="1">
        <v>6104083.0</v>
      </c>
      <c r="Q3552" s="1" t="s">
        <v>13129</v>
      </c>
      <c r="R3552" s="1" t="s">
        <v>13131</v>
      </c>
      <c r="S3552" s="1">
        <v>1.0</v>
      </c>
      <c r="T3552" s="1">
        <v>0.0</v>
      </c>
      <c r="X3552" s="1" t="s">
        <v>56</v>
      </c>
    </row>
    <row r="3553">
      <c r="A3553" s="3" t="str">
        <f>HYPERLINK("https://stackoverflow.com/q/59056956", "59056956")</f>
        <v>59056956</v>
      </c>
      <c r="B3553" s="1" t="s">
        <v>11474</v>
      </c>
      <c r="C3553" s="1" t="s">
        <v>13132</v>
      </c>
      <c r="D3553" s="2" t="s">
        <v>13133</v>
      </c>
      <c r="E3553" s="1">
        <v>1.0</v>
      </c>
      <c r="I3553" s="1">
        <v>0.0</v>
      </c>
      <c r="J3553" s="1">
        <v>42.0</v>
      </c>
      <c r="L3553" s="1">
        <v>1.2168943E7</v>
      </c>
      <c r="N3553" s="1">
        <v>1.2168943E7</v>
      </c>
      <c r="P3553" s="1" t="s">
        <v>13134</v>
      </c>
      <c r="Q3553" s="1" t="s">
        <v>13135</v>
      </c>
      <c r="R3553" s="1" t="s">
        <v>12768</v>
      </c>
      <c r="S3553" s="1">
        <v>1.0</v>
      </c>
      <c r="T3553" s="1">
        <v>1.0</v>
      </c>
      <c r="X3553" s="1" t="s">
        <v>56</v>
      </c>
    </row>
    <row r="3554">
      <c r="A3554" s="3" t="str">
        <f>HYPERLINK("https://stackoverflow.com/q/59058293", "59058293")</f>
        <v>59058293</v>
      </c>
      <c r="B3554" s="1" t="s">
        <v>11474</v>
      </c>
      <c r="C3554" s="1" t="s">
        <v>13136</v>
      </c>
      <c r="D3554" s="2" t="s">
        <v>13137</v>
      </c>
      <c r="E3554" s="1">
        <v>1.0</v>
      </c>
      <c r="I3554" s="1">
        <v>0.0</v>
      </c>
      <c r="J3554" s="1">
        <v>48.0</v>
      </c>
      <c r="L3554" s="1">
        <v>2875761.0</v>
      </c>
      <c r="Q3554" s="1" t="s">
        <v>13136</v>
      </c>
      <c r="R3554" s="1" t="s">
        <v>11759</v>
      </c>
      <c r="S3554" s="1">
        <v>0.0</v>
      </c>
      <c r="T3554" s="1">
        <v>2.0</v>
      </c>
      <c r="X3554" s="1" t="s">
        <v>56</v>
      </c>
    </row>
    <row r="3555">
      <c r="A3555" s="3" t="str">
        <f>HYPERLINK("https://stackoverflow.com/q/59063029", "59063029")</f>
        <v>59063029</v>
      </c>
      <c r="B3555" s="1" t="s">
        <v>11474</v>
      </c>
      <c r="C3555" s="1" t="s">
        <v>13138</v>
      </c>
      <c r="D3555" s="2" t="s">
        <v>13139</v>
      </c>
      <c r="E3555" s="1">
        <v>1.0</v>
      </c>
      <c r="I3555" s="1">
        <v>0.0</v>
      </c>
      <c r="J3555" s="1">
        <v>36.0</v>
      </c>
      <c r="L3555" s="1">
        <v>1.1737662E7</v>
      </c>
      <c r="Q3555" s="1" t="s">
        <v>13138</v>
      </c>
      <c r="R3555" s="1" t="s">
        <v>13140</v>
      </c>
      <c r="S3555" s="1">
        <v>0.0</v>
      </c>
      <c r="T3555" s="1">
        <v>0.0</v>
      </c>
      <c r="X3555" s="1" t="s">
        <v>56</v>
      </c>
    </row>
    <row r="3556">
      <c r="A3556" s="3" t="str">
        <f>HYPERLINK("https://stackoverflow.com/q/59075582", "59075582")</f>
        <v>59075582</v>
      </c>
      <c r="B3556" s="1" t="s">
        <v>11474</v>
      </c>
      <c r="C3556" s="1" t="s">
        <v>13141</v>
      </c>
      <c r="D3556" s="2" t="s">
        <v>13142</v>
      </c>
      <c r="E3556" s="1">
        <v>1.0</v>
      </c>
      <c r="I3556" s="1">
        <v>0.0</v>
      </c>
      <c r="J3556" s="1">
        <v>60.0</v>
      </c>
      <c r="L3556" s="1">
        <v>1.2168943E7</v>
      </c>
      <c r="Q3556" s="1" t="s">
        <v>13143</v>
      </c>
      <c r="R3556" s="1" t="s">
        <v>13144</v>
      </c>
      <c r="S3556" s="1">
        <v>1.0</v>
      </c>
      <c r="T3556" s="1">
        <v>0.0</v>
      </c>
      <c r="X3556" s="1" t="s">
        <v>56</v>
      </c>
    </row>
    <row r="3557">
      <c r="A3557" s="3" t="str">
        <f>HYPERLINK("https://stackoverflow.com/q/59134196", "59134196")</f>
        <v>59134196</v>
      </c>
      <c r="B3557" s="1" t="s">
        <v>11474</v>
      </c>
      <c r="C3557" s="1" t="s">
        <v>13145</v>
      </c>
      <c r="D3557" s="2" t="s">
        <v>13146</v>
      </c>
      <c r="E3557" s="1">
        <v>1.0</v>
      </c>
      <c r="F3557" s="1">
        <v>5.9134886E7</v>
      </c>
      <c r="I3557" s="1">
        <v>1.0</v>
      </c>
      <c r="J3557" s="1">
        <v>560.0</v>
      </c>
      <c r="L3557" s="1">
        <v>1.2466812E7</v>
      </c>
      <c r="N3557" s="1">
        <v>1.2466812E7</v>
      </c>
      <c r="P3557" s="1" t="s">
        <v>13147</v>
      </c>
      <c r="Q3557" s="1" t="s">
        <v>13147</v>
      </c>
      <c r="R3557" s="1" t="s">
        <v>13148</v>
      </c>
      <c r="S3557" s="1">
        <v>1.0</v>
      </c>
      <c r="T3557" s="1">
        <v>0.0</v>
      </c>
      <c r="X3557" s="1" t="s">
        <v>56</v>
      </c>
      <c r="Z3557" s="1" t="s">
        <v>13149</v>
      </c>
    </row>
    <row r="3558">
      <c r="A3558" s="3" t="str">
        <f>HYPERLINK("https://stackoverflow.com/q/59199646", "59199646")</f>
        <v>59199646</v>
      </c>
      <c r="B3558" s="1" t="s">
        <v>11474</v>
      </c>
      <c r="C3558" s="1" t="s">
        <v>13150</v>
      </c>
      <c r="D3558" s="2" t="s">
        <v>13151</v>
      </c>
      <c r="E3558" s="1">
        <v>1.0</v>
      </c>
      <c r="I3558" s="1">
        <v>0.0</v>
      </c>
      <c r="J3558" s="1">
        <v>30.0</v>
      </c>
      <c r="L3558" s="1">
        <v>1.2486938E7</v>
      </c>
      <c r="Q3558" s="1" t="s">
        <v>13150</v>
      </c>
      <c r="R3558" s="1" t="s">
        <v>13152</v>
      </c>
      <c r="S3558" s="1">
        <v>0.0</v>
      </c>
      <c r="T3558" s="1">
        <v>3.0</v>
      </c>
      <c r="X3558" s="1" t="s">
        <v>56</v>
      </c>
    </row>
    <row r="3559">
      <c r="A3559" s="3" t="str">
        <f>HYPERLINK("https://stackoverflow.com/q/59249634", "59249634")</f>
        <v>59249634</v>
      </c>
      <c r="B3559" s="1" t="s">
        <v>11474</v>
      </c>
      <c r="C3559" s="1" t="s">
        <v>13153</v>
      </c>
      <c r="D3559" s="2" t="s">
        <v>13154</v>
      </c>
      <c r="E3559" s="1">
        <v>1.0</v>
      </c>
      <c r="I3559" s="1">
        <v>0.0</v>
      </c>
      <c r="J3559" s="1">
        <v>34.0</v>
      </c>
      <c r="L3559" s="1">
        <v>1.0646125E7</v>
      </c>
      <c r="Q3559" s="1" t="s">
        <v>13153</v>
      </c>
      <c r="R3559" s="1" t="s">
        <v>13155</v>
      </c>
      <c r="S3559" s="1">
        <v>0.0</v>
      </c>
      <c r="T3559" s="1">
        <v>0.0</v>
      </c>
      <c r="X3559" s="1" t="s">
        <v>56</v>
      </c>
    </row>
    <row r="3560">
      <c r="A3560" s="3" t="str">
        <f>HYPERLINK("https://stackoverflow.com/q/59268990", "59268990")</f>
        <v>59268990</v>
      </c>
      <c r="B3560" s="1" t="s">
        <v>11474</v>
      </c>
      <c r="C3560" s="1" t="s">
        <v>13156</v>
      </c>
      <c r="D3560" s="2" t="s">
        <v>13157</v>
      </c>
      <c r="E3560" s="1">
        <v>1.0</v>
      </c>
      <c r="I3560" s="1">
        <v>0.0</v>
      </c>
      <c r="J3560" s="1">
        <v>25.0</v>
      </c>
      <c r="L3560" s="1">
        <v>8780051.0</v>
      </c>
      <c r="N3560" s="1">
        <v>8780051.0</v>
      </c>
      <c r="P3560" s="1" t="s">
        <v>13158</v>
      </c>
      <c r="Q3560" s="1" t="s">
        <v>13158</v>
      </c>
      <c r="R3560" s="1" t="s">
        <v>13159</v>
      </c>
      <c r="S3560" s="1">
        <v>0.0</v>
      </c>
      <c r="T3560" s="1">
        <v>0.0</v>
      </c>
      <c r="X3560" s="1" t="s">
        <v>56</v>
      </c>
    </row>
    <row r="3561">
      <c r="A3561" s="3" t="str">
        <f>HYPERLINK("https://stackoverflow.com/q/59320807", "59320807")</f>
        <v>59320807</v>
      </c>
      <c r="B3561" s="1" t="s">
        <v>11474</v>
      </c>
      <c r="C3561" s="1" t="s">
        <v>13160</v>
      </c>
      <c r="D3561" s="2" t="s">
        <v>13161</v>
      </c>
      <c r="E3561" s="1">
        <v>1.0</v>
      </c>
      <c r="I3561" s="1">
        <v>0.0</v>
      </c>
      <c r="J3561" s="1">
        <v>13.0</v>
      </c>
      <c r="L3561" s="1">
        <v>6104083.0</v>
      </c>
      <c r="Q3561" s="1" t="s">
        <v>13160</v>
      </c>
      <c r="R3561" s="1" t="s">
        <v>13162</v>
      </c>
      <c r="S3561" s="1">
        <v>0.0</v>
      </c>
      <c r="T3561" s="1">
        <v>2.0</v>
      </c>
      <c r="X3561" s="1" t="s">
        <v>56</v>
      </c>
    </row>
    <row r="3562">
      <c r="A3562" s="3" t="str">
        <f>HYPERLINK("https://stackoverflow.com/q/59329995", "59329995")</f>
        <v>59329995</v>
      </c>
      <c r="B3562" s="1" t="s">
        <v>11474</v>
      </c>
      <c r="C3562" s="1" t="s">
        <v>13163</v>
      </c>
      <c r="D3562" s="2" t="s">
        <v>13164</v>
      </c>
      <c r="E3562" s="1">
        <v>1.0</v>
      </c>
      <c r="I3562" s="1">
        <v>0.0</v>
      </c>
      <c r="J3562" s="1">
        <v>42.0</v>
      </c>
      <c r="L3562" s="1">
        <v>1.2533625E7</v>
      </c>
      <c r="N3562" s="1">
        <v>1.2533625E7</v>
      </c>
      <c r="P3562" s="1" t="s">
        <v>13165</v>
      </c>
      <c r="Q3562" s="1" t="s">
        <v>13166</v>
      </c>
      <c r="R3562" s="1" t="s">
        <v>13167</v>
      </c>
      <c r="S3562" s="1">
        <v>0.0</v>
      </c>
      <c r="T3562" s="1">
        <v>2.0</v>
      </c>
      <c r="X3562" s="1" t="s">
        <v>56</v>
      </c>
    </row>
    <row r="3563">
      <c r="A3563" s="3" t="str">
        <f>HYPERLINK("https://stackoverflow.com/q/59368935", "59368935")</f>
        <v>59368935</v>
      </c>
      <c r="B3563" s="1" t="s">
        <v>11474</v>
      </c>
      <c r="C3563" s="1" t="s">
        <v>13168</v>
      </c>
      <c r="D3563" s="2" t="s">
        <v>13169</v>
      </c>
      <c r="E3563" s="1">
        <v>1.0</v>
      </c>
      <c r="I3563" s="1">
        <v>0.0</v>
      </c>
      <c r="J3563" s="1">
        <v>49.0</v>
      </c>
      <c r="L3563" s="1">
        <v>1.2438317E7</v>
      </c>
      <c r="N3563" s="1">
        <v>1.2438317E7</v>
      </c>
      <c r="P3563" s="1" t="s">
        <v>13170</v>
      </c>
      <c r="Q3563" s="1" t="s">
        <v>13170</v>
      </c>
      <c r="R3563" s="1" t="s">
        <v>12374</v>
      </c>
      <c r="S3563" s="1">
        <v>0.0</v>
      </c>
      <c r="T3563" s="1">
        <v>0.0</v>
      </c>
      <c r="X3563" s="1" t="s">
        <v>56</v>
      </c>
    </row>
    <row r="3564">
      <c r="A3564" s="3" t="str">
        <f>HYPERLINK("https://stackoverflow.com/q/59434557", "59434557")</f>
        <v>59434557</v>
      </c>
      <c r="B3564" s="1" t="s">
        <v>11474</v>
      </c>
      <c r="C3564" s="1" t="s">
        <v>13171</v>
      </c>
      <c r="D3564" s="2" t="s">
        <v>13172</v>
      </c>
      <c r="E3564" s="1">
        <v>1.0</v>
      </c>
      <c r="I3564" s="1">
        <v>3.0</v>
      </c>
      <c r="J3564" s="1">
        <v>98.0</v>
      </c>
      <c r="L3564" s="1">
        <v>4133852.0</v>
      </c>
      <c r="Q3564" s="1" t="s">
        <v>13173</v>
      </c>
      <c r="R3564" s="1" t="s">
        <v>11499</v>
      </c>
      <c r="S3564" s="1">
        <v>1.0</v>
      </c>
      <c r="T3564" s="1">
        <v>1.0</v>
      </c>
      <c r="X3564" s="1" t="s">
        <v>56</v>
      </c>
    </row>
    <row r="3565">
      <c r="A3565" s="3" t="str">
        <f>HYPERLINK("https://stackoverflow.com/q/59541205", "59541205")</f>
        <v>59541205</v>
      </c>
      <c r="B3565" s="1" t="s">
        <v>11474</v>
      </c>
      <c r="C3565" s="1" t="s">
        <v>13174</v>
      </c>
      <c r="D3565" s="2" t="s">
        <v>13175</v>
      </c>
      <c r="E3565" s="1">
        <v>1.0</v>
      </c>
      <c r="I3565" s="1">
        <v>0.0</v>
      </c>
      <c r="J3565" s="1">
        <v>113.0</v>
      </c>
      <c r="L3565" s="1">
        <v>4460339.0</v>
      </c>
      <c r="Q3565" s="1" t="s">
        <v>13174</v>
      </c>
      <c r="R3565" s="1" t="s">
        <v>13176</v>
      </c>
      <c r="S3565" s="1">
        <v>0.0</v>
      </c>
      <c r="T3565" s="1">
        <v>1.0</v>
      </c>
      <c r="X3565" s="1" t="s">
        <v>56</v>
      </c>
    </row>
    <row r="3566">
      <c r="A3566" s="3" t="str">
        <f>HYPERLINK("https://stackoverflow.com/q/59680264", "59680264")</f>
        <v>59680264</v>
      </c>
      <c r="B3566" s="1" t="s">
        <v>11474</v>
      </c>
      <c r="C3566" s="1" t="s">
        <v>13177</v>
      </c>
      <c r="D3566" s="2" t="s">
        <v>13178</v>
      </c>
      <c r="E3566" s="1">
        <v>1.0</v>
      </c>
      <c r="I3566" s="1">
        <v>0.0</v>
      </c>
      <c r="J3566" s="1">
        <v>86.0</v>
      </c>
      <c r="L3566" s="1">
        <v>797374.0</v>
      </c>
      <c r="N3566" s="1">
        <v>797374.0</v>
      </c>
      <c r="P3566" s="1" t="s">
        <v>13179</v>
      </c>
      <c r="Q3566" s="1" t="s">
        <v>13180</v>
      </c>
      <c r="R3566" s="1" t="s">
        <v>13181</v>
      </c>
      <c r="S3566" s="1">
        <v>1.0</v>
      </c>
      <c r="T3566" s="1">
        <v>4.0</v>
      </c>
      <c r="X3566" s="1" t="s">
        <v>56</v>
      </c>
    </row>
    <row r="3567">
      <c r="A3567" s="3" t="str">
        <f>HYPERLINK("https://stackoverflow.com/q/59746179", "59746179")</f>
        <v>59746179</v>
      </c>
      <c r="B3567" s="1" t="s">
        <v>11474</v>
      </c>
      <c r="C3567" s="1" t="s">
        <v>13182</v>
      </c>
      <c r="D3567" s="2" t="s">
        <v>13183</v>
      </c>
      <c r="E3567" s="1">
        <v>1.0</v>
      </c>
      <c r="I3567" s="1">
        <v>0.0</v>
      </c>
      <c r="J3567" s="1">
        <v>17.0</v>
      </c>
      <c r="L3567" s="1">
        <v>1.2715618E7</v>
      </c>
      <c r="Q3567" s="1" t="s">
        <v>13182</v>
      </c>
      <c r="R3567" s="1" t="s">
        <v>13184</v>
      </c>
      <c r="S3567" s="1">
        <v>0.0</v>
      </c>
      <c r="T3567" s="1">
        <v>0.0</v>
      </c>
      <c r="X3567" s="1" t="s">
        <v>56</v>
      </c>
    </row>
    <row r="3568">
      <c r="A3568" s="3" t="str">
        <f>HYPERLINK("https://stackoverflow.com/q/59798677", "59798677")</f>
        <v>59798677</v>
      </c>
      <c r="B3568" s="1" t="s">
        <v>11474</v>
      </c>
      <c r="C3568" s="1" t="s">
        <v>13185</v>
      </c>
      <c r="D3568" s="2" t="s">
        <v>13186</v>
      </c>
      <c r="E3568" s="1">
        <v>1.0</v>
      </c>
      <c r="I3568" s="1">
        <v>0.0</v>
      </c>
      <c r="J3568" s="1">
        <v>69.0</v>
      </c>
      <c r="L3568" s="1">
        <v>1.2735838E7</v>
      </c>
      <c r="N3568" s="1">
        <v>1.2735838E7</v>
      </c>
      <c r="P3568" s="1" t="s">
        <v>13187</v>
      </c>
      <c r="Q3568" s="1" t="s">
        <v>13187</v>
      </c>
      <c r="R3568" s="1" t="s">
        <v>13188</v>
      </c>
      <c r="S3568" s="1">
        <v>0.0</v>
      </c>
      <c r="T3568" s="1">
        <v>0.0</v>
      </c>
      <c r="X3568" s="1" t="s">
        <v>56</v>
      </c>
    </row>
    <row r="3569">
      <c r="A3569" s="3" t="str">
        <f>HYPERLINK("https://stackoverflow.com/q/59852901", "59852901")</f>
        <v>59852901</v>
      </c>
      <c r="B3569" s="1" t="s">
        <v>11474</v>
      </c>
      <c r="C3569" s="1" t="s">
        <v>13189</v>
      </c>
      <c r="D3569" s="2" t="s">
        <v>13190</v>
      </c>
      <c r="E3569" s="1">
        <v>1.0</v>
      </c>
      <c r="F3569" s="1">
        <v>5.9853108E7</v>
      </c>
      <c r="I3569" s="1">
        <v>0.0</v>
      </c>
      <c r="J3569" s="1">
        <v>70.0</v>
      </c>
      <c r="L3569" s="1">
        <v>797374.0</v>
      </c>
      <c r="N3569" s="1">
        <v>9473764.0</v>
      </c>
      <c r="P3569" s="1" t="s">
        <v>13191</v>
      </c>
      <c r="Q3569" s="1" t="s">
        <v>13192</v>
      </c>
      <c r="R3569" s="1" t="s">
        <v>13181</v>
      </c>
      <c r="S3569" s="1">
        <v>1.0</v>
      </c>
      <c r="T3569" s="1">
        <v>2.0</v>
      </c>
      <c r="X3569" s="1" t="s">
        <v>56</v>
      </c>
      <c r="Z3569" s="1" t="s">
        <v>13193</v>
      </c>
    </row>
    <row r="3570">
      <c r="A3570" s="3" t="str">
        <f>HYPERLINK("https://stackoverflow.com/q/59858610", "59858610")</f>
        <v>59858610</v>
      </c>
      <c r="B3570" s="1" t="s">
        <v>11474</v>
      </c>
      <c r="C3570" s="1" t="s">
        <v>13194</v>
      </c>
      <c r="D3570" s="2" t="s">
        <v>13195</v>
      </c>
      <c r="E3570" s="1">
        <v>1.0</v>
      </c>
      <c r="I3570" s="1">
        <v>2.0</v>
      </c>
      <c r="J3570" s="1">
        <v>90.0</v>
      </c>
      <c r="L3570" s="1">
        <v>1.2761069E7</v>
      </c>
      <c r="N3570" s="1">
        <v>100297.0</v>
      </c>
      <c r="P3570" s="1" t="s">
        <v>13196</v>
      </c>
      <c r="Q3570" s="1" t="s">
        <v>13197</v>
      </c>
      <c r="R3570" s="1" t="s">
        <v>11558</v>
      </c>
      <c r="S3570" s="1">
        <v>1.0</v>
      </c>
      <c r="T3570" s="1">
        <v>5.0</v>
      </c>
      <c r="U3570" s="1">
        <v>0.0</v>
      </c>
      <c r="X3570" s="1" t="s">
        <v>56</v>
      </c>
    </row>
    <row r="3571">
      <c r="A3571" s="3" t="str">
        <f>HYPERLINK("https://stackoverflow.com/q/59875146", "59875146")</f>
        <v>59875146</v>
      </c>
      <c r="B3571" s="1" t="s">
        <v>11474</v>
      </c>
      <c r="C3571" s="1" t="s">
        <v>13198</v>
      </c>
      <c r="D3571" s="2" t="s">
        <v>13199</v>
      </c>
      <c r="E3571" s="1">
        <v>1.0</v>
      </c>
      <c r="I3571" s="1">
        <v>0.0</v>
      </c>
      <c r="J3571" s="1">
        <v>21.0</v>
      </c>
      <c r="L3571" s="1">
        <v>1.1831973E7</v>
      </c>
      <c r="Q3571" s="1" t="s">
        <v>13198</v>
      </c>
      <c r="R3571" s="1" t="s">
        <v>11604</v>
      </c>
      <c r="S3571" s="1">
        <v>0.0</v>
      </c>
      <c r="T3571" s="1">
        <v>0.0</v>
      </c>
      <c r="X3571" s="1" t="s">
        <v>56</v>
      </c>
    </row>
    <row r="3572">
      <c r="A3572" s="3" t="str">
        <f>HYPERLINK("https://stackoverflow.com/q/60005455", "60005455")</f>
        <v>60005455</v>
      </c>
      <c r="B3572" s="1" t="s">
        <v>11474</v>
      </c>
      <c r="C3572" s="1" t="s">
        <v>13200</v>
      </c>
      <c r="D3572" s="2" t="s">
        <v>13201</v>
      </c>
      <c r="E3572" s="1">
        <v>1.0</v>
      </c>
      <c r="I3572" s="1">
        <v>0.0</v>
      </c>
      <c r="J3572" s="1">
        <v>16.0</v>
      </c>
      <c r="L3572" s="1">
        <v>1.0057739E7</v>
      </c>
      <c r="Q3572" s="1" t="s">
        <v>13200</v>
      </c>
      <c r="R3572" s="1" t="s">
        <v>12001</v>
      </c>
      <c r="S3572" s="1">
        <v>0.0</v>
      </c>
      <c r="T3572" s="1">
        <v>3.0</v>
      </c>
      <c r="V3572" s="1" t="s">
        <v>13202</v>
      </c>
      <c r="X3572" s="1" t="s">
        <v>56</v>
      </c>
    </row>
    <row r="3573">
      <c r="A3573" s="3" t="str">
        <f>HYPERLINK("https://stackoverflow.com/q/60140719", "60140719")</f>
        <v>60140719</v>
      </c>
      <c r="B3573" s="1" t="s">
        <v>11474</v>
      </c>
      <c r="C3573" s="1" t="s">
        <v>13203</v>
      </c>
      <c r="D3573" s="2" t="s">
        <v>13204</v>
      </c>
      <c r="E3573" s="1">
        <v>1.0</v>
      </c>
      <c r="F3573" s="1">
        <v>6.0153445E7</v>
      </c>
      <c r="I3573" s="1">
        <v>0.0</v>
      </c>
      <c r="J3573" s="1">
        <v>74.0</v>
      </c>
      <c r="L3573" s="1">
        <v>1.0972786E7</v>
      </c>
      <c r="N3573" s="1">
        <v>1.0972786E7</v>
      </c>
      <c r="P3573" s="1" t="s">
        <v>13205</v>
      </c>
      <c r="Q3573" s="1" t="s">
        <v>13206</v>
      </c>
      <c r="R3573" s="1" t="s">
        <v>13207</v>
      </c>
      <c r="S3573" s="1">
        <v>1.0</v>
      </c>
      <c r="T3573" s="1">
        <v>0.0</v>
      </c>
      <c r="X3573" s="1" t="s">
        <v>56</v>
      </c>
      <c r="Z3573" s="1" t="s">
        <v>13206</v>
      </c>
    </row>
    <row r="3574">
      <c r="A3574" s="3" t="str">
        <f>HYPERLINK("https://stackoverflow.com/q/60168595", "60168595")</f>
        <v>60168595</v>
      </c>
      <c r="B3574" s="1" t="s">
        <v>11474</v>
      </c>
      <c r="C3574" s="1" t="s">
        <v>13208</v>
      </c>
      <c r="D3574" s="2" t="s">
        <v>13209</v>
      </c>
      <c r="E3574" s="1">
        <v>1.0</v>
      </c>
      <c r="I3574" s="1">
        <v>0.0</v>
      </c>
      <c r="J3574" s="1">
        <v>13.0</v>
      </c>
      <c r="L3574" s="1">
        <v>1.2878642E7</v>
      </c>
      <c r="N3574" s="1">
        <v>1.0721592E7</v>
      </c>
      <c r="P3574" s="1" t="s">
        <v>13210</v>
      </c>
      <c r="Q3574" s="1" t="s">
        <v>13210</v>
      </c>
      <c r="R3574" s="1" t="s">
        <v>12374</v>
      </c>
      <c r="S3574" s="1">
        <v>0.0</v>
      </c>
      <c r="T3574" s="1">
        <v>0.0</v>
      </c>
      <c r="X3574" s="1" t="s">
        <v>56</v>
      </c>
    </row>
    <row r="3575">
      <c r="A3575" s="3" t="str">
        <f>HYPERLINK("https://stackoverflow.com/q/60379101", "60379101")</f>
        <v>60379101</v>
      </c>
      <c r="B3575" s="1" t="s">
        <v>11474</v>
      </c>
      <c r="C3575" s="1" t="s">
        <v>13211</v>
      </c>
      <c r="D3575" s="2" t="s">
        <v>13212</v>
      </c>
      <c r="E3575" s="1">
        <v>1.0</v>
      </c>
      <c r="F3575" s="1">
        <v>6.0403808E7</v>
      </c>
      <c r="I3575" s="1">
        <v>3.0</v>
      </c>
      <c r="J3575" s="1">
        <v>52.0</v>
      </c>
      <c r="L3575" s="1">
        <v>5985593.0</v>
      </c>
      <c r="N3575" s="1">
        <v>5985593.0</v>
      </c>
      <c r="P3575" s="1" t="s">
        <v>13213</v>
      </c>
      <c r="Q3575" s="1" t="s">
        <v>13214</v>
      </c>
      <c r="R3575" s="1" t="s">
        <v>13215</v>
      </c>
      <c r="S3575" s="1">
        <v>1.0</v>
      </c>
      <c r="T3575" s="1">
        <v>0.0</v>
      </c>
      <c r="X3575" s="1" t="s">
        <v>56</v>
      </c>
      <c r="Z3575" s="1" t="s">
        <v>13216</v>
      </c>
    </row>
    <row r="3576">
      <c r="A3576" s="3" t="str">
        <f>HYPERLINK("https://stackoverflow.com/q/60389290", "60389290")</f>
        <v>60389290</v>
      </c>
      <c r="B3576" s="1" t="s">
        <v>11474</v>
      </c>
      <c r="C3576" s="1" t="s">
        <v>13217</v>
      </c>
      <c r="D3576" s="2" t="s">
        <v>13218</v>
      </c>
      <c r="E3576" s="1">
        <v>1.0</v>
      </c>
      <c r="I3576" s="1">
        <v>0.0</v>
      </c>
      <c r="J3576" s="1">
        <v>22.0</v>
      </c>
      <c r="L3576" s="1">
        <v>1.2958305E7</v>
      </c>
      <c r="Q3576" s="1" t="s">
        <v>13217</v>
      </c>
      <c r="R3576" s="1" t="s">
        <v>13219</v>
      </c>
      <c r="S3576" s="1">
        <v>0.0</v>
      </c>
      <c r="T3576" s="1">
        <v>0.0</v>
      </c>
      <c r="X3576" s="1" t="s">
        <v>56</v>
      </c>
    </row>
    <row r="3577">
      <c r="A3577" s="3" t="str">
        <f>HYPERLINK("https://stackoverflow.com/q/60396107", "60396107")</f>
        <v>60396107</v>
      </c>
      <c r="B3577" s="1" t="s">
        <v>11474</v>
      </c>
      <c r="C3577" s="1" t="s">
        <v>13220</v>
      </c>
      <c r="D3577" s="2" t="s">
        <v>13221</v>
      </c>
      <c r="E3577" s="1">
        <v>1.0</v>
      </c>
      <c r="I3577" s="1">
        <v>0.0</v>
      </c>
      <c r="J3577" s="1">
        <v>33.0</v>
      </c>
      <c r="L3577" s="1">
        <v>8959167.0</v>
      </c>
      <c r="Q3577" s="1" t="s">
        <v>13220</v>
      </c>
      <c r="R3577" s="1" t="s">
        <v>13222</v>
      </c>
      <c r="S3577" s="1">
        <v>0.0</v>
      </c>
      <c r="T3577" s="1">
        <v>1.0</v>
      </c>
      <c r="X3577" s="1" t="s">
        <v>56</v>
      </c>
    </row>
    <row r="3578">
      <c r="A3578" s="3" t="str">
        <f>HYPERLINK("https://stackoverflow.com/q/60495312", "60495312")</f>
        <v>60495312</v>
      </c>
      <c r="B3578" s="1" t="s">
        <v>11474</v>
      </c>
      <c r="C3578" s="1" t="s">
        <v>13223</v>
      </c>
      <c r="D3578" s="2" t="s">
        <v>13224</v>
      </c>
      <c r="E3578" s="1">
        <v>1.0</v>
      </c>
      <c r="I3578" s="1">
        <v>0.0</v>
      </c>
      <c r="J3578" s="1">
        <v>94.0</v>
      </c>
      <c r="L3578" s="1">
        <v>2374157.0</v>
      </c>
      <c r="Q3578" s="1" t="s">
        <v>13225</v>
      </c>
      <c r="R3578" s="1" t="s">
        <v>13226</v>
      </c>
      <c r="S3578" s="1">
        <v>1.0</v>
      </c>
      <c r="T3578" s="1">
        <v>0.0</v>
      </c>
      <c r="X3578" s="1" t="s">
        <v>56</v>
      </c>
    </row>
    <row r="3579">
      <c r="A3579" s="3" t="str">
        <f>HYPERLINK("https://stackoverflow.com/q/60689697", "60689697")</f>
        <v>60689697</v>
      </c>
      <c r="B3579" s="1" t="s">
        <v>11474</v>
      </c>
      <c r="C3579" s="1" t="s">
        <v>13227</v>
      </c>
      <c r="D3579" s="2" t="s">
        <v>13228</v>
      </c>
      <c r="E3579" s="1">
        <v>1.0</v>
      </c>
      <c r="I3579" s="1">
        <v>0.0</v>
      </c>
      <c r="J3579" s="1">
        <v>25.0</v>
      </c>
      <c r="L3579" s="1">
        <v>1731001.0</v>
      </c>
      <c r="Q3579" s="1" t="s">
        <v>13229</v>
      </c>
      <c r="R3579" s="1" t="s">
        <v>13230</v>
      </c>
      <c r="S3579" s="1">
        <v>1.0</v>
      </c>
      <c r="T3579" s="1">
        <v>0.0</v>
      </c>
      <c r="X3579" s="1" t="s">
        <v>56</v>
      </c>
    </row>
    <row r="3580">
      <c r="A3580" s="3" t="str">
        <f>HYPERLINK("https://stackoverflow.com/q/60706026", "60706026")</f>
        <v>60706026</v>
      </c>
      <c r="B3580" s="1" t="s">
        <v>11474</v>
      </c>
      <c r="C3580" s="1" t="s">
        <v>13231</v>
      </c>
      <c r="D3580" s="2" t="s">
        <v>13232</v>
      </c>
      <c r="E3580" s="1">
        <v>1.0</v>
      </c>
      <c r="I3580" s="1">
        <v>0.0</v>
      </c>
      <c r="J3580" s="1">
        <v>12.0</v>
      </c>
      <c r="L3580" s="1">
        <v>7664548.0</v>
      </c>
      <c r="Q3580" s="1" t="s">
        <v>13231</v>
      </c>
      <c r="R3580" s="1" t="s">
        <v>12291</v>
      </c>
      <c r="S3580" s="1">
        <v>0.0</v>
      </c>
      <c r="T3580" s="1">
        <v>0.0</v>
      </c>
      <c r="X3580" s="1" t="s">
        <v>56</v>
      </c>
    </row>
    <row r="3581">
      <c r="A3581" s="3" t="str">
        <f>HYPERLINK("https://stackoverflow.com/q/60779826", "60779826")</f>
        <v>60779826</v>
      </c>
      <c r="B3581" s="1" t="s">
        <v>11474</v>
      </c>
      <c r="C3581" s="1" t="s">
        <v>13233</v>
      </c>
      <c r="D3581" s="2" t="s">
        <v>13234</v>
      </c>
      <c r="E3581" s="1">
        <v>1.0</v>
      </c>
      <c r="F3581" s="1">
        <v>6.0868547E7</v>
      </c>
      <c r="I3581" s="1">
        <v>0.0</v>
      </c>
      <c r="J3581" s="1">
        <v>34.0</v>
      </c>
      <c r="L3581" s="1">
        <v>2265672.0</v>
      </c>
      <c r="N3581" s="1">
        <v>2265672.0</v>
      </c>
      <c r="P3581" s="1" t="s">
        <v>13235</v>
      </c>
      <c r="Q3581" s="1" t="s">
        <v>13236</v>
      </c>
      <c r="R3581" s="1" t="s">
        <v>11572</v>
      </c>
      <c r="S3581" s="1">
        <v>2.0</v>
      </c>
      <c r="T3581" s="1">
        <v>0.0</v>
      </c>
      <c r="U3581" s="1">
        <v>1.0</v>
      </c>
      <c r="X3581" s="1" t="s">
        <v>56</v>
      </c>
      <c r="Z3581" s="1" t="s">
        <v>13236</v>
      </c>
    </row>
    <row r="3582">
      <c r="A3582" s="3" t="str">
        <f>HYPERLINK("https://stackoverflow.com/q/60827803", "60827803")</f>
        <v>60827803</v>
      </c>
      <c r="B3582" s="1" t="s">
        <v>11474</v>
      </c>
      <c r="C3582" s="1" t="s">
        <v>13237</v>
      </c>
      <c r="D3582" s="2" t="s">
        <v>13238</v>
      </c>
      <c r="E3582" s="1">
        <v>1.0</v>
      </c>
      <c r="F3582" s="1">
        <v>6.0830347E7</v>
      </c>
      <c r="I3582" s="1">
        <v>1.0</v>
      </c>
      <c r="J3582" s="1">
        <v>58.0</v>
      </c>
      <c r="L3582" s="1">
        <v>1.3114846E7</v>
      </c>
      <c r="N3582" s="1">
        <v>1.3114846E7</v>
      </c>
      <c r="P3582" s="1" t="s">
        <v>13239</v>
      </c>
      <c r="Q3582" s="1" t="s">
        <v>13240</v>
      </c>
      <c r="R3582" s="1" t="s">
        <v>13241</v>
      </c>
      <c r="S3582" s="1">
        <v>1.0</v>
      </c>
      <c r="T3582" s="1">
        <v>0.0</v>
      </c>
      <c r="X3582" s="1" t="s">
        <v>56</v>
      </c>
      <c r="Z3582" s="1" t="s">
        <v>13242</v>
      </c>
    </row>
    <row r="3583">
      <c r="A3583" s="3" t="str">
        <f>HYPERLINK("https://stackoverflow.com/q/60859441", "60859441")</f>
        <v>60859441</v>
      </c>
      <c r="B3583" s="1" t="s">
        <v>11474</v>
      </c>
      <c r="C3583" s="1" t="s">
        <v>13243</v>
      </c>
      <c r="D3583" s="2" t="s">
        <v>13244</v>
      </c>
      <c r="E3583" s="1">
        <v>1.0</v>
      </c>
      <c r="I3583" s="1">
        <v>0.0</v>
      </c>
      <c r="J3583" s="1">
        <v>26.0</v>
      </c>
      <c r="L3583" s="1">
        <v>7170964.0</v>
      </c>
      <c r="N3583" s="1">
        <v>8422953.0</v>
      </c>
      <c r="P3583" s="1" t="s">
        <v>13245</v>
      </c>
      <c r="Q3583" s="1" t="s">
        <v>13245</v>
      </c>
      <c r="R3583" s="1" t="s">
        <v>13246</v>
      </c>
      <c r="S3583" s="1">
        <v>0.0</v>
      </c>
      <c r="T3583" s="1">
        <v>4.0</v>
      </c>
      <c r="X3583" s="1" t="s">
        <v>56</v>
      </c>
    </row>
    <row r="3584">
      <c r="A3584" s="3" t="str">
        <f>HYPERLINK("https://stackoverflow.com/q/60990549", "60990549")</f>
        <v>60990549</v>
      </c>
      <c r="B3584" s="1" t="s">
        <v>11474</v>
      </c>
      <c r="C3584" s="1" t="s">
        <v>13247</v>
      </c>
      <c r="D3584" s="2" t="s">
        <v>13248</v>
      </c>
      <c r="E3584" s="1">
        <v>1.0</v>
      </c>
      <c r="I3584" s="1">
        <v>0.0</v>
      </c>
      <c r="J3584" s="1">
        <v>27.0</v>
      </c>
      <c r="L3584" s="1">
        <v>6852301.0</v>
      </c>
      <c r="N3584" s="1">
        <v>6852301.0</v>
      </c>
      <c r="P3584" s="1" t="s">
        <v>13249</v>
      </c>
      <c r="Q3584" s="1" t="s">
        <v>13249</v>
      </c>
      <c r="R3584" s="1" t="s">
        <v>12437</v>
      </c>
      <c r="S3584" s="1">
        <v>0.0</v>
      </c>
      <c r="T3584" s="1">
        <v>0.0</v>
      </c>
      <c r="X3584" s="1" t="s">
        <v>56</v>
      </c>
    </row>
    <row r="3585">
      <c r="A3585" s="3" t="str">
        <f>HYPERLINK("https://stackoverflow.com/q/61100181", "61100181")</f>
        <v>61100181</v>
      </c>
      <c r="B3585" s="1" t="s">
        <v>11474</v>
      </c>
      <c r="C3585" s="1" t="s">
        <v>13250</v>
      </c>
      <c r="D3585" s="2" t="s">
        <v>13251</v>
      </c>
      <c r="E3585" s="1">
        <v>1.0</v>
      </c>
      <c r="F3585" s="1">
        <v>6.1100897E7</v>
      </c>
      <c r="I3585" s="1">
        <v>0.0</v>
      </c>
      <c r="J3585" s="1">
        <v>19.0</v>
      </c>
      <c r="L3585" s="1">
        <v>3016453.0</v>
      </c>
      <c r="Q3585" s="1" t="s">
        <v>13252</v>
      </c>
      <c r="R3585" s="1" t="s">
        <v>11596</v>
      </c>
      <c r="S3585" s="1">
        <v>1.0</v>
      </c>
      <c r="T3585" s="1">
        <v>2.0</v>
      </c>
      <c r="X3585" s="1" t="s">
        <v>56</v>
      </c>
      <c r="Z3585" s="1" t="s">
        <v>13252</v>
      </c>
    </row>
    <row r="3586">
      <c r="A3586" s="3" t="str">
        <f>HYPERLINK("https://stackoverflow.com/q/61164244", "61164244")</f>
        <v>61164244</v>
      </c>
      <c r="B3586" s="1" t="s">
        <v>11474</v>
      </c>
      <c r="C3586" s="1" t="s">
        <v>13253</v>
      </c>
      <c r="D3586" s="2" t="s">
        <v>13254</v>
      </c>
      <c r="E3586" s="1">
        <v>1.0</v>
      </c>
      <c r="I3586" s="1">
        <v>0.0</v>
      </c>
      <c r="J3586" s="1">
        <v>19.0</v>
      </c>
      <c r="L3586" s="1">
        <v>1.2438317E7</v>
      </c>
      <c r="N3586" s="1">
        <v>1.2438317E7</v>
      </c>
      <c r="P3586" s="1" t="s">
        <v>13255</v>
      </c>
      <c r="Q3586" s="1" t="s">
        <v>13255</v>
      </c>
      <c r="R3586" s="1" t="s">
        <v>13256</v>
      </c>
      <c r="S3586" s="1">
        <v>0.0</v>
      </c>
      <c r="T3586" s="1">
        <v>0.0</v>
      </c>
      <c r="X3586" s="1" t="s">
        <v>56</v>
      </c>
    </row>
    <row r="3587">
      <c r="A3587" s="3" t="str">
        <f>HYPERLINK("https://stackoverflow.com/q/61309820", "61309820")</f>
        <v>61309820</v>
      </c>
      <c r="B3587" s="1" t="s">
        <v>11474</v>
      </c>
      <c r="C3587" s="1" t="s">
        <v>13257</v>
      </c>
      <c r="D3587" s="2" t="s">
        <v>13258</v>
      </c>
      <c r="E3587" s="1">
        <v>1.0</v>
      </c>
      <c r="I3587" s="1">
        <v>0.0</v>
      </c>
      <c r="J3587" s="1">
        <v>28.0</v>
      </c>
      <c r="L3587" s="1">
        <v>9589755.0</v>
      </c>
      <c r="Q3587" s="1" t="s">
        <v>13259</v>
      </c>
      <c r="R3587" s="1" t="s">
        <v>13260</v>
      </c>
      <c r="S3587" s="1">
        <v>1.0</v>
      </c>
      <c r="T3587" s="1">
        <v>0.0</v>
      </c>
      <c r="X3587" s="1" t="s">
        <v>56</v>
      </c>
    </row>
    <row r="3588">
      <c r="A3588" s="3" t="str">
        <f>HYPERLINK("https://stackoverflow.com/q/61345897", "61345897")</f>
        <v>61345897</v>
      </c>
      <c r="B3588" s="1" t="s">
        <v>11474</v>
      </c>
      <c r="C3588" s="1" t="s">
        <v>13261</v>
      </c>
      <c r="D3588" s="2" t="s">
        <v>13262</v>
      </c>
      <c r="E3588" s="1">
        <v>1.0</v>
      </c>
      <c r="I3588" s="1">
        <v>0.0</v>
      </c>
      <c r="J3588" s="1">
        <v>16.0</v>
      </c>
      <c r="L3588" s="1">
        <v>8475381.0</v>
      </c>
      <c r="Q3588" s="1" t="s">
        <v>13261</v>
      </c>
      <c r="R3588" s="1" t="s">
        <v>12901</v>
      </c>
      <c r="S3588" s="1">
        <v>0.0</v>
      </c>
      <c r="T3588" s="1">
        <v>0.0</v>
      </c>
      <c r="X3588" s="1" t="s">
        <v>56</v>
      </c>
    </row>
    <row r="3589">
      <c r="A3589" s="3" t="str">
        <f>HYPERLINK("https://stackoverflow.com/q/61488025", "61488025")</f>
        <v>61488025</v>
      </c>
      <c r="B3589" s="1" t="s">
        <v>11474</v>
      </c>
      <c r="C3589" s="1" t="s">
        <v>13263</v>
      </c>
      <c r="D3589" s="2" t="s">
        <v>13264</v>
      </c>
      <c r="E3589" s="1">
        <v>1.0</v>
      </c>
      <c r="I3589" s="1">
        <v>0.0</v>
      </c>
      <c r="J3589" s="1">
        <v>15.0</v>
      </c>
      <c r="L3589" s="1">
        <v>1.2675775E7</v>
      </c>
      <c r="N3589" s="1">
        <v>1.2675775E7</v>
      </c>
      <c r="P3589" s="1" t="s">
        <v>13265</v>
      </c>
      <c r="Q3589" s="1" t="s">
        <v>13265</v>
      </c>
      <c r="R3589" s="1" t="s">
        <v>13266</v>
      </c>
      <c r="S3589" s="1">
        <v>0.0</v>
      </c>
      <c r="T3589" s="1">
        <v>0.0</v>
      </c>
      <c r="X3589" s="1" t="s">
        <v>56</v>
      </c>
    </row>
    <row r="3590">
      <c r="A3590" s="3" t="str">
        <f>HYPERLINK("https://stackoverflow.com/q/61509970", "61509970")</f>
        <v>61509970</v>
      </c>
      <c r="B3590" s="1" t="s">
        <v>11474</v>
      </c>
      <c r="C3590" s="1" t="s">
        <v>13267</v>
      </c>
      <c r="D3590" s="2" t="s">
        <v>13268</v>
      </c>
      <c r="E3590" s="1">
        <v>1.0</v>
      </c>
      <c r="I3590" s="1">
        <v>0.0</v>
      </c>
      <c r="J3590" s="1">
        <v>21.0</v>
      </c>
      <c r="L3590" s="1">
        <v>1.0741087E7</v>
      </c>
      <c r="Q3590" s="1" t="s">
        <v>13269</v>
      </c>
      <c r="R3590" s="1" t="s">
        <v>13270</v>
      </c>
      <c r="S3590" s="1">
        <v>2.0</v>
      </c>
      <c r="T3590" s="1">
        <v>0.0</v>
      </c>
      <c r="X3590" s="1" t="s">
        <v>56</v>
      </c>
    </row>
    <row r="3591">
      <c r="A3591" s="3" t="str">
        <f>HYPERLINK("https://stackoverflow.com/q/61579511", "61579511")</f>
        <v>61579511</v>
      </c>
      <c r="B3591" s="1" t="s">
        <v>11474</v>
      </c>
      <c r="C3591" s="1" t="s">
        <v>13271</v>
      </c>
      <c r="D3591" s="2" t="s">
        <v>13272</v>
      </c>
      <c r="E3591" s="1">
        <v>1.0</v>
      </c>
      <c r="I3591" s="1">
        <v>0.0</v>
      </c>
      <c r="J3591" s="1">
        <v>13.0</v>
      </c>
      <c r="L3591" s="1">
        <v>9882637.0</v>
      </c>
      <c r="Q3591" s="1" t="s">
        <v>13271</v>
      </c>
      <c r="R3591" s="1" t="s">
        <v>13273</v>
      </c>
      <c r="S3591" s="1">
        <v>0.0</v>
      </c>
      <c r="T3591" s="1">
        <v>1.0</v>
      </c>
      <c r="X3591" s="1" t="s">
        <v>56</v>
      </c>
    </row>
    <row r="3592">
      <c r="A3592" s="3" t="str">
        <f>HYPERLINK("https://stackoverflow.com/q/61618284", "61618284")</f>
        <v>61618284</v>
      </c>
      <c r="B3592" s="1" t="s">
        <v>11474</v>
      </c>
      <c r="C3592" s="1" t="s">
        <v>13274</v>
      </c>
      <c r="D3592" s="2" t="s">
        <v>13275</v>
      </c>
      <c r="E3592" s="1">
        <v>1.0</v>
      </c>
      <c r="I3592" s="1">
        <v>0.0</v>
      </c>
      <c r="J3592" s="1">
        <v>25.0</v>
      </c>
      <c r="L3592" s="1">
        <v>1.3476216E7</v>
      </c>
      <c r="N3592" s="1">
        <v>4289869.0</v>
      </c>
      <c r="P3592" s="1" t="s">
        <v>13276</v>
      </c>
      <c r="Q3592" s="1" t="s">
        <v>13276</v>
      </c>
      <c r="R3592" s="1" t="s">
        <v>13277</v>
      </c>
      <c r="S3592" s="1">
        <v>0.0</v>
      </c>
      <c r="T3592" s="1">
        <v>1.0</v>
      </c>
      <c r="X3592" s="1" t="s">
        <v>56</v>
      </c>
    </row>
    <row r="3593">
      <c r="A3593" s="3" t="str">
        <f>HYPERLINK("https://stackoverflow.com/q/61671196", "61671196")</f>
        <v>61671196</v>
      </c>
      <c r="B3593" s="1" t="s">
        <v>11474</v>
      </c>
      <c r="C3593" s="1" t="s">
        <v>13278</v>
      </c>
      <c r="D3593" s="2" t="s">
        <v>13279</v>
      </c>
      <c r="E3593" s="1">
        <v>1.0</v>
      </c>
      <c r="I3593" s="1">
        <v>0.0</v>
      </c>
      <c r="J3593" s="1">
        <v>12.0</v>
      </c>
      <c r="L3593" s="1">
        <v>1.0247614E7</v>
      </c>
      <c r="Q3593" s="1" t="s">
        <v>13278</v>
      </c>
      <c r="R3593" s="1" t="s">
        <v>13280</v>
      </c>
      <c r="S3593" s="1">
        <v>0.0</v>
      </c>
      <c r="T3593" s="1">
        <v>0.0</v>
      </c>
      <c r="X3593" s="1" t="s">
        <v>56</v>
      </c>
    </row>
    <row r="3594">
      <c r="A3594" s="3" t="str">
        <f>HYPERLINK("https://stackoverflow.com/q/61766048", "61766048")</f>
        <v>61766048</v>
      </c>
      <c r="B3594" s="1" t="s">
        <v>11474</v>
      </c>
      <c r="C3594" s="1" t="s">
        <v>13281</v>
      </c>
      <c r="D3594" s="2" t="s">
        <v>13282</v>
      </c>
      <c r="E3594" s="1">
        <v>1.0</v>
      </c>
      <c r="I3594" s="1">
        <v>0.0</v>
      </c>
      <c r="J3594" s="1">
        <v>19.0</v>
      </c>
      <c r="L3594" s="1">
        <v>1.353049E7</v>
      </c>
      <c r="N3594" s="1">
        <v>1823841.0</v>
      </c>
      <c r="P3594" s="1" t="s">
        <v>13283</v>
      </c>
      <c r="Q3594" s="1" t="s">
        <v>13283</v>
      </c>
      <c r="R3594" s="1" t="s">
        <v>12378</v>
      </c>
      <c r="S3594" s="1">
        <v>0.0</v>
      </c>
      <c r="T3594" s="1">
        <v>8.0</v>
      </c>
      <c r="X3594" s="1" t="s">
        <v>56</v>
      </c>
    </row>
    <row r="3595">
      <c r="A3595" s="3" t="str">
        <f>HYPERLINK("https://stackoverflow.com/q/61818220", "61818220")</f>
        <v>61818220</v>
      </c>
      <c r="B3595" s="1" t="s">
        <v>11474</v>
      </c>
      <c r="C3595" s="1" t="s">
        <v>13284</v>
      </c>
      <c r="D3595" s="2" t="s">
        <v>13285</v>
      </c>
      <c r="E3595" s="1">
        <v>1.0</v>
      </c>
      <c r="I3595" s="1">
        <v>1.0</v>
      </c>
      <c r="J3595" s="1">
        <v>16.0</v>
      </c>
      <c r="L3595" s="1">
        <v>1.3547646E7</v>
      </c>
      <c r="Q3595" s="1" t="s">
        <v>13284</v>
      </c>
      <c r="R3595" s="1" t="s">
        <v>11558</v>
      </c>
      <c r="S3595" s="1">
        <v>0.0</v>
      </c>
      <c r="T3595" s="1">
        <v>0.0</v>
      </c>
      <c r="X3595" s="1" t="s">
        <v>56</v>
      </c>
    </row>
    <row r="3596">
      <c r="A3596" s="3" t="str">
        <f>HYPERLINK("https://stackoverflow.com/q/61961302", "61961302")</f>
        <v>61961302</v>
      </c>
      <c r="B3596" s="1" t="s">
        <v>11474</v>
      </c>
      <c r="C3596" s="1" t="s">
        <v>13286</v>
      </c>
      <c r="D3596" s="2" t="s">
        <v>13287</v>
      </c>
      <c r="E3596" s="1">
        <v>1.0</v>
      </c>
      <c r="F3596" s="1">
        <v>6.1961303E7</v>
      </c>
      <c r="I3596" s="1">
        <v>1.0</v>
      </c>
      <c r="J3596" s="1">
        <v>30.0</v>
      </c>
      <c r="L3596" s="1">
        <v>105539.0</v>
      </c>
      <c r="Q3596" s="1" t="s">
        <v>13288</v>
      </c>
      <c r="R3596" s="1" t="s">
        <v>13289</v>
      </c>
      <c r="S3596" s="1">
        <v>1.0</v>
      </c>
      <c r="T3596" s="1">
        <v>0.0</v>
      </c>
      <c r="X3596" s="1" t="s">
        <v>56</v>
      </c>
      <c r="Z3596" s="1" t="s">
        <v>13286</v>
      </c>
    </row>
    <row r="3597">
      <c r="A3597" s="3" t="str">
        <f>HYPERLINK("https://stackoverflow.com/q/61999799", "61999799")</f>
        <v>61999799</v>
      </c>
      <c r="B3597" s="1" t="s">
        <v>11474</v>
      </c>
      <c r="C3597" s="1" t="s">
        <v>13290</v>
      </c>
      <c r="D3597" s="2" t="s">
        <v>13291</v>
      </c>
      <c r="E3597" s="1">
        <v>1.0</v>
      </c>
      <c r="I3597" s="1">
        <v>0.0</v>
      </c>
      <c r="J3597" s="1">
        <v>16.0</v>
      </c>
      <c r="L3597" s="1">
        <v>627035.0</v>
      </c>
      <c r="N3597" s="1">
        <v>627035.0</v>
      </c>
      <c r="P3597" s="1" t="s">
        <v>13292</v>
      </c>
      <c r="Q3597" s="1" t="s">
        <v>13292</v>
      </c>
      <c r="R3597" s="1" t="s">
        <v>13293</v>
      </c>
      <c r="S3597" s="1">
        <v>0.0</v>
      </c>
      <c r="T3597" s="1">
        <v>0.0</v>
      </c>
      <c r="X3597" s="1" t="s">
        <v>56</v>
      </c>
    </row>
    <row r="3598">
      <c r="A3598" s="3" t="str">
        <f>HYPERLINK("https://stackoverflow.com/q/62002491", "62002491")</f>
        <v>62002491</v>
      </c>
      <c r="B3598" s="1" t="s">
        <v>11474</v>
      </c>
      <c r="C3598" s="1" t="s">
        <v>13294</v>
      </c>
      <c r="D3598" s="2" t="s">
        <v>13295</v>
      </c>
      <c r="E3598" s="1">
        <v>1.0</v>
      </c>
      <c r="I3598" s="1">
        <v>0.0</v>
      </c>
      <c r="J3598" s="1">
        <v>18.0</v>
      </c>
      <c r="L3598" s="1">
        <v>1.2700133E7</v>
      </c>
      <c r="N3598" s="1">
        <v>5104596.0</v>
      </c>
      <c r="P3598" s="1" t="s">
        <v>13296</v>
      </c>
      <c r="Q3598" s="1" t="s">
        <v>13296</v>
      </c>
      <c r="R3598" s="1" t="s">
        <v>12437</v>
      </c>
      <c r="S3598" s="1">
        <v>0.0</v>
      </c>
      <c r="T3598" s="1">
        <v>0.0</v>
      </c>
      <c r="X3598" s="1" t="s">
        <v>56</v>
      </c>
    </row>
    <row r="3599">
      <c r="D3599" s="5"/>
    </row>
    <row r="3600">
      <c r="D3600" s="5"/>
    </row>
  </sheetData>
  <drawing r:id="rId1"/>
</worksheet>
</file>